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7-08-2025\"/>
    </mc:Choice>
  </mc:AlternateContent>
  <bookViews>
    <workbookView xWindow="0" yWindow="0" windowWidth="19200" windowHeight="664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Report!$A$1:$H$1280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8" i="1" l="1"/>
  <c r="K417" i="1"/>
  <c r="K418" i="1"/>
  <c r="K419" i="1"/>
  <c r="K420" i="1"/>
  <c r="K421" i="1"/>
  <c r="K422" i="1"/>
  <c r="D263" i="1" l="1"/>
  <c r="F263" i="1" s="1"/>
  <c r="F308" i="1"/>
  <c r="F133" i="1"/>
  <c r="I894" i="1"/>
  <c r="D894" i="1"/>
  <c r="D895" i="1"/>
  <c r="E40" i="1" l="1"/>
  <c r="D1144" i="1" l="1"/>
  <c r="F1144" i="1" s="1"/>
  <c r="D1141" i="1"/>
  <c r="F1141" i="1" s="1"/>
  <c r="D1140" i="1"/>
  <c r="F1140" i="1" s="1"/>
  <c r="D1139" i="1"/>
  <c r="F1139" i="1" s="1"/>
  <c r="D1138" i="1"/>
  <c r="F1138" i="1" s="1"/>
  <c r="D1137" i="1"/>
  <c r="F1137" i="1" s="1"/>
  <c r="D1136" i="1"/>
  <c r="F1136" i="1" s="1"/>
  <c r="D1135" i="1"/>
  <c r="F1135" i="1" s="1"/>
  <c r="D1134" i="1"/>
  <c r="F1134" i="1" s="1"/>
  <c r="D1133" i="1"/>
  <c r="F1133" i="1" s="1"/>
  <c r="D1132" i="1"/>
  <c r="F1132" i="1" s="1"/>
  <c r="D1131" i="1"/>
  <c r="F1131" i="1" s="1"/>
  <c r="D1130" i="1"/>
  <c r="F1130" i="1" s="1"/>
  <c r="D1129" i="1"/>
  <c r="F1129" i="1" s="1"/>
  <c r="D1128" i="1"/>
  <c r="F1128" i="1" s="1"/>
  <c r="D1126" i="1"/>
  <c r="F1126" i="1" s="1"/>
  <c r="D1123" i="1"/>
  <c r="F1123" i="1" s="1"/>
  <c r="D1122" i="1"/>
  <c r="F1122" i="1" s="1"/>
  <c r="D1121" i="1"/>
  <c r="F1121" i="1" s="1"/>
  <c r="D1120" i="1"/>
  <c r="F1120" i="1" s="1"/>
  <c r="D1119" i="1"/>
  <c r="F1119" i="1" s="1"/>
  <c r="D1118" i="1"/>
  <c r="F1118" i="1" s="1"/>
  <c r="D1117" i="1"/>
  <c r="F1117" i="1" s="1"/>
  <c r="D1116" i="1"/>
  <c r="F1116" i="1" s="1"/>
  <c r="D1115" i="1"/>
  <c r="F1115" i="1" s="1"/>
  <c r="D1114" i="1"/>
  <c r="F1114" i="1" s="1"/>
  <c r="D1113" i="1"/>
  <c r="F1113" i="1" s="1"/>
  <c r="D1112" i="1"/>
  <c r="F1112" i="1" s="1"/>
  <c r="D1111" i="1"/>
  <c r="F1111" i="1" s="1"/>
  <c r="D1110" i="1"/>
  <c r="F1110" i="1" s="1"/>
  <c r="D1108" i="1"/>
  <c r="F1108" i="1" s="1"/>
  <c r="D1107" i="1"/>
  <c r="F1107" i="1" s="1"/>
  <c r="D1106" i="1"/>
  <c r="F1106" i="1" s="1"/>
  <c r="D1105" i="1"/>
  <c r="F1105" i="1" s="1"/>
  <c r="D1104" i="1"/>
  <c r="F1104" i="1" s="1"/>
  <c r="D1103" i="1"/>
  <c r="F1103" i="1" s="1"/>
  <c r="D1102" i="1"/>
  <c r="F1102" i="1" s="1"/>
  <c r="D1101" i="1"/>
  <c r="F1101" i="1" s="1"/>
  <c r="D1100" i="1"/>
  <c r="F1100" i="1" s="1"/>
  <c r="D1099" i="1"/>
  <c r="F1099" i="1" s="1"/>
  <c r="D1098" i="1"/>
  <c r="F1098" i="1" s="1"/>
  <c r="D1097" i="1"/>
  <c r="F1097" i="1" s="1"/>
  <c r="D1096" i="1"/>
  <c r="F1096" i="1" s="1"/>
  <c r="D1095" i="1"/>
  <c r="F1095" i="1" s="1"/>
  <c r="D1094" i="1"/>
  <c r="F1094" i="1" s="1"/>
  <c r="D1093" i="1"/>
  <c r="F1093" i="1" s="1"/>
  <c r="D1092" i="1"/>
  <c r="F1092" i="1" s="1"/>
  <c r="D1090" i="1"/>
  <c r="F1090" i="1" s="1"/>
  <c r="D1089" i="1"/>
  <c r="F1089" i="1" s="1"/>
  <c r="D1088" i="1"/>
  <c r="F1088" i="1" s="1"/>
  <c r="D1087" i="1"/>
  <c r="F1087" i="1" s="1"/>
  <c r="D1086" i="1"/>
  <c r="F1086" i="1" s="1"/>
  <c r="D1085" i="1"/>
  <c r="F1085" i="1" s="1"/>
  <c r="D1084" i="1"/>
  <c r="F1084" i="1" s="1"/>
  <c r="D1083" i="1"/>
  <c r="F1083" i="1" s="1"/>
  <c r="D1082" i="1"/>
  <c r="F1082" i="1" s="1"/>
  <c r="D1081" i="1"/>
  <c r="F1081" i="1" s="1"/>
  <c r="D1080" i="1"/>
  <c r="F1080" i="1" s="1"/>
  <c r="D1079" i="1"/>
  <c r="F1079" i="1" s="1"/>
  <c r="D1078" i="1"/>
  <c r="F1078" i="1" s="1"/>
  <c r="D1077" i="1"/>
  <c r="F1077" i="1" s="1"/>
  <c r="D1076" i="1"/>
  <c r="F1076" i="1" s="1"/>
  <c r="D1075" i="1"/>
  <c r="F1075" i="1" s="1"/>
  <c r="D1073" i="1"/>
  <c r="F1073" i="1" s="1"/>
  <c r="D1072" i="1"/>
  <c r="F1072" i="1" s="1"/>
  <c r="D1071" i="1"/>
  <c r="F1071" i="1" s="1"/>
  <c r="D1070" i="1"/>
  <c r="F1070" i="1" s="1"/>
  <c r="D1069" i="1"/>
  <c r="F1069" i="1" s="1"/>
  <c r="D1068" i="1"/>
  <c r="F1068" i="1" s="1"/>
  <c r="D1067" i="1"/>
  <c r="F1067" i="1" s="1"/>
  <c r="D1066" i="1"/>
  <c r="F1066" i="1" s="1"/>
  <c r="D1065" i="1"/>
  <c r="F1065" i="1" s="1"/>
  <c r="D1064" i="1"/>
  <c r="F1064" i="1" s="1"/>
  <c r="D1063" i="1"/>
  <c r="F1063" i="1" s="1"/>
  <c r="D1062" i="1"/>
  <c r="F1062" i="1" s="1"/>
  <c r="D1061" i="1"/>
  <c r="F1061" i="1" s="1"/>
  <c r="D1060" i="1"/>
  <c r="F1060" i="1" s="1"/>
  <c r="D1059" i="1"/>
  <c r="F1059" i="1" s="1"/>
  <c r="D1058" i="1"/>
  <c r="F1058" i="1" s="1"/>
  <c r="D1057" i="1"/>
  <c r="F1057" i="1" s="1"/>
  <c r="D1055" i="1"/>
  <c r="F1055" i="1" s="1"/>
  <c r="D1054" i="1"/>
  <c r="F1054" i="1" s="1"/>
  <c r="D1053" i="1"/>
  <c r="F1053" i="1" s="1"/>
  <c r="D1052" i="1"/>
  <c r="F1052" i="1" s="1"/>
  <c r="D1051" i="1"/>
  <c r="F1051" i="1" s="1"/>
  <c r="D1050" i="1"/>
  <c r="F1050" i="1" s="1"/>
  <c r="D1049" i="1"/>
  <c r="F1049" i="1" s="1"/>
  <c r="D1048" i="1"/>
  <c r="F1048" i="1" s="1"/>
  <c r="D1047" i="1"/>
  <c r="D1046" i="1"/>
  <c r="F1046" i="1" s="1"/>
  <c r="D1045" i="1"/>
  <c r="F1045" i="1" s="1"/>
  <c r="D1044" i="1"/>
  <c r="F1044" i="1" s="1"/>
  <c r="D1043" i="1"/>
  <c r="F1043" i="1" s="1"/>
  <c r="D1042" i="1"/>
  <c r="F1042" i="1" s="1"/>
  <c r="D1041" i="1"/>
  <c r="F1041" i="1" s="1"/>
  <c r="D1040" i="1"/>
  <c r="F1040" i="1" s="1"/>
  <c r="D1039" i="1"/>
  <c r="F1039" i="1" s="1"/>
  <c r="D1037" i="1"/>
  <c r="F1037" i="1" s="1"/>
  <c r="D1036" i="1"/>
  <c r="F1036" i="1" s="1"/>
  <c r="D1033" i="1"/>
  <c r="F1033" i="1" s="1"/>
  <c r="D1032" i="1"/>
  <c r="F1032" i="1" s="1"/>
  <c r="D1031" i="1"/>
  <c r="F1031" i="1" s="1"/>
  <c r="D1030" i="1"/>
  <c r="F1030" i="1" s="1"/>
  <c r="D1029" i="1"/>
  <c r="F1029" i="1" s="1"/>
  <c r="D1028" i="1"/>
  <c r="F1028" i="1" s="1"/>
  <c r="D1027" i="1"/>
  <c r="F1027" i="1" s="1"/>
  <c r="D1026" i="1"/>
  <c r="F1026" i="1" s="1"/>
  <c r="D1025" i="1"/>
  <c r="F1025" i="1" s="1"/>
  <c r="D1024" i="1"/>
  <c r="F1024" i="1" s="1"/>
  <c r="D1023" i="1"/>
  <c r="F1023" i="1" s="1"/>
  <c r="D1022" i="1"/>
  <c r="F1022" i="1" s="1"/>
  <c r="D1021" i="1"/>
  <c r="F1021" i="1" s="1"/>
  <c r="D1020" i="1"/>
  <c r="F1020" i="1" s="1"/>
  <c r="D1018" i="1"/>
  <c r="F1018" i="1" s="1"/>
  <c r="D1017" i="1"/>
  <c r="F1017" i="1" s="1"/>
  <c r="D1014" i="1"/>
  <c r="F1014" i="1" s="1"/>
  <c r="D1013" i="1"/>
  <c r="F1013" i="1" s="1"/>
  <c r="D1012" i="1"/>
  <c r="F1012" i="1" s="1"/>
  <c r="D1011" i="1"/>
  <c r="F1011" i="1" s="1"/>
  <c r="D1010" i="1"/>
  <c r="F1010" i="1" s="1"/>
  <c r="D1009" i="1"/>
  <c r="F1009" i="1" s="1"/>
  <c r="D1008" i="1"/>
  <c r="F1008" i="1" s="1"/>
  <c r="D1007" i="1"/>
  <c r="F1007" i="1" s="1"/>
  <c r="D1006" i="1"/>
  <c r="F1006" i="1" s="1"/>
  <c r="D1005" i="1"/>
  <c r="F1005" i="1" s="1"/>
  <c r="D1004" i="1"/>
  <c r="F1004" i="1" s="1"/>
  <c r="D1003" i="1"/>
  <c r="F1003" i="1" s="1"/>
  <c r="D1002" i="1"/>
  <c r="F1002" i="1" s="1"/>
  <c r="D1001" i="1"/>
  <c r="F1001" i="1" s="1"/>
  <c r="D1000" i="1"/>
  <c r="F1000" i="1" s="1"/>
  <c r="D998" i="1"/>
  <c r="F998" i="1" s="1"/>
  <c r="D997" i="1"/>
  <c r="F997" i="1" s="1"/>
  <c r="D996" i="1"/>
  <c r="F996" i="1" s="1"/>
  <c r="D995" i="1"/>
  <c r="F995" i="1" s="1"/>
  <c r="D994" i="1"/>
  <c r="F994" i="1" s="1"/>
  <c r="D993" i="1"/>
  <c r="F993" i="1" s="1"/>
  <c r="D992" i="1"/>
  <c r="F992" i="1" s="1"/>
  <c r="D991" i="1"/>
  <c r="F991" i="1" s="1"/>
  <c r="D990" i="1"/>
  <c r="F990" i="1" s="1"/>
  <c r="D989" i="1"/>
  <c r="F989" i="1" s="1"/>
  <c r="D988" i="1"/>
  <c r="F988" i="1" s="1"/>
  <c r="D987" i="1"/>
  <c r="F987" i="1" s="1"/>
  <c r="D986" i="1"/>
  <c r="F986" i="1" s="1"/>
  <c r="D985" i="1"/>
  <c r="F985" i="1" s="1"/>
  <c r="D984" i="1"/>
  <c r="F984" i="1" s="1"/>
  <c r="D983" i="1"/>
  <c r="F983" i="1" s="1"/>
  <c r="D982" i="1"/>
  <c r="F982" i="1" s="1"/>
  <c r="D981" i="1"/>
  <c r="F981" i="1" s="1"/>
  <c r="D980" i="1"/>
  <c r="F980" i="1" s="1"/>
  <c r="D978" i="1"/>
  <c r="F978" i="1" s="1"/>
  <c r="D977" i="1"/>
  <c r="F977" i="1" s="1"/>
  <c r="D976" i="1"/>
  <c r="F976" i="1" s="1"/>
  <c r="D975" i="1"/>
  <c r="F975" i="1" s="1"/>
  <c r="D974" i="1"/>
  <c r="F974" i="1" s="1"/>
  <c r="D973" i="1"/>
  <c r="F973" i="1" s="1"/>
  <c r="D972" i="1"/>
  <c r="F972" i="1" s="1"/>
  <c r="D971" i="1"/>
  <c r="F971" i="1" s="1"/>
  <c r="D970" i="1"/>
  <c r="F970" i="1" s="1"/>
  <c r="D969" i="1"/>
  <c r="F969" i="1" s="1"/>
  <c r="D968" i="1"/>
  <c r="F968" i="1" s="1"/>
  <c r="D967" i="1"/>
  <c r="F967" i="1" s="1"/>
  <c r="D966" i="1"/>
  <c r="F966" i="1" s="1"/>
  <c r="D965" i="1"/>
  <c r="F965" i="1" s="1"/>
  <c r="D963" i="1"/>
  <c r="F963" i="1" s="1"/>
  <c r="D962" i="1"/>
  <c r="F962" i="1" s="1"/>
  <c r="D961" i="1"/>
  <c r="F961" i="1" s="1"/>
  <c r="D960" i="1"/>
  <c r="F960" i="1" s="1"/>
  <c r="D959" i="1"/>
  <c r="F959" i="1" s="1"/>
  <c r="D958" i="1"/>
  <c r="F958" i="1" s="1"/>
  <c r="D957" i="1"/>
  <c r="F957" i="1" s="1"/>
  <c r="D956" i="1"/>
  <c r="F956" i="1" s="1"/>
  <c r="D955" i="1"/>
  <c r="F955" i="1" s="1"/>
  <c r="D954" i="1"/>
  <c r="F954" i="1" s="1"/>
  <c r="D953" i="1"/>
  <c r="F953" i="1" s="1"/>
  <c r="D952" i="1"/>
  <c r="F952" i="1" s="1"/>
  <c r="D951" i="1"/>
  <c r="F951" i="1" s="1"/>
  <c r="D950" i="1"/>
  <c r="F950" i="1" s="1"/>
  <c r="D949" i="1"/>
  <c r="F949" i="1" s="1"/>
  <c r="D948" i="1"/>
  <c r="F948" i="1" s="1"/>
  <c r="D947" i="1"/>
  <c r="F947" i="1" s="1"/>
  <c r="D946" i="1"/>
  <c r="F946" i="1" s="1"/>
  <c r="D945" i="1"/>
  <c r="F945" i="1" s="1"/>
  <c r="D944" i="1"/>
  <c r="F944" i="1" s="1"/>
  <c r="D942" i="1"/>
  <c r="F942" i="1" s="1"/>
  <c r="D941" i="1"/>
  <c r="F941" i="1" s="1"/>
  <c r="D940" i="1"/>
  <c r="F940" i="1" s="1"/>
  <c r="D939" i="1"/>
  <c r="F939" i="1" s="1"/>
  <c r="D938" i="1"/>
  <c r="F938" i="1" s="1"/>
  <c r="D937" i="1"/>
  <c r="F937" i="1" s="1"/>
  <c r="D936" i="1"/>
  <c r="F936" i="1" s="1"/>
  <c r="D935" i="1"/>
  <c r="F935" i="1" s="1"/>
  <c r="D934" i="1"/>
  <c r="F934" i="1" s="1"/>
  <c r="D933" i="1"/>
  <c r="F933" i="1" s="1"/>
  <c r="D932" i="1"/>
  <c r="F932" i="1" s="1"/>
  <c r="D931" i="1"/>
  <c r="F931" i="1" s="1"/>
  <c r="D930" i="1"/>
  <c r="F930" i="1" s="1"/>
  <c r="D929" i="1"/>
  <c r="F929" i="1" s="1"/>
  <c r="D927" i="1"/>
  <c r="F927" i="1" s="1"/>
  <c r="D926" i="1"/>
  <c r="F926" i="1" s="1"/>
  <c r="D925" i="1"/>
  <c r="F925" i="1" s="1"/>
  <c r="D924" i="1"/>
  <c r="F924" i="1" s="1"/>
  <c r="D923" i="1"/>
  <c r="F923" i="1" s="1"/>
  <c r="D922" i="1"/>
  <c r="F922" i="1" s="1"/>
  <c r="D921" i="1"/>
  <c r="F921" i="1" s="1"/>
  <c r="D920" i="1"/>
  <c r="F920" i="1" s="1"/>
  <c r="D919" i="1"/>
  <c r="F919" i="1" s="1"/>
  <c r="D918" i="1"/>
  <c r="F918" i="1" s="1"/>
  <c r="D917" i="1"/>
  <c r="F917" i="1" s="1"/>
  <c r="D916" i="1"/>
  <c r="F916" i="1" s="1"/>
  <c r="D915" i="1"/>
  <c r="F915" i="1" s="1"/>
  <c r="D914" i="1"/>
  <c r="F914" i="1" s="1"/>
  <c r="D913" i="1"/>
  <c r="F913" i="1" s="1"/>
  <c r="D912" i="1"/>
  <c r="F912" i="1" s="1"/>
  <c r="D911" i="1"/>
  <c r="F911" i="1" s="1"/>
  <c r="D910" i="1"/>
  <c r="F910" i="1" s="1"/>
  <c r="D909" i="1"/>
  <c r="F909" i="1" s="1"/>
  <c r="D907" i="1"/>
  <c r="F907" i="1" s="1"/>
  <c r="D906" i="1"/>
  <c r="F906" i="1" s="1"/>
  <c r="D905" i="1"/>
  <c r="F905" i="1" s="1"/>
  <c r="D904" i="1"/>
  <c r="F904" i="1" s="1"/>
  <c r="D903" i="1"/>
  <c r="F903" i="1" s="1"/>
  <c r="D902" i="1"/>
  <c r="F902" i="1" s="1"/>
  <c r="D901" i="1"/>
  <c r="F901" i="1" s="1"/>
  <c r="D900" i="1"/>
  <c r="F900" i="1" s="1"/>
  <c r="D899" i="1"/>
  <c r="F899" i="1" s="1"/>
  <c r="D898" i="1"/>
  <c r="F898" i="1" s="1"/>
  <c r="D897" i="1"/>
  <c r="F897" i="1" s="1"/>
  <c r="D896" i="1"/>
  <c r="F896" i="1" s="1"/>
  <c r="F895" i="1"/>
  <c r="F894" i="1"/>
  <c r="D892" i="1"/>
  <c r="F892" i="1" s="1"/>
  <c r="D891" i="1"/>
  <c r="F891" i="1" s="1"/>
  <c r="D890" i="1"/>
  <c r="F890" i="1" s="1"/>
  <c r="D889" i="1"/>
  <c r="F889" i="1" s="1"/>
  <c r="D888" i="1"/>
  <c r="F888" i="1" s="1"/>
  <c r="D887" i="1"/>
  <c r="F887" i="1" s="1"/>
  <c r="D886" i="1"/>
  <c r="F886" i="1" s="1"/>
  <c r="D885" i="1"/>
  <c r="F885" i="1" s="1"/>
  <c r="D884" i="1"/>
  <c r="F884" i="1" s="1"/>
  <c r="D883" i="1"/>
  <c r="F883" i="1" s="1"/>
  <c r="D882" i="1"/>
  <c r="F882" i="1" s="1"/>
  <c r="D881" i="1"/>
  <c r="F881" i="1" s="1"/>
  <c r="D880" i="1"/>
  <c r="F880" i="1" s="1"/>
  <c r="D879" i="1"/>
  <c r="F879" i="1" s="1"/>
  <c r="D878" i="1"/>
  <c r="F878" i="1" s="1"/>
  <c r="D877" i="1"/>
  <c r="F877" i="1" s="1"/>
  <c r="D876" i="1"/>
  <c r="F876" i="1" s="1"/>
  <c r="D875" i="1"/>
  <c r="F875" i="1" s="1"/>
  <c r="D874" i="1"/>
  <c r="F874" i="1" s="1"/>
  <c r="D873" i="1"/>
  <c r="F873" i="1" s="1"/>
  <c r="D871" i="1"/>
  <c r="F871" i="1" s="1"/>
  <c r="D870" i="1"/>
  <c r="F870" i="1" s="1"/>
  <c r="D869" i="1"/>
  <c r="F869" i="1" s="1"/>
  <c r="D862" i="1"/>
  <c r="F862" i="1" s="1"/>
  <c r="D861" i="1"/>
  <c r="F861" i="1" s="1"/>
  <c r="D860" i="1"/>
  <c r="F860" i="1" s="1"/>
  <c r="D859" i="1"/>
  <c r="F859" i="1" s="1"/>
  <c r="D858" i="1"/>
  <c r="F858" i="1" s="1"/>
  <c r="D854" i="1"/>
  <c r="F854" i="1" s="1"/>
  <c r="D853" i="1"/>
  <c r="F853" i="1" s="1"/>
  <c r="D852" i="1"/>
  <c r="F852" i="1" s="1"/>
  <c r="D851" i="1"/>
  <c r="F851" i="1" s="1"/>
  <c r="D850" i="1"/>
  <c r="F850" i="1" s="1"/>
  <c r="D849" i="1"/>
  <c r="F849" i="1" s="1"/>
  <c r="D848" i="1"/>
  <c r="F848" i="1" s="1"/>
  <c r="D847" i="1"/>
  <c r="F847" i="1" s="1"/>
  <c r="D846" i="1"/>
  <c r="F846" i="1" s="1"/>
  <c r="D844" i="1"/>
  <c r="F844" i="1" s="1"/>
  <c r="D843" i="1"/>
  <c r="F843" i="1" s="1"/>
  <c r="D842" i="1"/>
  <c r="F842" i="1" s="1"/>
  <c r="D841" i="1"/>
  <c r="F841" i="1" s="1"/>
  <c r="D840" i="1"/>
  <c r="F840" i="1" s="1"/>
  <c r="D839" i="1"/>
  <c r="F839" i="1" s="1"/>
  <c r="D838" i="1"/>
  <c r="F838" i="1" s="1"/>
  <c r="D837" i="1"/>
  <c r="F837" i="1" s="1"/>
  <c r="D836" i="1"/>
  <c r="F836" i="1" s="1"/>
  <c r="D834" i="1"/>
  <c r="F834" i="1" s="1"/>
  <c r="D833" i="1"/>
  <c r="F833" i="1" s="1"/>
  <c r="D832" i="1"/>
  <c r="F832" i="1" s="1"/>
  <c r="D831" i="1"/>
  <c r="F831" i="1" s="1"/>
  <c r="D830" i="1"/>
  <c r="F830" i="1" s="1"/>
  <c r="D829" i="1"/>
  <c r="F829" i="1" s="1"/>
  <c r="D828" i="1"/>
  <c r="F828" i="1" s="1"/>
  <c r="D827" i="1"/>
  <c r="F827" i="1" s="1"/>
  <c r="D826" i="1"/>
  <c r="F826" i="1" s="1"/>
  <c r="D824" i="1"/>
  <c r="F824" i="1" s="1"/>
  <c r="D823" i="1"/>
  <c r="F823" i="1" s="1"/>
  <c r="D822" i="1"/>
  <c r="F822" i="1" s="1"/>
  <c r="D821" i="1"/>
  <c r="F821" i="1" s="1"/>
  <c r="D820" i="1"/>
  <c r="F820" i="1" s="1"/>
  <c r="D819" i="1"/>
  <c r="F819" i="1" s="1"/>
  <c r="D818" i="1"/>
  <c r="F818" i="1" s="1"/>
  <c r="D817" i="1"/>
  <c r="F817" i="1" s="1"/>
  <c r="D816" i="1"/>
  <c r="F816" i="1" s="1"/>
  <c r="D814" i="1"/>
  <c r="F814" i="1" s="1"/>
  <c r="D813" i="1"/>
  <c r="F813" i="1" s="1"/>
  <c r="D812" i="1"/>
  <c r="F812" i="1" s="1"/>
  <c r="D811" i="1"/>
  <c r="F811" i="1" s="1"/>
  <c r="D810" i="1"/>
  <c r="F810" i="1" s="1"/>
  <c r="D809" i="1"/>
  <c r="F809" i="1" s="1"/>
  <c r="D808" i="1"/>
  <c r="F808" i="1" s="1"/>
  <c r="D807" i="1"/>
  <c r="F807" i="1" s="1"/>
  <c r="D806" i="1"/>
  <c r="F806" i="1" s="1"/>
  <c r="D804" i="1"/>
  <c r="F804" i="1" s="1"/>
  <c r="D803" i="1"/>
  <c r="F803" i="1" s="1"/>
  <c r="D802" i="1"/>
  <c r="F802" i="1" s="1"/>
  <c r="D801" i="1"/>
  <c r="F801" i="1" s="1"/>
  <c r="D800" i="1"/>
  <c r="F800" i="1" s="1"/>
  <c r="D799" i="1"/>
  <c r="F799" i="1" s="1"/>
  <c r="D798" i="1"/>
  <c r="F798" i="1" s="1"/>
  <c r="D797" i="1"/>
  <c r="F797" i="1" s="1"/>
  <c r="D796" i="1"/>
  <c r="F796" i="1" s="1"/>
  <c r="D794" i="1"/>
  <c r="F794" i="1" s="1"/>
  <c r="D793" i="1"/>
  <c r="F793" i="1" s="1"/>
  <c r="D792" i="1"/>
  <c r="F792" i="1" s="1"/>
  <c r="D791" i="1"/>
  <c r="F791" i="1" s="1"/>
  <c r="D790" i="1"/>
  <c r="F790" i="1" s="1"/>
  <c r="D789" i="1"/>
  <c r="F789" i="1" s="1"/>
  <c r="D788" i="1"/>
  <c r="F788" i="1" s="1"/>
  <c r="D787" i="1"/>
  <c r="F787" i="1" s="1"/>
  <c r="D786" i="1"/>
  <c r="F786" i="1" s="1"/>
  <c r="D784" i="1"/>
  <c r="F784" i="1" s="1"/>
  <c r="D783" i="1"/>
  <c r="F783" i="1" s="1"/>
  <c r="D782" i="1"/>
  <c r="F782" i="1" s="1"/>
  <c r="D781" i="1"/>
  <c r="F781" i="1" s="1"/>
  <c r="D780" i="1"/>
  <c r="F780" i="1" s="1"/>
  <c r="D779" i="1"/>
  <c r="F779" i="1" s="1"/>
  <c r="D778" i="1"/>
  <c r="F778" i="1" s="1"/>
  <c r="D777" i="1"/>
  <c r="F777" i="1" s="1"/>
  <c r="D776" i="1"/>
  <c r="F776" i="1" s="1"/>
  <c r="D774" i="1"/>
  <c r="F774" i="1" s="1"/>
  <c r="D773" i="1"/>
  <c r="F773" i="1" s="1"/>
  <c r="D772" i="1"/>
  <c r="F772" i="1" s="1"/>
  <c r="D771" i="1"/>
  <c r="F771" i="1" s="1"/>
  <c r="D770" i="1"/>
  <c r="F770" i="1" s="1"/>
  <c r="D769" i="1"/>
  <c r="F769" i="1" s="1"/>
  <c r="D768" i="1"/>
  <c r="F768" i="1" s="1"/>
  <c r="D767" i="1"/>
  <c r="F767" i="1" s="1"/>
  <c r="D766" i="1"/>
  <c r="F766" i="1" s="1"/>
  <c r="D764" i="1"/>
  <c r="F764" i="1" s="1"/>
  <c r="D763" i="1"/>
  <c r="F763" i="1" s="1"/>
  <c r="D762" i="1"/>
  <c r="F762" i="1" s="1"/>
  <c r="D761" i="1"/>
  <c r="F761" i="1" s="1"/>
  <c r="D760" i="1"/>
  <c r="F760" i="1" s="1"/>
  <c r="D759" i="1"/>
  <c r="F759" i="1" s="1"/>
  <c r="D758" i="1"/>
  <c r="F758" i="1" s="1"/>
  <c r="D757" i="1"/>
  <c r="F757" i="1" s="1"/>
  <c r="D756" i="1"/>
  <c r="F756" i="1" s="1"/>
  <c r="D754" i="1"/>
  <c r="F754" i="1" s="1"/>
  <c r="D753" i="1"/>
  <c r="F753" i="1" s="1"/>
  <c r="D752" i="1"/>
  <c r="F752" i="1" s="1"/>
  <c r="D751" i="1"/>
  <c r="F751" i="1" s="1"/>
  <c r="D750" i="1"/>
  <c r="F750" i="1" s="1"/>
  <c r="D749" i="1"/>
  <c r="F749" i="1" s="1"/>
  <c r="D748" i="1"/>
  <c r="F748" i="1" s="1"/>
  <c r="D747" i="1"/>
  <c r="F747" i="1" s="1"/>
  <c r="D746" i="1"/>
  <c r="F746" i="1" s="1"/>
  <c r="D744" i="1"/>
  <c r="F744" i="1" s="1"/>
  <c r="D743" i="1"/>
  <c r="F743" i="1" s="1"/>
  <c r="D742" i="1"/>
  <c r="F742" i="1" s="1"/>
  <c r="D741" i="1"/>
  <c r="F741" i="1" s="1"/>
  <c r="D740" i="1"/>
  <c r="F740" i="1" s="1"/>
  <c r="D739" i="1"/>
  <c r="F739" i="1" s="1"/>
  <c r="D738" i="1"/>
  <c r="F738" i="1" s="1"/>
  <c r="D737" i="1"/>
  <c r="F737" i="1" s="1"/>
  <c r="D736" i="1"/>
  <c r="F736" i="1" s="1"/>
  <c r="D734" i="1"/>
  <c r="F734" i="1" s="1"/>
  <c r="D733" i="1"/>
  <c r="F733" i="1" s="1"/>
  <c r="D732" i="1"/>
  <c r="F732" i="1" s="1"/>
  <c r="D731" i="1"/>
  <c r="F731" i="1" s="1"/>
  <c r="D730" i="1"/>
  <c r="F730" i="1" s="1"/>
  <c r="D729" i="1"/>
  <c r="F729" i="1" s="1"/>
  <c r="D728" i="1"/>
  <c r="F728" i="1" s="1"/>
  <c r="D727" i="1"/>
  <c r="F727" i="1" s="1"/>
  <c r="D726" i="1"/>
  <c r="F726" i="1" s="1"/>
  <c r="D724" i="1"/>
  <c r="F724" i="1" s="1"/>
  <c r="D723" i="1"/>
  <c r="F723" i="1" s="1"/>
  <c r="D722" i="1"/>
  <c r="F722" i="1" s="1"/>
  <c r="D721" i="1"/>
  <c r="F721" i="1" s="1"/>
  <c r="D720" i="1"/>
  <c r="F720" i="1" s="1"/>
  <c r="D719" i="1"/>
  <c r="F719" i="1" s="1"/>
  <c r="D718" i="1"/>
  <c r="F718" i="1" s="1"/>
  <c r="D717" i="1"/>
  <c r="F717" i="1" s="1"/>
  <c r="D716" i="1"/>
  <c r="F716" i="1" s="1"/>
  <c r="D714" i="1"/>
  <c r="F714" i="1" s="1"/>
  <c r="D713" i="1"/>
  <c r="F713" i="1" s="1"/>
  <c r="D712" i="1"/>
  <c r="F712" i="1" s="1"/>
  <c r="D711" i="1"/>
  <c r="F711" i="1" s="1"/>
  <c r="D710" i="1"/>
  <c r="F710" i="1" s="1"/>
  <c r="D709" i="1"/>
  <c r="F709" i="1" s="1"/>
  <c r="D708" i="1"/>
  <c r="F708" i="1" s="1"/>
  <c r="D707" i="1"/>
  <c r="F707" i="1" s="1"/>
  <c r="D706" i="1"/>
  <c r="F706" i="1" s="1"/>
  <c r="D704" i="1"/>
  <c r="F704" i="1" s="1"/>
  <c r="D703" i="1"/>
  <c r="F703" i="1" s="1"/>
  <c r="D697" i="1"/>
  <c r="F697" i="1" s="1"/>
  <c r="D696" i="1"/>
  <c r="D691" i="1"/>
  <c r="F691" i="1" s="1"/>
  <c r="D690" i="1"/>
  <c r="F690" i="1" s="1"/>
  <c r="D689" i="1"/>
  <c r="F689" i="1" s="1"/>
  <c r="D688" i="1"/>
  <c r="F688" i="1" s="1"/>
  <c r="D687" i="1"/>
  <c r="F687" i="1" s="1"/>
  <c r="D686" i="1"/>
  <c r="F686" i="1" s="1"/>
  <c r="D685" i="1"/>
  <c r="F685" i="1" s="1"/>
  <c r="D684" i="1"/>
  <c r="F684" i="1" s="1"/>
  <c r="D683" i="1"/>
  <c r="F683" i="1" s="1"/>
  <c r="D682" i="1"/>
  <c r="F682" i="1" s="1"/>
  <c r="D681" i="1"/>
  <c r="F681" i="1" s="1"/>
  <c r="D680" i="1"/>
  <c r="F680" i="1" s="1"/>
  <c r="D679" i="1"/>
  <c r="F679" i="1" s="1"/>
  <c r="D678" i="1"/>
  <c r="F678" i="1" s="1"/>
  <c r="D677" i="1"/>
  <c r="F677" i="1" s="1"/>
  <c r="D675" i="1"/>
  <c r="F675" i="1" s="1"/>
  <c r="D674" i="1"/>
  <c r="F674" i="1" s="1"/>
  <c r="D673" i="1"/>
  <c r="F673" i="1" s="1"/>
  <c r="D672" i="1"/>
  <c r="F672" i="1" s="1"/>
  <c r="D671" i="1"/>
  <c r="F671" i="1" s="1"/>
  <c r="D670" i="1"/>
  <c r="F670" i="1" s="1"/>
  <c r="D669" i="1"/>
  <c r="F669" i="1" s="1"/>
  <c r="D668" i="1"/>
  <c r="F668" i="1" s="1"/>
  <c r="D667" i="1"/>
  <c r="F667" i="1" s="1"/>
  <c r="D666" i="1"/>
  <c r="F666" i="1" s="1"/>
  <c r="D665" i="1"/>
  <c r="F665" i="1" s="1"/>
  <c r="D664" i="1"/>
  <c r="F664" i="1" s="1"/>
  <c r="D663" i="1"/>
  <c r="F663" i="1" s="1"/>
  <c r="D662" i="1"/>
  <c r="F662" i="1" s="1"/>
  <c r="D660" i="1"/>
  <c r="F660" i="1" s="1"/>
  <c r="D659" i="1"/>
  <c r="F659" i="1" s="1"/>
  <c r="D658" i="1"/>
  <c r="F658" i="1" s="1"/>
  <c r="D657" i="1"/>
  <c r="F657" i="1" s="1"/>
  <c r="D656" i="1"/>
  <c r="F656" i="1" s="1"/>
  <c r="D655" i="1"/>
  <c r="F655" i="1" s="1"/>
  <c r="D654" i="1"/>
  <c r="F654" i="1" s="1"/>
  <c r="D653" i="1"/>
  <c r="F653" i="1" s="1"/>
  <c r="D652" i="1"/>
  <c r="F652" i="1" s="1"/>
  <c r="D651" i="1"/>
  <c r="F651" i="1" s="1"/>
  <c r="D650" i="1"/>
  <c r="F650" i="1" s="1"/>
  <c r="D649" i="1"/>
  <c r="F649" i="1" s="1"/>
  <c r="D648" i="1"/>
  <c r="F648" i="1" s="1"/>
  <c r="D647" i="1"/>
  <c r="F647" i="1" s="1"/>
  <c r="D644" i="1"/>
  <c r="F644" i="1" s="1"/>
  <c r="D642" i="1"/>
  <c r="F642" i="1" s="1"/>
  <c r="D641" i="1"/>
  <c r="F641" i="1" s="1"/>
  <c r="D640" i="1"/>
  <c r="F640" i="1" s="1"/>
  <c r="D639" i="1"/>
  <c r="F639" i="1" s="1"/>
  <c r="D638" i="1"/>
  <c r="F638" i="1" s="1"/>
  <c r="D637" i="1"/>
  <c r="F637" i="1" s="1"/>
  <c r="D636" i="1"/>
  <c r="F636" i="1" s="1"/>
  <c r="D635" i="1"/>
  <c r="F635" i="1" s="1"/>
  <c r="D634" i="1"/>
  <c r="F634" i="1" s="1"/>
  <c r="D633" i="1"/>
  <c r="F633" i="1" s="1"/>
  <c r="D632" i="1"/>
  <c r="F632" i="1" s="1"/>
  <c r="D631" i="1"/>
  <c r="F631" i="1" s="1"/>
  <c r="D630" i="1"/>
  <c r="F630" i="1" s="1"/>
  <c r="D629" i="1"/>
  <c r="F629" i="1" s="1"/>
  <c r="D626" i="1"/>
  <c r="F626" i="1" s="1"/>
  <c r="D624" i="1"/>
  <c r="F624" i="1" s="1"/>
  <c r="D623" i="1"/>
  <c r="F623" i="1" s="1"/>
  <c r="D622" i="1"/>
  <c r="F622" i="1" s="1"/>
  <c r="D621" i="1"/>
  <c r="F621" i="1" s="1"/>
  <c r="D620" i="1"/>
  <c r="F620" i="1" s="1"/>
  <c r="D619" i="1"/>
  <c r="F619" i="1" s="1"/>
  <c r="D618" i="1"/>
  <c r="F618" i="1" s="1"/>
  <c r="D617" i="1"/>
  <c r="F617" i="1" s="1"/>
  <c r="D616" i="1"/>
  <c r="F616" i="1" s="1"/>
  <c r="D615" i="1"/>
  <c r="F615" i="1" s="1"/>
  <c r="D614" i="1"/>
  <c r="F614" i="1" s="1"/>
  <c r="D613" i="1"/>
  <c r="F613" i="1" s="1"/>
  <c r="D612" i="1"/>
  <c r="F612" i="1" s="1"/>
  <c r="D611" i="1"/>
  <c r="F611" i="1" s="1"/>
  <c r="D610" i="1"/>
  <c r="F610" i="1" s="1"/>
  <c r="D609" i="1"/>
  <c r="F609" i="1" s="1"/>
  <c r="D607" i="1"/>
  <c r="F607" i="1" s="1"/>
  <c r="D606" i="1"/>
  <c r="F606" i="1" s="1"/>
  <c r="D605" i="1"/>
  <c r="F605" i="1" s="1"/>
  <c r="D604" i="1"/>
  <c r="F604" i="1" s="1"/>
  <c r="D603" i="1"/>
  <c r="F603" i="1" s="1"/>
  <c r="D602" i="1"/>
  <c r="F602" i="1" s="1"/>
  <c r="D601" i="1"/>
  <c r="F601" i="1" s="1"/>
  <c r="D600" i="1"/>
  <c r="F600" i="1" s="1"/>
  <c r="D599" i="1"/>
  <c r="F599" i="1" s="1"/>
  <c r="D598" i="1"/>
  <c r="F598" i="1" s="1"/>
  <c r="D597" i="1"/>
  <c r="F597" i="1" s="1"/>
  <c r="D596" i="1"/>
  <c r="F596" i="1" s="1"/>
  <c r="D595" i="1"/>
  <c r="F595" i="1" s="1"/>
  <c r="D594" i="1"/>
  <c r="F594" i="1" s="1"/>
  <c r="D593" i="1"/>
  <c r="F593" i="1" s="1"/>
  <c r="D592" i="1"/>
  <c r="F592" i="1" s="1"/>
  <c r="D590" i="1"/>
  <c r="F590" i="1" s="1"/>
  <c r="D589" i="1"/>
  <c r="F589" i="1" s="1"/>
  <c r="D588" i="1"/>
  <c r="F588" i="1" s="1"/>
  <c r="D587" i="1"/>
  <c r="F587" i="1" s="1"/>
  <c r="D586" i="1"/>
  <c r="F586" i="1" s="1"/>
  <c r="D585" i="1"/>
  <c r="F585" i="1" s="1"/>
  <c r="D584" i="1"/>
  <c r="F584" i="1" s="1"/>
  <c r="D583" i="1"/>
  <c r="F583" i="1" s="1"/>
  <c r="D582" i="1"/>
  <c r="F582" i="1" s="1"/>
  <c r="D581" i="1"/>
  <c r="F581" i="1" s="1"/>
  <c r="D580" i="1"/>
  <c r="F580" i="1" s="1"/>
  <c r="D579" i="1"/>
  <c r="F579" i="1" s="1"/>
  <c r="D578" i="1"/>
  <c r="F578" i="1" s="1"/>
  <c r="D577" i="1"/>
  <c r="F577" i="1" s="1"/>
  <c r="D576" i="1"/>
  <c r="F576" i="1" s="1"/>
  <c r="D575" i="1"/>
  <c r="F575" i="1" s="1"/>
  <c r="D574" i="1"/>
  <c r="F574" i="1" s="1"/>
  <c r="D572" i="1"/>
  <c r="F572" i="1" s="1"/>
  <c r="D571" i="1"/>
  <c r="F571" i="1" s="1"/>
  <c r="D570" i="1"/>
  <c r="F570" i="1" s="1"/>
  <c r="D569" i="1"/>
  <c r="F569" i="1" s="1"/>
  <c r="D568" i="1"/>
  <c r="F568" i="1" s="1"/>
  <c r="D567" i="1"/>
  <c r="F567" i="1" s="1"/>
  <c r="D566" i="1"/>
  <c r="F566" i="1" s="1"/>
  <c r="D565" i="1"/>
  <c r="F565" i="1" s="1"/>
  <c r="D564" i="1"/>
  <c r="F564" i="1" s="1"/>
  <c r="D563" i="1"/>
  <c r="F563" i="1" s="1"/>
  <c r="D562" i="1"/>
  <c r="F562" i="1" s="1"/>
  <c r="D561" i="1"/>
  <c r="F561" i="1" s="1"/>
  <c r="D560" i="1"/>
  <c r="F560" i="1" s="1"/>
  <c r="D559" i="1"/>
  <c r="F559" i="1" s="1"/>
  <c r="D558" i="1"/>
  <c r="F558" i="1" s="1"/>
  <c r="D557" i="1"/>
  <c r="F557" i="1" s="1"/>
  <c r="D555" i="1"/>
  <c r="F555" i="1" s="1"/>
  <c r="D554" i="1"/>
  <c r="F554" i="1" s="1"/>
  <c r="D553" i="1"/>
  <c r="F553" i="1" s="1"/>
  <c r="D552" i="1"/>
  <c r="F552" i="1" s="1"/>
  <c r="D551" i="1"/>
  <c r="F551" i="1" s="1"/>
  <c r="D550" i="1"/>
  <c r="F550" i="1" s="1"/>
  <c r="D549" i="1"/>
  <c r="F549" i="1" s="1"/>
  <c r="D548" i="1"/>
  <c r="F548" i="1" s="1"/>
  <c r="D547" i="1"/>
  <c r="F547" i="1" s="1"/>
  <c r="D546" i="1"/>
  <c r="F546" i="1" s="1"/>
  <c r="D545" i="1"/>
  <c r="F545" i="1" s="1"/>
  <c r="D544" i="1"/>
  <c r="F544" i="1" s="1"/>
  <c r="D543" i="1"/>
  <c r="F543" i="1" s="1"/>
  <c r="D542" i="1"/>
  <c r="F542" i="1" s="1"/>
  <c r="D541" i="1"/>
  <c r="F541" i="1" s="1"/>
  <c r="D540" i="1"/>
  <c r="F540" i="1" s="1"/>
  <c r="D539" i="1"/>
  <c r="F539" i="1" s="1"/>
  <c r="D537" i="1"/>
  <c r="F537" i="1" s="1"/>
  <c r="D536" i="1"/>
  <c r="F536" i="1" s="1"/>
  <c r="D535" i="1"/>
  <c r="F535" i="1" s="1"/>
  <c r="D534" i="1"/>
  <c r="F534" i="1" s="1"/>
  <c r="D533" i="1"/>
  <c r="F533" i="1" s="1"/>
  <c r="D532" i="1"/>
  <c r="F532" i="1" s="1"/>
  <c r="D531" i="1"/>
  <c r="F531" i="1" s="1"/>
  <c r="D530" i="1"/>
  <c r="F530" i="1" s="1"/>
  <c r="D529" i="1"/>
  <c r="F529" i="1" s="1"/>
  <c r="D528" i="1"/>
  <c r="F528" i="1" s="1"/>
  <c r="D527" i="1"/>
  <c r="F527" i="1" s="1"/>
  <c r="D524" i="1"/>
  <c r="F524" i="1" s="1"/>
  <c r="D523" i="1"/>
  <c r="F523" i="1" s="1"/>
  <c r="D521" i="1"/>
  <c r="F521" i="1" s="1"/>
  <c r="D520" i="1"/>
  <c r="F520" i="1" s="1"/>
  <c r="D519" i="1"/>
  <c r="F519" i="1" s="1"/>
  <c r="D518" i="1"/>
  <c r="F518" i="1" s="1"/>
  <c r="D517" i="1"/>
  <c r="F517" i="1" s="1"/>
  <c r="D516" i="1"/>
  <c r="F516" i="1" s="1"/>
  <c r="D515" i="1"/>
  <c r="F515" i="1" s="1"/>
  <c r="D514" i="1"/>
  <c r="F514" i="1" s="1"/>
  <c r="D513" i="1"/>
  <c r="F513" i="1" s="1"/>
  <c r="D512" i="1"/>
  <c r="F512" i="1" s="1"/>
  <c r="D511" i="1"/>
  <c r="F511" i="1" s="1"/>
  <c r="D510" i="1"/>
  <c r="F510" i="1" s="1"/>
  <c r="D509" i="1"/>
  <c r="F509" i="1" s="1"/>
  <c r="D508" i="1"/>
  <c r="F508" i="1" s="1"/>
  <c r="D507" i="1"/>
  <c r="F507" i="1" s="1"/>
  <c r="D506" i="1"/>
  <c r="F506" i="1" s="1"/>
  <c r="D503" i="1"/>
  <c r="F503" i="1" s="1"/>
  <c r="D502" i="1"/>
  <c r="F502" i="1" s="1"/>
  <c r="D500" i="1"/>
  <c r="F500" i="1" s="1"/>
  <c r="D499" i="1"/>
  <c r="F499" i="1" s="1"/>
  <c r="D498" i="1"/>
  <c r="F498" i="1" s="1"/>
  <c r="D497" i="1"/>
  <c r="F497" i="1" s="1"/>
  <c r="D496" i="1"/>
  <c r="F496" i="1" s="1"/>
  <c r="D495" i="1"/>
  <c r="F495" i="1" s="1"/>
  <c r="D494" i="1"/>
  <c r="F494" i="1" s="1"/>
  <c r="D493" i="1"/>
  <c r="F493" i="1" s="1"/>
  <c r="D492" i="1"/>
  <c r="F492" i="1" s="1"/>
  <c r="D491" i="1"/>
  <c r="F491" i="1" s="1"/>
  <c r="D490" i="1"/>
  <c r="F490" i="1" s="1"/>
  <c r="D489" i="1"/>
  <c r="F489" i="1" s="1"/>
  <c r="D488" i="1"/>
  <c r="F488" i="1" s="1"/>
  <c r="D487" i="1"/>
  <c r="F487" i="1" s="1"/>
  <c r="D486" i="1"/>
  <c r="F486" i="1" s="1"/>
  <c r="D485" i="1"/>
  <c r="F485" i="1" s="1"/>
  <c r="D483" i="1"/>
  <c r="F483" i="1" s="1"/>
  <c r="D482" i="1"/>
  <c r="F482" i="1" s="1"/>
  <c r="D481" i="1"/>
  <c r="F481" i="1" s="1"/>
  <c r="D480" i="1"/>
  <c r="F480" i="1" s="1"/>
  <c r="D479" i="1"/>
  <c r="F479" i="1" s="1"/>
  <c r="D478" i="1"/>
  <c r="F478" i="1" s="1"/>
  <c r="D477" i="1"/>
  <c r="F477" i="1" s="1"/>
  <c r="D476" i="1"/>
  <c r="F476" i="1" s="1"/>
  <c r="D475" i="1"/>
  <c r="F475" i="1" s="1"/>
  <c r="D474" i="1"/>
  <c r="F474" i="1" s="1"/>
  <c r="D473" i="1"/>
  <c r="F473" i="1" s="1"/>
  <c r="D472" i="1"/>
  <c r="F472" i="1" s="1"/>
  <c r="D471" i="1"/>
  <c r="F471" i="1" s="1"/>
  <c r="D470" i="1"/>
  <c r="F470" i="1" s="1"/>
  <c r="D469" i="1"/>
  <c r="F469" i="1" s="1"/>
  <c r="D468" i="1"/>
  <c r="F468" i="1" s="1"/>
  <c r="D467" i="1"/>
  <c r="F467" i="1" s="1"/>
  <c r="D466" i="1"/>
  <c r="F466" i="1" s="1"/>
  <c r="D465" i="1"/>
  <c r="F465" i="1" s="1"/>
  <c r="D463" i="1"/>
  <c r="F463" i="1" s="1"/>
  <c r="D462" i="1"/>
  <c r="F462" i="1" s="1"/>
  <c r="D461" i="1"/>
  <c r="F461" i="1" s="1"/>
  <c r="D460" i="1"/>
  <c r="F460" i="1" s="1"/>
  <c r="D459" i="1"/>
  <c r="F459" i="1" s="1"/>
  <c r="D458" i="1"/>
  <c r="F458" i="1" s="1"/>
  <c r="D457" i="1"/>
  <c r="F457" i="1" s="1"/>
  <c r="D456" i="1"/>
  <c r="F456" i="1" s="1"/>
  <c r="D455" i="1"/>
  <c r="F455" i="1" s="1"/>
  <c r="D454" i="1"/>
  <c r="F454" i="1" s="1"/>
  <c r="D453" i="1"/>
  <c r="F453" i="1" s="1"/>
  <c r="D452" i="1"/>
  <c r="F452" i="1" s="1"/>
  <c r="D451" i="1"/>
  <c r="F451" i="1" s="1"/>
  <c r="D450" i="1"/>
  <c r="F450" i="1" s="1"/>
  <c r="D448" i="1"/>
  <c r="F448" i="1" s="1"/>
  <c r="D447" i="1"/>
  <c r="F447" i="1" s="1"/>
  <c r="D446" i="1"/>
  <c r="F446" i="1" s="1"/>
  <c r="D445" i="1"/>
  <c r="F445" i="1" s="1"/>
  <c r="D444" i="1"/>
  <c r="F444" i="1" s="1"/>
  <c r="D443" i="1"/>
  <c r="F443" i="1" s="1"/>
  <c r="D442" i="1"/>
  <c r="F442" i="1" s="1"/>
  <c r="D441" i="1"/>
  <c r="F441" i="1" s="1"/>
  <c r="D440" i="1"/>
  <c r="F440" i="1" s="1"/>
  <c r="D439" i="1"/>
  <c r="F439" i="1" s="1"/>
  <c r="D438" i="1"/>
  <c r="F438" i="1" s="1"/>
  <c r="K438" i="1" s="1"/>
  <c r="D437" i="1"/>
  <c r="F437" i="1" s="1"/>
  <c r="K437" i="1" s="1"/>
  <c r="D436" i="1"/>
  <c r="F436" i="1" s="1"/>
  <c r="K436" i="1" s="1"/>
  <c r="D435" i="1"/>
  <c r="F435" i="1" s="1"/>
  <c r="K435" i="1" s="1"/>
  <c r="D434" i="1"/>
  <c r="F434" i="1" s="1"/>
  <c r="K434" i="1" s="1"/>
  <c r="D433" i="1"/>
  <c r="F433" i="1" s="1"/>
  <c r="K433" i="1" s="1"/>
  <c r="D432" i="1"/>
  <c r="F432" i="1" s="1"/>
  <c r="K432" i="1" s="1"/>
  <c r="D431" i="1"/>
  <c r="F431" i="1" s="1"/>
  <c r="K431" i="1" s="1"/>
  <c r="D430" i="1"/>
  <c r="F430" i="1" s="1"/>
  <c r="K430" i="1" s="1"/>
  <c r="D429" i="1"/>
  <c r="F429" i="1" s="1"/>
  <c r="K429" i="1" s="1"/>
  <c r="D427" i="1"/>
  <c r="F427" i="1" s="1"/>
  <c r="K427" i="1" s="1"/>
  <c r="D426" i="1"/>
  <c r="F426" i="1" s="1"/>
  <c r="K426" i="1" s="1"/>
  <c r="D425" i="1"/>
  <c r="F425" i="1" s="1"/>
  <c r="K425" i="1" s="1"/>
  <c r="D424" i="1"/>
  <c r="F424" i="1" s="1"/>
  <c r="K424" i="1" s="1"/>
  <c r="D423" i="1"/>
  <c r="F423" i="1" s="1"/>
  <c r="K423" i="1" s="1"/>
  <c r="D416" i="1"/>
  <c r="F416" i="1" s="1"/>
  <c r="K416" i="1" s="1"/>
  <c r="D415" i="1"/>
  <c r="F415" i="1" s="1"/>
  <c r="K415" i="1" s="1"/>
  <c r="D414" i="1"/>
  <c r="D408" i="1"/>
  <c r="F408" i="1" s="1"/>
  <c r="D407" i="1"/>
  <c r="F407" i="1" s="1"/>
  <c r="D406" i="1"/>
  <c r="F406" i="1" s="1"/>
  <c r="D405" i="1"/>
  <c r="F405" i="1" s="1"/>
  <c r="D404" i="1"/>
  <c r="F404" i="1" s="1"/>
  <c r="D403" i="1"/>
  <c r="F403" i="1" s="1"/>
  <c r="D402" i="1"/>
  <c r="F402" i="1" s="1"/>
  <c r="D401" i="1"/>
  <c r="F401" i="1" s="1"/>
  <c r="D400" i="1"/>
  <c r="F400" i="1" s="1"/>
  <c r="D398" i="1"/>
  <c r="F398" i="1" s="1"/>
  <c r="D397" i="1"/>
  <c r="F397" i="1" s="1"/>
  <c r="D396" i="1"/>
  <c r="F396" i="1" s="1"/>
  <c r="D395" i="1"/>
  <c r="F395" i="1" s="1"/>
  <c r="D394" i="1"/>
  <c r="F394" i="1" s="1"/>
  <c r="D393" i="1"/>
  <c r="F393" i="1" s="1"/>
  <c r="D392" i="1"/>
  <c r="F392" i="1" s="1"/>
  <c r="D391" i="1"/>
  <c r="F391" i="1" s="1"/>
  <c r="D390" i="1"/>
  <c r="F390" i="1" s="1"/>
  <c r="D387" i="1"/>
  <c r="F387" i="1" s="1"/>
  <c r="D386" i="1"/>
  <c r="F386" i="1" s="1"/>
  <c r="D385" i="1"/>
  <c r="F385" i="1" s="1"/>
  <c r="D384" i="1"/>
  <c r="F384" i="1" s="1"/>
  <c r="D383" i="1"/>
  <c r="F383" i="1" s="1"/>
  <c r="D382" i="1"/>
  <c r="F382" i="1" s="1"/>
  <c r="D381" i="1"/>
  <c r="F381" i="1" s="1"/>
  <c r="D380" i="1"/>
  <c r="F380" i="1" s="1"/>
  <c r="D379" i="1"/>
  <c r="F379" i="1" s="1"/>
  <c r="D378" i="1"/>
  <c r="F378" i="1" s="1"/>
  <c r="D377" i="1"/>
  <c r="F377" i="1" s="1"/>
  <c r="D376" i="1"/>
  <c r="F376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F367" i="1" s="1"/>
  <c r="D366" i="1"/>
  <c r="F366" i="1" s="1"/>
  <c r="D365" i="1"/>
  <c r="F365" i="1" s="1"/>
  <c r="D364" i="1"/>
  <c r="F364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56" i="1"/>
  <c r="F356" i="1" s="1"/>
  <c r="D355" i="1"/>
  <c r="F355" i="1" s="1"/>
  <c r="D354" i="1"/>
  <c r="F354" i="1" s="1"/>
  <c r="D353" i="1"/>
  <c r="F353" i="1" s="1"/>
  <c r="D352" i="1"/>
  <c r="F352" i="1" s="1"/>
  <c r="D351" i="1"/>
  <c r="F351" i="1" s="1"/>
  <c r="D350" i="1"/>
  <c r="F350" i="1" s="1"/>
  <c r="D349" i="1"/>
  <c r="D347" i="1"/>
  <c r="F347" i="1" s="1"/>
  <c r="D346" i="1"/>
  <c r="F346" i="1" s="1"/>
  <c r="D345" i="1"/>
  <c r="F345" i="1" s="1"/>
  <c r="D344" i="1"/>
  <c r="F344" i="1" s="1"/>
  <c r="D343" i="1"/>
  <c r="F343" i="1" s="1"/>
  <c r="D342" i="1"/>
  <c r="F342" i="1" s="1"/>
  <c r="D341" i="1"/>
  <c r="F341" i="1" s="1"/>
  <c r="D340" i="1"/>
  <c r="F340" i="1" s="1"/>
  <c r="D339" i="1"/>
  <c r="F339" i="1" s="1"/>
  <c r="D338" i="1"/>
  <c r="F338" i="1" s="1"/>
  <c r="D337" i="1"/>
  <c r="F337" i="1" s="1"/>
  <c r="D336" i="1"/>
  <c r="F336" i="1" s="1"/>
  <c r="D335" i="1"/>
  <c r="F335" i="1" s="1"/>
  <c r="D334" i="1"/>
  <c r="F334" i="1" s="1"/>
  <c r="D333" i="1"/>
  <c r="F333" i="1" s="1"/>
  <c r="D332" i="1"/>
  <c r="F332" i="1" s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4" i="1"/>
  <c r="F324" i="1" s="1"/>
  <c r="D323" i="1"/>
  <c r="F323" i="1" s="1"/>
  <c r="D322" i="1"/>
  <c r="F322" i="1" s="1"/>
  <c r="D321" i="1"/>
  <c r="F321" i="1" s="1"/>
  <c r="D320" i="1"/>
  <c r="F320" i="1" s="1"/>
  <c r="D319" i="1"/>
  <c r="F319" i="1" s="1"/>
  <c r="D318" i="1"/>
  <c r="F318" i="1" s="1"/>
  <c r="D317" i="1"/>
  <c r="F317" i="1" s="1"/>
  <c r="D316" i="1"/>
  <c r="F316" i="1" s="1"/>
  <c r="D315" i="1"/>
  <c r="F315" i="1" s="1"/>
  <c r="D314" i="1"/>
  <c r="F314" i="1" s="1"/>
  <c r="D313" i="1"/>
  <c r="F313" i="1" s="1"/>
  <c r="D312" i="1"/>
  <c r="F312" i="1" s="1"/>
  <c r="D311" i="1"/>
  <c r="F311" i="1" s="1"/>
  <c r="D310" i="1"/>
  <c r="F310" i="1" s="1"/>
  <c r="D309" i="1"/>
  <c r="F309" i="1" s="1"/>
  <c r="D307" i="1"/>
  <c r="F307" i="1" s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D280" i="1"/>
  <c r="F280" i="1" s="1"/>
  <c r="D279" i="1"/>
  <c r="F279" i="1" s="1"/>
  <c r="D278" i="1"/>
  <c r="F278" i="1" s="1"/>
  <c r="D277" i="1"/>
  <c r="F277" i="1" s="1"/>
  <c r="D275" i="1"/>
  <c r="F275" i="1" s="1"/>
  <c r="D274" i="1"/>
  <c r="F274" i="1" s="1"/>
  <c r="D273" i="1"/>
  <c r="F273" i="1" s="1"/>
  <c r="D272" i="1"/>
  <c r="F272" i="1" s="1"/>
  <c r="D271" i="1"/>
  <c r="F271" i="1" s="1"/>
  <c r="D270" i="1"/>
  <c r="F270" i="1" s="1"/>
  <c r="D269" i="1"/>
  <c r="F269" i="1" s="1"/>
  <c r="D268" i="1"/>
  <c r="F268" i="1" s="1"/>
  <c r="D267" i="1"/>
  <c r="F267" i="1" s="1"/>
  <c r="D266" i="1"/>
  <c r="F266" i="1" s="1"/>
  <c r="D265" i="1"/>
  <c r="F265" i="1" s="1"/>
  <c r="D264" i="1"/>
  <c r="F264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I434" i="1"/>
  <c r="I678" i="1"/>
  <c r="G677" i="1"/>
  <c r="G846" i="1"/>
  <c r="G1128" i="1"/>
  <c r="G1110" i="1"/>
  <c r="G836" i="1"/>
  <c r="I663" i="1"/>
  <c r="G662" i="1"/>
  <c r="I647" i="1"/>
  <c r="G644" i="1"/>
  <c r="G826" i="1"/>
  <c r="G1092" i="1"/>
  <c r="G1075" i="1"/>
  <c r="G816" i="1"/>
  <c r="I629" i="1"/>
  <c r="G626" i="1"/>
  <c r="I612" i="1"/>
  <c r="G609" i="1"/>
  <c r="G806" i="1"/>
  <c r="G1057" i="1"/>
  <c r="G1039" i="1"/>
  <c r="G796" i="1"/>
  <c r="I595" i="1"/>
  <c r="G592" i="1"/>
  <c r="I577" i="1"/>
  <c r="G574" i="1"/>
  <c r="G786" i="1"/>
  <c r="G1020" i="1"/>
  <c r="G1000" i="1"/>
  <c r="G776" i="1"/>
  <c r="I542" i="1"/>
  <c r="G557" i="1"/>
  <c r="G980" i="1"/>
  <c r="G766" i="1"/>
  <c r="G539" i="1"/>
  <c r="I967" i="1"/>
  <c r="G965" i="1"/>
  <c r="G756" i="1"/>
  <c r="G523" i="1"/>
  <c r="G944" i="1"/>
  <c r="G746" i="1"/>
  <c r="G502" i="1"/>
  <c r="G929" i="1"/>
  <c r="G736" i="1"/>
  <c r="I496" i="1"/>
  <c r="I493" i="1"/>
  <c r="I490" i="1"/>
  <c r="G485" i="1"/>
  <c r="G909" i="1"/>
  <c r="I716" i="1"/>
  <c r="G726" i="1"/>
  <c r="G465" i="1"/>
  <c r="C116" i="1" l="1"/>
  <c r="F127" i="1"/>
  <c r="C110" i="1"/>
  <c r="C112" i="1"/>
  <c r="F349" i="1"/>
  <c r="F199" i="1"/>
  <c r="C111" i="1"/>
  <c r="D112" i="1"/>
  <c r="C117" i="1"/>
  <c r="D111" i="1"/>
  <c r="D110" i="1"/>
  <c r="F414" i="1"/>
  <c r="K414" i="1" s="1"/>
  <c r="C118" i="1"/>
  <c r="D118" i="1"/>
  <c r="F696" i="1"/>
  <c r="F117" i="1" s="1"/>
  <c r="D117" i="1"/>
  <c r="D116" i="1"/>
  <c r="F118" i="1"/>
  <c r="I896" i="1"/>
  <c r="G894" i="1"/>
  <c r="I706" i="1"/>
  <c r="G716" i="1"/>
  <c r="J425" i="1"/>
  <c r="J414" i="1"/>
  <c r="I461" i="1"/>
  <c r="I455" i="1"/>
  <c r="G450" i="1"/>
  <c r="G873" i="1"/>
  <c r="G706" i="1"/>
  <c r="G429" i="1"/>
  <c r="G400" i="1"/>
  <c r="G390" i="1"/>
  <c r="A350" i="1"/>
  <c r="A351" i="1" s="1"/>
  <c r="A352" i="1" s="1"/>
  <c r="A353" i="1" s="1"/>
  <c r="A354" i="1" s="1"/>
  <c r="A355" i="1" s="1"/>
  <c r="A356" i="1" s="1"/>
  <c r="A357" i="1" s="1"/>
  <c r="A358" i="1" s="1"/>
  <c r="G349" i="1"/>
  <c r="G277" i="1"/>
  <c r="I263" i="1"/>
  <c r="I265" i="1"/>
  <c r="I264" i="1"/>
  <c r="F116" i="1" l="1"/>
  <c r="F112" i="1"/>
  <c r="G199" i="1"/>
  <c r="G127" i="1"/>
  <c r="I127" i="1"/>
  <c r="F110" i="1" l="1"/>
  <c r="F111" i="1"/>
  <c r="I40" i="1"/>
  <c r="H63" i="1"/>
  <c r="E3" i="1" l="1"/>
  <c r="J88" i="1" l="1"/>
  <c r="J87" i="1"/>
  <c r="J86" i="1"/>
  <c r="J85" i="1"/>
  <c r="H77" i="1"/>
  <c r="D89" i="1" l="1"/>
  <c r="D83" i="1"/>
  <c r="J82" i="1"/>
  <c r="J83" i="1" s="1"/>
  <c r="J84" i="1" s="1"/>
  <c r="J89" i="1" s="1"/>
  <c r="C81" i="1" s="1"/>
  <c r="J81" i="1"/>
  <c r="C80" i="1" s="1"/>
  <c r="D80" i="1" s="1"/>
  <c r="J80" i="1"/>
  <c r="D87" i="1"/>
  <c r="D85" i="1"/>
  <c r="J79" i="1"/>
  <c r="D88" i="1"/>
  <c r="D86" i="1"/>
  <c r="D82" i="1"/>
  <c r="D84" i="1"/>
  <c r="J73" i="1"/>
  <c r="J72" i="1"/>
  <c r="J71" i="1"/>
  <c r="E80" i="1" l="1"/>
  <c r="I76" i="1" s="1"/>
  <c r="C78" i="1" s="1"/>
  <c r="D81" i="1"/>
  <c r="G80" i="1"/>
  <c r="D68" i="1"/>
  <c r="D71" i="1"/>
  <c r="D73" i="1"/>
  <c r="J67" i="1"/>
  <c r="C66" i="1" s="1"/>
  <c r="D72" i="1"/>
  <c r="J66" i="1"/>
  <c r="J68" i="1"/>
  <c r="J69" i="1" s="1"/>
  <c r="J74" i="1" s="1"/>
  <c r="D74" i="1"/>
  <c r="D70" i="1"/>
  <c r="D75" i="1"/>
  <c r="D69" i="1"/>
  <c r="J65" i="1"/>
  <c r="J70" i="1" l="1"/>
  <c r="J75" i="1" s="1"/>
  <c r="C67" i="1" s="1"/>
  <c r="D66" i="1"/>
  <c r="E66" i="1" l="1"/>
  <c r="I62" i="1" s="1"/>
  <c r="C64" i="1" s="1"/>
  <c r="D67" i="1"/>
  <c r="G66" i="1"/>
  <c r="I427" i="1"/>
  <c r="I426" i="1"/>
  <c r="I425" i="1"/>
  <c r="I424" i="1"/>
  <c r="I423" i="1"/>
  <c r="C14" i="1" l="1"/>
  <c r="G858" i="1" l="1"/>
  <c r="G696" i="1"/>
  <c r="G697" i="1" s="1"/>
  <c r="G698" i="1" s="1"/>
  <c r="G699" i="1" s="1"/>
  <c r="G700" i="1" s="1"/>
  <c r="G701" i="1" s="1"/>
  <c r="G702" i="1" s="1"/>
  <c r="G703" i="1" s="1"/>
  <c r="G704" i="1" s="1"/>
  <c r="F119" i="1" l="1"/>
  <c r="I416" i="1" l="1"/>
  <c r="I415" i="1"/>
  <c r="I414" i="1"/>
  <c r="C119" i="1" l="1"/>
  <c r="D119" i="1"/>
  <c r="F113" i="1" l="1"/>
  <c r="F120" i="1" s="1"/>
  <c r="D113" i="1"/>
  <c r="D120" i="1" s="1"/>
  <c r="C113" i="1"/>
  <c r="C120" i="1" s="1"/>
  <c r="E7" i="1" l="1"/>
  <c r="E41" i="1" l="1"/>
  <c r="D1159" i="1" l="1"/>
  <c r="F107" i="1"/>
  <c r="G47" i="1"/>
  <c r="G48" i="1" s="1"/>
  <c r="C47" i="1"/>
  <c r="C48" i="1" s="1"/>
  <c r="E4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<sst xmlns="http://schemas.openxmlformats.org/spreadsheetml/2006/main" count="2137" uniqueCount="1075">
  <si>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</si>
  <si>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</si>
  <si>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</si>
  <si>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</si>
  <si>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</si>
  <si>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</si>
  <si>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</si>
  <si>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</si>
  <si>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</si>
  <si>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</si>
  <si>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</si>
  <si>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</si>
  <si>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</si>
  <si>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</si>
  <si>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</si>
  <si>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</si>
  <si>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</si>
  <si>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</si>
  <si>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</si>
  <si>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</si>
  <si>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</si>
  <si>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</si>
  <si>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</si>
  <si>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</si>
  <si>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</si>
  <si>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</si>
  <si>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</si>
  <si>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</si>
  <si>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</si>
  <si>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</si>
  <si>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</si>
  <si>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</si>
  <si>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</si>
  <si>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</si>
  <si>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</si>
  <si>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</si>
  <si>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</si>
  <si>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</si>
  <si>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</si>
  <si>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</si>
  <si>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</si>
  <si>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</si>
  <si>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</si>
  <si>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</si>
  <si>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</si>
  <si>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</si>
  <si>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</si>
  <si>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</si>
  <si>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</si>
  <si>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</si>
  <si>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</si>
  <si>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</si>
  <si>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</si>
  <si>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</si>
  <si>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</si>
  <si>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</si>
  <si>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</si>
  <si>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</si>
  <si>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</si>
  <si>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</si>
  <si>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</si>
  <si>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</si>
  <si>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>Description</t>
  </si>
  <si>
    <t>Gross Carpet area</t>
  </si>
  <si>
    <t>Attached Terrace area</t>
  </si>
  <si>
    <t>Floor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</si>
  <si>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</si>
  <si>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</si>
  <si>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</si>
  <si>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</si>
  <si>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</si>
  <si>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</si>
  <si>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</si>
  <si>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</si>
  <si>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</si>
  <si>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</si>
  <si>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</si>
  <si>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</si>
  <si>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</si>
  <si>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</si>
  <si>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</si>
  <si>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</si>
  <si>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</si>
  <si>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</si>
  <si>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</si>
  <si>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</si>
  <si>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</si>
  <si>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</si>
  <si>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</si>
  <si>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</si>
  <si>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</si>
  <si>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</si>
  <si>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</si>
  <si>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</si>
  <si>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</si>
  <si>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</si>
  <si>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</si>
  <si>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</si>
  <si>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</si>
  <si>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</si>
  <si>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</si>
  <si>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</si>
  <si>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</si>
  <si>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</si>
  <si>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</si>
  <si>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</si>
  <si>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</si>
  <si>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</si>
  <si>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</si>
  <si>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</si>
  <si>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</si>
  <si>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</si>
  <si>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</si>
  <si>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</si>
  <si>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</si>
  <si>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</si>
  <si>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</si>
  <si>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</si>
  <si>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</si>
  <si>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</si>
  <si>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</si>
  <si>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</si>
  <si>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</si>
  <si>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</si>
  <si>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</si>
  <si>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</si>
  <si>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</si>
  <si>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</si>
  <si>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</si>
  <si>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</si>
  <si>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</si>
  <si>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</si>
  <si>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</si>
  <si>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</si>
  <si>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</si>
  <si>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</si>
  <si>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</si>
  <si>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</si>
  <si>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</si>
  <si>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</si>
  <si>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</si>
  <si>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</si>
  <si>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</si>
  <si>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</si>
  <si>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Approved Plans, CC, Sale Plans, Builder Saleable Area, Cost Sheet</t>
  </si>
  <si>
    <t>Report By :</t>
  </si>
  <si>
    <t>Market Research Data</t>
  </si>
  <si>
    <t>Source</t>
  </si>
  <si>
    <t>Distance from proposed property</t>
  </si>
  <si>
    <t>Net Carpet</t>
  </si>
  <si>
    <t>Market Value</t>
  </si>
  <si>
    <t>3BHK</t>
  </si>
  <si>
    <t>Average</t>
  </si>
  <si>
    <t xml:space="preserve">Valuation Adopted </t>
  </si>
  <si>
    <t>Saleable Area</t>
  </si>
  <si>
    <t>Rate on Saleable</t>
  </si>
  <si>
    <t>M/s. Sai Rydam Realtors Pvt. Ltd</t>
  </si>
  <si>
    <t>MLDC Yashwant Orchid</t>
  </si>
  <si>
    <t>Middle Class</t>
  </si>
  <si>
    <t>Developing</t>
  </si>
  <si>
    <t>Railway Track</t>
  </si>
  <si>
    <t>Central Park Shivam CHS</t>
  </si>
  <si>
    <t>3 Wings</t>
  </si>
  <si>
    <t>Store</t>
  </si>
  <si>
    <t>Shop</t>
  </si>
  <si>
    <t>Office</t>
  </si>
  <si>
    <t>A Wing</t>
  </si>
  <si>
    <t>3rd Floor</t>
  </si>
  <si>
    <t>B Wing</t>
  </si>
  <si>
    <t>C Wing</t>
  </si>
  <si>
    <t>1BHK</t>
  </si>
  <si>
    <t>2BHK</t>
  </si>
  <si>
    <t xml:space="preserve">Remarks:  </t>
  </si>
  <si>
    <t>Undertaking :</t>
  </si>
  <si>
    <t>8th Floor</t>
  </si>
  <si>
    <t>9th Floor</t>
  </si>
  <si>
    <t>10th Floor</t>
  </si>
  <si>
    <t>11th Floor</t>
  </si>
  <si>
    <t xml:space="preserve">A Wing </t>
  </si>
  <si>
    <t xml:space="preserve">B Wing </t>
  </si>
  <si>
    <t xml:space="preserve">C Wing </t>
  </si>
  <si>
    <t>Central Park road</t>
  </si>
  <si>
    <t>Plot No</t>
  </si>
  <si>
    <t>Nalasopara</t>
  </si>
  <si>
    <t>Palghar</t>
  </si>
  <si>
    <t>Vasai</t>
  </si>
  <si>
    <t xml:space="preserve">Cement, Aggregate, Steel, etc </t>
  </si>
  <si>
    <t>Wheather the construction is as per approved Building plan : Under Construction</t>
  </si>
  <si>
    <t>1 to 4 &amp; Survey No. 7 to 11, 15 to 17, 19 to 25</t>
  </si>
  <si>
    <t>Recommended rate of the Store Per Sq. Ft. ( on Saleable area)</t>
  </si>
  <si>
    <t>Below Podium</t>
  </si>
  <si>
    <t>A 301</t>
  </si>
  <si>
    <t>A 302</t>
  </si>
  <si>
    <t>A 303</t>
  </si>
  <si>
    <t>A 304</t>
  </si>
  <si>
    <t>A 305</t>
  </si>
  <si>
    <t>A 306</t>
  </si>
  <si>
    <t>A 307</t>
  </si>
  <si>
    <t>A 308</t>
  </si>
  <si>
    <t>A 309</t>
  </si>
  <si>
    <t>A 310</t>
  </si>
  <si>
    <t>A 311</t>
  </si>
  <si>
    <t>A 312</t>
  </si>
  <si>
    <t>A 313</t>
  </si>
  <si>
    <t>A 314</t>
  </si>
  <si>
    <t>A 801</t>
  </si>
  <si>
    <t>A 802</t>
  </si>
  <si>
    <t>A 803</t>
  </si>
  <si>
    <t>A 804</t>
  </si>
  <si>
    <t>A 805</t>
  </si>
  <si>
    <t>A 806</t>
  </si>
  <si>
    <t>A 807</t>
  </si>
  <si>
    <t>A 812</t>
  </si>
  <si>
    <t>A 901</t>
  </si>
  <si>
    <t>A 902</t>
  </si>
  <si>
    <t>A 903</t>
  </si>
  <si>
    <t>A 904</t>
  </si>
  <si>
    <t>A 905</t>
  </si>
  <si>
    <t>A 906</t>
  </si>
  <si>
    <t>A 907</t>
  </si>
  <si>
    <t>A 908</t>
  </si>
  <si>
    <t>A 909</t>
  </si>
  <si>
    <t>A 910</t>
  </si>
  <si>
    <t>A 911</t>
  </si>
  <si>
    <t>A 912</t>
  </si>
  <si>
    <t>A 913</t>
  </si>
  <si>
    <t>A 1001</t>
  </si>
  <si>
    <t>A 1002</t>
  </si>
  <si>
    <t>A 1005</t>
  </si>
  <si>
    <t>A 1006</t>
  </si>
  <si>
    <t>A 1007</t>
  </si>
  <si>
    <t>A 1009</t>
  </si>
  <si>
    <t>A 1012</t>
  </si>
  <si>
    <t>A 1101</t>
  </si>
  <si>
    <t>A 1102</t>
  </si>
  <si>
    <t>A 1105</t>
  </si>
  <si>
    <t>A 1106</t>
  </si>
  <si>
    <t>A 1107</t>
  </si>
  <si>
    <t>A 1109</t>
  </si>
  <si>
    <t>A 1110</t>
  </si>
  <si>
    <t>A 1112</t>
  </si>
  <si>
    <t>B 301</t>
  </si>
  <si>
    <t>B 302</t>
  </si>
  <si>
    <t>B 303</t>
  </si>
  <si>
    <t>B 304</t>
  </si>
  <si>
    <t>B 305</t>
  </si>
  <si>
    <t>B 306</t>
  </si>
  <si>
    <t>B 307</t>
  </si>
  <si>
    <t>B 308</t>
  </si>
  <si>
    <t>B 309</t>
  </si>
  <si>
    <t>B 801</t>
  </si>
  <si>
    <t>B 802</t>
  </si>
  <si>
    <t>B 803</t>
  </si>
  <si>
    <t>B 804</t>
  </si>
  <si>
    <t>B 805</t>
  </si>
  <si>
    <t>B 806</t>
  </si>
  <si>
    <t>B 807</t>
  </si>
  <si>
    <t>B 808</t>
  </si>
  <si>
    <t>B 809</t>
  </si>
  <si>
    <t>B 901</t>
  </si>
  <si>
    <t>B 902</t>
  </si>
  <si>
    <t>B 903</t>
  </si>
  <si>
    <t>B 904</t>
  </si>
  <si>
    <t>B 905</t>
  </si>
  <si>
    <t>B 906</t>
  </si>
  <si>
    <t>B 907</t>
  </si>
  <si>
    <t>B 908</t>
  </si>
  <si>
    <t>B 909</t>
  </si>
  <si>
    <t>B 1001</t>
  </si>
  <si>
    <t>B 1002</t>
  </si>
  <si>
    <t>B 1003</t>
  </si>
  <si>
    <t>B 1004</t>
  </si>
  <si>
    <t>B 1005</t>
  </si>
  <si>
    <t>B 1006</t>
  </si>
  <si>
    <t>B 1007</t>
  </si>
  <si>
    <t>B 1008</t>
  </si>
  <si>
    <t>B 1009</t>
  </si>
  <si>
    <t>B 1101</t>
  </si>
  <si>
    <t>B 1102</t>
  </si>
  <si>
    <t>B 1103</t>
  </si>
  <si>
    <t>B 1104</t>
  </si>
  <si>
    <t>B 1105</t>
  </si>
  <si>
    <t>B 1106</t>
  </si>
  <si>
    <t>B 1107</t>
  </si>
  <si>
    <t>B 1108</t>
  </si>
  <si>
    <t>B 1109</t>
  </si>
  <si>
    <t>C 301</t>
  </si>
  <si>
    <t>C 302</t>
  </si>
  <si>
    <t>C 303</t>
  </si>
  <si>
    <t>C304</t>
  </si>
  <si>
    <t>C 305</t>
  </si>
  <si>
    <t>C 306</t>
  </si>
  <si>
    <t>C 307</t>
  </si>
  <si>
    <t>C 308</t>
  </si>
  <si>
    <t>C 309</t>
  </si>
  <si>
    <t>C 310</t>
  </si>
  <si>
    <t>C 311</t>
  </si>
  <si>
    <t>C 312</t>
  </si>
  <si>
    <t>C 313</t>
  </si>
  <si>
    <t>C 314</t>
  </si>
  <si>
    <t>01 Building (Wing A, B &amp; C)</t>
  </si>
  <si>
    <t>magicabode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</si>
  <si>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</si>
  <si>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</si>
  <si>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</si>
  <si>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</si>
  <si>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</si>
  <si>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</si>
  <si>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</si>
  <si>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</si>
  <si>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</si>
  <si>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</si>
  <si>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</si>
  <si>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</si>
  <si>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</si>
  <si>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</si>
  <si>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</si>
  <si>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</si>
  <si>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</si>
  <si>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</si>
  <si>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Nalasopara East</t>
  </si>
  <si>
    <t>5) Gross carpet area = Net Carpet area + Fungible area.</t>
  </si>
  <si>
    <t>VVCMC/T.P./POC/VP-273/62/2022-23
Approved upto : B + B1 + Gr + P1 + P2  Floor i.e for Shops = 135 nos, Stores = 64 Nos, Offices = 36 .</t>
  </si>
  <si>
    <t>Axis Goregaon</t>
  </si>
  <si>
    <t>Latitude, Longitude</t>
  </si>
  <si>
    <t>Location Link</t>
  </si>
  <si>
    <t>19.421534, 72.818796</t>
  </si>
  <si>
    <t>https://goo.gl/maps/ZQkBftEYTj9UZviR9</t>
  </si>
  <si>
    <t xml:space="preserve">Part O. Certificate No.: </t>
  </si>
  <si>
    <t>Grand Total</t>
  </si>
  <si>
    <t>Contact Details ( Name &amp; Contect No.)</t>
  </si>
  <si>
    <t>Site Meet Person Contact Details ( Name &amp; Contect No.)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</si>
  <si>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</si>
  <si>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Navnath Bhatkar</t>
  </si>
  <si>
    <t>As per RERA - Phase I = 30/12/2030
                         Phase II = 30/12/2029</t>
  </si>
  <si>
    <t>Mr. Yogesh 853016533</t>
  </si>
  <si>
    <t>Pooja</t>
  </si>
  <si>
    <t>MLDC Yashwant Orchid Phase I - (upto 10th Floor) P99000019485
MLDC Yashwant Orchid Phase I - (11th to 18th Floor) P99000019475</t>
  </si>
  <si>
    <t>As per Layout</t>
  </si>
  <si>
    <t>20 M.W. DP Road</t>
  </si>
  <si>
    <t>Plot No.5</t>
  </si>
  <si>
    <t>VVCMCB/0062/2025/AutoDCR</t>
  </si>
  <si>
    <t>Commencement Certificate No.
Valid Up to:</t>
  </si>
  <si>
    <t>2B + LG + UG + 1st to 2nd Floor + P1 + P2 + Service Floor + 3rd to 18th Floor</t>
  </si>
  <si>
    <t>2nd Basement Floor for Meter Room &amp; Parking</t>
  </si>
  <si>
    <t>38A</t>
  </si>
  <si>
    <t>38B</t>
  </si>
  <si>
    <t>39A</t>
  </si>
  <si>
    <t>39B</t>
  </si>
  <si>
    <t>60A</t>
  </si>
  <si>
    <t>11A</t>
  </si>
  <si>
    <t>53A</t>
  </si>
  <si>
    <t>Lower Ground floor (1st Basement floor) for Commercial</t>
  </si>
  <si>
    <t>Upper Ground floor (Ground floor)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</si>
  <si>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</si>
  <si>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</si>
  <si>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</si>
  <si>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</si>
  <si>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</si>
  <si>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</si>
  <si>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</si>
  <si>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</si>
  <si>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</si>
  <si>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</si>
  <si>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</si>
  <si>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G10A</t>
  </si>
  <si>
    <t>G10B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</si>
  <si>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</si>
  <si>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</si>
  <si>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</si>
  <si>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</si>
  <si>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</si>
  <si>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</si>
  <si>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</si>
  <si>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</si>
  <si>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</si>
  <si>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</si>
  <si>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</si>
  <si>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</si>
  <si>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</si>
  <si>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</si>
  <si>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</si>
  <si>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G26A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</si>
  <si>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</si>
  <si>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</si>
  <si>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</si>
  <si>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</si>
  <si>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</si>
  <si>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</si>
  <si>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</si>
  <si>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</si>
  <si>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</si>
  <si>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</si>
  <si>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</si>
  <si>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G38A</t>
  </si>
  <si>
    <t>G38B</t>
  </si>
  <si>
    <t>G39A</t>
  </si>
  <si>
    <t>G39B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</si>
  <si>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</si>
  <si>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</si>
  <si>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</si>
  <si>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</si>
  <si>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</si>
  <si>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</si>
  <si>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</si>
  <si>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</si>
  <si>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</si>
  <si>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</si>
  <si>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</si>
  <si>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</si>
  <si>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</si>
  <si>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</si>
  <si>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</si>
  <si>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</si>
  <si>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</si>
  <si>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</si>
  <si>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G57A</t>
  </si>
  <si>
    <t>G58</t>
  </si>
  <si>
    <t>G58A</t>
  </si>
  <si>
    <t>G58B</t>
  </si>
  <si>
    <t>G59</t>
  </si>
  <si>
    <t>G60</t>
  </si>
  <si>
    <t>G61</t>
  </si>
  <si>
    <t>G62</t>
  </si>
  <si>
    <t>G63</t>
  </si>
  <si>
    <t>G64</t>
  </si>
  <si>
    <t>G64A</t>
  </si>
  <si>
    <t>G65</t>
  </si>
  <si>
    <t>G66</t>
  </si>
  <si>
    <t>G67</t>
  </si>
  <si>
    <t>G27A</t>
  </si>
  <si>
    <t>1st Floor</t>
  </si>
  <si>
    <t>111A</t>
  </si>
  <si>
    <t>128A</t>
  </si>
  <si>
    <t>134A</t>
  </si>
  <si>
    <t>134B</t>
  </si>
  <si>
    <t>135A</t>
  </si>
  <si>
    <t>135B</t>
  </si>
  <si>
    <t>156A</t>
  </si>
  <si>
    <t>2nd Floor</t>
  </si>
  <si>
    <t>210A</t>
  </si>
  <si>
    <t>210B</t>
  </si>
  <si>
    <t>210C</t>
  </si>
  <si>
    <t>Parking -1 Floor for Commercial &amp; Parking</t>
  </si>
  <si>
    <t>P1-1</t>
  </si>
  <si>
    <t>P1-2</t>
  </si>
  <si>
    <t>P1-3</t>
  </si>
  <si>
    <t>P1-4</t>
  </si>
  <si>
    <t>P1-5</t>
  </si>
  <si>
    <t>P1-6</t>
  </si>
  <si>
    <t>P1-7</t>
  </si>
  <si>
    <t>P1-8</t>
  </si>
  <si>
    <t>P1-9</t>
  </si>
  <si>
    <t>Wing A+B+C</t>
  </si>
  <si>
    <t>Parking -2 Floor</t>
  </si>
  <si>
    <t>P2-1</t>
  </si>
  <si>
    <t>P2-2</t>
  </si>
  <si>
    <t>P2-3</t>
  </si>
  <si>
    <t>P2-4</t>
  </si>
  <si>
    <t>P2-5</t>
  </si>
  <si>
    <t>P2-6</t>
  </si>
  <si>
    <t>P2-7</t>
  </si>
  <si>
    <t>P2-8</t>
  </si>
  <si>
    <t>P2-9</t>
  </si>
  <si>
    <t>3rd Floor for Residential</t>
  </si>
  <si>
    <t>4th Floor</t>
  </si>
  <si>
    <t>A 401</t>
  </si>
  <si>
    <t>A 402</t>
  </si>
  <si>
    <t>A 403</t>
  </si>
  <si>
    <t>A 404</t>
  </si>
  <si>
    <t>A 405</t>
  </si>
  <si>
    <t>A 406</t>
  </si>
  <si>
    <t>A 407</t>
  </si>
  <si>
    <t>A 412</t>
  </si>
  <si>
    <t>A 408A</t>
  </si>
  <si>
    <t>A 408B</t>
  </si>
  <si>
    <t>A 409A</t>
  </si>
  <si>
    <t>A 409B</t>
  </si>
  <si>
    <t>A 410A</t>
  </si>
  <si>
    <t>A 410B</t>
  </si>
  <si>
    <t>A 411A</t>
  </si>
  <si>
    <t>A 411B</t>
  </si>
  <si>
    <t>A 413A</t>
  </si>
  <si>
    <t>A 413B</t>
  </si>
  <si>
    <t>A 414A</t>
  </si>
  <si>
    <t>A 414B</t>
  </si>
  <si>
    <t>1RK</t>
  </si>
  <si>
    <t>B 401</t>
  </si>
  <si>
    <t>B 402</t>
  </si>
  <si>
    <t>B 403</t>
  </si>
  <si>
    <t>B 404</t>
  </si>
  <si>
    <t>B 405</t>
  </si>
  <si>
    <t>B 406</t>
  </si>
  <si>
    <t>B 407</t>
  </si>
  <si>
    <t>B 408</t>
  </si>
  <si>
    <t>B 409</t>
  </si>
  <si>
    <t xml:space="preserve"> C 401A</t>
  </si>
  <si>
    <t xml:space="preserve"> C 401B</t>
  </si>
  <si>
    <t xml:space="preserve"> C 402A</t>
  </si>
  <si>
    <t xml:space="preserve"> C 402B</t>
  </si>
  <si>
    <t xml:space="preserve"> C 403</t>
  </si>
  <si>
    <t xml:space="preserve"> C 404A</t>
  </si>
  <si>
    <t xml:space="preserve"> C 404B</t>
  </si>
  <si>
    <t xml:space="preserve"> C 405A</t>
  </si>
  <si>
    <t xml:space="preserve"> C 405B</t>
  </si>
  <si>
    <t xml:space="preserve"> C 406A</t>
  </si>
  <si>
    <t xml:space="preserve"> C 406B</t>
  </si>
  <si>
    <t xml:space="preserve"> C 407A</t>
  </si>
  <si>
    <t xml:space="preserve"> C 407B</t>
  </si>
  <si>
    <t xml:space="preserve"> C 408</t>
  </si>
  <si>
    <t xml:space="preserve"> C 409</t>
  </si>
  <si>
    <t xml:space="preserve"> C 410</t>
  </si>
  <si>
    <t xml:space="preserve"> C 411</t>
  </si>
  <si>
    <t xml:space="preserve"> C 412</t>
  </si>
  <si>
    <t xml:space="preserve"> C 413</t>
  </si>
  <si>
    <t xml:space="preserve"> C 414</t>
  </si>
  <si>
    <t>5th Floor</t>
  </si>
  <si>
    <t>A 501</t>
  </si>
  <si>
    <t>A 502</t>
  </si>
  <si>
    <t>A 503</t>
  </si>
  <si>
    <t>A 504</t>
  </si>
  <si>
    <t>A 505</t>
  </si>
  <si>
    <t>A 506</t>
  </si>
  <si>
    <t>A 507</t>
  </si>
  <si>
    <t>A 508</t>
  </si>
  <si>
    <t>A 509</t>
  </si>
  <si>
    <t>A 510</t>
  </si>
  <si>
    <t>A 511</t>
  </si>
  <si>
    <t>A 512</t>
  </si>
  <si>
    <t>A 513</t>
  </si>
  <si>
    <t>A 514</t>
  </si>
  <si>
    <t>B 501</t>
  </si>
  <si>
    <t>B 502</t>
  </si>
  <si>
    <t>B 503</t>
  </si>
  <si>
    <t>B 504</t>
  </si>
  <si>
    <t>B 505</t>
  </si>
  <si>
    <t>B 506</t>
  </si>
  <si>
    <t>B 507</t>
  </si>
  <si>
    <t>B 508</t>
  </si>
  <si>
    <t>B 509</t>
  </si>
  <si>
    <t xml:space="preserve"> C 501</t>
  </si>
  <si>
    <t xml:space="preserve"> C 502</t>
  </si>
  <si>
    <t xml:space="preserve"> C 503</t>
  </si>
  <si>
    <t xml:space="preserve"> C 504</t>
  </si>
  <si>
    <t xml:space="preserve"> C 505</t>
  </si>
  <si>
    <t xml:space="preserve"> C 506</t>
  </si>
  <si>
    <t xml:space="preserve"> C 507</t>
  </si>
  <si>
    <t xml:space="preserve"> C 508</t>
  </si>
  <si>
    <t xml:space="preserve"> C 509</t>
  </si>
  <si>
    <t xml:space="preserve"> C 510</t>
  </si>
  <si>
    <t xml:space="preserve"> C 511</t>
  </si>
  <si>
    <t xml:space="preserve"> C 512</t>
  </si>
  <si>
    <t xml:space="preserve"> C 513</t>
  </si>
  <si>
    <t xml:space="preserve"> C 514</t>
  </si>
  <si>
    <t>6th Floor</t>
  </si>
  <si>
    <t>A 601</t>
  </si>
  <si>
    <t>A 602</t>
  </si>
  <si>
    <t>A 603</t>
  </si>
  <si>
    <t>A 604</t>
  </si>
  <si>
    <t>A 605</t>
  </si>
  <si>
    <t>A 606</t>
  </si>
  <si>
    <t>A 607</t>
  </si>
  <si>
    <t>A 608A</t>
  </si>
  <si>
    <t>A 608B</t>
  </si>
  <si>
    <t>A 609</t>
  </si>
  <si>
    <t>A 610A</t>
  </si>
  <si>
    <t>A 610B</t>
  </si>
  <si>
    <t>A 611A</t>
  </si>
  <si>
    <t>A 611B</t>
  </si>
  <si>
    <t>A 612</t>
  </si>
  <si>
    <t>A 613A</t>
  </si>
  <si>
    <t>A 613B</t>
  </si>
  <si>
    <t>A 614A</t>
  </si>
  <si>
    <t>A 614B</t>
  </si>
  <si>
    <t>B 601</t>
  </si>
  <si>
    <t>B 602</t>
  </si>
  <si>
    <t>B 603</t>
  </si>
  <si>
    <t>B 604</t>
  </si>
  <si>
    <t>B 605</t>
  </si>
  <si>
    <t>B 606</t>
  </si>
  <si>
    <t>B 607</t>
  </si>
  <si>
    <t>B 608</t>
  </si>
  <si>
    <t>B 609</t>
  </si>
  <si>
    <t xml:space="preserve"> C 601A</t>
  </si>
  <si>
    <t xml:space="preserve"> C 601B</t>
  </si>
  <si>
    <t xml:space="preserve"> C 602A</t>
  </si>
  <si>
    <t xml:space="preserve"> C 602B</t>
  </si>
  <si>
    <t xml:space="preserve"> C 603</t>
  </si>
  <si>
    <t xml:space="preserve"> C 604A</t>
  </si>
  <si>
    <t xml:space="preserve"> C 604B</t>
  </si>
  <si>
    <t xml:space="preserve"> C 605A</t>
  </si>
  <si>
    <t xml:space="preserve"> C 605B</t>
  </si>
  <si>
    <t xml:space="preserve"> C 606</t>
  </si>
  <si>
    <t xml:space="preserve"> C 607A</t>
  </si>
  <si>
    <t xml:space="preserve"> C 607B</t>
  </si>
  <si>
    <t xml:space="preserve"> C 608</t>
  </si>
  <si>
    <t xml:space="preserve"> C 609</t>
  </si>
  <si>
    <t xml:space="preserve"> C 610</t>
  </si>
  <si>
    <t xml:space="preserve"> C 611</t>
  </si>
  <si>
    <t xml:space="preserve"> C 612</t>
  </si>
  <si>
    <t xml:space="preserve"> C 613</t>
  </si>
  <si>
    <t xml:space="preserve"> C 614</t>
  </si>
  <si>
    <t>7th Floor</t>
  </si>
  <si>
    <t>A 701</t>
  </si>
  <si>
    <t>A 702</t>
  </si>
  <si>
    <t>A 703</t>
  </si>
  <si>
    <t>A 704</t>
  </si>
  <si>
    <t>A 705</t>
  </si>
  <si>
    <t>A 706</t>
  </si>
  <si>
    <t>A 707</t>
  </si>
  <si>
    <t>A 708</t>
  </si>
  <si>
    <t>A 709</t>
  </si>
  <si>
    <t>A 710</t>
  </si>
  <si>
    <t>A 711</t>
  </si>
  <si>
    <t>A 712</t>
  </si>
  <si>
    <t>A 713A</t>
  </si>
  <si>
    <t>A 713B</t>
  </si>
  <si>
    <t>A 714A</t>
  </si>
  <si>
    <t>A 714B</t>
  </si>
  <si>
    <t>B 701</t>
  </si>
  <si>
    <t>B 702</t>
  </si>
  <si>
    <t>B 703</t>
  </si>
  <si>
    <t>B 704</t>
  </si>
  <si>
    <t>B 705</t>
  </si>
  <si>
    <t>B 706</t>
  </si>
  <si>
    <t>B 707</t>
  </si>
  <si>
    <t>B 708</t>
  </si>
  <si>
    <t>B 709</t>
  </si>
  <si>
    <t xml:space="preserve"> C 701</t>
  </si>
  <si>
    <t xml:space="preserve"> C 702</t>
  </si>
  <si>
    <t xml:space="preserve"> C 703</t>
  </si>
  <si>
    <t xml:space="preserve"> C 704</t>
  </si>
  <si>
    <t xml:space="preserve"> C 705</t>
  </si>
  <si>
    <t xml:space="preserve"> C 706</t>
  </si>
  <si>
    <t xml:space="preserve"> C 707</t>
  </si>
  <si>
    <t xml:space="preserve"> C 708</t>
  </si>
  <si>
    <t xml:space="preserve"> C 709</t>
  </si>
  <si>
    <t xml:space="preserve"> C 710</t>
  </si>
  <si>
    <t xml:space="preserve"> C 711</t>
  </si>
  <si>
    <t xml:space="preserve"> C 712</t>
  </si>
  <si>
    <t xml:space="preserve"> C 713</t>
  </si>
  <si>
    <t xml:space="preserve"> C 714</t>
  </si>
  <si>
    <t>8th Floor (Part Terrace Area)</t>
  </si>
  <si>
    <t>Terrace Area</t>
  </si>
  <si>
    <t>A 808A</t>
  </si>
  <si>
    <t>A 808B</t>
  </si>
  <si>
    <t>A 809A</t>
  </si>
  <si>
    <t>A 809B</t>
  </si>
  <si>
    <t>A 810A</t>
  </si>
  <si>
    <t>A 810B</t>
  </si>
  <si>
    <t xml:space="preserve"> C 801A</t>
  </si>
  <si>
    <t xml:space="preserve"> C 801B</t>
  </si>
  <si>
    <t xml:space="preserve"> C 806A</t>
  </si>
  <si>
    <t xml:space="preserve"> C 806B</t>
  </si>
  <si>
    <t xml:space="preserve"> C 802A</t>
  </si>
  <si>
    <t xml:space="preserve"> C 802B</t>
  </si>
  <si>
    <t xml:space="preserve"> C 803</t>
  </si>
  <si>
    <t xml:space="preserve"> C 804A</t>
  </si>
  <si>
    <t xml:space="preserve"> C 804B</t>
  </si>
  <si>
    <t xml:space="preserve"> C 805A</t>
  </si>
  <si>
    <t xml:space="preserve"> C 805B</t>
  </si>
  <si>
    <t xml:space="preserve"> C 807B</t>
  </si>
  <si>
    <t xml:space="preserve"> C 808</t>
  </si>
  <si>
    <t xml:space="preserve"> C 809</t>
  </si>
  <si>
    <t xml:space="preserve"> C 810</t>
  </si>
  <si>
    <t xml:space="preserve"> C 811</t>
  </si>
  <si>
    <t xml:space="preserve"> C 812</t>
  </si>
  <si>
    <t xml:space="preserve"> C 813</t>
  </si>
  <si>
    <t xml:space="preserve"> C 814</t>
  </si>
  <si>
    <t>Below Terrace Area</t>
  </si>
  <si>
    <t>A 914A</t>
  </si>
  <si>
    <t>A 914B</t>
  </si>
  <si>
    <t xml:space="preserve"> C 901</t>
  </si>
  <si>
    <t xml:space="preserve"> C 902</t>
  </si>
  <si>
    <t xml:space="preserve"> C 903</t>
  </si>
  <si>
    <t xml:space="preserve"> C 904</t>
  </si>
  <si>
    <t xml:space="preserve"> C 905</t>
  </si>
  <si>
    <t xml:space="preserve"> C 906</t>
  </si>
  <si>
    <t xml:space="preserve"> C 907</t>
  </si>
  <si>
    <t xml:space="preserve"> C 908</t>
  </si>
  <si>
    <t xml:space="preserve"> C 909</t>
  </si>
  <si>
    <t xml:space="preserve"> C 910</t>
  </si>
  <si>
    <t xml:space="preserve"> C 911</t>
  </si>
  <si>
    <t xml:space="preserve"> C 912</t>
  </si>
  <si>
    <t xml:space="preserve"> C 913</t>
  </si>
  <si>
    <t xml:space="preserve"> C 914</t>
  </si>
  <si>
    <t>A 1008A</t>
  </si>
  <si>
    <t>A 1008B</t>
  </si>
  <si>
    <t>A 1010A</t>
  </si>
  <si>
    <t>A 1010B</t>
  </si>
  <si>
    <t>A 1011A</t>
  </si>
  <si>
    <t>A 1011B</t>
  </si>
  <si>
    <t>A 1013A</t>
  </si>
  <si>
    <t>A 1013B</t>
  </si>
  <si>
    <t>A 1014A</t>
  </si>
  <si>
    <t>A 1014B</t>
  </si>
  <si>
    <t xml:space="preserve"> C 1001A</t>
  </si>
  <si>
    <t xml:space="preserve"> C 1001B</t>
  </si>
  <si>
    <t xml:space="preserve"> C 1002A</t>
  </si>
  <si>
    <t xml:space="preserve"> C 1002B</t>
  </si>
  <si>
    <t xml:space="preserve"> C 1003</t>
  </si>
  <si>
    <t xml:space="preserve"> C 1004A</t>
  </si>
  <si>
    <t xml:space="preserve"> C 1004B</t>
  </si>
  <si>
    <t xml:space="preserve"> C 1005A</t>
  </si>
  <si>
    <t xml:space="preserve"> C 1005B</t>
  </si>
  <si>
    <t xml:space="preserve"> C 1006</t>
  </si>
  <si>
    <t xml:space="preserve"> C 1007A</t>
  </si>
  <si>
    <t xml:space="preserve"> C 1007B</t>
  </si>
  <si>
    <t xml:space="preserve"> C1008</t>
  </si>
  <si>
    <t xml:space="preserve"> C 1009</t>
  </si>
  <si>
    <t xml:space="preserve"> C1010</t>
  </si>
  <si>
    <t xml:space="preserve"> C1011</t>
  </si>
  <si>
    <t xml:space="preserve"> C1012</t>
  </si>
  <si>
    <t xml:space="preserve"> C1013</t>
  </si>
  <si>
    <t xml:space="preserve"> C1014</t>
  </si>
  <si>
    <t>A 811A</t>
  </si>
  <si>
    <t>A 811B</t>
  </si>
  <si>
    <t>A 813A</t>
  </si>
  <si>
    <t>A 813B</t>
  </si>
  <si>
    <t>A 814A</t>
  </si>
  <si>
    <t>A 814B</t>
  </si>
  <si>
    <t>A 1108A</t>
  </si>
  <si>
    <t>A 1108B</t>
  </si>
  <si>
    <t>A 1111A</t>
  </si>
  <si>
    <t>A 1111B</t>
  </si>
  <si>
    <t>A 1113A</t>
  </si>
  <si>
    <t>A 1113B</t>
  </si>
  <si>
    <t>A 1114A</t>
  </si>
  <si>
    <t>A 1114B</t>
  </si>
  <si>
    <t>11th Floor (Part Terrace Area)</t>
  </si>
  <si>
    <t>12th Floor</t>
  </si>
  <si>
    <t>13th Floor</t>
  </si>
  <si>
    <t>14th Floor</t>
  </si>
  <si>
    <t>15th Floor</t>
  </si>
  <si>
    <t>15th Floor (Part Terrace Area)</t>
  </si>
  <si>
    <t>16th Floor</t>
  </si>
  <si>
    <t>17th Floor</t>
  </si>
  <si>
    <t>18th Floor</t>
  </si>
  <si>
    <t>A 1201</t>
  </si>
  <si>
    <t>A 1202</t>
  </si>
  <si>
    <t>A 1205</t>
  </si>
  <si>
    <t>A 1206</t>
  </si>
  <si>
    <t>A 1207</t>
  </si>
  <si>
    <t>A 1208A</t>
  </si>
  <si>
    <t>A 1208B</t>
  </si>
  <si>
    <t>A 1209</t>
  </si>
  <si>
    <t>A 1210A</t>
  </si>
  <si>
    <t>A 1210B</t>
  </si>
  <si>
    <t>A 1211A</t>
  </si>
  <si>
    <t>A 1211B</t>
  </si>
  <si>
    <t>A 1212</t>
  </si>
  <si>
    <t>A 1213A</t>
  </si>
  <si>
    <t>A 1213B</t>
  </si>
  <si>
    <t>A 1214A</t>
  </si>
  <si>
    <t>A 1214B</t>
  </si>
  <si>
    <t>A 1301</t>
  </si>
  <si>
    <t>A 1302</t>
  </si>
  <si>
    <t>A 1305</t>
  </si>
  <si>
    <t>A 1306</t>
  </si>
  <si>
    <t>A 1307</t>
  </si>
  <si>
    <t>A 1308A</t>
  </si>
  <si>
    <t>A 1308B</t>
  </si>
  <si>
    <t>A 1309</t>
  </si>
  <si>
    <t>A 1310A</t>
  </si>
  <si>
    <t>A 1310B</t>
  </si>
  <si>
    <t>A 1311A</t>
  </si>
  <si>
    <t>A 1311B</t>
  </si>
  <si>
    <t>A 1312</t>
  </si>
  <si>
    <t>A 1313</t>
  </si>
  <si>
    <t>A 1314A</t>
  </si>
  <si>
    <t>A 1314B</t>
  </si>
  <si>
    <t>A 1401</t>
  </si>
  <si>
    <t>A 1402</t>
  </si>
  <si>
    <t>A 1405</t>
  </si>
  <si>
    <t>A 1406</t>
  </si>
  <si>
    <t>A 1407</t>
  </si>
  <si>
    <t>A 1408A</t>
  </si>
  <si>
    <t>A 1408B</t>
  </si>
  <si>
    <t>A 1409</t>
  </si>
  <si>
    <t>A 1410</t>
  </si>
  <si>
    <t>A 1411A</t>
  </si>
  <si>
    <t>A 1411B</t>
  </si>
  <si>
    <t>A 1412</t>
  </si>
  <si>
    <t>A 1413A</t>
  </si>
  <si>
    <t>A 1413B</t>
  </si>
  <si>
    <t>A 1414A</t>
  </si>
  <si>
    <t>A 1414B</t>
  </si>
  <si>
    <t>A 1501</t>
  </si>
  <si>
    <t>A 1502</t>
  </si>
  <si>
    <t>A 1505</t>
  </si>
  <si>
    <t>A 1506</t>
  </si>
  <si>
    <t>A 1507</t>
  </si>
  <si>
    <t>A 1508A</t>
  </si>
  <si>
    <t>A 1508B</t>
  </si>
  <si>
    <t>A 1509</t>
  </si>
  <si>
    <t>A 1510A</t>
  </si>
  <si>
    <t>A 1510B</t>
  </si>
  <si>
    <t>A 1511A</t>
  </si>
  <si>
    <t>A 1511B</t>
  </si>
  <si>
    <t>A 1512</t>
  </si>
  <si>
    <t>A 1513A</t>
  </si>
  <si>
    <t>A 1513B</t>
  </si>
  <si>
    <t>A 1514A</t>
  </si>
  <si>
    <t>A 1514B</t>
  </si>
  <si>
    <t>A 1601</t>
  </si>
  <si>
    <t>A 1602</t>
  </si>
  <si>
    <t>A 1605</t>
  </si>
  <si>
    <t>A 1606</t>
  </si>
  <si>
    <t>A 1607</t>
  </si>
  <si>
    <t>A 1608A</t>
  </si>
  <si>
    <t>A 1608B</t>
  </si>
  <si>
    <t>A 1609</t>
  </si>
  <si>
    <t>A 1610A</t>
  </si>
  <si>
    <t>A 1610B</t>
  </si>
  <si>
    <t>A 1611A</t>
  </si>
  <si>
    <t>A 1611B</t>
  </si>
  <si>
    <t>A 1612</t>
  </si>
  <si>
    <t>A 1613A</t>
  </si>
  <si>
    <t>A 1613B</t>
  </si>
  <si>
    <t>A 1614A</t>
  </si>
  <si>
    <t>A 1614B</t>
  </si>
  <si>
    <t>A 1701</t>
  </si>
  <si>
    <t>A 1706</t>
  </si>
  <si>
    <t>A 1707</t>
  </si>
  <si>
    <t>A 1708A</t>
  </si>
  <si>
    <t>A 1708B</t>
  </si>
  <si>
    <t>A 1709</t>
  </si>
  <si>
    <t>A 1710A</t>
  </si>
  <si>
    <t>A 1710B</t>
  </si>
  <si>
    <t>A 1711A</t>
  </si>
  <si>
    <t>A 1711B</t>
  </si>
  <si>
    <t>A 1712</t>
  </si>
  <si>
    <t>A 1713A</t>
  </si>
  <si>
    <t>A 1713B</t>
  </si>
  <si>
    <t>A 1714</t>
  </si>
  <si>
    <t>A 1801</t>
  </si>
  <si>
    <t>A 1806</t>
  </si>
  <si>
    <t>A 1807</t>
  </si>
  <si>
    <t>A 1808A</t>
  </si>
  <si>
    <t>A 1808B</t>
  </si>
  <si>
    <t>A 1809</t>
  </si>
  <si>
    <t>A 1810A</t>
  </si>
  <si>
    <t>A 1810B</t>
  </si>
  <si>
    <t>A 1811A</t>
  </si>
  <si>
    <t>A 1811B</t>
  </si>
  <si>
    <t>A 1812</t>
  </si>
  <si>
    <t>A 1813A</t>
  </si>
  <si>
    <t>A 1813B</t>
  </si>
  <si>
    <t>A 1814A</t>
  </si>
  <si>
    <t>A 1814B</t>
  </si>
  <si>
    <t>B 1201</t>
  </si>
  <si>
    <t>B 1202</t>
  </si>
  <si>
    <t>B 1203</t>
  </si>
  <si>
    <t>B 1204</t>
  </si>
  <si>
    <t>B 1205</t>
  </si>
  <si>
    <t>B 1206</t>
  </si>
  <si>
    <t>B 1207</t>
  </si>
  <si>
    <t>B 1208</t>
  </si>
  <si>
    <t>B 1209</t>
  </si>
  <si>
    <t>B 1301</t>
  </si>
  <si>
    <t>B 1302</t>
  </si>
  <si>
    <t>B 1303</t>
  </si>
  <si>
    <t>B 1304</t>
  </si>
  <si>
    <t>B 1305</t>
  </si>
  <si>
    <t>B 1306</t>
  </si>
  <si>
    <t>B 1307</t>
  </si>
  <si>
    <t>B 1308</t>
  </si>
  <si>
    <t>B 1309</t>
  </si>
  <si>
    <t>B 1401</t>
  </si>
  <si>
    <t>B 1402</t>
  </si>
  <si>
    <t>B 1403</t>
  </si>
  <si>
    <t>B 1404</t>
  </si>
  <si>
    <t>B 1405</t>
  </si>
  <si>
    <t>B 1406</t>
  </si>
  <si>
    <t>B 1407</t>
  </si>
  <si>
    <t>B 1408</t>
  </si>
  <si>
    <t>B 1409</t>
  </si>
  <si>
    <t>B 1501</t>
  </si>
  <si>
    <t>B 1502</t>
  </si>
  <si>
    <t>B 1503</t>
  </si>
  <si>
    <t>B 1504</t>
  </si>
  <si>
    <t>B 1505</t>
  </si>
  <si>
    <t>B 1506</t>
  </si>
  <si>
    <t>B 1507</t>
  </si>
  <si>
    <t>B 1508</t>
  </si>
  <si>
    <t>B 1509</t>
  </si>
  <si>
    <t>B 1601</t>
  </si>
  <si>
    <t>B 1602</t>
  </si>
  <si>
    <t>B 1603</t>
  </si>
  <si>
    <t>B 1604</t>
  </si>
  <si>
    <t>B 1605</t>
  </si>
  <si>
    <t>B 1606</t>
  </si>
  <si>
    <t>B 1607</t>
  </si>
  <si>
    <t>B 1608</t>
  </si>
  <si>
    <t>B 1609</t>
  </si>
  <si>
    <t>B 1701</t>
  </si>
  <si>
    <t>B 1702</t>
  </si>
  <si>
    <t>B 1703</t>
  </si>
  <si>
    <t>B 1704</t>
  </si>
  <si>
    <t>B 1705</t>
  </si>
  <si>
    <t>B 1706</t>
  </si>
  <si>
    <t>B 1707</t>
  </si>
  <si>
    <t>B 1708</t>
  </si>
  <si>
    <t>B 1709</t>
  </si>
  <si>
    <t>B 1801</t>
  </si>
  <si>
    <t>B 1802</t>
  </si>
  <si>
    <t>B 1803</t>
  </si>
  <si>
    <t>B 1804</t>
  </si>
  <si>
    <t>B 1805</t>
  </si>
  <si>
    <t>B 1806</t>
  </si>
  <si>
    <t>B 1807</t>
  </si>
  <si>
    <t>B 1808</t>
  </si>
  <si>
    <t>B 1809</t>
  </si>
  <si>
    <t xml:space="preserve"> C 1101A</t>
  </si>
  <si>
    <t xml:space="preserve"> C 1101B</t>
  </si>
  <si>
    <t xml:space="preserve"> C 1102A</t>
  </si>
  <si>
    <t xml:space="preserve"> C 1102B</t>
  </si>
  <si>
    <t xml:space="preserve"> C 1103</t>
  </si>
  <si>
    <t xml:space="preserve"> C 1104A</t>
  </si>
  <si>
    <t xml:space="preserve"> C 1104B</t>
  </si>
  <si>
    <t xml:space="preserve"> C 1105A</t>
  </si>
  <si>
    <t xml:space="preserve"> C 1105B</t>
  </si>
  <si>
    <t xml:space="preserve"> C 1106</t>
  </si>
  <si>
    <t xml:space="preserve"> C 1107A</t>
  </si>
  <si>
    <t xml:space="preserve"> C 1107B</t>
  </si>
  <si>
    <t xml:space="preserve"> C1108</t>
  </si>
  <si>
    <t xml:space="preserve"> C 1109</t>
  </si>
  <si>
    <t xml:space="preserve"> C1110</t>
  </si>
  <si>
    <t xml:space="preserve"> C1111</t>
  </si>
  <si>
    <t xml:space="preserve"> C1112</t>
  </si>
  <si>
    <t xml:space="preserve"> C1113</t>
  </si>
  <si>
    <t xml:space="preserve"> C1114</t>
  </si>
  <si>
    <t xml:space="preserve"> C 1201A</t>
  </si>
  <si>
    <t xml:space="preserve"> C 1201B</t>
  </si>
  <si>
    <t xml:space="preserve"> C 1202A</t>
  </si>
  <si>
    <t xml:space="preserve"> C 1202B</t>
  </si>
  <si>
    <t xml:space="preserve"> C 1203</t>
  </si>
  <si>
    <t xml:space="preserve"> C 1204A</t>
  </si>
  <si>
    <t xml:space="preserve"> C 1204B</t>
  </si>
  <si>
    <t xml:space="preserve"> C 1205A</t>
  </si>
  <si>
    <t xml:space="preserve"> C 1205B</t>
  </si>
  <si>
    <t xml:space="preserve"> C 1206</t>
  </si>
  <si>
    <t xml:space="preserve"> C 1207</t>
  </si>
  <si>
    <t xml:space="preserve"> C1208</t>
  </si>
  <si>
    <t xml:space="preserve"> C 1209</t>
  </si>
  <si>
    <t xml:space="preserve"> C1210</t>
  </si>
  <si>
    <t xml:space="preserve"> C1211</t>
  </si>
  <si>
    <t xml:space="preserve"> C1212</t>
  </si>
  <si>
    <t xml:space="preserve"> C1213</t>
  </si>
  <si>
    <t xml:space="preserve"> C1214</t>
  </si>
  <si>
    <t xml:space="preserve"> C 1301A</t>
  </si>
  <si>
    <t xml:space="preserve"> C 1301B</t>
  </si>
  <si>
    <t xml:space="preserve"> C 1302A</t>
  </si>
  <si>
    <t xml:space="preserve"> C 1302B</t>
  </si>
  <si>
    <t xml:space="preserve"> C 1303</t>
  </si>
  <si>
    <t xml:space="preserve"> C 1304A</t>
  </si>
  <si>
    <t xml:space="preserve"> C 1304B</t>
  </si>
  <si>
    <t xml:space="preserve"> C 1305A</t>
  </si>
  <si>
    <t xml:space="preserve"> C 1305B</t>
  </si>
  <si>
    <t xml:space="preserve"> C 1306</t>
  </si>
  <si>
    <t xml:space="preserve"> C 1307A</t>
  </si>
  <si>
    <t xml:space="preserve"> C 1307B</t>
  </si>
  <si>
    <t xml:space="preserve"> C1308</t>
  </si>
  <si>
    <t xml:space="preserve"> C 1309</t>
  </si>
  <si>
    <t xml:space="preserve"> C1310</t>
  </si>
  <si>
    <t xml:space="preserve"> C1313</t>
  </si>
  <si>
    <t xml:space="preserve"> C1314</t>
  </si>
  <si>
    <t xml:space="preserve"> C 1401A</t>
  </si>
  <si>
    <t xml:space="preserve"> C 1401B</t>
  </si>
  <si>
    <t xml:space="preserve"> C 1402A</t>
  </si>
  <si>
    <t xml:space="preserve"> C 1402B</t>
  </si>
  <si>
    <t xml:space="preserve"> C 1403</t>
  </si>
  <si>
    <t xml:space="preserve"> C 1404A</t>
  </si>
  <si>
    <t xml:space="preserve"> C 1404B</t>
  </si>
  <si>
    <t xml:space="preserve"> C 1405A</t>
  </si>
  <si>
    <t xml:space="preserve"> C 1405B</t>
  </si>
  <si>
    <t xml:space="preserve"> C 1406</t>
  </si>
  <si>
    <t xml:space="preserve"> C 1407A</t>
  </si>
  <si>
    <t xml:space="preserve"> C 1407B</t>
  </si>
  <si>
    <t xml:space="preserve"> C1408</t>
  </si>
  <si>
    <t xml:space="preserve"> C 1409</t>
  </si>
  <si>
    <t xml:space="preserve"> C1410</t>
  </si>
  <si>
    <t xml:space="preserve"> C1413</t>
  </si>
  <si>
    <t xml:space="preserve"> C1414</t>
  </si>
  <si>
    <t xml:space="preserve"> C 1501</t>
  </si>
  <si>
    <t xml:space="preserve"> C 1502A</t>
  </si>
  <si>
    <t xml:space="preserve"> C 1502B</t>
  </si>
  <si>
    <t xml:space="preserve"> C 1503</t>
  </si>
  <si>
    <t xml:space="preserve"> C 1504A</t>
  </si>
  <si>
    <t xml:space="preserve"> C 1504B</t>
  </si>
  <si>
    <t xml:space="preserve"> C 1505A</t>
  </si>
  <si>
    <t xml:space="preserve"> C 1505B</t>
  </si>
  <si>
    <t xml:space="preserve"> C 1506</t>
  </si>
  <si>
    <t xml:space="preserve"> C 1507A</t>
  </si>
  <si>
    <t xml:space="preserve"> C 1507B</t>
  </si>
  <si>
    <t xml:space="preserve"> C1508</t>
  </si>
  <si>
    <t xml:space="preserve"> C 1509</t>
  </si>
  <si>
    <t xml:space="preserve"> C1510</t>
  </si>
  <si>
    <t xml:space="preserve"> C1513</t>
  </si>
  <si>
    <t xml:space="preserve"> C1514</t>
  </si>
  <si>
    <t xml:space="preserve"> C 1601A</t>
  </si>
  <si>
    <t xml:space="preserve"> C 1601B</t>
  </si>
  <si>
    <t xml:space="preserve"> C 1602A</t>
  </si>
  <si>
    <t xml:space="preserve"> C 1602B</t>
  </si>
  <si>
    <t xml:space="preserve"> C 1603</t>
  </si>
  <si>
    <t xml:space="preserve"> C 1604A</t>
  </si>
  <si>
    <t xml:space="preserve"> C 1604B</t>
  </si>
  <si>
    <t xml:space="preserve"> C 1605A</t>
  </si>
  <si>
    <t xml:space="preserve"> C 1605B</t>
  </si>
  <si>
    <t xml:space="preserve"> C 1606</t>
  </si>
  <si>
    <t xml:space="preserve"> C 1607A</t>
  </si>
  <si>
    <t xml:space="preserve"> C 1607B</t>
  </si>
  <si>
    <t xml:space="preserve"> C1608</t>
  </si>
  <si>
    <t xml:space="preserve"> C 1609</t>
  </si>
  <si>
    <t xml:space="preserve"> C1610</t>
  </si>
  <si>
    <t xml:space="preserve"> C1613</t>
  </si>
  <si>
    <t xml:space="preserve"> C1614</t>
  </si>
  <si>
    <t xml:space="preserve"> C 1701A</t>
  </si>
  <si>
    <t xml:space="preserve"> C 1701B</t>
  </si>
  <si>
    <t xml:space="preserve"> C 1702A</t>
  </si>
  <si>
    <t xml:space="preserve"> C 1702B</t>
  </si>
  <si>
    <t xml:space="preserve"> C 1703</t>
  </si>
  <si>
    <t xml:space="preserve"> C 1704A</t>
  </si>
  <si>
    <t xml:space="preserve"> C 1704B</t>
  </si>
  <si>
    <t xml:space="preserve"> C 1705A</t>
  </si>
  <si>
    <t xml:space="preserve"> C 1705B</t>
  </si>
  <si>
    <t xml:space="preserve"> C 1706</t>
  </si>
  <si>
    <t xml:space="preserve"> C 1707A</t>
  </si>
  <si>
    <t xml:space="preserve"> C 1707B</t>
  </si>
  <si>
    <t xml:space="preserve"> C1708</t>
  </si>
  <si>
    <t xml:space="preserve"> C 1709</t>
  </si>
  <si>
    <t xml:space="preserve"> C1710</t>
  </si>
  <si>
    <t xml:space="preserve"> C1713</t>
  </si>
  <si>
    <t xml:space="preserve"> C1714</t>
  </si>
  <si>
    <t xml:space="preserve"> C 1801A</t>
  </si>
  <si>
    <t xml:space="preserve"> C 1801B</t>
  </si>
  <si>
    <t xml:space="preserve"> C 1802A</t>
  </si>
  <si>
    <t xml:space="preserve"> C 1802B</t>
  </si>
  <si>
    <t xml:space="preserve"> C 1803</t>
  </si>
  <si>
    <t xml:space="preserve"> C 1804A</t>
  </si>
  <si>
    <t xml:space="preserve"> C 1804B</t>
  </si>
  <si>
    <t xml:space="preserve"> C 1805A</t>
  </si>
  <si>
    <t xml:space="preserve"> C 1805B</t>
  </si>
  <si>
    <t xml:space="preserve"> C 1806</t>
  </si>
  <si>
    <t xml:space="preserve"> C 1807A</t>
  </si>
  <si>
    <t xml:space="preserve"> C 1807B</t>
  </si>
  <si>
    <t xml:space="preserve"> C1808</t>
  </si>
  <si>
    <t xml:space="preserve"> C 1809</t>
  </si>
  <si>
    <t xml:space="preserve"> C1810</t>
  </si>
  <si>
    <t xml:space="preserve"> C1813</t>
  </si>
  <si>
    <t xml:space="preserve"> C1814</t>
  </si>
  <si>
    <t>Wing A, B &amp; C = 2B + Gr + 1st to 2nd Floor + P1 + P2 + Service Floor + 3rd to 18th Floor</t>
  </si>
  <si>
    <t>Flats - 646, Shops - 148, Offices - 57, Store - 71</t>
  </si>
  <si>
    <t>Service Floor between Parking - 2 floor &amp; 3rd floor</t>
  </si>
  <si>
    <t>Parking-1 &amp; Parking-2 for Parking</t>
  </si>
  <si>
    <t>Layout :</t>
  </si>
  <si>
    <t>1.4 km from Nalasopara Railway Station</t>
  </si>
  <si>
    <t>Wing A + C</t>
  </si>
  <si>
    <t>2.5BHK</t>
  </si>
  <si>
    <t>1.5BHK</t>
  </si>
  <si>
    <t>s</t>
  </si>
  <si>
    <t>Service Floor between Parking - 2 floor &amp; Parking - 3rd floor</t>
  </si>
  <si>
    <t>Saleable area
55%</t>
  </si>
  <si>
    <t>Railway Noc No.</t>
  </si>
  <si>
    <t>115/2/86</t>
  </si>
  <si>
    <t>Plot No. 1 to 4, S. No. 7 to 11, 15 to 17pt, 18pt, 19 to 25</t>
  </si>
  <si>
    <t>Railway Noc save on this report file in common drive</t>
  </si>
  <si>
    <t>Details of Commercials in Building</t>
  </si>
  <si>
    <t>Details of Residential in Building</t>
  </si>
  <si>
    <t>Saleable area
50%</t>
  </si>
  <si>
    <t>Mr. Amit : 9667077909</t>
  </si>
  <si>
    <t>Wing C = 2B + Gr + 1st to 2nd Floor + P1 + P2 + Service Floor + 3rd to 18th Floor</t>
  </si>
  <si>
    <t>SA Changes from 483 TO 518  on 10/09/2025</t>
  </si>
  <si>
    <r>
      <t>1.</t>
    </r>
    <r>
      <rPr>
        <b/>
        <sz val="12"/>
        <color theme="1"/>
        <rFont val="Times New Roman"/>
        <family val="1"/>
      </rPr>
      <t xml:space="preserve"> Construction work is in process at the time of visit.</t>
    </r>
    <r>
      <rPr>
        <b/>
        <sz val="12"/>
        <rFont val="Times New Roman"/>
        <family val="1"/>
      </rPr>
      <t xml:space="preserve">
2. We have considered Saleable area of Commercial/Residential as per our Calculation.
3. We considered Carpet area as per Approved Plan.
4. We considered Gross carpet area = Net carpet + Enclose balcony + D.B Area + F.B Area.
5. We have considered rate by verifying it from market inquire.
6. Car parking is subjected to authentic documentation.
7. We verified Railway NOC.
8. We have updated O.C (on 25/11/2022).
9. We have updated CC from RERA site on 15/02/2025.
10. Construction stage is reduced due to revision in proposed structure of project.
11. We have updated revised CC &amp; approved floor plans (On 27/06/2025).
12. Recommended Rates of the Property have been revised on 10/09/2025.
7. On Site, we meet Mr. Aditya - 7767872939.
</t>
    </r>
  </si>
  <si>
    <t>RATE 6000 by AKASH from INDEX2 for FLAT NO. C1305B C WING 1RK FLAT
  CHANGE SA FROM 483 TO 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</si>
</sst>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0_);_(* \(#,##0.00\);_(* &quot;-&quot;??_);_(@_)"/>
    <numFmt numFmtId="166" formatCode="_(* #,##0_);_(* \(#,##0\);_(* &quot;-&quot;??_);_(@_)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8"/>
      <color rgb="FFFFFF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</cellStyleXfs>
  <cellXfs count="199">
    <xf numFmtId="0" fontId="0" fillId="0" borderId="0" xfId="0"/>
    <xf numFmtId="0" fontId="0" fillId="2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1" fontId="5" fillId="0" borderId="1" xfId="1" applyNumberFormat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13" fillId="0" borderId="6" xfId="1" applyFont="1" applyBorder="1" applyAlignment="1" applyProtection="1">
      <alignment horizontal="center" vertical="top"/>
      <protection locked="0"/>
    </xf>
    <xf numFmtId="0" fontId="1" fillId="0" borderId="1" xfId="5" applyFont="1" applyBorder="1" applyAlignment="1">
      <alignment horizontal="center" vertical="center"/>
    </xf>
    <xf numFmtId="0" fontId="8" fillId="0" borderId="11" xfId="1" applyFont="1" applyBorder="1" applyProtection="1">
      <protection hidden="1"/>
    </xf>
    <xf numFmtId="0" fontId="8" fillId="0" borderId="0" xfId="1" applyFont="1" applyProtection="1">
      <protection hidden="1"/>
    </xf>
    <xf numFmtId="0" fontId="18" fillId="0" borderId="0" xfId="0" applyFont="1" applyProtection="1">
      <protection hidden="1"/>
    </xf>
    <xf numFmtId="0" fontId="18" fillId="0" borderId="14" xfId="0" applyFont="1" applyBorder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1" xfId="1" applyFont="1" applyBorder="1" applyAlignment="1" applyProtection="1">
      <alignment vertical="top"/>
      <protection locked="0"/>
    </xf>
    <xf numFmtId="0" fontId="13" fillId="0" borderId="0" xfId="1" applyFont="1"/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0" fontId="13" fillId="0" borderId="1" xfId="1" applyFont="1" applyBorder="1" applyAlignment="1" applyProtection="1">
      <alignment horizontal="center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0" fontId="18" fillId="0" borderId="13" xfId="0" applyFont="1" applyBorder="1" applyProtection="1"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0" fontId="13" fillId="0" borderId="8" xfId="1" applyFont="1" applyBorder="1" applyAlignment="1" applyProtection="1">
      <alignment horizontal="center" wrapText="1"/>
      <protection locked="0"/>
    </xf>
    <xf numFmtId="9" fontId="13" fillId="0" borderId="8" xfId="1" applyNumberFormat="1" applyFont="1" applyBorder="1" applyAlignment="1" applyProtection="1">
      <alignment horizontal="center" vertical="center" wrapText="1"/>
      <protection hidden="1"/>
    </xf>
    <xf numFmtId="1" fontId="0" fillId="0" borderId="15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0" applyFont="1"/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22" fillId="0" borderId="0" xfId="0" applyFont="1" applyAlignment="1">
      <alignment horizontal="left" vertical="center" readingOrder="1"/>
    </xf>
    <xf numFmtId="0" fontId="11" fillId="0" borderId="0" xfId="1" applyFont="1" applyProtection="1">
      <protection locked="0"/>
    </xf>
    <xf numFmtId="1" fontId="11" fillId="0" borderId="3" xfId="0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64" fontId="8" fillId="0" borderId="0" xfId="1" applyNumberFormat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center" vertical="top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16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14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14" fillId="0" borderId="9" xfId="1" applyNumberFormat="1" applyFont="1" applyBorder="1" applyAlignment="1" applyProtection="1">
      <alignment horizontal="center" vertical="center" wrapText="1"/>
      <protection locked="0"/>
    </xf>
    <xf numFmtId="1" fontId="14" fillId="0" borderId="16" xfId="1" applyNumberFormat="1" applyFont="1" applyBorder="1" applyAlignment="1" applyProtection="1">
      <alignment horizontal="center" vertical="center" wrapText="1"/>
      <protection locked="0"/>
    </xf>
    <xf numFmtId="1" fontId="14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4" fillId="0" borderId="5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24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9" xfId="1" applyFont="1" applyBorder="1" applyAlignment="1" applyProtection="1">
      <alignment horizontal="center" vertical="top" wrapText="1"/>
      <protection locked="0"/>
    </xf>
    <xf numFmtId="0" fontId="13" fillId="0" borderId="10" xfId="1" applyFont="1" applyBorder="1" applyAlignment="1" applyProtection="1">
      <alignment horizontal="center" vertical="top" wrapText="1"/>
      <protection locked="0"/>
    </xf>
    <xf numFmtId="0" fontId="13" fillId="0" borderId="24" xfId="1" applyFont="1" applyBorder="1" applyAlignment="1" applyProtection="1">
      <alignment horizontal="center" vertical="top" wrapText="1"/>
      <protection locked="0"/>
    </xf>
    <xf numFmtId="9" fontId="13" fillId="0" borderId="17" xfId="1" applyNumberFormat="1" applyFont="1" applyBorder="1" applyAlignment="1" applyProtection="1">
      <alignment horizontal="center" vertical="center" wrapText="1"/>
      <protection hidden="1"/>
    </xf>
    <xf numFmtId="9" fontId="13" fillId="0" borderId="19" xfId="1" applyNumberFormat="1" applyFont="1" applyBorder="1" applyAlignment="1" applyProtection="1">
      <alignment horizontal="center" vertical="center" wrapText="1"/>
      <protection hidden="1"/>
    </xf>
    <xf numFmtId="9" fontId="13" fillId="0" borderId="23" xfId="1" applyNumberFormat="1" applyFont="1" applyBorder="1" applyAlignment="1" applyProtection="1">
      <alignment horizontal="center" vertical="center" wrapText="1"/>
      <protection hidden="1"/>
    </xf>
    <xf numFmtId="9" fontId="13" fillId="0" borderId="22" xfId="1" applyNumberFormat="1" applyFont="1" applyBorder="1" applyAlignment="1" applyProtection="1">
      <alignment horizontal="center" vertical="center" wrapText="1"/>
      <protection hidden="1"/>
    </xf>
    <xf numFmtId="9" fontId="13" fillId="0" borderId="26" xfId="1" applyNumberFormat="1" applyFont="1" applyBorder="1" applyAlignment="1" applyProtection="1">
      <alignment horizontal="center" vertical="center" wrapText="1"/>
      <protection hidden="1"/>
    </xf>
    <xf numFmtId="9" fontId="13" fillId="0" borderId="27" xfId="1" applyNumberFormat="1" applyFont="1" applyBorder="1" applyAlignment="1" applyProtection="1">
      <alignment horizontal="center" vertical="center" wrapText="1"/>
      <protection hidden="1"/>
    </xf>
    <xf numFmtId="9" fontId="13" fillId="0" borderId="25" xfId="1" applyNumberFormat="1" applyFont="1" applyBorder="1" applyAlignment="1" applyProtection="1">
      <alignment horizontal="center" vertical="center" wrapText="1"/>
      <protection hidden="1"/>
    </xf>
    <xf numFmtId="9" fontId="13" fillId="0" borderId="13" xfId="1" applyNumberFormat="1" applyFont="1" applyBorder="1" applyAlignment="1" applyProtection="1">
      <alignment horizontal="center" vertical="center" wrapText="1"/>
      <protection hidden="1"/>
    </xf>
    <xf numFmtId="9" fontId="13" fillId="0" borderId="15" xfId="1" applyNumberFormat="1" applyFont="1" applyBorder="1" applyAlignment="1" applyProtection="1">
      <alignment horizontal="center" vertical="center" wrapText="1"/>
      <protection hidden="1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top" wrapText="1"/>
      <protection locked="0"/>
    </xf>
    <xf numFmtId="1" fontId="8" fillId="0" borderId="16" xfId="0" applyNumberFormat="1" applyFont="1" applyBorder="1" applyAlignment="1" applyProtection="1">
      <alignment horizontal="center" vertical="top" wrapText="1"/>
      <protection locked="0"/>
    </xf>
    <xf numFmtId="1" fontId="8" fillId="0" borderId="10" xfId="0" applyNumberFormat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center" vertical="top" wrapText="1"/>
      <protection locked="0"/>
    </xf>
    <xf numFmtId="1" fontId="14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3" borderId="16" xfId="1" applyNumberFormat="1" applyFont="1" applyFill="1" applyBorder="1" applyAlignment="1" applyProtection="1">
      <alignment horizontal="center" vertical="center" wrapText="1"/>
      <protection locked="0"/>
    </xf>
    <xf numFmtId="1" fontId="9" fillId="3" borderId="1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Border="1" applyAlignment="1" applyProtection="1">
      <alignment horizontal="center" vertical="center" wrapText="1"/>
      <protection locked="0"/>
    </xf>
    <xf numFmtId="0" fontId="14" fillId="0" borderId="1" xfId="2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4" fillId="0" borderId="28" xfId="1" applyFont="1" applyBorder="1" applyAlignment="1" applyProtection="1">
      <alignment horizontal="left" vertical="top" wrapText="1"/>
      <protection locked="0"/>
    </xf>
    <xf numFmtId="0" fontId="14" fillId="0" borderId="21" xfId="1" applyFont="1" applyBorder="1" applyAlignment="1" applyProtection="1">
      <alignment horizontal="left" vertical="top" wrapText="1"/>
      <protection locked="0"/>
    </xf>
    <xf numFmtId="0" fontId="14" fillId="0" borderId="20" xfId="1" applyFont="1" applyBorder="1" applyAlignment="1" applyProtection="1">
      <alignment horizontal="left" vertical="top" wrapText="1"/>
      <protection locked="0"/>
    </xf>
    <xf numFmtId="0" fontId="14" fillId="0" borderId="2" xfId="1" applyFont="1" applyBorder="1" applyAlignment="1" applyProtection="1">
      <alignment horizontal="left" vertical="top" wrapText="1"/>
      <protection locked="0"/>
    </xf>
    <xf numFmtId="0" fontId="14" fillId="0" borderId="29" xfId="1" applyFont="1" applyBorder="1" applyAlignment="1" applyProtection="1">
      <alignment horizontal="left" vertical="top" wrapText="1"/>
      <protection locked="0"/>
    </xf>
    <xf numFmtId="1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4" fontId="8" fillId="0" borderId="1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23" fillId="0" borderId="1" xfId="8" applyBorder="1" applyAlignment="1" applyProtection="1">
      <alignment horizontal="left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14" fontId="13" fillId="0" borderId="1" xfId="1" applyNumberFormat="1" applyFont="1" applyBorder="1" applyAlignment="1" applyProtection="1">
      <alignment horizontal="left" vertical="top" wrapText="1"/>
      <protection locked="0"/>
    </xf>
    <xf numFmtId="14" fontId="14" fillId="0" borderId="9" xfId="1" applyNumberFormat="1" applyFont="1" applyBorder="1" applyAlignment="1" applyProtection="1">
      <alignment horizontal="left" vertical="top" wrapText="1"/>
      <protection locked="0"/>
    </xf>
    <xf numFmtId="0" fontId="14" fillId="0" borderId="10" xfId="1" applyFont="1" applyBorder="1" applyAlignment="1" applyProtection="1">
      <alignment horizontal="left" vertical="top" wrapText="1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8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11" fillId="0" borderId="3" xfId="0" applyNumberFormat="1" applyFont="1" applyBorder="1" applyAlignment="1" applyProtection="1">
      <alignment horizontal="center" vertical="top" wrapText="1"/>
      <protection locked="0"/>
    </xf>
    <xf numFmtId="1" fontId="9" fillId="0" borderId="3" xfId="0" applyNumberFormat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9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14" fontId="13" fillId="0" borderId="1" xfId="1" applyNumberFormat="1" applyFont="1" applyBorder="1" applyAlignment="1" applyProtection="1">
      <alignment horizontal="left" vertical="center" wrapText="1"/>
      <protection locked="0"/>
    </xf>
    <xf numFmtId="0" fontId="13" fillId="0" borderId="9" xfId="1" applyFont="1" applyBorder="1" applyAlignment="1" applyProtection="1">
      <alignment horizontal="left" vertical="center" wrapText="1"/>
      <protection locked="0"/>
    </xf>
    <xf numFmtId="0" fontId="13" fillId="0" borderId="16" xfId="1" applyFont="1" applyBorder="1" applyAlignment="1" applyProtection="1">
      <alignment horizontal="left" vertical="center" wrapText="1"/>
      <protection locked="0"/>
    </xf>
    <xf numFmtId="0" fontId="13" fillId="0" borderId="10" xfId="1" applyFont="1" applyBorder="1" applyAlignment="1" applyProtection="1">
      <alignment horizontal="left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7" fillId="0" borderId="10" xfId="1" applyFont="1" applyBorder="1" applyAlignment="1" applyProtection="1">
      <alignment horizontal="left" vertical="top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1" fontId="7" fillId="0" borderId="30" xfId="0" applyNumberFormat="1" applyFont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  <xf numFmtId="0" fontId="8" fillId="0" borderId="0" xfId="1" applyFont="1" applyAlignment="1"/>
    <xf numFmtId="0" fontId="8" fillId="0" borderId="0" xfId="1" applyFont="1" applyAlignment="1">
      <alignment horizontal="left" vertical="center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5" Type="http://schemas.microsoft.com/office/2007/relationships/hdphoto" Target="../media/hdphoto1.wdp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183862</xdr:colOff>
      <xdr:row>1156</xdr:row>
      <xdr:rowOff>288637</xdr:rowOff>
    </xdr:from>
    <xdr:ext cx="722442" cy="311496"/>
    <xdr:sp macro="" textlink="">
      <xdr:nvSpPr>
        <xdr:cNvPr id="3" name="TextBox 2"/>
        <xdr:cNvSpPr txBox="1"/>
      </xdr:nvSpPr>
      <xdr:spPr>
        <a:xfrm>
          <a:off x="6879937" y="131943187"/>
          <a:ext cx="722442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A</a:t>
          </a:r>
        </a:p>
      </xdr:txBody>
    </xdr:sp>
    <xdr:clientData/>
  </xdr:oneCellAnchor>
  <xdr:oneCellAnchor>
    <xdr:from>
      <xdr:col>9</xdr:col>
      <xdr:colOff>459848</xdr:colOff>
      <xdr:row>1160</xdr:row>
      <xdr:rowOff>129886</xdr:rowOff>
    </xdr:from>
    <xdr:ext cx="722442" cy="311496"/>
    <xdr:sp macro="" textlink="">
      <xdr:nvSpPr>
        <xdr:cNvPr id="24" name="TextBox 23"/>
        <xdr:cNvSpPr txBox="1"/>
      </xdr:nvSpPr>
      <xdr:spPr>
        <a:xfrm>
          <a:off x="8916893" y="130131704"/>
          <a:ext cx="722442" cy="31149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B</a:t>
          </a:r>
        </a:p>
      </xdr:txBody>
    </xdr:sp>
    <xdr:clientData/>
  </xdr:oneCellAnchor>
  <xdr:oneCellAnchor>
    <xdr:from>
      <xdr:col>12</xdr:col>
      <xdr:colOff>504064</xdr:colOff>
      <xdr:row>1160</xdr:row>
      <xdr:rowOff>181841</xdr:rowOff>
    </xdr:from>
    <xdr:ext cx="708656" cy="311496"/>
    <xdr:sp macro="" textlink="">
      <xdr:nvSpPr>
        <xdr:cNvPr id="25" name="TextBox 24"/>
        <xdr:cNvSpPr txBox="1"/>
      </xdr:nvSpPr>
      <xdr:spPr>
        <a:xfrm>
          <a:off x="10929609" y="130183659"/>
          <a:ext cx="708656" cy="31149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</a:t>
          </a:r>
          <a:r>
            <a:rPr lang="en-IN" sz="1400" b="1" baseline="0"/>
            <a:t> C</a:t>
          </a:r>
          <a:endParaRPr lang="en-IN" sz="1400" b="1"/>
        </a:p>
      </xdr:txBody>
    </xdr:sp>
    <xdr:clientData/>
  </xdr:oneCellAnchor>
  <xdr:twoCellAnchor editAs="oneCell">
    <xdr:from>
      <xdr:col>10</xdr:col>
      <xdr:colOff>552193</xdr:colOff>
      <xdr:row>1188</xdr:row>
      <xdr:rowOff>152060</xdr:rowOff>
    </xdr:from>
    <xdr:to>
      <xdr:col>13</xdr:col>
      <xdr:colOff>265506</xdr:colOff>
      <xdr:row>1197</xdr:row>
      <xdr:rowOff>142875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7568" y="138445535"/>
          <a:ext cx="1542113" cy="17910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442238</xdr:colOff>
      <xdr:row>1158</xdr:row>
      <xdr:rowOff>190500</xdr:rowOff>
    </xdr:from>
    <xdr:to>
      <xdr:col>13</xdr:col>
      <xdr:colOff>236907</xdr:colOff>
      <xdr:row>1173</xdr:row>
      <xdr:rowOff>120925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8313" y="132492750"/>
          <a:ext cx="3642769" cy="2921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368169</xdr:colOff>
      <xdr:row>1174</xdr:row>
      <xdr:rowOff>46430</xdr:rowOff>
    </xdr:from>
    <xdr:to>
      <xdr:col>13</xdr:col>
      <xdr:colOff>481282</xdr:colOff>
      <xdr:row>1188</xdr:row>
      <xdr:rowOff>26530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83544" y="135539555"/>
          <a:ext cx="1941913" cy="27804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395916</xdr:colOff>
      <xdr:row>1158</xdr:row>
      <xdr:rowOff>190500</xdr:rowOff>
    </xdr:from>
    <xdr:to>
      <xdr:col>17</xdr:col>
      <xdr:colOff>39067</xdr:colOff>
      <xdr:row>1173</xdr:row>
      <xdr:rowOff>120925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40091" y="132492750"/>
          <a:ext cx="2081551" cy="2921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15613</xdr:colOff>
      <xdr:row>1174</xdr:row>
      <xdr:rowOff>46430</xdr:rowOff>
    </xdr:from>
    <xdr:to>
      <xdr:col>17</xdr:col>
      <xdr:colOff>160476</xdr:colOff>
      <xdr:row>1188</xdr:row>
      <xdr:rowOff>26530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69388" y="135539555"/>
          <a:ext cx="1973663" cy="27804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279400</xdr:colOff>
      <xdr:row>1174</xdr:row>
      <xdr:rowOff>46430</xdr:rowOff>
    </xdr:from>
    <xdr:to>
      <xdr:col>10</xdr:col>
      <xdr:colOff>233763</xdr:colOff>
      <xdr:row>1188</xdr:row>
      <xdr:rowOff>26530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75475" y="135539555"/>
          <a:ext cx="1973663" cy="27804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514350</xdr:colOff>
      <xdr:row>7</xdr:row>
      <xdr:rowOff>177800</xdr:rowOff>
    </xdr:from>
    <xdr:to>
      <xdr:col>14</xdr:col>
      <xdr:colOff>280828</xdr:colOff>
      <xdr:row>13</xdr:row>
      <xdr:rowOff>358550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37450" y="1962150"/>
          <a:ext cx="4446428" cy="18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314325</xdr:colOff>
      <xdr:row>38</xdr:row>
      <xdr:rowOff>180976</xdr:rowOff>
    </xdr:from>
    <xdr:to>
      <xdr:col>14</xdr:col>
      <xdr:colOff>314375</xdr:colOff>
      <xdr:row>46</xdr:row>
      <xdr:rowOff>161875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10400" y="9058276"/>
          <a:ext cx="4457750" cy="18096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1371600</xdr:colOff>
      <xdr:row>136</xdr:row>
      <xdr:rowOff>101600</xdr:rowOff>
    </xdr:from>
    <xdr:to>
      <xdr:col>16</xdr:col>
      <xdr:colOff>353115</xdr:colOff>
      <xdr:row>172</xdr:row>
      <xdr:rowOff>121642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94700" y="26092150"/>
          <a:ext cx="4944165" cy="71066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120650</xdr:colOff>
      <xdr:row>210</xdr:row>
      <xdr:rowOff>63499</xdr:rowOff>
    </xdr:from>
    <xdr:to>
      <xdr:col>15</xdr:col>
      <xdr:colOff>294578</xdr:colOff>
      <xdr:row>243</xdr:row>
      <xdr:rowOff>47449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72500" y="40620949"/>
          <a:ext cx="4066478" cy="64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431800</xdr:colOff>
      <xdr:row>272</xdr:row>
      <xdr:rowOff>6350</xdr:rowOff>
    </xdr:from>
    <xdr:to>
      <xdr:col>14</xdr:col>
      <xdr:colOff>365778</xdr:colOff>
      <xdr:row>305</xdr:row>
      <xdr:rowOff>191432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27875" y="53984525"/>
          <a:ext cx="4391678" cy="67859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263525</xdr:colOff>
      <xdr:row>348</xdr:row>
      <xdr:rowOff>184150</xdr:rowOff>
    </xdr:from>
    <xdr:to>
      <xdr:col>16</xdr:col>
      <xdr:colOff>375502</xdr:colOff>
      <xdr:row>376</xdr:row>
      <xdr:rowOff>140463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959600" y="69364225"/>
          <a:ext cx="5788877" cy="55570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628651</xdr:colOff>
      <xdr:row>388</xdr:row>
      <xdr:rowOff>9525</xdr:rowOff>
    </xdr:from>
    <xdr:to>
      <xdr:col>15</xdr:col>
      <xdr:colOff>265074</xdr:colOff>
      <xdr:row>406</xdr:row>
      <xdr:rowOff>66225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24726" y="77190600"/>
          <a:ext cx="4703723" cy="36571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685800</xdr:colOff>
      <xdr:row>1199</xdr:row>
      <xdr:rowOff>146050</xdr:rowOff>
    </xdr:from>
    <xdr:to>
      <xdr:col>7</xdr:col>
      <xdr:colOff>622850</xdr:colOff>
      <xdr:row>1217</xdr:row>
      <xdr:rowOff>101155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" y="238194850"/>
          <a:ext cx="5760000" cy="34984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514850</xdr:colOff>
      <xdr:row>1218</xdr:row>
      <xdr:rowOff>39353</xdr:rowOff>
    </xdr:from>
    <xdr:to>
      <xdr:col>5</xdr:col>
      <xdr:colOff>431350</xdr:colOff>
      <xdr:row>1233</xdr:row>
      <xdr:rowOff>12773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96000" y="241828303"/>
          <a:ext cx="2520000" cy="29261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355600</xdr:colOff>
      <xdr:row>1207</xdr:row>
      <xdr:rowOff>88900</xdr:rowOff>
    </xdr:from>
    <xdr:ext cx="596574" cy="264560"/>
    <xdr:sp macro="" textlink="">
      <xdr:nvSpPr>
        <xdr:cNvPr id="2" name="TextBox 1"/>
        <xdr:cNvSpPr txBox="1"/>
      </xdr:nvSpPr>
      <xdr:spPr>
        <a:xfrm>
          <a:off x="8807450" y="2397125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oneCellAnchor>
  <xdr:oneCellAnchor>
    <xdr:from>
      <xdr:col>5</xdr:col>
      <xdr:colOff>368300</xdr:colOff>
      <xdr:row>1208</xdr:row>
      <xdr:rowOff>12700</xdr:rowOff>
    </xdr:from>
    <xdr:ext cx="596574" cy="264560"/>
    <xdr:sp macro="" textlink="">
      <xdr:nvSpPr>
        <xdr:cNvPr id="45" name="TextBox 44"/>
        <xdr:cNvSpPr txBox="1"/>
      </xdr:nvSpPr>
      <xdr:spPr>
        <a:xfrm>
          <a:off x="4552950" y="2398331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oneCellAnchor>
  <xdr:oneCellAnchor>
    <xdr:from>
      <xdr:col>3</xdr:col>
      <xdr:colOff>736600</xdr:colOff>
      <xdr:row>1206</xdr:row>
      <xdr:rowOff>190500</xdr:rowOff>
    </xdr:from>
    <xdr:ext cx="596574" cy="264560"/>
    <xdr:sp macro="" textlink="">
      <xdr:nvSpPr>
        <xdr:cNvPr id="46" name="TextBox 45"/>
        <xdr:cNvSpPr txBox="1"/>
      </xdr:nvSpPr>
      <xdr:spPr>
        <a:xfrm>
          <a:off x="3206750" y="2396172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B</a:t>
          </a:r>
        </a:p>
      </xdr:txBody>
    </xdr:sp>
    <xdr:clientData/>
  </xdr:oneCellAnchor>
  <xdr:oneCellAnchor>
    <xdr:from>
      <xdr:col>2</xdr:col>
      <xdr:colOff>260350</xdr:colOff>
      <xdr:row>1207</xdr:row>
      <xdr:rowOff>152400</xdr:rowOff>
    </xdr:from>
    <xdr:ext cx="596574" cy="264560"/>
    <xdr:sp macro="" textlink="">
      <xdr:nvSpPr>
        <xdr:cNvPr id="47" name="TextBox 46"/>
        <xdr:cNvSpPr txBox="1"/>
      </xdr:nvSpPr>
      <xdr:spPr>
        <a:xfrm>
          <a:off x="1841500" y="2397760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C</a:t>
          </a:r>
        </a:p>
      </xdr:txBody>
    </xdr:sp>
    <xdr:clientData/>
  </xdr:oneCellAnchor>
  <xdr:twoCellAnchor editAs="oneCell">
    <xdr:from>
      <xdr:col>0</xdr:col>
      <xdr:colOff>774700</xdr:colOff>
      <xdr:row>1237</xdr:row>
      <xdr:rowOff>120650</xdr:rowOff>
    </xdr:from>
    <xdr:to>
      <xdr:col>7</xdr:col>
      <xdr:colOff>351750</xdr:colOff>
      <xdr:row>1261</xdr:row>
      <xdr:rowOff>172387</xdr:rowOff>
    </xdr:to>
    <xdr:pic>
      <xdr:nvPicPr>
        <xdr:cNvPr id="48" name="Picture 47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4700" y="245649750"/>
          <a:ext cx="5400000" cy="47761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294550</xdr:colOff>
      <xdr:row>1262</xdr:row>
      <xdr:rowOff>96642</xdr:rowOff>
    </xdr:from>
    <xdr:to>
      <xdr:col>6</xdr:col>
      <xdr:colOff>111900</xdr:colOff>
      <xdr:row>1277</xdr:row>
      <xdr:rowOff>11398</xdr:rowOff>
    </xdr:to>
    <xdr:pic>
      <xdr:nvPicPr>
        <xdr:cNvPr id="49" name="Picture 48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5700" y="250546992"/>
          <a:ext cx="3240000" cy="28675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147032</xdr:colOff>
      <xdr:row>1244</xdr:row>
      <xdr:rowOff>5802</xdr:rowOff>
    </xdr:from>
    <xdr:to>
      <xdr:col>5</xdr:col>
      <xdr:colOff>208101</xdr:colOff>
      <xdr:row>1253</xdr:row>
      <xdr:rowOff>117491</xdr:rowOff>
    </xdr:to>
    <xdr:sp macro="" textlink="">
      <xdr:nvSpPr>
        <xdr:cNvPr id="50" name="Rectangle 49"/>
        <xdr:cNvSpPr/>
      </xdr:nvSpPr>
      <xdr:spPr>
        <a:xfrm rot="21067690">
          <a:off x="3512532" y="246912852"/>
          <a:ext cx="880219" cy="1883339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oneCellAnchor>
    <xdr:from>
      <xdr:col>3</xdr:col>
      <xdr:colOff>740426</xdr:colOff>
      <xdr:row>1245</xdr:row>
      <xdr:rowOff>185555</xdr:rowOff>
    </xdr:from>
    <xdr:ext cx="311496" cy="1213153"/>
    <xdr:sp macro="" textlink="">
      <xdr:nvSpPr>
        <xdr:cNvPr id="51" name="TextBox 50"/>
        <xdr:cNvSpPr txBox="1"/>
      </xdr:nvSpPr>
      <xdr:spPr>
        <a:xfrm rot="4912698">
          <a:off x="2759747" y="247740284"/>
          <a:ext cx="12131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 cap="none" spc="0">
              <a:ln w="0"/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Railway Track</a:t>
          </a:r>
        </a:p>
      </xdr:txBody>
    </xdr:sp>
    <xdr:clientData/>
  </xdr:oneCellAnchor>
  <xdr:twoCellAnchor>
    <xdr:from>
      <xdr:col>3</xdr:col>
      <xdr:colOff>419100</xdr:colOff>
      <xdr:row>1237</xdr:row>
      <xdr:rowOff>120650</xdr:rowOff>
    </xdr:from>
    <xdr:to>
      <xdr:col>4</xdr:col>
      <xdr:colOff>38100</xdr:colOff>
      <xdr:row>1254</xdr:row>
      <xdr:rowOff>25400</xdr:rowOff>
    </xdr:to>
    <xdr:cxnSp macro="">
      <xdr:nvCxnSpPr>
        <xdr:cNvPr id="5" name="Straight Connector 4"/>
        <xdr:cNvCxnSpPr/>
      </xdr:nvCxnSpPr>
      <xdr:spPr>
        <a:xfrm>
          <a:off x="2889250" y="245649750"/>
          <a:ext cx="514350" cy="3251200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692150</xdr:colOff>
      <xdr:row>1238</xdr:row>
      <xdr:rowOff>57150</xdr:rowOff>
    </xdr:from>
    <xdr:to>
      <xdr:col>4</xdr:col>
      <xdr:colOff>279400</xdr:colOff>
      <xdr:row>1254</xdr:row>
      <xdr:rowOff>31750</xdr:rowOff>
    </xdr:to>
    <xdr:cxnSp macro="">
      <xdr:nvCxnSpPr>
        <xdr:cNvPr id="52" name="Straight Connector 51"/>
        <xdr:cNvCxnSpPr/>
      </xdr:nvCxnSpPr>
      <xdr:spPr>
        <a:xfrm>
          <a:off x="3162300" y="245783100"/>
          <a:ext cx="482600" cy="3124200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660400</xdr:colOff>
      <xdr:row>1213</xdr:row>
      <xdr:rowOff>44450</xdr:rowOff>
    </xdr:from>
    <xdr:ext cx="1322606" cy="342786"/>
    <xdr:sp macro="" textlink="">
      <xdr:nvSpPr>
        <xdr:cNvPr id="54" name="TextBox 53"/>
        <xdr:cNvSpPr txBox="1"/>
      </xdr:nvSpPr>
      <xdr:spPr>
        <a:xfrm>
          <a:off x="2241550" y="240849150"/>
          <a:ext cx="132260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Railway Track</a:t>
          </a:r>
        </a:p>
      </xdr:txBody>
    </xdr:sp>
    <xdr:clientData/>
  </xdr:oneCellAnchor>
  <xdr:twoCellAnchor editAs="oneCell">
    <xdr:from>
      <xdr:col>10</xdr:col>
      <xdr:colOff>590550</xdr:colOff>
      <xdr:row>45</xdr:row>
      <xdr:rowOff>238125</xdr:rowOff>
    </xdr:from>
    <xdr:to>
      <xdr:col>20</xdr:col>
      <xdr:colOff>446778</xdr:colOff>
      <xdr:row>63</xdr:row>
      <xdr:rowOff>480324</xdr:rowOff>
    </xdr:to>
    <xdr:pic>
      <xdr:nvPicPr>
        <xdr:cNvPr id="53" name="Picture 52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25635" t="12028" r="28618" b="6840"/>
        <a:stretch/>
      </xdr:blipFill>
      <xdr:spPr>
        <a:xfrm>
          <a:off x="9305925" y="10515600"/>
          <a:ext cx="5952228" cy="5934974"/>
        </a:xfrm>
        <a:prstGeom prst="rect">
          <a:avLst/>
        </a:prstGeom>
      </xdr:spPr>
    </xdr:pic>
    <xdr:clientData/>
  </xdr:twoCellAnchor>
  <xdr:twoCellAnchor>
    <xdr:from>
      <xdr:col>0</xdr:col>
      <xdr:colOff>298450</xdr:colOff>
      <xdr:row>1159</xdr:row>
      <xdr:rowOff>88900</xdr:rowOff>
    </xdr:from>
    <xdr:to>
      <xdr:col>7</xdr:col>
      <xdr:colOff>845167</xdr:colOff>
      <xdr:row>1197</xdr:row>
      <xdr:rowOff>133350</xdr:rowOff>
    </xdr:to>
    <xdr:grpSp>
      <xdr:nvGrpSpPr>
        <xdr:cNvPr id="4" name="Group 3"/>
        <xdr:cNvGrpSpPr/>
      </xdr:nvGrpSpPr>
      <xdr:grpSpPr>
        <a:xfrm>
          <a:off x="298450" y="231222550"/>
          <a:ext cx="6369667" cy="7518400"/>
          <a:chOff x="298450" y="231089200"/>
          <a:chExt cx="6369667" cy="7518400"/>
        </a:xfrm>
      </xdr:grpSpPr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90414" y="236941090"/>
            <a:ext cx="1618313" cy="166651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90414" y="2310892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450" y="234105145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71838" y="234105145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1926" y="23108920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45226" y="234105145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2794" y="236941090"/>
            <a:ext cx="1618313" cy="166651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21604" y="236941090"/>
            <a:ext cx="1618313" cy="166651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QkBftEYTj9UZviR9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80"/>
  <sheetViews>
    <sheetView tabSelected="1" view="pageBreakPreview" topLeftCell="A6" zoomScaleNormal="100" zoomScaleSheetLayoutView="100" zoomScalePageLayoutView="95" workbookViewId="0">
      <selection activeCell="E9" sqref="E9:H9"/>
    </sheetView>
  </sheetViews>
  <sheetFormatPr defaultColWidth="9.1796875" defaultRowHeight="15.5" x14ac:dyDescent="0.35"/>
  <cols>
    <col min="1" max="1" width="11.453125" style="58" customWidth="1"/>
    <col min="2" max="2" width="11.1796875" style="58" customWidth="1"/>
    <col min="3" max="3" width="12.7265625" style="58" customWidth="1"/>
    <col min="4" max="4" width="12.81640625" style="58" customWidth="1"/>
    <col min="5" max="7" width="11.7265625" style="58" customWidth="1"/>
    <col min="8" max="8" width="17.1796875" style="58" customWidth="1"/>
    <col min="9" max="9" width="20.453125" style="31" customWidth="1"/>
    <col min="10" max="10" width="9.81640625" style="31" customWidth="1"/>
    <col min="11" max="252" width="9.1796875" style="31"/>
    <col min="253" max="253" width="8.7265625" style="31" customWidth="1"/>
    <col min="254" max="254" width="9.81640625" style="31" customWidth="1"/>
    <col min="255" max="255" width="14.453125" style="31" customWidth="1"/>
    <col min="256" max="256" width="7.26953125" style="31" customWidth="1"/>
    <col min="257" max="257" width="5.54296875" style="31" customWidth="1"/>
    <col min="258" max="258" width="9" style="31" customWidth="1"/>
    <col min="259" max="260" width="9.81640625" style="31" customWidth="1"/>
    <col min="261" max="261" width="11.1796875" style="31" customWidth="1"/>
    <col min="262" max="262" width="2.81640625" style="31" customWidth="1"/>
    <col min="263" max="263" width="3.54296875" style="31" customWidth="1"/>
    <col min="264" max="508" width="9.1796875" style="31"/>
    <col min="509" max="509" width="8.7265625" style="31" customWidth="1"/>
    <col min="510" max="510" width="9.81640625" style="31" customWidth="1"/>
    <col min="511" max="511" width="14.453125" style="31" customWidth="1"/>
    <col min="512" max="512" width="7.26953125" style="31" customWidth="1"/>
    <col min="513" max="513" width="5.54296875" style="31" customWidth="1"/>
    <col min="514" max="514" width="9" style="31" customWidth="1"/>
    <col min="515" max="516" width="9.81640625" style="31" customWidth="1"/>
    <col min="517" max="517" width="11.1796875" style="31" customWidth="1"/>
    <col min="518" max="518" width="2.81640625" style="31" customWidth="1"/>
    <col min="519" max="519" width="3.54296875" style="31" customWidth="1"/>
    <col min="520" max="764" width="9.1796875" style="31"/>
    <col min="765" max="765" width="8.7265625" style="31" customWidth="1"/>
    <col min="766" max="766" width="9.81640625" style="31" customWidth="1"/>
    <col min="767" max="767" width="14.453125" style="31" customWidth="1"/>
    <col min="768" max="768" width="7.26953125" style="31" customWidth="1"/>
    <col min="769" max="769" width="5.54296875" style="31" customWidth="1"/>
    <col min="770" max="770" width="9" style="31" customWidth="1"/>
    <col min="771" max="772" width="9.81640625" style="31" customWidth="1"/>
    <col min="773" max="773" width="11.1796875" style="31" customWidth="1"/>
    <col min="774" max="774" width="2.81640625" style="31" customWidth="1"/>
    <col min="775" max="775" width="3.54296875" style="31" customWidth="1"/>
    <col min="776" max="1020" width="9.1796875" style="31"/>
    <col min="1021" max="1021" width="8.7265625" style="31" customWidth="1"/>
    <col min="1022" max="1022" width="9.81640625" style="31" customWidth="1"/>
    <col min="1023" max="1023" width="14.453125" style="31" customWidth="1"/>
    <col min="1024" max="1024" width="7.26953125" style="31" customWidth="1"/>
    <col min="1025" max="1025" width="5.54296875" style="31" customWidth="1"/>
    <col min="1026" max="1026" width="9" style="31" customWidth="1"/>
    <col min="1027" max="1028" width="9.81640625" style="31" customWidth="1"/>
    <col min="1029" max="1029" width="11.1796875" style="31" customWidth="1"/>
    <col min="1030" max="1030" width="2.81640625" style="31" customWidth="1"/>
    <col min="1031" max="1031" width="3.54296875" style="31" customWidth="1"/>
    <col min="1032" max="1276" width="9.1796875" style="31"/>
    <col min="1277" max="1277" width="8.7265625" style="31" customWidth="1"/>
    <col min="1278" max="1278" width="9.81640625" style="31" customWidth="1"/>
    <col min="1279" max="1279" width="14.453125" style="31" customWidth="1"/>
    <col min="1280" max="1280" width="7.26953125" style="31" customWidth="1"/>
    <col min="1281" max="1281" width="5.54296875" style="31" customWidth="1"/>
    <col min="1282" max="1282" width="9" style="31" customWidth="1"/>
    <col min="1283" max="1284" width="9.81640625" style="31" customWidth="1"/>
    <col min="1285" max="1285" width="11.1796875" style="31" customWidth="1"/>
    <col min="1286" max="1286" width="2.81640625" style="31" customWidth="1"/>
    <col min="1287" max="1287" width="3.54296875" style="31" customWidth="1"/>
    <col min="1288" max="1532" width="9.1796875" style="31"/>
    <col min="1533" max="1533" width="8.7265625" style="31" customWidth="1"/>
    <col min="1534" max="1534" width="9.81640625" style="31" customWidth="1"/>
    <col min="1535" max="1535" width="14.453125" style="31" customWidth="1"/>
    <col min="1536" max="1536" width="7.26953125" style="31" customWidth="1"/>
    <col min="1537" max="1537" width="5.54296875" style="31" customWidth="1"/>
    <col min="1538" max="1538" width="9" style="31" customWidth="1"/>
    <col min="1539" max="1540" width="9.81640625" style="31" customWidth="1"/>
    <col min="1541" max="1541" width="11.1796875" style="31" customWidth="1"/>
    <col min="1542" max="1542" width="2.81640625" style="31" customWidth="1"/>
    <col min="1543" max="1543" width="3.54296875" style="31" customWidth="1"/>
    <col min="1544" max="1788" width="9.1796875" style="31"/>
    <col min="1789" max="1789" width="8.7265625" style="31" customWidth="1"/>
    <col min="1790" max="1790" width="9.81640625" style="31" customWidth="1"/>
    <col min="1791" max="1791" width="14.453125" style="31" customWidth="1"/>
    <col min="1792" max="1792" width="7.26953125" style="31" customWidth="1"/>
    <col min="1793" max="1793" width="5.54296875" style="31" customWidth="1"/>
    <col min="1794" max="1794" width="9" style="31" customWidth="1"/>
    <col min="1795" max="1796" width="9.81640625" style="31" customWidth="1"/>
    <col min="1797" max="1797" width="11.1796875" style="31" customWidth="1"/>
    <col min="1798" max="1798" width="2.81640625" style="31" customWidth="1"/>
    <col min="1799" max="1799" width="3.54296875" style="31" customWidth="1"/>
    <col min="1800" max="2044" width="9.1796875" style="31"/>
    <col min="2045" max="2045" width="8.7265625" style="31" customWidth="1"/>
    <col min="2046" max="2046" width="9.81640625" style="31" customWidth="1"/>
    <col min="2047" max="2047" width="14.453125" style="31" customWidth="1"/>
    <col min="2048" max="2048" width="7.26953125" style="31" customWidth="1"/>
    <col min="2049" max="2049" width="5.54296875" style="31" customWidth="1"/>
    <col min="2050" max="2050" width="9" style="31" customWidth="1"/>
    <col min="2051" max="2052" width="9.81640625" style="31" customWidth="1"/>
    <col min="2053" max="2053" width="11.1796875" style="31" customWidth="1"/>
    <col min="2054" max="2054" width="2.81640625" style="31" customWidth="1"/>
    <col min="2055" max="2055" width="3.54296875" style="31" customWidth="1"/>
    <col min="2056" max="2300" width="9.1796875" style="31"/>
    <col min="2301" max="2301" width="8.7265625" style="31" customWidth="1"/>
    <col min="2302" max="2302" width="9.81640625" style="31" customWidth="1"/>
    <col min="2303" max="2303" width="14.453125" style="31" customWidth="1"/>
    <col min="2304" max="2304" width="7.26953125" style="31" customWidth="1"/>
    <col min="2305" max="2305" width="5.54296875" style="31" customWidth="1"/>
    <col min="2306" max="2306" width="9" style="31" customWidth="1"/>
    <col min="2307" max="2308" width="9.81640625" style="31" customWidth="1"/>
    <col min="2309" max="2309" width="11.1796875" style="31" customWidth="1"/>
    <col min="2310" max="2310" width="2.81640625" style="31" customWidth="1"/>
    <col min="2311" max="2311" width="3.54296875" style="31" customWidth="1"/>
    <col min="2312" max="2556" width="9.1796875" style="31"/>
    <col min="2557" max="2557" width="8.7265625" style="31" customWidth="1"/>
    <col min="2558" max="2558" width="9.81640625" style="31" customWidth="1"/>
    <col min="2559" max="2559" width="14.453125" style="31" customWidth="1"/>
    <col min="2560" max="2560" width="7.26953125" style="31" customWidth="1"/>
    <col min="2561" max="2561" width="5.54296875" style="31" customWidth="1"/>
    <col min="2562" max="2562" width="9" style="31" customWidth="1"/>
    <col min="2563" max="2564" width="9.81640625" style="31" customWidth="1"/>
    <col min="2565" max="2565" width="11.1796875" style="31" customWidth="1"/>
    <col min="2566" max="2566" width="2.81640625" style="31" customWidth="1"/>
    <col min="2567" max="2567" width="3.54296875" style="31" customWidth="1"/>
    <col min="2568" max="2812" width="9.1796875" style="31"/>
    <col min="2813" max="2813" width="8.7265625" style="31" customWidth="1"/>
    <col min="2814" max="2814" width="9.81640625" style="31" customWidth="1"/>
    <col min="2815" max="2815" width="14.453125" style="31" customWidth="1"/>
    <col min="2816" max="2816" width="7.26953125" style="31" customWidth="1"/>
    <col min="2817" max="2817" width="5.54296875" style="31" customWidth="1"/>
    <col min="2818" max="2818" width="9" style="31" customWidth="1"/>
    <col min="2819" max="2820" width="9.81640625" style="31" customWidth="1"/>
    <col min="2821" max="2821" width="11.1796875" style="31" customWidth="1"/>
    <col min="2822" max="2822" width="2.81640625" style="31" customWidth="1"/>
    <col min="2823" max="2823" width="3.54296875" style="31" customWidth="1"/>
    <col min="2824" max="3068" width="9.1796875" style="31"/>
    <col min="3069" max="3069" width="8.7265625" style="31" customWidth="1"/>
    <col min="3070" max="3070" width="9.81640625" style="31" customWidth="1"/>
    <col min="3071" max="3071" width="14.453125" style="31" customWidth="1"/>
    <col min="3072" max="3072" width="7.26953125" style="31" customWidth="1"/>
    <col min="3073" max="3073" width="5.54296875" style="31" customWidth="1"/>
    <col min="3074" max="3074" width="9" style="31" customWidth="1"/>
    <col min="3075" max="3076" width="9.81640625" style="31" customWidth="1"/>
    <col min="3077" max="3077" width="11.1796875" style="31" customWidth="1"/>
    <col min="3078" max="3078" width="2.81640625" style="31" customWidth="1"/>
    <col min="3079" max="3079" width="3.54296875" style="31" customWidth="1"/>
    <col min="3080" max="3324" width="9.1796875" style="31"/>
    <col min="3325" max="3325" width="8.7265625" style="31" customWidth="1"/>
    <col min="3326" max="3326" width="9.81640625" style="31" customWidth="1"/>
    <col min="3327" max="3327" width="14.453125" style="31" customWidth="1"/>
    <col min="3328" max="3328" width="7.26953125" style="31" customWidth="1"/>
    <col min="3329" max="3329" width="5.54296875" style="31" customWidth="1"/>
    <col min="3330" max="3330" width="9" style="31" customWidth="1"/>
    <col min="3331" max="3332" width="9.81640625" style="31" customWidth="1"/>
    <col min="3333" max="3333" width="11.1796875" style="31" customWidth="1"/>
    <col min="3334" max="3334" width="2.81640625" style="31" customWidth="1"/>
    <col min="3335" max="3335" width="3.54296875" style="31" customWidth="1"/>
    <col min="3336" max="3580" width="9.1796875" style="31"/>
    <col min="3581" max="3581" width="8.7265625" style="31" customWidth="1"/>
    <col min="3582" max="3582" width="9.81640625" style="31" customWidth="1"/>
    <col min="3583" max="3583" width="14.453125" style="31" customWidth="1"/>
    <col min="3584" max="3584" width="7.26953125" style="31" customWidth="1"/>
    <col min="3585" max="3585" width="5.54296875" style="31" customWidth="1"/>
    <col min="3586" max="3586" width="9" style="31" customWidth="1"/>
    <col min="3587" max="3588" width="9.81640625" style="31" customWidth="1"/>
    <col min="3589" max="3589" width="11.1796875" style="31" customWidth="1"/>
    <col min="3590" max="3590" width="2.81640625" style="31" customWidth="1"/>
    <col min="3591" max="3591" width="3.54296875" style="31" customWidth="1"/>
    <col min="3592" max="3836" width="9.1796875" style="31"/>
    <col min="3837" max="3837" width="8.7265625" style="31" customWidth="1"/>
    <col min="3838" max="3838" width="9.81640625" style="31" customWidth="1"/>
    <col min="3839" max="3839" width="14.453125" style="31" customWidth="1"/>
    <col min="3840" max="3840" width="7.26953125" style="31" customWidth="1"/>
    <col min="3841" max="3841" width="5.54296875" style="31" customWidth="1"/>
    <col min="3842" max="3842" width="9" style="31" customWidth="1"/>
    <col min="3843" max="3844" width="9.81640625" style="31" customWidth="1"/>
    <col min="3845" max="3845" width="11.1796875" style="31" customWidth="1"/>
    <col min="3846" max="3846" width="2.81640625" style="31" customWidth="1"/>
    <col min="3847" max="3847" width="3.54296875" style="31" customWidth="1"/>
    <col min="3848" max="4092" width="9.1796875" style="31"/>
    <col min="4093" max="4093" width="8.7265625" style="31" customWidth="1"/>
    <col min="4094" max="4094" width="9.81640625" style="31" customWidth="1"/>
    <col min="4095" max="4095" width="14.453125" style="31" customWidth="1"/>
    <col min="4096" max="4096" width="7.26953125" style="31" customWidth="1"/>
    <col min="4097" max="4097" width="5.54296875" style="31" customWidth="1"/>
    <col min="4098" max="4098" width="9" style="31" customWidth="1"/>
    <col min="4099" max="4100" width="9.81640625" style="31" customWidth="1"/>
    <col min="4101" max="4101" width="11.1796875" style="31" customWidth="1"/>
    <col min="4102" max="4102" width="2.81640625" style="31" customWidth="1"/>
    <col min="4103" max="4103" width="3.54296875" style="31" customWidth="1"/>
    <col min="4104" max="4348" width="9.1796875" style="31"/>
    <col min="4349" max="4349" width="8.7265625" style="31" customWidth="1"/>
    <col min="4350" max="4350" width="9.81640625" style="31" customWidth="1"/>
    <col min="4351" max="4351" width="14.453125" style="31" customWidth="1"/>
    <col min="4352" max="4352" width="7.26953125" style="31" customWidth="1"/>
    <col min="4353" max="4353" width="5.54296875" style="31" customWidth="1"/>
    <col min="4354" max="4354" width="9" style="31" customWidth="1"/>
    <col min="4355" max="4356" width="9.81640625" style="31" customWidth="1"/>
    <col min="4357" max="4357" width="11.1796875" style="31" customWidth="1"/>
    <col min="4358" max="4358" width="2.81640625" style="31" customWidth="1"/>
    <col min="4359" max="4359" width="3.54296875" style="31" customWidth="1"/>
    <col min="4360" max="4604" width="9.1796875" style="31"/>
    <col min="4605" max="4605" width="8.7265625" style="31" customWidth="1"/>
    <col min="4606" max="4606" width="9.81640625" style="31" customWidth="1"/>
    <col min="4607" max="4607" width="14.453125" style="31" customWidth="1"/>
    <col min="4608" max="4608" width="7.26953125" style="31" customWidth="1"/>
    <col min="4609" max="4609" width="5.54296875" style="31" customWidth="1"/>
    <col min="4610" max="4610" width="9" style="31" customWidth="1"/>
    <col min="4611" max="4612" width="9.81640625" style="31" customWidth="1"/>
    <col min="4613" max="4613" width="11.1796875" style="31" customWidth="1"/>
    <col min="4614" max="4614" width="2.81640625" style="31" customWidth="1"/>
    <col min="4615" max="4615" width="3.54296875" style="31" customWidth="1"/>
    <col min="4616" max="4860" width="9.1796875" style="31"/>
    <col min="4861" max="4861" width="8.7265625" style="31" customWidth="1"/>
    <col min="4862" max="4862" width="9.81640625" style="31" customWidth="1"/>
    <col min="4863" max="4863" width="14.453125" style="31" customWidth="1"/>
    <col min="4864" max="4864" width="7.26953125" style="31" customWidth="1"/>
    <col min="4865" max="4865" width="5.54296875" style="31" customWidth="1"/>
    <col min="4866" max="4866" width="9" style="31" customWidth="1"/>
    <col min="4867" max="4868" width="9.81640625" style="31" customWidth="1"/>
    <col min="4869" max="4869" width="11.1796875" style="31" customWidth="1"/>
    <col min="4870" max="4870" width="2.81640625" style="31" customWidth="1"/>
    <col min="4871" max="4871" width="3.54296875" style="31" customWidth="1"/>
    <col min="4872" max="5116" width="9.1796875" style="31"/>
    <col min="5117" max="5117" width="8.7265625" style="31" customWidth="1"/>
    <col min="5118" max="5118" width="9.81640625" style="31" customWidth="1"/>
    <col min="5119" max="5119" width="14.453125" style="31" customWidth="1"/>
    <col min="5120" max="5120" width="7.26953125" style="31" customWidth="1"/>
    <col min="5121" max="5121" width="5.54296875" style="31" customWidth="1"/>
    <col min="5122" max="5122" width="9" style="31" customWidth="1"/>
    <col min="5123" max="5124" width="9.81640625" style="31" customWidth="1"/>
    <col min="5125" max="5125" width="11.1796875" style="31" customWidth="1"/>
    <col min="5126" max="5126" width="2.81640625" style="31" customWidth="1"/>
    <col min="5127" max="5127" width="3.54296875" style="31" customWidth="1"/>
    <col min="5128" max="5372" width="9.1796875" style="31"/>
    <col min="5373" max="5373" width="8.7265625" style="31" customWidth="1"/>
    <col min="5374" max="5374" width="9.81640625" style="31" customWidth="1"/>
    <col min="5375" max="5375" width="14.453125" style="31" customWidth="1"/>
    <col min="5376" max="5376" width="7.26953125" style="31" customWidth="1"/>
    <col min="5377" max="5377" width="5.54296875" style="31" customWidth="1"/>
    <col min="5378" max="5378" width="9" style="31" customWidth="1"/>
    <col min="5379" max="5380" width="9.81640625" style="31" customWidth="1"/>
    <col min="5381" max="5381" width="11.1796875" style="31" customWidth="1"/>
    <col min="5382" max="5382" width="2.81640625" style="31" customWidth="1"/>
    <col min="5383" max="5383" width="3.54296875" style="31" customWidth="1"/>
    <col min="5384" max="5628" width="9.1796875" style="31"/>
    <col min="5629" max="5629" width="8.7265625" style="31" customWidth="1"/>
    <col min="5630" max="5630" width="9.81640625" style="31" customWidth="1"/>
    <col min="5631" max="5631" width="14.453125" style="31" customWidth="1"/>
    <col min="5632" max="5632" width="7.26953125" style="31" customWidth="1"/>
    <col min="5633" max="5633" width="5.54296875" style="31" customWidth="1"/>
    <col min="5634" max="5634" width="9" style="31" customWidth="1"/>
    <col min="5635" max="5636" width="9.81640625" style="31" customWidth="1"/>
    <col min="5637" max="5637" width="11.1796875" style="31" customWidth="1"/>
    <col min="5638" max="5638" width="2.81640625" style="31" customWidth="1"/>
    <col min="5639" max="5639" width="3.54296875" style="31" customWidth="1"/>
    <col min="5640" max="5884" width="9.1796875" style="31"/>
    <col min="5885" max="5885" width="8.7265625" style="31" customWidth="1"/>
    <col min="5886" max="5886" width="9.81640625" style="31" customWidth="1"/>
    <col min="5887" max="5887" width="14.453125" style="31" customWidth="1"/>
    <col min="5888" max="5888" width="7.26953125" style="31" customWidth="1"/>
    <col min="5889" max="5889" width="5.54296875" style="31" customWidth="1"/>
    <col min="5890" max="5890" width="9" style="31" customWidth="1"/>
    <col min="5891" max="5892" width="9.81640625" style="31" customWidth="1"/>
    <col min="5893" max="5893" width="11.1796875" style="31" customWidth="1"/>
    <col min="5894" max="5894" width="2.81640625" style="31" customWidth="1"/>
    <col min="5895" max="5895" width="3.54296875" style="31" customWidth="1"/>
    <col min="5896" max="6140" width="9.1796875" style="31"/>
    <col min="6141" max="6141" width="8.7265625" style="31" customWidth="1"/>
    <col min="6142" max="6142" width="9.81640625" style="31" customWidth="1"/>
    <col min="6143" max="6143" width="14.453125" style="31" customWidth="1"/>
    <col min="6144" max="6144" width="7.26953125" style="31" customWidth="1"/>
    <col min="6145" max="6145" width="5.54296875" style="31" customWidth="1"/>
    <col min="6146" max="6146" width="9" style="31" customWidth="1"/>
    <col min="6147" max="6148" width="9.81640625" style="31" customWidth="1"/>
    <col min="6149" max="6149" width="11.1796875" style="31" customWidth="1"/>
    <col min="6150" max="6150" width="2.81640625" style="31" customWidth="1"/>
    <col min="6151" max="6151" width="3.54296875" style="31" customWidth="1"/>
    <col min="6152" max="6396" width="9.1796875" style="31"/>
    <col min="6397" max="6397" width="8.7265625" style="31" customWidth="1"/>
    <col min="6398" max="6398" width="9.81640625" style="31" customWidth="1"/>
    <col min="6399" max="6399" width="14.453125" style="31" customWidth="1"/>
    <col min="6400" max="6400" width="7.26953125" style="31" customWidth="1"/>
    <col min="6401" max="6401" width="5.54296875" style="31" customWidth="1"/>
    <col min="6402" max="6402" width="9" style="31" customWidth="1"/>
    <col min="6403" max="6404" width="9.81640625" style="31" customWidth="1"/>
    <col min="6405" max="6405" width="11.1796875" style="31" customWidth="1"/>
    <col min="6406" max="6406" width="2.81640625" style="31" customWidth="1"/>
    <col min="6407" max="6407" width="3.54296875" style="31" customWidth="1"/>
    <col min="6408" max="6652" width="9.1796875" style="31"/>
    <col min="6653" max="6653" width="8.7265625" style="31" customWidth="1"/>
    <col min="6654" max="6654" width="9.81640625" style="31" customWidth="1"/>
    <col min="6655" max="6655" width="14.453125" style="31" customWidth="1"/>
    <col min="6656" max="6656" width="7.26953125" style="31" customWidth="1"/>
    <col min="6657" max="6657" width="5.54296875" style="31" customWidth="1"/>
    <col min="6658" max="6658" width="9" style="31" customWidth="1"/>
    <col min="6659" max="6660" width="9.81640625" style="31" customWidth="1"/>
    <col min="6661" max="6661" width="11.1796875" style="31" customWidth="1"/>
    <col min="6662" max="6662" width="2.81640625" style="31" customWidth="1"/>
    <col min="6663" max="6663" width="3.54296875" style="31" customWidth="1"/>
    <col min="6664" max="6908" width="9.1796875" style="31"/>
    <col min="6909" max="6909" width="8.7265625" style="31" customWidth="1"/>
    <col min="6910" max="6910" width="9.81640625" style="31" customWidth="1"/>
    <col min="6911" max="6911" width="14.453125" style="31" customWidth="1"/>
    <col min="6912" max="6912" width="7.26953125" style="31" customWidth="1"/>
    <col min="6913" max="6913" width="5.54296875" style="31" customWidth="1"/>
    <col min="6914" max="6914" width="9" style="31" customWidth="1"/>
    <col min="6915" max="6916" width="9.81640625" style="31" customWidth="1"/>
    <col min="6917" max="6917" width="11.1796875" style="31" customWidth="1"/>
    <col min="6918" max="6918" width="2.81640625" style="31" customWidth="1"/>
    <col min="6919" max="6919" width="3.54296875" style="31" customWidth="1"/>
    <col min="6920" max="7164" width="9.1796875" style="31"/>
    <col min="7165" max="7165" width="8.7265625" style="31" customWidth="1"/>
    <col min="7166" max="7166" width="9.81640625" style="31" customWidth="1"/>
    <col min="7167" max="7167" width="14.453125" style="31" customWidth="1"/>
    <col min="7168" max="7168" width="7.26953125" style="31" customWidth="1"/>
    <col min="7169" max="7169" width="5.54296875" style="31" customWidth="1"/>
    <col min="7170" max="7170" width="9" style="31" customWidth="1"/>
    <col min="7171" max="7172" width="9.81640625" style="31" customWidth="1"/>
    <col min="7173" max="7173" width="11.1796875" style="31" customWidth="1"/>
    <col min="7174" max="7174" width="2.81640625" style="31" customWidth="1"/>
    <col min="7175" max="7175" width="3.54296875" style="31" customWidth="1"/>
    <col min="7176" max="7420" width="9.1796875" style="31"/>
    <col min="7421" max="7421" width="8.7265625" style="31" customWidth="1"/>
    <col min="7422" max="7422" width="9.81640625" style="31" customWidth="1"/>
    <col min="7423" max="7423" width="14.453125" style="31" customWidth="1"/>
    <col min="7424" max="7424" width="7.26953125" style="31" customWidth="1"/>
    <col min="7425" max="7425" width="5.54296875" style="31" customWidth="1"/>
    <col min="7426" max="7426" width="9" style="31" customWidth="1"/>
    <col min="7427" max="7428" width="9.81640625" style="31" customWidth="1"/>
    <col min="7429" max="7429" width="11.1796875" style="31" customWidth="1"/>
    <col min="7430" max="7430" width="2.81640625" style="31" customWidth="1"/>
    <col min="7431" max="7431" width="3.54296875" style="31" customWidth="1"/>
    <col min="7432" max="7676" width="9.1796875" style="31"/>
    <col min="7677" max="7677" width="8.7265625" style="31" customWidth="1"/>
    <col min="7678" max="7678" width="9.81640625" style="31" customWidth="1"/>
    <col min="7679" max="7679" width="14.453125" style="31" customWidth="1"/>
    <col min="7680" max="7680" width="7.26953125" style="31" customWidth="1"/>
    <col min="7681" max="7681" width="5.54296875" style="31" customWidth="1"/>
    <col min="7682" max="7682" width="9" style="31" customWidth="1"/>
    <col min="7683" max="7684" width="9.81640625" style="31" customWidth="1"/>
    <col min="7685" max="7685" width="11.1796875" style="31" customWidth="1"/>
    <col min="7686" max="7686" width="2.81640625" style="31" customWidth="1"/>
    <col min="7687" max="7687" width="3.54296875" style="31" customWidth="1"/>
    <col min="7688" max="7932" width="9.1796875" style="31"/>
    <col min="7933" max="7933" width="8.7265625" style="31" customWidth="1"/>
    <col min="7934" max="7934" width="9.81640625" style="31" customWidth="1"/>
    <col min="7935" max="7935" width="14.453125" style="31" customWidth="1"/>
    <col min="7936" max="7936" width="7.26953125" style="31" customWidth="1"/>
    <col min="7937" max="7937" width="5.54296875" style="31" customWidth="1"/>
    <col min="7938" max="7938" width="9" style="31" customWidth="1"/>
    <col min="7939" max="7940" width="9.81640625" style="31" customWidth="1"/>
    <col min="7941" max="7941" width="11.1796875" style="31" customWidth="1"/>
    <col min="7942" max="7942" width="2.81640625" style="31" customWidth="1"/>
    <col min="7943" max="7943" width="3.54296875" style="31" customWidth="1"/>
    <col min="7944" max="8188" width="9.1796875" style="31"/>
    <col min="8189" max="8189" width="8.7265625" style="31" customWidth="1"/>
    <col min="8190" max="8190" width="9.81640625" style="31" customWidth="1"/>
    <col min="8191" max="8191" width="14.453125" style="31" customWidth="1"/>
    <col min="8192" max="8192" width="7.26953125" style="31" customWidth="1"/>
    <col min="8193" max="8193" width="5.54296875" style="31" customWidth="1"/>
    <col min="8194" max="8194" width="9" style="31" customWidth="1"/>
    <col min="8195" max="8196" width="9.81640625" style="31" customWidth="1"/>
    <col min="8197" max="8197" width="11.1796875" style="31" customWidth="1"/>
    <col min="8198" max="8198" width="2.81640625" style="31" customWidth="1"/>
    <col min="8199" max="8199" width="3.54296875" style="31" customWidth="1"/>
    <col min="8200" max="8444" width="9.1796875" style="31"/>
    <col min="8445" max="8445" width="8.7265625" style="31" customWidth="1"/>
    <col min="8446" max="8446" width="9.81640625" style="31" customWidth="1"/>
    <col min="8447" max="8447" width="14.453125" style="31" customWidth="1"/>
    <col min="8448" max="8448" width="7.26953125" style="31" customWidth="1"/>
    <col min="8449" max="8449" width="5.54296875" style="31" customWidth="1"/>
    <col min="8450" max="8450" width="9" style="31" customWidth="1"/>
    <col min="8451" max="8452" width="9.81640625" style="31" customWidth="1"/>
    <col min="8453" max="8453" width="11.1796875" style="31" customWidth="1"/>
    <col min="8454" max="8454" width="2.81640625" style="31" customWidth="1"/>
    <col min="8455" max="8455" width="3.54296875" style="31" customWidth="1"/>
    <col min="8456" max="8700" width="9.1796875" style="31"/>
    <col min="8701" max="8701" width="8.7265625" style="31" customWidth="1"/>
    <col min="8702" max="8702" width="9.81640625" style="31" customWidth="1"/>
    <col min="8703" max="8703" width="14.453125" style="31" customWidth="1"/>
    <col min="8704" max="8704" width="7.26953125" style="31" customWidth="1"/>
    <col min="8705" max="8705" width="5.54296875" style="31" customWidth="1"/>
    <col min="8706" max="8706" width="9" style="31" customWidth="1"/>
    <col min="8707" max="8708" width="9.81640625" style="31" customWidth="1"/>
    <col min="8709" max="8709" width="11.1796875" style="31" customWidth="1"/>
    <col min="8710" max="8710" width="2.81640625" style="31" customWidth="1"/>
    <col min="8711" max="8711" width="3.54296875" style="31" customWidth="1"/>
    <col min="8712" max="8956" width="9.1796875" style="31"/>
    <col min="8957" max="8957" width="8.7265625" style="31" customWidth="1"/>
    <col min="8958" max="8958" width="9.81640625" style="31" customWidth="1"/>
    <col min="8959" max="8959" width="14.453125" style="31" customWidth="1"/>
    <col min="8960" max="8960" width="7.26953125" style="31" customWidth="1"/>
    <col min="8961" max="8961" width="5.54296875" style="31" customWidth="1"/>
    <col min="8962" max="8962" width="9" style="31" customWidth="1"/>
    <col min="8963" max="8964" width="9.81640625" style="31" customWidth="1"/>
    <col min="8965" max="8965" width="11.1796875" style="31" customWidth="1"/>
    <col min="8966" max="8966" width="2.81640625" style="31" customWidth="1"/>
    <col min="8967" max="8967" width="3.54296875" style="31" customWidth="1"/>
    <col min="8968" max="9212" width="9.1796875" style="31"/>
    <col min="9213" max="9213" width="8.7265625" style="31" customWidth="1"/>
    <col min="9214" max="9214" width="9.81640625" style="31" customWidth="1"/>
    <col min="9215" max="9215" width="14.453125" style="31" customWidth="1"/>
    <col min="9216" max="9216" width="7.26953125" style="31" customWidth="1"/>
    <col min="9217" max="9217" width="5.54296875" style="31" customWidth="1"/>
    <col min="9218" max="9218" width="9" style="31" customWidth="1"/>
    <col min="9219" max="9220" width="9.81640625" style="31" customWidth="1"/>
    <col min="9221" max="9221" width="11.1796875" style="31" customWidth="1"/>
    <col min="9222" max="9222" width="2.81640625" style="31" customWidth="1"/>
    <col min="9223" max="9223" width="3.54296875" style="31" customWidth="1"/>
    <col min="9224" max="9468" width="9.1796875" style="31"/>
    <col min="9469" max="9469" width="8.7265625" style="31" customWidth="1"/>
    <col min="9470" max="9470" width="9.81640625" style="31" customWidth="1"/>
    <col min="9471" max="9471" width="14.453125" style="31" customWidth="1"/>
    <col min="9472" max="9472" width="7.26953125" style="31" customWidth="1"/>
    <col min="9473" max="9473" width="5.54296875" style="31" customWidth="1"/>
    <col min="9474" max="9474" width="9" style="31" customWidth="1"/>
    <col min="9475" max="9476" width="9.81640625" style="31" customWidth="1"/>
    <col min="9477" max="9477" width="11.1796875" style="31" customWidth="1"/>
    <col min="9478" max="9478" width="2.81640625" style="31" customWidth="1"/>
    <col min="9479" max="9479" width="3.54296875" style="31" customWidth="1"/>
    <col min="9480" max="9724" width="9.1796875" style="31"/>
    <col min="9725" max="9725" width="8.7265625" style="31" customWidth="1"/>
    <col min="9726" max="9726" width="9.81640625" style="31" customWidth="1"/>
    <col min="9727" max="9727" width="14.453125" style="31" customWidth="1"/>
    <col min="9728" max="9728" width="7.26953125" style="31" customWidth="1"/>
    <col min="9729" max="9729" width="5.54296875" style="31" customWidth="1"/>
    <col min="9730" max="9730" width="9" style="31" customWidth="1"/>
    <col min="9731" max="9732" width="9.81640625" style="31" customWidth="1"/>
    <col min="9733" max="9733" width="11.1796875" style="31" customWidth="1"/>
    <col min="9734" max="9734" width="2.81640625" style="31" customWidth="1"/>
    <col min="9735" max="9735" width="3.54296875" style="31" customWidth="1"/>
    <col min="9736" max="9980" width="9.1796875" style="31"/>
    <col min="9981" max="9981" width="8.7265625" style="31" customWidth="1"/>
    <col min="9982" max="9982" width="9.81640625" style="31" customWidth="1"/>
    <col min="9983" max="9983" width="14.453125" style="31" customWidth="1"/>
    <col min="9984" max="9984" width="7.26953125" style="31" customWidth="1"/>
    <col min="9985" max="9985" width="5.54296875" style="31" customWidth="1"/>
    <col min="9986" max="9986" width="9" style="31" customWidth="1"/>
    <col min="9987" max="9988" width="9.81640625" style="31" customWidth="1"/>
    <col min="9989" max="9989" width="11.1796875" style="31" customWidth="1"/>
    <col min="9990" max="9990" width="2.81640625" style="31" customWidth="1"/>
    <col min="9991" max="9991" width="3.54296875" style="31" customWidth="1"/>
    <col min="9992" max="10236" width="9.1796875" style="31"/>
    <col min="10237" max="10237" width="8.7265625" style="31" customWidth="1"/>
    <col min="10238" max="10238" width="9.81640625" style="31" customWidth="1"/>
    <col min="10239" max="10239" width="14.453125" style="31" customWidth="1"/>
    <col min="10240" max="10240" width="7.26953125" style="31" customWidth="1"/>
    <col min="10241" max="10241" width="5.54296875" style="31" customWidth="1"/>
    <col min="10242" max="10242" width="9" style="31" customWidth="1"/>
    <col min="10243" max="10244" width="9.81640625" style="31" customWidth="1"/>
    <col min="10245" max="10245" width="11.1796875" style="31" customWidth="1"/>
    <col min="10246" max="10246" width="2.81640625" style="31" customWidth="1"/>
    <col min="10247" max="10247" width="3.54296875" style="31" customWidth="1"/>
    <col min="10248" max="10492" width="9.1796875" style="31"/>
    <col min="10493" max="10493" width="8.7265625" style="31" customWidth="1"/>
    <col min="10494" max="10494" width="9.81640625" style="31" customWidth="1"/>
    <col min="10495" max="10495" width="14.453125" style="31" customWidth="1"/>
    <col min="10496" max="10496" width="7.26953125" style="31" customWidth="1"/>
    <col min="10497" max="10497" width="5.54296875" style="31" customWidth="1"/>
    <col min="10498" max="10498" width="9" style="31" customWidth="1"/>
    <col min="10499" max="10500" width="9.81640625" style="31" customWidth="1"/>
    <col min="10501" max="10501" width="11.1796875" style="31" customWidth="1"/>
    <col min="10502" max="10502" width="2.81640625" style="31" customWidth="1"/>
    <col min="10503" max="10503" width="3.54296875" style="31" customWidth="1"/>
    <col min="10504" max="10748" width="9.1796875" style="31"/>
    <col min="10749" max="10749" width="8.7265625" style="31" customWidth="1"/>
    <col min="10750" max="10750" width="9.81640625" style="31" customWidth="1"/>
    <col min="10751" max="10751" width="14.453125" style="31" customWidth="1"/>
    <col min="10752" max="10752" width="7.26953125" style="31" customWidth="1"/>
    <col min="10753" max="10753" width="5.54296875" style="31" customWidth="1"/>
    <col min="10754" max="10754" width="9" style="31" customWidth="1"/>
    <col min="10755" max="10756" width="9.81640625" style="31" customWidth="1"/>
    <col min="10757" max="10757" width="11.1796875" style="31" customWidth="1"/>
    <col min="10758" max="10758" width="2.81640625" style="31" customWidth="1"/>
    <col min="10759" max="10759" width="3.54296875" style="31" customWidth="1"/>
    <col min="10760" max="11004" width="9.1796875" style="31"/>
    <col min="11005" max="11005" width="8.7265625" style="31" customWidth="1"/>
    <col min="11006" max="11006" width="9.81640625" style="31" customWidth="1"/>
    <col min="11007" max="11007" width="14.453125" style="31" customWidth="1"/>
    <col min="11008" max="11008" width="7.26953125" style="31" customWidth="1"/>
    <col min="11009" max="11009" width="5.54296875" style="31" customWidth="1"/>
    <col min="11010" max="11010" width="9" style="31" customWidth="1"/>
    <col min="11011" max="11012" width="9.81640625" style="31" customWidth="1"/>
    <col min="11013" max="11013" width="11.1796875" style="31" customWidth="1"/>
    <col min="11014" max="11014" width="2.81640625" style="31" customWidth="1"/>
    <col min="11015" max="11015" width="3.54296875" style="31" customWidth="1"/>
    <col min="11016" max="11260" width="9.1796875" style="31"/>
    <col min="11261" max="11261" width="8.7265625" style="31" customWidth="1"/>
    <col min="11262" max="11262" width="9.81640625" style="31" customWidth="1"/>
    <col min="11263" max="11263" width="14.453125" style="31" customWidth="1"/>
    <col min="11264" max="11264" width="7.26953125" style="31" customWidth="1"/>
    <col min="11265" max="11265" width="5.54296875" style="31" customWidth="1"/>
    <col min="11266" max="11266" width="9" style="31" customWidth="1"/>
    <col min="11267" max="11268" width="9.81640625" style="31" customWidth="1"/>
    <col min="11269" max="11269" width="11.1796875" style="31" customWidth="1"/>
    <col min="11270" max="11270" width="2.81640625" style="31" customWidth="1"/>
    <col min="11271" max="11271" width="3.54296875" style="31" customWidth="1"/>
    <col min="11272" max="11516" width="9.1796875" style="31"/>
    <col min="11517" max="11517" width="8.7265625" style="31" customWidth="1"/>
    <col min="11518" max="11518" width="9.81640625" style="31" customWidth="1"/>
    <col min="11519" max="11519" width="14.453125" style="31" customWidth="1"/>
    <col min="11520" max="11520" width="7.26953125" style="31" customWidth="1"/>
    <col min="11521" max="11521" width="5.54296875" style="31" customWidth="1"/>
    <col min="11522" max="11522" width="9" style="31" customWidth="1"/>
    <col min="11523" max="11524" width="9.81640625" style="31" customWidth="1"/>
    <col min="11525" max="11525" width="11.1796875" style="31" customWidth="1"/>
    <col min="11526" max="11526" width="2.81640625" style="31" customWidth="1"/>
    <col min="11527" max="11527" width="3.54296875" style="31" customWidth="1"/>
    <col min="11528" max="11772" width="9.1796875" style="31"/>
    <col min="11773" max="11773" width="8.7265625" style="31" customWidth="1"/>
    <col min="11774" max="11774" width="9.81640625" style="31" customWidth="1"/>
    <col min="11775" max="11775" width="14.453125" style="31" customWidth="1"/>
    <col min="11776" max="11776" width="7.26953125" style="31" customWidth="1"/>
    <col min="11777" max="11777" width="5.54296875" style="31" customWidth="1"/>
    <col min="11778" max="11778" width="9" style="31" customWidth="1"/>
    <col min="11779" max="11780" width="9.81640625" style="31" customWidth="1"/>
    <col min="11781" max="11781" width="11.1796875" style="31" customWidth="1"/>
    <col min="11782" max="11782" width="2.81640625" style="31" customWidth="1"/>
    <col min="11783" max="11783" width="3.54296875" style="31" customWidth="1"/>
    <col min="11784" max="12028" width="9.1796875" style="31"/>
    <col min="12029" max="12029" width="8.7265625" style="31" customWidth="1"/>
    <col min="12030" max="12030" width="9.81640625" style="31" customWidth="1"/>
    <col min="12031" max="12031" width="14.453125" style="31" customWidth="1"/>
    <col min="12032" max="12032" width="7.26953125" style="31" customWidth="1"/>
    <col min="12033" max="12033" width="5.54296875" style="31" customWidth="1"/>
    <col min="12034" max="12034" width="9" style="31" customWidth="1"/>
    <col min="12035" max="12036" width="9.81640625" style="31" customWidth="1"/>
    <col min="12037" max="12037" width="11.1796875" style="31" customWidth="1"/>
    <col min="12038" max="12038" width="2.81640625" style="31" customWidth="1"/>
    <col min="12039" max="12039" width="3.54296875" style="31" customWidth="1"/>
    <col min="12040" max="12284" width="9.1796875" style="31"/>
    <col min="12285" max="12285" width="8.7265625" style="31" customWidth="1"/>
    <col min="12286" max="12286" width="9.81640625" style="31" customWidth="1"/>
    <col min="12287" max="12287" width="14.453125" style="31" customWidth="1"/>
    <col min="12288" max="12288" width="7.26953125" style="31" customWidth="1"/>
    <col min="12289" max="12289" width="5.54296875" style="31" customWidth="1"/>
    <col min="12290" max="12290" width="9" style="31" customWidth="1"/>
    <col min="12291" max="12292" width="9.81640625" style="31" customWidth="1"/>
    <col min="12293" max="12293" width="11.1796875" style="31" customWidth="1"/>
    <col min="12294" max="12294" width="2.81640625" style="31" customWidth="1"/>
    <col min="12295" max="12295" width="3.54296875" style="31" customWidth="1"/>
    <col min="12296" max="12540" width="9.1796875" style="31"/>
    <col min="12541" max="12541" width="8.7265625" style="31" customWidth="1"/>
    <col min="12542" max="12542" width="9.81640625" style="31" customWidth="1"/>
    <col min="12543" max="12543" width="14.453125" style="31" customWidth="1"/>
    <col min="12544" max="12544" width="7.26953125" style="31" customWidth="1"/>
    <col min="12545" max="12545" width="5.54296875" style="31" customWidth="1"/>
    <col min="12546" max="12546" width="9" style="31" customWidth="1"/>
    <col min="12547" max="12548" width="9.81640625" style="31" customWidth="1"/>
    <col min="12549" max="12549" width="11.1796875" style="31" customWidth="1"/>
    <col min="12550" max="12550" width="2.81640625" style="31" customWidth="1"/>
    <col min="12551" max="12551" width="3.54296875" style="31" customWidth="1"/>
    <col min="12552" max="12796" width="9.1796875" style="31"/>
    <col min="12797" max="12797" width="8.7265625" style="31" customWidth="1"/>
    <col min="12798" max="12798" width="9.81640625" style="31" customWidth="1"/>
    <col min="12799" max="12799" width="14.453125" style="31" customWidth="1"/>
    <col min="12800" max="12800" width="7.26953125" style="31" customWidth="1"/>
    <col min="12801" max="12801" width="5.54296875" style="31" customWidth="1"/>
    <col min="12802" max="12802" width="9" style="31" customWidth="1"/>
    <col min="12803" max="12804" width="9.81640625" style="31" customWidth="1"/>
    <col min="12805" max="12805" width="11.1796875" style="31" customWidth="1"/>
    <col min="12806" max="12806" width="2.81640625" style="31" customWidth="1"/>
    <col min="12807" max="12807" width="3.54296875" style="31" customWidth="1"/>
    <col min="12808" max="13052" width="9.1796875" style="31"/>
    <col min="13053" max="13053" width="8.7265625" style="31" customWidth="1"/>
    <col min="13054" max="13054" width="9.81640625" style="31" customWidth="1"/>
    <col min="13055" max="13055" width="14.453125" style="31" customWidth="1"/>
    <col min="13056" max="13056" width="7.26953125" style="31" customWidth="1"/>
    <col min="13057" max="13057" width="5.54296875" style="31" customWidth="1"/>
    <col min="13058" max="13058" width="9" style="31" customWidth="1"/>
    <col min="13059" max="13060" width="9.81640625" style="31" customWidth="1"/>
    <col min="13061" max="13061" width="11.1796875" style="31" customWidth="1"/>
    <col min="13062" max="13062" width="2.81640625" style="31" customWidth="1"/>
    <col min="13063" max="13063" width="3.54296875" style="31" customWidth="1"/>
    <col min="13064" max="13308" width="9.1796875" style="31"/>
    <col min="13309" max="13309" width="8.7265625" style="31" customWidth="1"/>
    <col min="13310" max="13310" width="9.81640625" style="31" customWidth="1"/>
    <col min="13311" max="13311" width="14.453125" style="31" customWidth="1"/>
    <col min="13312" max="13312" width="7.26953125" style="31" customWidth="1"/>
    <col min="13313" max="13313" width="5.54296875" style="31" customWidth="1"/>
    <col min="13314" max="13314" width="9" style="31" customWidth="1"/>
    <col min="13315" max="13316" width="9.81640625" style="31" customWidth="1"/>
    <col min="13317" max="13317" width="11.1796875" style="31" customWidth="1"/>
    <col min="13318" max="13318" width="2.81640625" style="31" customWidth="1"/>
    <col min="13319" max="13319" width="3.54296875" style="31" customWidth="1"/>
    <col min="13320" max="13564" width="9.1796875" style="31"/>
    <col min="13565" max="13565" width="8.7265625" style="31" customWidth="1"/>
    <col min="13566" max="13566" width="9.81640625" style="31" customWidth="1"/>
    <col min="13567" max="13567" width="14.453125" style="31" customWidth="1"/>
    <col min="13568" max="13568" width="7.26953125" style="31" customWidth="1"/>
    <col min="13569" max="13569" width="5.54296875" style="31" customWidth="1"/>
    <col min="13570" max="13570" width="9" style="31" customWidth="1"/>
    <col min="13571" max="13572" width="9.81640625" style="31" customWidth="1"/>
    <col min="13573" max="13573" width="11.1796875" style="31" customWidth="1"/>
    <col min="13574" max="13574" width="2.81640625" style="31" customWidth="1"/>
    <col min="13575" max="13575" width="3.54296875" style="31" customWidth="1"/>
    <col min="13576" max="13820" width="9.1796875" style="31"/>
    <col min="13821" max="13821" width="8.7265625" style="31" customWidth="1"/>
    <col min="13822" max="13822" width="9.81640625" style="31" customWidth="1"/>
    <col min="13823" max="13823" width="14.453125" style="31" customWidth="1"/>
    <col min="13824" max="13824" width="7.26953125" style="31" customWidth="1"/>
    <col min="13825" max="13825" width="5.54296875" style="31" customWidth="1"/>
    <col min="13826" max="13826" width="9" style="31" customWidth="1"/>
    <col min="13827" max="13828" width="9.81640625" style="31" customWidth="1"/>
    <col min="13829" max="13829" width="11.1796875" style="31" customWidth="1"/>
    <col min="13830" max="13830" width="2.81640625" style="31" customWidth="1"/>
    <col min="13831" max="13831" width="3.54296875" style="31" customWidth="1"/>
    <col min="13832" max="14076" width="9.1796875" style="31"/>
    <col min="14077" max="14077" width="8.7265625" style="31" customWidth="1"/>
    <col min="14078" max="14078" width="9.81640625" style="31" customWidth="1"/>
    <col min="14079" max="14079" width="14.453125" style="31" customWidth="1"/>
    <col min="14080" max="14080" width="7.26953125" style="31" customWidth="1"/>
    <col min="14081" max="14081" width="5.54296875" style="31" customWidth="1"/>
    <col min="14082" max="14082" width="9" style="31" customWidth="1"/>
    <col min="14083" max="14084" width="9.81640625" style="31" customWidth="1"/>
    <col min="14085" max="14085" width="11.1796875" style="31" customWidth="1"/>
    <col min="14086" max="14086" width="2.81640625" style="31" customWidth="1"/>
    <col min="14087" max="14087" width="3.54296875" style="31" customWidth="1"/>
    <col min="14088" max="14332" width="9.1796875" style="31"/>
    <col min="14333" max="14333" width="8.7265625" style="31" customWidth="1"/>
    <col min="14334" max="14334" width="9.81640625" style="31" customWidth="1"/>
    <col min="14335" max="14335" width="14.453125" style="31" customWidth="1"/>
    <col min="14336" max="14336" width="7.26953125" style="31" customWidth="1"/>
    <col min="14337" max="14337" width="5.54296875" style="31" customWidth="1"/>
    <col min="14338" max="14338" width="9" style="31" customWidth="1"/>
    <col min="14339" max="14340" width="9.81640625" style="31" customWidth="1"/>
    <col min="14341" max="14341" width="11.1796875" style="31" customWidth="1"/>
    <col min="14342" max="14342" width="2.81640625" style="31" customWidth="1"/>
    <col min="14343" max="14343" width="3.54296875" style="31" customWidth="1"/>
    <col min="14344" max="14588" width="9.1796875" style="31"/>
    <col min="14589" max="14589" width="8.7265625" style="31" customWidth="1"/>
    <col min="14590" max="14590" width="9.81640625" style="31" customWidth="1"/>
    <col min="14591" max="14591" width="14.453125" style="31" customWidth="1"/>
    <col min="14592" max="14592" width="7.26953125" style="31" customWidth="1"/>
    <col min="14593" max="14593" width="5.54296875" style="31" customWidth="1"/>
    <col min="14594" max="14594" width="9" style="31" customWidth="1"/>
    <col min="14595" max="14596" width="9.81640625" style="31" customWidth="1"/>
    <col min="14597" max="14597" width="11.1796875" style="31" customWidth="1"/>
    <col min="14598" max="14598" width="2.81640625" style="31" customWidth="1"/>
    <col min="14599" max="14599" width="3.54296875" style="31" customWidth="1"/>
    <col min="14600" max="14844" width="9.1796875" style="31"/>
    <col min="14845" max="14845" width="8.7265625" style="31" customWidth="1"/>
    <col min="14846" max="14846" width="9.81640625" style="31" customWidth="1"/>
    <col min="14847" max="14847" width="14.453125" style="31" customWidth="1"/>
    <col min="14848" max="14848" width="7.26953125" style="31" customWidth="1"/>
    <col min="14849" max="14849" width="5.54296875" style="31" customWidth="1"/>
    <col min="14850" max="14850" width="9" style="31" customWidth="1"/>
    <col min="14851" max="14852" width="9.81640625" style="31" customWidth="1"/>
    <col min="14853" max="14853" width="11.1796875" style="31" customWidth="1"/>
    <col min="14854" max="14854" width="2.81640625" style="31" customWidth="1"/>
    <col min="14855" max="14855" width="3.54296875" style="31" customWidth="1"/>
    <col min="14856" max="15100" width="9.1796875" style="31"/>
    <col min="15101" max="15101" width="8.7265625" style="31" customWidth="1"/>
    <col min="15102" max="15102" width="9.81640625" style="31" customWidth="1"/>
    <col min="15103" max="15103" width="14.453125" style="31" customWidth="1"/>
    <col min="15104" max="15104" width="7.26953125" style="31" customWidth="1"/>
    <col min="15105" max="15105" width="5.54296875" style="31" customWidth="1"/>
    <col min="15106" max="15106" width="9" style="31" customWidth="1"/>
    <col min="15107" max="15108" width="9.81640625" style="31" customWidth="1"/>
    <col min="15109" max="15109" width="11.1796875" style="31" customWidth="1"/>
    <col min="15110" max="15110" width="2.81640625" style="31" customWidth="1"/>
    <col min="15111" max="15111" width="3.54296875" style="31" customWidth="1"/>
    <col min="15112" max="15356" width="9.1796875" style="31"/>
    <col min="15357" max="15357" width="8.7265625" style="31" customWidth="1"/>
    <col min="15358" max="15358" width="9.81640625" style="31" customWidth="1"/>
    <col min="15359" max="15359" width="14.453125" style="31" customWidth="1"/>
    <col min="15360" max="15360" width="7.26953125" style="31" customWidth="1"/>
    <col min="15361" max="15361" width="5.54296875" style="31" customWidth="1"/>
    <col min="15362" max="15362" width="9" style="31" customWidth="1"/>
    <col min="15363" max="15364" width="9.81640625" style="31" customWidth="1"/>
    <col min="15365" max="15365" width="11.1796875" style="31" customWidth="1"/>
    <col min="15366" max="15366" width="2.81640625" style="31" customWidth="1"/>
    <col min="15367" max="15367" width="3.54296875" style="31" customWidth="1"/>
    <col min="15368" max="15612" width="9.1796875" style="31"/>
    <col min="15613" max="15613" width="8.7265625" style="31" customWidth="1"/>
    <col min="15614" max="15614" width="9.81640625" style="31" customWidth="1"/>
    <col min="15615" max="15615" width="14.453125" style="31" customWidth="1"/>
    <col min="15616" max="15616" width="7.26953125" style="31" customWidth="1"/>
    <col min="15617" max="15617" width="5.54296875" style="31" customWidth="1"/>
    <col min="15618" max="15618" width="9" style="31" customWidth="1"/>
    <col min="15619" max="15620" width="9.81640625" style="31" customWidth="1"/>
    <col min="15621" max="15621" width="11.1796875" style="31" customWidth="1"/>
    <col min="15622" max="15622" width="2.81640625" style="31" customWidth="1"/>
    <col min="15623" max="15623" width="3.54296875" style="31" customWidth="1"/>
    <col min="15624" max="15868" width="9.1796875" style="31"/>
    <col min="15869" max="15869" width="8.7265625" style="31" customWidth="1"/>
    <col min="15870" max="15870" width="9.81640625" style="31" customWidth="1"/>
    <col min="15871" max="15871" width="14.453125" style="31" customWidth="1"/>
    <col min="15872" max="15872" width="7.26953125" style="31" customWidth="1"/>
    <col min="15873" max="15873" width="5.54296875" style="31" customWidth="1"/>
    <col min="15874" max="15874" width="9" style="31" customWidth="1"/>
    <col min="15875" max="15876" width="9.81640625" style="31" customWidth="1"/>
    <col min="15877" max="15877" width="11.1796875" style="31" customWidth="1"/>
    <col min="15878" max="15878" width="2.81640625" style="31" customWidth="1"/>
    <col min="15879" max="15879" width="3.54296875" style="31" customWidth="1"/>
    <col min="15880" max="16124" width="9.1796875" style="31"/>
    <col min="16125" max="16125" width="8.7265625" style="31" customWidth="1"/>
    <col min="16126" max="16126" width="9.81640625" style="31" customWidth="1"/>
    <col min="16127" max="16127" width="14.453125" style="31" customWidth="1"/>
    <col min="16128" max="16128" width="7.26953125" style="31" customWidth="1"/>
    <col min="16129" max="16129" width="5.54296875" style="31" customWidth="1"/>
    <col min="16130" max="16130" width="9" style="31" customWidth="1"/>
    <col min="16131" max="16132" width="9.81640625" style="31" customWidth="1"/>
    <col min="16133" max="16133" width="11.1796875" style="31" customWidth="1"/>
    <col min="16134" max="16134" width="2.81640625" style="31" customWidth="1"/>
    <col min="16135" max="16135" width="3.54296875" style="31" customWidth="1"/>
    <col min="16136" max="16384" width="9.1796875" style="31"/>
  </cols>
  <sheetData>
    <row r="1" spans="1:8" ht="46.5" customHeight="1" x14ac:dyDescent="0.35">
      <c r="A1" s="178" t="s">
        <v>332</v>
      </c>
      <c r="B1" s="178"/>
      <c r="C1" s="178"/>
      <c r="D1" s="178"/>
      <c r="E1" s="178"/>
      <c r="F1" s="178"/>
      <c r="G1" s="178"/>
      <c r="H1" s="178"/>
    </row>
    <row r="2" spans="1:8" ht="16.5" customHeight="1" x14ac:dyDescent="0.35">
      <c r="A2" s="157" t="s">
        <v>0</v>
      </c>
      <c r="B2" s="157"/>
      <c r="C2" s="157"/>
      <c r="D2" s="157"/>
      <c r="E2" s="157"/>
      <c r="F2" s="157"/>
      <c r="G2" s="157"/>
      <c r="H2" s="157"/>
    </row>
    <row r="3" spans="1:8" x14ac:dyDescent="0.35">
      <c r="A3" s="98" t="s">
        <v>1</v>
      </c>
      <c r="B3" s="98"/>
      <c r="C3" s="98"/>
      <c r="D3" s="98"/>
      <c r="E3" s="179" t="str">
        <f ca="1">TEXT(TODAY(),"DD/MM/YYYY")</f>
        <v>10/09/2025</v>
      </c>
      <c r="F3" s="179"/>
      <c r="G3" s="179"/>
      <c r="H3" s="179"/>
    </row>
    <row r="4" spans="1:8" ht="15" customHeight="1" x14ac:dyDescent="0.35">
      <c r="A4" s="98" t="s">
        <v>2</v>
      </c>
      <c r="B4" s="98"/>
      <c r="C4" s="98"/>
      <c r="D4" s="98"/>
      <c r="E4" s="180" t="s">
        <v>323</v>
      </c>
      <c r="F4" s="180"/>
      <c r="G4" s="180"/>
      <c r="H4" s="180"/>
    </row>
    <row r="5" spans="1:8" x14ac:dyDescent="0.35">
      <c r="A5" s="98" t="s">
        <v>3</v>
      </c>
      <c r="B5" s="98"/>
      <c r="C5" s="98"/>
      <c r="D5" s="98"/>
      <c r="E5" s="166">
        <v>45895</v>
      </c>
      <c r="F5" s="166"/>
      <c r="G5" s="166"/>
      <c r="H5" s="166"/>
    </row>
    <row r="6" spans="1:8" ht="16.5" customHeight="1" x14ac:dyDescent="0.35">
      <c r="A6" s="98" t="s">
        <v>4</v>
      </c>
      <c r="B6" s="98"/>
      <c r="C6" s="98"/>
      <c r="D6" s="98"/>
      <c r="E6" s="148" t="s">
        <v>156</v>
      </c>
      <c r="F6" s="148"/>
      <c r="G6" s="148"/>
      <c r="H6" s="148"/>
    </row>
    <row r="7" spans="1:8" ht="15" customHeight="1" x14ac:dyDescent="0.35">
      <c r="A7" s="98" t="s">
        <v>5</v>
      </c>
      <c r="B7" s="98"/>
      <c r="C7" s="98"/>
      <c r="D7" s="98"/>
      <c r="E7" s="148" t="str">
        <f>E6</f>
        <v>M/s. Sai Rydam Realtors Pvt. Ltd</v>
      </c>
      <c r="F7" s="148"/>
      <c r="G7" s="148"/>
      <c r="H7" s="148"/>
    </row>
    <row r="8" spans="1:8" x14ac:dyDescent="0.35">
      <c r="A8" s="98" t="s">
        <v>6</v>
      </c>
      <c r="B8" s="98"/>
      <c r="C8" s="98"/>
      <c r="D8" s="98"/>
      <c r="E8" s="147" t="s">
        <v>157</v>
      </c>
      <c r="F8" s="147"/>
      <c r="G8" s="147"/>
      <c r="H8" s="147"/>
    </row>
    <row r="9" spans="1:8" x14ac:dyDescent="0.35">
      <c r="A9" s="98" t="s">
        <v>330</v>
      </c>
      <c r="B9" s="98"/>
      <c r="C9" s="98"/>
      <c r="D9" s="98"/>
      <c r="E9" s="98" t="s">
        <v>335</v>
      </c>
      <c r="F9" s="98"/>
      <c r="G9" s="98"/>
      <c r="H9" s="98"/>
    </row>
    <row r="10" spans="1:8" x14ac:dyDescent="0.35">
      <c r="A10" s="98" t="s">
        <v>331</v>
      </c>
      <c r="B10" s="98"/>
      <c r="C10" s="98"/>
      <c r="D10" s="98"/>
      <c r="E10" s="98" t="s">
        <v>1070</v>
      </c>
      <c r="F10" s="98"/>
      <c r="G10" s="98"/>
      <c r="H10" s="98"/>
    </row>
    <row r="11" spans="1:8" x14ac:dyDescent="0.35">
      <c r="A11" s="143" t="s">
        <v>7</v>
      </c>
      <c r="B11" s="143"/>
      <c r="C11" s="143"/>
      <c r="D11" s="143"/>
      <c r="E11" s="143" t="s">
        <v>300</v>
      </c>
      <c r="F11" s="143"/>
      <c r="G11" s="143"/>
      <c r="H11" s="143"/>
    </row>
    <row r="12" spans="1:8" ht="32.25" customHeight="1" x14ac:dyDescent="0.35">
      <c r="A12" s="98" t="s">
        <v>8</v>
      </c>
      <c r="B12" s="98"/>
      <c r="C12" s="98"/>
      <c r="D12" s="98"/>
      <c r="E12" s="119" t="s">
        <v>144</v>
      </c>
      <c r="F12" s="119"/>
      <c r="G12" s="119"/>
      <c r="H12" s="119"/>
    </row>
    <row r="13" spans="1:8" ht="33.75" customHeight="1" x14ac:dyDescent="0.35">
      <c r="A13" s="188" t="s">
        <v>9</v>
      </c>
      <c r="B13" s="189"/>
      <c r="C13" s="185" t="s">
        <v>337</v>
      </c>
      <c r="D13" s="186"/>
      <c r="E13" s="186"/>
      <c r="F13" s="186"/>
      <c r="G13" s="186"/>
      <c r="H13" s="187"/>
    </row>
    <row r="14" spans="1:8" ht="34.5" customHeight="1" x14ac:dyDescent="0.35">
      <c r="A14" s="148" t="s">
        <v>10</v>
      </c>
      <c r="B14" s="148"/>
      <c r="C14" s="148" t="str">
        <f>CONCATENATE((IF(OR(E8="",E8="NA"),"",E8)),", ",(IF(OR(A15="",A15="NA"),"",A15)),".",(IF(OR(C15="",C15="NA"),"",C15)),", ",(IF(OR(C16="",C16="NA"),"",C16)),", ",(IF(OR(G16="",G16="NA"),"",G16)),", ",(IF(OR(C17="",C17="NA"),"",C17)),", ",(IF(OR(C18="",C18="NA"),"",C18)),", ",(IF(OR(G17="",G17="NA"),"",G17)),".")</f>
        <v>MLDC Yashwant Orchid, Plot No.1 to 4 &amp; Survey No. 7 to 11, 15 to 17, 19 to 25, Central Park road, Nalasopara, Nalasopara East, Vasai, Palghar.</v>
      </c>
      <c r="D14" s="148"/>
      <c r="E14" s="148"/>
      <c r="F14" s="148"/>
      <c r="G14" s="148"/>
      <c r="H14" s="148"/>
    </row>
    <row r="15" spans="1:8" ht="15.75" customHeight="1" x14ac:dyDescent="0.35">
      <c r="A15" s="119" t="s">
        <v>182</v>
      </c>
      <c r="B15" s="119"/>
      <c r="C15" s="119" t="s">
        <v>188</v>
      </c>
      <c r="D15" s="119"/>
      <c r="E15" s="119"/>
      <c r="F15" s="119"/>
      <c r="G15" s="119"/>
      <c r="H15" s="119"/>
    </row>
    <row r="16" spans="1:8" ht="15.75" customHeight="1" x14ac:dyDescent="0.35">
      <c r="A16" s="148" t="s">
        <v>11</v>
      </c>
      <c r="B16" s="148"/>
      <c r="C16" s="143" t="s">
        <v>181</v>
      </c>
      <c r="D16" s="143"/>
      <c r="E16" s="148" t="s">
        <v>99</v>
      </c>
      <c r="F16" s="148"/>
      <c r="G16" s="119" t="s">
        <v>183</v>
      </c>
      <c r="H16" s="119"/>
    </row>
    <row r="17" spans="1:8" x14ac:dyDescent="0.35">
      <c r="A17" s="98" t="s">
        <v>13</v>
      </c>
      <c r="B17" s="98"/>
      <c r="C17" s="119" t="s">
        <v>320</v>
      </c>
      <c r="D17" s="119"/>
      <c r="E17" s="148" t="s">
        <v>12</v>
      </c>
      <c r="F17" s="148"/>
      <c r="G17" s="175" t="s">
        <v>184</v>
      </c>
      <c r="H17" s="175"/>
    </row>
    <row r="18" spans="1:8" x14ac:dyDescent="0.35">
      <c r="A18" s="98" t="s">
        <v>100</v>
      </c>
      <c r="B18" s="98"/>
      <c r="C18" s="119" t="s">
        <v>185</v>
      </c>
      <c r="D18" s="119"/>
      <c r="E18" s="148" t="s">
        <v>14</v>
      </c>
      <c r="F18" s="148"/>
      <c r="G18" s="119">
        <v>401209</v>
      </c>
      <c r="H18" s="119"/>
    </row>
    <row r="19" spans="1:8" ht="32.25" customHeight="1" x14ac:dyDescent="0.35">
      <c r="A19" s="98" t="s">
        <v>15</v>
      </c>
      <c r="B19" s="98"/>
      <c r="C19" s="148" t="s">
        <v>161</v>
      </c>
      <c r="D19" s="148"/>
      <c r="E19" s="148" t="s">
        <v>16</v>
      </c>
      <c r="F19" s="148"/>
      <c r="G19" s="119" t="s">
        <v>1056</v>
      </c>
      <c r="H19" s="119"/>
    </row>
    <row r="20" spans="1:8" ht="15" customHeight="1" x14ac:dyDescent="0.35">
      <c r="A20" s="148" t="s">
        <v>106</v>
      </c>
      <c r="B20" s="148"/>
      <c r="C20" s="148"/>
      <c r="D20" s="148"/>
      <c r="E20" s="143" t="s">
        <v>17</v>
      </c>
      <c r="F20" s="143"/>
      <c r="G20" s="143"/>
      <c r="H20" s="143"/>
    </row>
    <row r="21" spans="1:8" ht="18.75" customHeight="1" x14ac:dyDescent="0.35">
      <c r="A21" s="148"/>
      <c r="B21" s="148"/>
      <c r="C21" s="148"/>
      <c r="D21" s="148"/>
      <c r="E21" s="143"/>
      <c r="F21" s="143"/>
      <c r="G21" s="143"/>
      <c r="H21" s="143"/>
    </row>
    <row r="22" spans="1:8" ht="15" customHeight="1" x14ac:dyDescent="0.35">
      <c r="A22" s="148" t="s">
        <v>18</v>
      </c>
      <c r="B22" s="148"/>
      <c r="C22" s="148"/>
      <c r="D22" s="148"/>
      <c r="E22" s="119" t="s">
        <v>19</v>
      </c>
      <c r="F22" s="119"/>
      <c r="G22" s="119"/>
      <c r="H22" s="119"/>
    </row>
    <row r="23" spans="1:8" ht="15" customHeight="1" x14ac:dyDescent="0.35">
      <c r="A23" s="98" t="s">
        <v>20</v>
      </c>
      <c r="B23" s="98"/>
      <c r="C23" s="98"/>
      <c r="D23" s="98"/>
      <c r="E23" s="119" t="s">
        <v>158</v>
      </c>
      <c r="F23" s="119"/>
      <c r="G23" s="119"/>
      <c r="H23" s="119"/>
    </row>
    <row r="24" spans="1:8" x14ac:dyDescent="0.35">
      <c r="A24" s="98" t="s">
        <v>21</v>
      </c>
      <c r="B24" s="98"/>
      <c r="C24" s="98"/>
      <c r="D24" s="98"/>
      <c r="E24" s="119" t="s">
        <v>22</v>
      </c>
      <c r="F24" s="119"/>
      <c r="G24" s="119"/>
      <c r="H24" s="119"/>
    </row>
    <row r="25" spans="1:8" x14ac:dyDescent="0.35">
      <c r="A25" s="98" t="s">
        <v>23</v>
      </c>
      <c r="B25" s="98"/>
      <c r="C25" s="98"/>
      <c r="D25" s="98"/>
      <c r="E25" s="119" t="s">
        <v>159</v>
      </c>
      <c r="F25" s="119"/>
      <c r="G25" s="119"/>
      <c r="H25" s="119"/>
    </row>
    <row r="26" spans="1:8" x14ac:dyDescent="0.35">
      <c r="A26" s="98" t="s">
        <v>24</v>
      </c>
      <c r="B26" s="98"/>
      <c r="C26" s="98"/>
      <c r="D26" s="98"/>
      <c r="E26" s="119" t="s">
        <v>25</v>
      </c>
      <c r="F26" s="119"/>
      <c r="G26" s="119"/>
      <c r="H26" s="119"/>
    </row>
    <row r="27" spans="1:8" x14ac:dyDescent="0.35">
      <c r="A27" s="98" t="s">
        <v>114</v>
      </c>
      <c r="B27" s="98"/>
      <c r="C27" s="98"/>
      <c r="D27" s="98"/>
      <c r="E27" s="119" t="s">
        <v>115</v>
      </c>
      <c r="F27" s="119"/>
      <c r="G27" s="119"/>
      <c r="H27" s="119"/>
    </row>
    <row r="28" spans="1:8" ht="15" customHeight="1" x14ac:dyDescent="0.35">
      <c r="A28" s="148" t="s">
        <v>33</v>
      </c>
      <c r="B28" s="148"/>
      <c r="C28" s="148"/>
      <c r="D28" s="148"/>
      <c r="E28" s="176" t="s">
        <v>110</v>
      </c>
      <c r="F28" s="176"/>
      <c r="G28" s="176"/>
      <c r="H28" s="176"/>
    </row>
    <row r="29" spans="1:8" x14ac:dyDescent="0.35">
      <c r="A29" s="148" t="s">
        <v>127</v>
      </c>
      <c r="B29" s="148"/>
      <c r="C29" s="148"/>
      <c r="D29" s="148"/>
      <c r="E29" s="148" t="s">
        <v>34</v>
      </c>
      <c r="F29" s="148"/>
      <c r="G29" s="148"/>
      <c r="H29" s="148"/>
    </row>
    <row r="30" spans="1:8" s="32" customFormat="1" x14ac:dyDescent="0.35">
      <c r="A30" s="161" t="s">
        <v>128</v>
      </c>
      <c r="B30" s="161"/>
      <c r="C30" s="159" t="s">
        <v>338</v>
      </c>
      <c r="D30" s="159"/>
      <c r="E30" s="159"/>
      <c r="F30" s="159" t="s">
        <v>31</v>
      </c>
      <c r="G30" s="159"/>
      <c r="H30" s="159"/>
    </row>
    <row r="31" spans="1:8" s="32" customFormat="1" x14ac:dyDescent="0.35">
      <c r="A31" s="160" t="s">
        <v>26</v>
      </c>
      <c r="B31" s="160" t="s">
        <v>30</v>
      </c>
      <c r="C31" s="146" t="s">
        <v>339</v>
      </c>
      <c r="D31" s="146"/>
      <c r="E31" s="146"/>
      <c r="F31" s="146" t="s">
        <v>11</v>
      </c>
      <c r="G31" s="146"/>
      <c r="H31" s="146"/>
    </row>
    <row r="32" spans="1:8" x14ac:dyDescent="0.35">
      <c r="A32" s="160" t="s">
        <v>27</v>
      </c>
      <c r="B32" s="160" t="s">
        <v>30</v>
      </c>
      <c r="C32" s="146" t="s">
        <v>160</v>
      </c>
      <c r="D32" s="146"/>
      <c r="E32" s="146"/>
      <c r="F32" s="146" t="s">
        <v>160</v>
      </c>
      <c r="G32" s="146"/>
      <c r="H32" s="146"/>
    </row>
    <row r="33" spans="1:9" s="32" customFormat="1" x14ac:dyDescent="0.35">
      <c r="A33" s="160" t="s">
        <v>29</v>
      </c>
      <c r="B33" s="160" t="s">
        <v>30</v>
      </c>
      <c r="C33" s="146" t="s">
        <v>340</v>
      </c>
      <c r="D33" s="146"/>
      <c r="E33" s="146"/>
      <c r="F33" s="146" t="s">
        <v>161</v>
      </c>
      <c r="G33" s="146"/>
      <c r="H33" s="146"/>
    </row>
    <row r="34" spans="1:9" x14ac:dyDescent="0.35">
      <c r="A34" s="160" t="s">
        <v>28</v>
      </c>
      <c r="B34" s="160" t="s">
        <v>30</v>
      </c>
      <c r="C34" s="146" t="s">
        <v>339</v>
      </c>
      <c r="D34" s="146"/>
      <c r="E34" s="146"/>
      <c r="F34" s="146" t="s">
        <v>11</v>
      </c>
      <c r="G34" s="146"/>
      <c r="H34" s="146"/>
    </row>
    <row r="35" spans="1:9" x14ac:dyDescent="0.35">
      <c r="A35" s="98" t="s">
        <v>32</v>
      </c>
      <c r="B35" s="98"/>
      <c r="C35" s="98"/>
      <c r="D35" s="98"/>
      <c r="E35" s="98"/>
      <c r="F35" s="98"/>
      <c r="G35" s="98"/>
      <c r="H35" s="98"/>
    </row>
    <row r="36" spans="1:9" ht="15.75" customHeight="1" x14ac:dyDescent="0.35">
      <c r="A36" s="157" t="s">
        <v>324</v>
      </c>
      <c r="B36" s="157"/>
      <c r="C36" s="156" t="s">
        <v>326</v>
      </c>
      <c r="D36" s="156"/>
      <c r="E36" s="156"/>
      <c r="F36" s="156"/>
      <c r="G36" s="156"/>
      <c r="H36" s="156"/>
    </row>
    <row r="37" spans="1:9" ht="15.75" customHeight="1" x14ac:dyDescent="0.35">
      <c r="A37" s="157" t="s">
        <v>325</v>
      </c>
      <c r="B37" s="157"/>
      <c r="C37" s="158" t="s">
        <v>327</v>
      </c>
      <c r="D37" s="156"/>
      <c r="E37" s="156"/>
      <c r="F37" s="156"/>
      <c r="G37" s="156"/>
      <c r="H37" s="156"/>
    </row>
    <row r="38" spans="1:9" x14ac:dyDescent="0.35">
      <c r="A38" s="147" t="s">
        <v>35</v>
      </c>
      <c r="B38" s="147"/>
      <c r="C38" s="147"/>
      <c r="D38" s="147"/>
      <c r="E38" s="147"/>
      <c r="F38" s="147"/>
      <c r="G38" s="147"/>
      <c r="H38" s="147"/>
    </row>
    <row r="39" spans="1:9" x14ac:dyDescent="0.35">
      <c r="A39" s="98" t="s">
        <v>36</v>
      </c>
      <c r="B39" s="98"/>
      <c r="C39" s="98"/>
      <c r="D39" s="98"/>
      <c r="E39" s="177">
        <v>97989.99</v>
      </c>
      <c r="F39" s="177"/>
      <c r="G39" s="177"/>
      <c r="H39" s="177"/>
    </row>
    <row r="40" spans="1:9" x14ac:dyDescent="0.35">
      <c r="A40" s="98" t="s">
        <v>37</v>
      </c>
      <c r="B40" s="98"/>
      <c r="C40" s="98"/>
      <c r="D40" s="98"/>
      <c r="E40" s="167">
        <f>107788.99/E39</f>
        <v>1.1000000102051239</v>
      </c>
      <c r="F40" s="167"/>
      <c r="G40" s="167"/>
      <c r="H40" s="167"/>
      <c r="I40" s="31">
        <f>107788.99/E39</f>
        <v>1.1000000102051239</v>
      </c>
    </row>
    <row r="41" spans="1:9" x14ac:dyDescent="0.35">
      <c r="A41" s="98" t="s">
        <v>38</v>
      </c>
      <c r="B41" s="98"/>
      <c r="C41" s="98"/>
      <c r="D41" s="98"/>
      <c r="E41" s="167">
        <f>E43/E39-E40</f>
        <v>0.87774496150065939</v>
      </c>
      <c r="F41" s="167"/>
      <c r="G41" s="167"/>
      <c r="H41" s="167"/>
    </row>
    <row r="42" spans="1:9" x14ac:dyDescent="0.35">
      <c r="A42" s="98" t="s">
        <v>39</v>
      </c>
      <c r="B42" s="98"/>
      <c r="C42" s="98"/>
      <c r="D42" s="98"/>
      <c r="E42" s="167">
        <f>E40+E41</f>
        <v>1.9777449717057833</v>
      </c>
      <c r="F42" s="167"/>
      <c r="G42" s="167"/>
      <c r="H42" s="167"/>
    </row>
    <row r="43" spans="1:9" x14ac:dyDescent="0.35">
      <c r="A43" s="98" t="s">
        <v>126</v>
      </c>
      <c r="B43" s="98"/>
      <c r="C43" s="98"/>
      <c r="D43" s="98"/>
      <c r="E43" s="168">
        <v>193799.21</v>
      </c>
      <c r="F43" s="168"/>
      <c r="G43" s="168"/>
      <c r="H43" s="168"/>
    </row>
    <row r="44" spans="1:9" x14ac:dyDescent="0.35">
      <c r="A44" s="143" t="s">
        <v>40</v>
      </c>
      <c r="B44" s="143"/>
      <c r="C44" s="143"/>
      <c r="D44" s="143"/>
      <c r="E44" s="143" t="s">
        <v>162</v>
      </c>
      <c r="F44" s="143"/>
      <c r="G44" s="143"/>
      <c r="H44" s="143"/>
    </row>
    <row r="45" spans="1:9" x14ac:dyDescent="0.35">
      <c r="A45" s="147" t="s">
        <v>41</v>
      </c>
      <c r="B45" s="147"/>
      <c r="C45" s="147"/>
      <c r="D45" s="147"/>
      <c r="E45" s="147"/>
      <c r="F45" s="147"/>
      <c r="G45" s="147"/>
      <c r="H45" s="147"/>
    </row>
    <row r="46" spans="1:9" ht="33.75" customHeight="1" x14ac:dyDescent="0.35">
      <c r="A46" s="148" t="s">
        <v>42</v>
      </c>
      <c r="B46" s="148"/>
      <c r="C46" s="119" t="s">
        <v>341</v>
      </c>
      <c r="D46" s="119"/>
      <c r="E46" s="119"/>
      <c r="F46" s="28" t="s">
        <v>43</v>
      </c>
      <c r="G46" s="163">
        <v>45763</v>
      </c>
      <c r="H46" s="119"/>
    </row>
    <row r="47" spans="1:9" ht="31.5" customHeight="1" x14ac:dyDescent="0.35">
      <c r="A47" s="148" t="s">
        <v>44</v>
      </c>
      <c r="B47" s="148"/>
      <c r="C47" s="119" t="str">
        <f>C46</f>
        <v>VVCMCB/0062/2025/AutoDCR</v>
      </c>
      <c r="D47" s="119"/>
      <c r="E47" s="119"/>
      <c r="F47" s="28" t="s">
        <v>43</v>
      </c>
      <c r="G47" s="163">
        <f>G46</f>
        <v>45763</v>
      </c>
      <c r="H47" s="163"/>
    </row>
    <row r="48" spans="1:9" s="34" customFormat="1" ht="34.5" customHeight="1" x14ac:dyDescent="0.35">
      <c r="A48" s="119" t="s">
        <v>342</v>
      </c>
      <c r="B48" s="119"/>
      <c r="C48" s="119" t="str">
        <f>C47</f>
        <v>VVCMCB/0062/2025/AutoDCR</v>
      </c>
      <c r="D48" s="143"/>
      <c r="E48" s="143"/>
      <c r="F48" s="33" t="s">
        <v>43</v>
      </c>
      <c r="G48" s="166">
        <f>G47</f>
        <v>45763</v>
      </c>
      <c r="H48" s="166"/>
    </row>
    <row r="49" spans="1:11" s="34" customFormat="1" x14ac:dyDescent="0.35">
      <c r="A49" s="119"/>
      <c r="B49" s="119"/>
      <c r="C49" s="181" t="s">
        <v>343</v>
      </c>
      <c r="D49" s="182"/>
      <c r="E49" s="182"/>
      <c r="F49" s="182"/>
      <c r="G49" s="182"/>
      <c r="H49" s="183"/>
    </row>
    <row r="50" spans="1:11" s="34" customFormat="1" x14ac:dyDescent="0.35">
      <c r="A50" s="119" t="s">
        <v>1063</v>
      </c>
      <c r="B50" s="119"/>
      <c r="C50" s="150" t="s">
        <v>1064</v>
      </c>
      <c r="D50" s="151"/>
      <c r="E50" s="151"/>
      <c r="F50" s="72" t="s">
        <v>43</v>
      </c>
      <c r="G50" s="152">
        <v>42310</v>
      </c>
      <c r="H50" s="151"/>
      <c r="I50" s="34" t="s">
        <v>1066</v>
      </c>
    </row>
    <row r="51" spans="1:11" s="34" customFormat="1" x14ac:dyDescent="0.35">
      <c r="A51" s="119"/>
      <c r="B51" s="119"/>
      <c r="C51" s="153" t="s">
        <v>1065</v>
      </c>
      <c r="D51" s="154"/>
      <c r="E51" s="154"/>
      <c r="F51" s="154"/>
      <c r="G51" s="154"/>
      <c r="H51" s="155"/>
    </row>
    <row r="52" spans="1:11" ht="63.5" customHeight="1" x14ac:dyDescent="0.35">
      <c r="A52" s="162" t="s">
        <v>328</v>
      </c>
      <c r="B52" s="162"/>
      <c r="C52" s="118" t="s">
        <v>322</v>
      </c>
      <c r="D52" s="100"/>
      <c r="E52" s="100" t="s">
        <v>45</v>
      </c>
      <c r="F52" s="27" t="s">
        <v>43</v>
      </c>
      <c r="G52" s="164">
        <v>44742</v>
      </c>
      <c r="H52" s="165"/>
    </row>
    <row r="53" spans="1:11" x14ac:dyDescent="0.35">
      <c r="A53" s="149" t="s">
        <v>47</v>
      </c>
      <c r="B53" s="149"/>
      <c r="C53" s="149"/>
      <c r="D53" s="149"/>
      <c r="E53" s="149"/>
      <c r="F53" s="149"/>
      <c r="G53" s="149"/>
      <c r="H53" s="149"/>
    </row>
    <row r="54" spans="1:11" x14ac:dyDescent="0.35">
      <c r="A54" s="148" t="s">
        <v>125</v>
      </c>
      <c r="B54" s="148"/>
      <c r="C54" s="148"/>
      <c r="D54" s="143">
        <v>34072.800000000003</v>
      </c>
      <c r="E54" s="143"/>
      <c r="F54" s="143"/>
      <c r="G54" s="143"/>
      <c r="H54" s="143"/>
    </row>
    <row r="55" spans="1:11" x14ac:dyDescent="0.35">
      <c r="A55" s="119" t="s">
        <v>48</v>
      </c>
      <c r="B55" s="143"/>
      <c r="C55" s="143"/>
      <c r="D55" s="143" t="s">
        <v>1052</v>
      </c>
      <c r="E55" s="143"/>
      <c r="F55" s="143"/>
      <c r="G55" s="143"/>
      <c r="H55" s="143"/>
    </row>
    <row r="56" spans="1:11" ht="31" customHeight="1" x14ac:dyDescent="0.35">
      <c r="A56" s="119" t="s">
        <v>49</v>
      </c>
      <c r="B56" s="143"/>
      <c r="C56" s="143"/>
      <c r="D56" s="119" t="s">
        <v>1051</v>
      </c>
      <c r="E56" s="119"/>
      <c r="F56" s="119"/>
      <c r="G56" s="119"/>
      <c r="H56" s="119"/>
    </row>
    <row r="57" spans="1:11" ht="33.65" customHeight="1" x14ac:dyDescent="0.35">
      <c r="A57" s="119" t="s">
        <v>123</v>
      </c>
      <c r="B57" s="143"/>
      <c r="C57" s="143"/>
      <c r="D57" s="119" t="s">
        <v>1051</v>
      </c>
      <c r="E57" s="119"/>
      <c r="F57" s="119"/>
      <c r="G57" s="119"/>
      <c r="H57" s="119"/>
    </row>
    <row r="58" spans="1:11" ht="32.5" customHeight="1" x14ac:dyDescent="0.35">
      <c r="A58" s="143" t="s">
        <v>46</v>
      </c>
      <c r="B58" s="143"/>
      <c r="C58" s="143"/>
      <c r="D58" s="119" t="s">
        <v>334</v>
      </c>
      <c r="E58" s="119"/>
      <c r="F58" s="119"/>
      <c r="G58" s="119"/>
      <c r="H58" s="119"/>
    </row>
    <row r="59" spans="1:11" ht="15.75" customHeight="1" x14ac:dyDescent="0.35">
      <c r="A59" s="143" t="s">
        <v>120</v>
      </c>
      <c r="B59" s="143"/>
      <c r="C59" s="143"/>
      <c r="D59" s="119" t="s">
        <v>121</v>
      </c>
      <c r="E59" s="119"/>
      <c r="F59" s="119"/>
      <c r="G59" s="119"/>
      <c r="H59" s="119"/>
    </row>
    <row r="60" spans="1:11" ht="15.75" customHeight="1" x14ac:dyDescent="0.35">
      <c r="A60" s="143" t="s">
        <v>122</v>
      </c>
      <c r="B60" s="143"/>
      <c r="C60" s="143"/>
      <c r="D60" s="119" t="s">
        <v>25</v>
      </c>
      <c r="E60" s="119"/>
      <c r="F60" s="119"/>
      <c r="G60" s="119"/>
      <c r="H60" s="119"/>
      <c r="J60" s="23"/>
      <c r="K60" s="23"/>
    </row>
    <row r="61" spans="1:11" ht="15.75" customHeight="1" thickBot="1" x14ac:dyDescent="0.4">
      <c r="A61" s="143" t="s">
        <v>119</v>
      </c>
      <c r="B61" s="143"/>
      <c r="C61" s="143"/>
      <c r="D61" s="119" t="s">
        <v>186</v>
      </c>
      <c r="E61" s="119"/>
      <c r="F61" s="119"/>
      <c r="G61" s="119"/>
      <c r="H61" s="119"/>
      <c r="J61" s="23"/>
      <c r="K61" s="23"/>
    </row>
    <row r="62" spans="1:11" ht="31.5" customHeight="1" x14ac:dyDescent="0.35">
      <c r="A62" s="118" t="s">
        <v>302</v>
      </c>
      <c r="B62" s="118"/>
      <c r="C62" s="118" t="s">
        <v>1051</v>
      </c>
      <c r="D62" s="118"/>
      <c r="E62" s="118"/>
      <c r="F62" s="118"/>
      <c r="G62" s="118"/>
      <c r="H62" s="118"/>
      <c r="I62" s="22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Excavation work Completed. Plinth work completed, RCC upto 11 Slab, Brickwork upto 5 Floor, Internal Plaster upto 3 Floor, External Plaster upto 2 Floor, Flooring upto 2 Floor, Painting upto 1 Floor Completed</v>
      </c>
      <c r="J62" s="35"/>
      <c r="K62" s="23"/>
    </row>
    <row r="63" spans="1:11" ht="15.75" customHeight="1" x14ac:dyDescent="0.35">
      <c r="A63" s="76" t="s">
        <v>96</v>
      </c>
      <c r="B63" s="76">
        <v>2</v>
      </c>
      <c r="C63" s="76" t="s">
        <v>98</v>
      </c>
      <c r="D63" s="76">
        <v>1</v>
      </c>
      <c r="E63" s="76" t="s">
        <v>97</v>
      </c>
      <c r="F63" s="76">
        <v>0</v>
      </c>
      <c r="G63" s="76" t="s">
        <v>113</v>
      </c>
      <c r="H63" s="76">
        <f ca="1">--TRIM(RIGHT(SUBSTITUTE(LEFT(C62,_xlfn.AGGREGATE(16,6,FIND({0,1,2,3,4,5,6,7,8,9},C62,ROW(INDIRECT("1:"&amp;LEN(C62)))),1))," ",REPT(" ",LEN(C62))),LEN(C62)))</f>
        <v>18</v>
      </c>
      <c r="I63" s="23"/>
      <c r="J63" s="36"/>
      <c r="K63" s="23"/>
    </row>
    <row r="64" spans="1:11" ht="48" customHeight="1" x14ac:dyDescent="0.35">
      <c r="A64" s="100" t="s">
        <v>124</v>
      </c>
      <c r="B64" s="100"/>
      <c r="C64" s="118" t="str">
        <f ca="1">I62</f>
        <v>Excavation work Completed. Plinth work completed, RCC upto 11 Slab, Brickwork upto 5 Floor, Internal Plaster upto 3 Floor, External Plaster upto 2 Floor, Flooring upto 2 Floor, Painting upto 1 Floor Completed</v>
      </c>
      <c r="D64" s="118"/>
      <c r="E64" s="118"/>
      <c r="F64" s="118"/>
      <c r="G64" s="118"/>
      <c r="H64" s="118"/>
      <c r="I64" s="23" t="s">
        <v>143</v>
      </c>
      <c r="J64" s="36"/>
      <c r="K64" s="23"/>
    </row>
    <row r="65" spans="1:11" ht="15.75" customHeight="1" x14ac:dyDescent="0.35">
      <c r="A65" s="105" t="s">
        <v>50</v>
      </c>
      <c r="B65" s="105"/>
      <c r="C65" s="74" t="s">
        <v>303</v>
      </c>
      <c r="D65" s="74" t="s">
        <v>116</v>
      </c>
      <c r="E65" s="105" t="s">
        <v>118</v>
      </c>
      <c r="F65" s="105"/>
      <c r="G65" s="105" t="s">
        <v>117</v>
      </c>
      <c r="H65" s="105"/>
      <c r="I65" s="24" t="s">
        <v>304</v>
      </c>
      <c r="J65" s="37">
        <f ca="1">H63*25%</f>
        <v>4.5</v>
      </c>
      <c r="K65" s="23"/>
    </row>
    <row r="66" spans="1:11" ht="15.75" customHeight="1" x14ac:dyDescent="0.35">
      <c r="A66" s="105" t="s">
        <v>305</v>
      </c>
      <c r="B66" s="105"/>
      <c r="C66" s="38">
        <f ca="1">J67</f>
        <v>18</v>
      </c>
      <c r="D66" s="75">
        <f ca="1">((100/H63)*C66)/100</f>
        <v>1</v>
      </c>
      <c r="E66" s="145">
        <f ca="1">(((C67/H63*10)+(40/(D63+F63+H63)*C68)+(7.5/(H63)*C69)+(7.5/(H63)*C70)+(10/H63*C71)+(10/H63*C72)+(5/H63*C73)+(5/H63*C74)+(5/H63*C75))/100)</f>
        <v>0.38991228070175443</v>
      </c>
      <c r="F66" s="145"/>
      <c r="G66" s="145">
        <f ca="1">((((C66/H63)*20)+((C67/H63)*25)+(30/(H63+F63+D63)*C68)+(5/H63*C69)+(5/H63*C70)+(5/H63*C71)+(5/H63*C72)+(0/H63*C73)+(0/H63*C74)+(5/H63*C75))/100)</f>
        <v>0.65701754385964906</v>
      </c>
      <c r="H66" s="145"/>
      <c r="I66" s="24" t="s">
        <v>137</v>
      </c>
      <c r="J66" s="40">
        <f ca="1">H63*50%</f>
        <v>9</v>
      </c>
      <c r="K66" s="23"/>
    </row>
    <row r="67" spans="1:11" ht="15.75" customHeight="1" x14ac:dyDescent="0.35">
      <c r="A67" s="105" t="s">
        <v>51</v>
      </c>
      <c r="B67" s="105"/>
      <c r="C67" s="41">
        <f ca="1">J75</f>
        <v>18</v>
      </c>
      <c r="D67" s="75">
        <f ca="1">((100/H63)*C67)/100</f>
        <v>1</v>
      </c>
      <c r="E67" s="145"/>
      <c r="F67" s="145"/>
      <c r="G67" s="145"/>
      <c r="H67" s="145"/>
      <c r="I67" s="24" t="s">
        <v>138</v>
      </c>
      <c r="J67" s="40">
        <f ca="1">H63</f>
        <v>18</v>
      </c>
      <c r="K67" s="23"/>
    </row>
    <row r="68" spans="1:11" ht="15.75" customHeight="1" x14ac:dyDescent="0.35">
      <c r="A68" s="105" t="s">
        <v>306</v>
      </c>
      <c r="B68" s="105"/>
      <c r="C68" s="41">
        <v>11</v>
      </c>
      <c r="D68" s="75">
        <f ca="1">((100/(D63+F63+H63))*C68)/100</f>
        <v>0.57894736842105265</v>
      </c>
      <c r="E68" s="145"/>
      <c r="F68" s="145"/>
      <c r="G68" s="145"/>
      <c r="H68" s="145"/>
      <c r="I68" s="24" t="s">
        <v>139</v>
      </c>
      <c r="J68" s="42">
        <f ca="1">(IF(B63&gt;1,(H63/(B63+2)),H63/4))</f>
        <v>4.5</v>
      </c>
      <c r="K68" s="23"/>
    </row>
    <row r="69" spans="1:11" ht="15.75" customHeight="1" x14ac:dyDescent="0.35">
      <c r="A69" s="105" t="s">
        <v>307</v>
      </c>
      <c r="B69" s="105" t="s">
        <v>308</v>
      </c>
      <c r="C69" s="38">
        <v>5</v>
      </c>
      <c r="D69" s="75">
        <f ca="1">((100/H63)*C69)/100</f>
        <v>0.27777777777777779</v>
      </c>
      <c r="E69" s="145"/>
      <c r="F69" s="145"/>
      <c r="G69" s="145"/>
      <c r="H69" s="145"/>
      <c r="I69" s="24" t="s">
        <v>140</v>
      </c>
      <c r="J69" s="42">
        <f ca="1">(IF(B63&gt;1,(H63/(B63+2)+J68),H63/4+J68))</f>
        <v>9</v>
      </c>
      <c r="K69" s="23"/>
    </row>
    <row r="70" spans="1:11" ht="15.75" customHeight="1" x14ac:dyDescent="0.35">
      <c r="A70" s="105" t="s">
        <v>309</v>
      </c>
      <c r="B70" s="105" t="s">
        <v>308</v>
      </c>
      <c r="C70" s="38">
        <v>3</v>
      </c>
      <c r="D70" s="75">
        <f ca="1">((100/H63)*C70)/100</f>
        <v>0.16666666666666663</v>
      </c>
      <c r="E70" s="145"/>
      <c r="F70" s="145"/>
      <c r="G70" s="145"/>
      <c r="H70" s="145"/>
      <c r="I70" s="24" t="s">
        <v>310</v>
      </c>
      <c r="J70" s="42">
        <f ca="1">(IF(B63&gt;1,(H63/(B63+2)+J69),0))</f>
        <v>13.5</v>
      </c>
      <c r="K70" s="23"/>
    </row>
    <row r="71" spans="1:11" ht="15.75" customHeight="1" x14ac:dyDescent="0.35">
      <c r="A71" s="105" t="s">
        <v>311</v>
      </c>
      <c r="B71" s="105" t="s">
        <v>312</v>
      </c>
      <c r="C71" s="38">
        <v>2</v>
      </c>
      <c r="D71" s="75">
        <f ca="1">((100/(H63))*C71)/100</f>
        <v>0.1111111111111111</v>
      </c>
      <c r="E71" s="145"/>
      <c r="F71" s="145"/>
      <c r="G71" s="145"/>
      <c r="H71" s="145"/>
      <c r="I71" s="24" t="s">
        <v>313</v>
      </c>
      <c r="J71" s="42">
        <f>(IF(B63&gt;2,(H63/(B63+2)+J70),0))</f>
        <v>0</v>
      </c>
      <c r="K71" s="23"/>
    </row>
    <row r="72" spans="1:11" ht="15.75" customHeight="1" x14ac:dyDescent="0.35">
      <c r="A72" s="105" t="s">
        <v>314</v>
      </c>
      <c r="B72" s="105" t="s">
        <v>314</v>
      </c>
      <c r="C72" s="38">
        <v>2</v>
      </c>
      <c r="D72" s="75">
        <f ca="1">((100/H63)*C72)/100</f>
        <v>0.1111111111111111</v>
      </c>
      <c r="E72" s="145"/>
      <c r="F72" s="145"/>
      <c r="G72" s="145"/>
      <c r="H72" s="145"/>
      <c r="I72" s="24" t="s">
        <v>315</v>
      </c>
      <c r="J72" s="43">
        <f>(IF(B63&gt;3,(H63/(B63+2)+J71),0))</f>
        <v>0</v>
      </c>
      <c r="K72" s="23"/>
    </row>
    <row r="73" spans="1:11" ht="15.75" customHeight="1" x14ac:dyDescent="0.35">
      <c r="A73" s="105" t="s">
        <v>316</v>
      </c>
      <c r="B73" s="105"/>
      <c r="C73" s="38">
        <v>1</v>
      </c>
      <c r="D73" s="75">
        <f ca="1">((100/H63)*C73)/100</f>
        <v>5.5555555555555552E-2</v>
      </c>
      <c r="E73" s="145"/>
      <c r="F73" s="145"/>
      <c r="G73" s="145"/>
      <c r="H73" s="145"/>
      <c r="I73" s="24" t="s">
        <v>317</v>
      </c>
      <c r="J73" s="42">
        <f>(IF(B63&gt;4,(H63/(B63+2)+J72),0))</f>
        <v>0</v>
      </c>
      <c r="K73" s="23"/>
    </row>
    <row r="74" spans="1:11" ht="15.75" customHeight="1" x14ac:dyDescent="0.35">
      <c r="A74" s="105" t="s">
        <v>318</v>
      </c>
      <c r="B74" s="105" t="s">
        <v>318</v>
      </c>
      <c r="C74" s="38">
        <v>0</v>
      </c>
      <c r="D74" s="75">
        <f ca="1">((100/(H63))*C74)/100</f>
        <v>0</v>
      </c>
      <c r="E74" s="145"/>
      <c r="F74" s="145"/>
      <c r="G74" s="145"/>
      <c r="H74" s="145"/>
      <c r="I74" s="24" t="s">
        <v>141</v>
      </c>
      <c r="J74" s="42">
        <f>(IF(B63=1,(H63/(B63+3)+J69),IF(B63=0,(H63/4+J69),IF(B63&gt;1,0))))</f>
        <v>0</v>
      </c>
      <c r="K74" s="23"/>
    </row>
    <row r="75" spans="1:11" ht="15.75" customHeight="1" thickBot="1" x14ac:dyDescent="0.4">
      <c r="A75" s="105" t="s">
        <v>319</v>
      </c>
      <c r="B75" s="105"/>
      <c r="C75" s="38">
        <v>0</v>
      </c>
      <c r="D75" s="75">
        <f ca="1">((100/(H63))*C75)/100</f>
        <v>0</v>
      </c>
      <c r="E75" s="145"/>
      <c r="F75" s="145"/>
      <c r="G75" s="145"/>
      <c r="H75" s="145"/>
      <c r="I75" s="25" t="s">
        <v>142</v>
      </c>
      <c r="J75" s="46">
        <f ca="1">(IF(B63&gt;1.5,(H63/(B63+2)+J69+MAX(0,J70-J69)+MAX(0,J71-J70)+MAX(0,J72-J71)+MAX(0,J73-J72)+MAX(0,J74-J73)),IF(B63=1,(H63/(B63+3)+J74),IF(B63=0,H63/4+J74))))</f>
        <v>18</v>
      </c>
      <c r="K75" s="23"/>
    </row>
    <row r="76" spans="1:11" ht="15.75" hidden="1" customHeight="1" x14ac:dyDescent="0.35">
      <c r="A76" s="137" t="s">
        <v>302</v>
      </c>
      <c r="B76" s="138"/>
      <c r="C76" s="139" t="s">
        <v>1071</v>
      </c>
      <c r="D76" s="140"/>
      <c r="E76" s="140"/>
      <c r="F76" s="140"/>
      <c r="G76" s="140"/>
      <c r="H76" s="141"/>
      <c r="I76" s="22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completed","0")))))))))))&amp;(IF(C82=(D77+F77+H77),", RCC Slab",IF(C82&gt;0,", RCC upto "&amp;C82&amp;" Slab",""))&amp;(IF(C83=H77,", Brickwork",IF(C83&gt;0,", Brickwork upto "&amp;C83&amp;" Floor",""))&amp;(IF(C84=H77,", Internal Plaster",IF(C84&gt;0,", Internal Plaster upto "&amp;C84&amp;" Floor",""))&amp;(IF(C85=H77,", External Plaster",IF(C85&gt;0,", External Plaster upto "&amp;C85&amp;" Floor",""))&amp;(IF(C86=H77,", Flooring",IF(C86&gt;0,", Flooring upto "&amp;C86&amp;" Floor",""))&amp;(IF(C87=H77,", Painting",IF(C87&gt;0,", Painting upto "&amp;C87&amp;" Floor",""))&amp;(IF(C88&gt;0,", Finishing upto "&amp;C88&amp;" Floor","")&amp;(IF(C82&gt;0.5," Completed",""))))))))))))))</f>
        <v>Excavation work Completed. Plinth work completed, RCC upto 11 Slab, Brickwork upto 5 Floor, Internal Plaster upto 3 Floor, External Plaster upto 3 Floor, Flooring upto 3 Floor, Painting upto 1 Floor Completed</v>
      </c>
      <c r="J76" s="35"/>
      <c r="K76" s="23"/>
    </row>
    <row r="77" spans="1:11" ht="15.75" hidden="1" customHeight="1" x14ac:dyDescent="0.35">
      <c r="A77" s="7" t="s">
        <v>96</v>
      </c>
      <c r="B77" s="29">
        <v>2</v>
      </c>
      <c r="C77" s="29" t="s">
        <v>98</v>
      </c>
      <c r="D77" s="29">
        <v>1</v>
      </c>
      <c r="E77" s="29" t="s">
        <v>97</v>
      </c>
      <c r="F77" s="29">
        <v>0</v>
      </c>
      <c r="G77" s="29" t="s">
        <v>113</v>
      </c>
      <c r="H77" s="20">
        <f ca="1">--TRIM(RIGHT(SUBSTITUTE(LEFT(C76,_xlfn.AGGREGATE(16,6,FIND({0,1,2,3,4,5,6,7,8,9},C76,ROW(INDIRECT("1:"&amp;LEN(C76)))),1))," ",REPT(" ",LEN(C76))),LEN(C76)))</f>
        <v>18</v>
      </c>
      <c r="I77" s="23"/>
      <c r="J77" s="36"/>
      <c r="K77" s="23"/>
    </row>
    <row r="78" spans="1:11" ht="48" hidden="1" customHeight="1" x14ac:dyDescent="0.35">
      <c r="A78" s="99" t="s">
        <v>124</v>
      </c>
      <c r="B78" s="100"/>
      <c r="C78" s="101" t="str">
        <f ca="1">I76</f>
        <v>Excavation work Completed. Plinth work completed, RCC upto 11 Slab, Brickwork upto 5 Floor, Internal Plaster upto 3 Floor, External Plaster upto 3 Floor, Flooring upto 3 Floor, Painting upto 1 Floor Completed</v>
      </c>
      <c r="D78" s="102"/>
      <c r="E78" s="102"/>
      <c r="F78" s="102"/>
      <c r="G78" s="102"/>
      <c r="H78" s="103"/>
      <c r="I78" s="23" t="s">
        <v>143</v>
      </c>
      <c r="J78" s="36"/>
      <c r="K78" s="23"/>
    </row>
    <row r="79" spans="1:11" ht="15.75" hidden="1" customHeight="1" x14ac:dyDescent="0.35">
      <c r="A79" s="104" t="s">
        <v>50</v>
      </c>
      <c r="B79" s="105"/>
      <c r="C79" s="30" t="s">
        <v>303</v>
      </c>
      <c r="D79" s="30" t="s">
        <v>116</v>
      </c>
      <c r="E79" s="106" t="s">
        <v>118</v>
      </c>
      <c r="F79" s="107"/>
      <c r="G79" s="106" t="s">
        <v>117</v>
      </c>
      <c r="H79" s="108"/>
      <c r="I79" s="24" t="s">
        <v>304</v>
      </c>
      <c r="J79" s="37">
        <f ca="1">H77*25%</f>
        <v>4.5</v>
      </c>
      <c r="K79" s="23"/>
    </row>
    <row r="80" spans="1:11" ht="15.75" hidden="1" customHeight="1" x14ac:dyDescent="0.35">
      <c r="A80" s="104" t="s">
        <v>305</v>
      </c>
      <c r="B80" s="105"/>
      <c r="C80" s="38">
        <f ca="1">J81</f>
        <v>18</v>
      </c>
      <c r="D80" s="39">
        <f ca="1">((100/H77)*C80)/100</f>
        <v>1</v>
      </c>
      <c r="E80" s="109">
        <f ca="1">(((C81/H77*10)+(40/(D77+F77+H77)*C82)+(7.5/(H77)*C83)+(7.5/(H77)*C84)+(10/H77*C85)+(10/H77*C86)+(5/H77*C87)+(5/H77*C88)+(5/H77*C89))/100)</f>
        <v>0.40102339181286545</v>
      </c>
      <c r="F80" s="110"/>
      <c r="G80" s="109">
        <f ca="1">((((C80/H77)*20)+((C81/H77)*25)+(30/(H77+F77+D77)*C82)+(5/H77*C83)+(5/H77*C84)+(5/H77*C85)+(5/H77*C86)+(0/H77*C87)+(0/H77*C88)+(5/H77*C89))/100)</f>
        <v>0.66257309941520448</v>
      </c>
      <c r="H80" s="115"/>
      <c r="I80" s="24" t="s">
        <v>137</v>
      </c>
      <c r="J80" s="40">
        <f ca="1">H77*50%</f>
        <v>9</v>
      </c>
      <c r="K80" s="23"/>
    </row>
    <row r="81" spans="1:11" ht="15.75" hidden="1" customHeight="1" x14ac:dyDescent="0.35">
      <c r="A81" s="104" t="s">
        <v>51</v>
      </c>
      <c r="B81" s="105"/>
      <c r="C81" s="41">
        <f ca="1">J89</f>
        <v>18</v>
      </c>
      <c r="D81" s="39">
        <f ca="1">((100/H77)*C81)/100</f>
        <v>1</v>
      </c>
      <c r="E81" s="111"/>
      <c r="F81" s="112"/>
      <c r="G81" s="111"/>
      <c r="H81" s="116"/>
      <c r="I81" s="24" t="s">
        <v>138</v>
      </c>
      <c r="J81" s="40">
        <f ca="1">H77</f>
        <v>18</v>
      </c>
      <c r="K81" s="23"/>
    </row>
    <row r="82" spans="1:11" ht="15.75" hidden="1" customHeight="1" x14ac:dyDescent="0.35">
      <c r="A82" s="104" t="s">
        <v>306</v>
      </c>
      <c r="B82" s="105"/>
      <c r="C82" s="41">
        <v>11</v>
      </c>
      <c r="D82" s="39">
        <f ca="1">((100/(D77+F77+H77))*C82)/100</f>
        <v>0.57894736842105265</v>
      </c>
      <c r="E82" s="111"/>
      <c r="F82" s="112"/>
      <c r="G82" s="111"/>
      <c r="H82" s="116"/>
      <c r="I82" s="24" t="s">
        <v>139</v>
      </c>
      <c r="J82" s="42">
        <f ca="1">(IF(B77&gt;1,(H77/(B77+2)),H77/4))</f>
        <v>4.5</v>
      </c>
      <c r="K82" s="23"/>
    </row>
    <row r="83" spans="1:11" ht="15.75" hidden="1" customHeight="1" x14ac:dyDescent="0.35">
      <c r="A83" s="104" t="s">
        <v>307</v>
      </c>
      <c r="B83" s="105" t="s">
        <v>308</v>
      </c>
      <c r="C83" s="38">
        <v>5</v>
      </c>
      <c r="D83" s="39">
        <f ca="1">((100/H77)*C83)/100</f>
        <v>0.27777777777777779</v>
      </c>
      <c r="E83" s="111"/>
      <c r="F83" s="112"/>
      <c r="G83" s="111"/>
      <c r="H83" s="116"/>
      <c r="I83" s="24" t="s">
        <v>140</v>
      </c>
      <c r="J83" s="42">
        <f ca="1">(IF(B77&gt;1,(H77/(B77+2)+J82),H77/4+J82))</f>
        <v>9</v>
      </c>
      <c r="K83" s="23"/>
    </row>
    <row r="84" spans="1:11" ht="15.75" hidden="1" customHeight="1" x14ac:dyDescent="0.35">
      <c r="A84" s="104" t="s">
        <v>309</v>
      </c>
      <c r="B84" s="105" t="s">
        <v>308</v>
      </c>
      <c r="C84" s="38">
        <v>3</v>
      </c>
      <c r="D84" s="39">
        <f ca="1">((100/H77)*C84)/100</f>
        <v>0.16666666666666663</v>
      </c>
      <c r="E84" s="111"/>
      <c r="F84" s="112"/>
      <c r="G84" s="111"/>
      <c r="H84" s="116"/>
      <c r="I84" s="24" t="s">
        <v>310</v>
      </c>
      <c r="J84" s="42">
        <f ca="1">(IF(B77&gt;1,(H77/(B77+2)+J83),0))</f>
        <v>13.5</v>
      </c>
      <c r="K84" s="23"/>
    </row>
    <row r="85" spans="1:11" ht="15.75" hidden="1" customHeight="1" x14ac:dyDescent="0.35">
      <c r="A85" s="104" t="s">
        <v>311</v>
      </c>
      <c r="B85" s="105" t="s">
        <v>312</v>
      </c>
      <c r="C85" s="38">
        <v>3</v>
      </c>
      <c r="D85" s="39">
        <f ca="1">((100/(H77))*C85)/100</f>
        <v>0.16666666666666663</v>
      </c>
      <c r="E85" s="111"/>
      <c r="F85" s="112"/>
      <c r="G85" s="111"/>
      <c r="H85" s="116"/>
      <c r="I85" s="24" t="s">
        <v>313</v>
      </c>
      <c r="J85" s="42">
        <f>(IF(B77&gt;2,(H77/(B77+2)+J84),0))</f>
        <v>0</v>
      </c>
      <c r="K85" s="23"/>
    </row>
    <row r="86" spans="1:11" ht="15.75" hidden="1" customHeight="1" x14ac:dyDescent="0.35">
      <c r="A86" s="104" t="s">
        <v>314</v>
      </c>
      <c r="B86" s="105" t="s">
        <v>314</v>
      </c>
      <c r="C86" s="38">
        <v>3</v>
      </c>
      <c r="D86" s="39">
        <f ca="1">((100/H77)*C86)/100</f>
        <v>0.16666666666666663</v>
      </c>
      <c r="E86" s="111"/>
      <c r="F86" s="112"/>
      <c r="G86" s="111"/>
      <c r="H86" s="116"/>
      <c r="I86" s="24" t="s">
        <v>315</v>
      </c>
      <c r="J86" s="43">
        <f>(IF(B77&gt;3,(H77/(B77+2)+J85),0))</f>
        <v>0</v>
      </c>
      <c r="K86" s="23"/>
    </row>
    <row r="87" spans="1:11" ht="15.75" hidden="1" customHeight="1" x14ac:dyDescent="0.35">
      <c r="A87" s="104" t="s">
        <v>316</v>
      </c>
      <c r="B87" s="105"/>
      <c r="C87" s="38">
        <v>1</v>
      </c>
      <c r="D87" s="39">
        <f ca="1">((100/H77)*C87)/100</f>
        <v>5.5555555555555552E-2</v>
      </c>
      <c r="E87" s="111"/>
      <c r="F87" s="112"/>
      <c r="G87" s="111"/>
      <c r="H87" s="116"/>
      <c r="I87" s="24" t="s">
        <v>317</v>
      </c>
      <c r="J87" s="42">
        <f>(IF(B77&gt;4,(H77/(B77+2)+J86),0))</f>
        <v>0</v>
      </c>
      <c r="K87" s="23"/>
    </row>
    <row r="88" spans="1:11" ht="15.75" hidden="1" customHeight="1" x14ac:dyDescent="0.35">
      <c r="A88" s="104" t="s">
        <v>318</v>
      </c>
      <c r="B88" s="105" t="s">
        <v>318</v>
      </c>
      <c r="C88" s="38">
        <v>0</v>
      </c>
      <c r="D88" s="39">
        <f ca="1">((100/(H77))*C88)/100</f>
        <v>0</v>
      </c>
      <c r="E88" s="111"/>
      <c r="F88" s="112"/>
      <c r="G88" s="111"/>
      <c r="H88" s="116"/>
      <c r="I88" s="24" t="s">
        <v>141</v>
      </c>
      <c r="J88" s="42">
        <f>(IF(B77=1,(H77/(B77+3)+J83),IF(B77=0,(H77/4+J83),IF(B77&gt;1,0))))</f>
        <v>0</v>
      </c>
      <c r="K88" s="23"/>
    </row>
    <row r="89" spans="1:11" ht="15.75" hidden="1" customHeight="1" thickBot="1" x14ac:dyDescent="0.4">
      <c r="A89" s="125" t="s">
        <v>319</v>
      </c>
      <c r="B89" s="126"/>
      <c r="C89" s="44">
        <v>0</v>
      </c>
      <c r="D89" s="45">
        <f ca="1">((100/(H77))*C89)/100</f>
        <v>0</v>
      </c>
      <c r="E89" s="113"/>
      <c r="F89" s="114"/>
      <c r="G89" s="113"/>
      <c r="H89" s="117"/>
      <c r="I89" s="25" t="s">
        <v>142</v>
      </c>
      <c r="J89" s="46">
        <f ca="1">(IF(B77&gt;1.5,(H77/(B77+2)+J83+MAX(0,J84-J83)+MAX(0,J85-J84)+MAX(0,J86-J85)+MAX(0,J87-J86)+MAX(0,J88-J87)),IF(B77=1,(H77/(B77+3)+J88),IF(B77=0,H77/4+J88))))</f>
        <v>18</v>
      </c>
      <c r="K89" s="23"/>
    </row>
    <row r="90" spans="1:11" x14ac:dyDescent="0.35">
      <c r="A90" s="184" t="s">
        <v>187</v>
      </c>
      <c r="B90" s="184"/>
      <c r="C90" s="184"/>
      <c r="D90" s="184"/>
      <c r="E90" s="184"/>
      <c r="F90" s="184"/>
      <c r="G90" s="184"/>
      <c r="H90" s="184"/>
    </row>
    <row r="91" spans="1:11" x14ac:dyDescent="0.35">
      <c r="A91" s="98" t="s">
        <v>52</v>
      </c>
      <c r="B91" s="98"/>
      <c r="C91" s="98"/>
      <c r="D91" s="98"/>
      <c r="E91" s="98"/>
      <c r="F91" s="98"/>
      <c r="G91" s="98"/>
      <c r="H91" s="98"/>
    </row>
    <row r="92" spans="1:11" ht="15" customHeight="1" x14ac:dyDescent="0.35">
      <c r="A92" s="100" t="s">
        <v>101</v>
      </c>
      <c r="B92" s="100"/>
      <c r="C92" s="118" t="s">
        <v>102</v>
      </c>
      <c r="D92" s="118"/>
      <c r="E92" s="118"/>
      <c r="F92" s="118"/>
      <c r="G92" s="118"/>
      <c r="H92" s="118"/>
    </row>
    <row r="93" spans="1:11" x14ac:dyDescent="0.35">
      <c r="A93" s="147" t="s">
        <v>53</v>
      </c>
      <c r="B93" s="147"/>
      <c r="C93" s="147"/>
      <c r="D93" s="147"/>
      <c r="E93" s="147"/>
      <c r="F93" s="147"/>
      <c r="G93" s="147"/>
      <c r="H93" s="147"/>
    </row>
    <row r="94" spans="1:11" x14ac:dyDescent="0.35">
      <c r="A94" s="98" t="s">
        <v>103</v>
      </c>
      <c r="B94" s="98"/>
      <c r="C94" s="98"/>
      <c r="D94" s="98"/>
      <c r="E94" s="98"/>
      <c r="F94" s="143">
        <v>6000</v>
      </c>
      <c r="G94" s="143"/>
      <c r="H94" s="143"/>
      <c r="I94" s="197" t="s">
        <v>1074</v>
      </c>
    </row>
    <row r="95" spans="1:11" x14ac:dyDescent="0.35">
      <c r="A95" s="98" t="s">
        <v>111</v>
      </c>
      <c r="B95" s="98"/>
      <c r="C95" s="98"/>
      <c r="D95" s="98"/>
      <c r="E95" s="98"/>
      <c r="F95" s="143">
        <v>8000</v>
      </c>
      <c r="G95" s="143"/>
      <c r="H95" s="143"/>
    </row>
    <row r="96" spans="1:11" x14ac:dyDescent="0.35">
      <c r="A96" s="98" t="s">
        <v>189</v>
      </c>
      <c r="B96" s="98"/>
      <c r="C96" s="98"/>
      <c r="D96" s="98"/>
      <c r="E96" s="98"/>
      <c r="F96" s="143">
        <v>6500</v>
      </c>
      <c r="G96" s="143"/>
      <c r="H96" s="143"/>
    </row>
    <row r="97" spans="1:8" x14ac:dyDescent="0.35">
      <c r="A97" s="98" t="s">
        <v>112</v>
      </c>
      <c r="B97" s="98"/>
      <c r="C97" s="98"/>
      <c r="D97" s="98"/>
      <c r="E97" s="98"/>
      <c r="F97" s="143">
        <v>7000</v>
      </c>
      <c r="G97" s="143"/>
      <c r="H97" s="143"/>
    </row>
    <row r="98" spans="1:8" s="47" customFormat="1" hidden="1" x14ac:dyDescent="0.3">
      <c r="A98" s="98" t="s">
        <v>129</v>
      </c>
      <c r="B98" s="98"/>
      <c r="C98" s="98"/>
      <c r="D98" s="98"/>
      <c r="E98" s="98"/>
      <c r="F98" s="143" t="s">
        <v>30</v>
      </c>
      <c r="G98" s="143"/>
      <c r="H98" s="143"/>
    </row>
    <row r="99" spans="1:8" s="47" customFormat="1" hidden="1" x14ac:dyDescent="0.3">
      <c r="A99" s="98" t="s">
        <v>130</v>
      </c>
      <c r="B99" s="98"/>
      <c r="C99" s="98"/>
      <c r="D99" s="98"/>
      <c r="E99" s="98"/>
      <c r="F99" s="143" t="s">
        <v>30</v>
      </c>
      <c r="G99" s="143"/>
      <c r="H99" s="143"/>
    </row>
    <row r="100" spans="1:8" s="47" customFormat="1" hidden="1" x14ac:dyDescent="0.3">
      <c r="A100" s="98" t="s">
        <v>131</v>
      </c>
      <c r="B100" s="98"/>
      <c r="C100" s="98"/>
      <c r="D100" s="98"/>
      <c r="E100" s="98"/>
      <c r="F100" s="143" t="s">
        <v>30</v>
      </c>
      <c r="G100" s="143"/>
      <c r="H100" s="143"/>
    </row>
    <row r="101" spans="1:8" s="47" customFormat="1" hidden="1" x14ac:dyDescent="0.3">
      <c r="A101" s="98" t="s">
        <v>132</v>
      </c>
      <c r="B101" s="98"/>
      <c r="C101" s="98"/>
      <c r="D101" s="98"/>
      <c r="E101" s="98"/>
      <c r="F101" s="143" t="s">
        <v>30</v>
      </c>
      <c r="G101" s="143"/>
      <c r="H101" s="143"/>
    </row>
    <row r="102" spans="1:8" s="47" customFormat="1" hidden="1" x14ac:dyDescent="0.3">
      <c r="A102" s="98" t="s">
        <v>133</v>
      </c>
      <c r="B102" s="98"/>
      <c r="C102" s="98"/>
      <c r="D102" s="98"/>
      <c r="E102" s="98"/>
      <c r="F102" s="143" t="s">
        <v>30</v>
      </c>
      <c r="G102" s="143"/>
      <c r="H102" s="143"/>
    </row>
    <row r="103" spans="1:8" s="47" customFormat="1" hidden="1" x14ac:dyDescent="0.3">
      <c r="A103" s="98" t="s">
        <v>134</v>
      </c>
      <c r="B103" s="98"/>
      <c r="C103" s="98"/>
      <c r="D103" s="98"/>
      <c r="E103" s="98"/>
      <c r="F103" s="143" t="s">
        <v>30</v>
      </c>
      <c r="G103" s="143"/>
      <c r="H103" s="143"/>
    </row>
    <row r="104" spans="1:8" s="47" customFormat="1" hidden="1" x14ac:dyDescent="0.3">
      <c r="A104" s="98" t="s">
        <v>135</v>
      </c>
      <c r="B104" s="98"/>
      <c r="C104" s="98"/>
      <c r="D104" s="98"/>
      <c r="E104" s="98"/>
      <c r="F104" s="143" t="s">
        <v>30</v>
      </c>
      <c r="G104" s="143"/>
      <c r="H104" s="143"/>
    </row>
    <row r="105" spans="1:8" s="47" customFormat="1" hidden="1" x14ac:dyDescent="0.3">
      <c r="A105" s="98" t="s">
        <v>136</v>
      </c>
      <c r="B105" s="98"/>
      <c r="C105" s="98"/>
      <c r="D105" s="98"/>
      <c r="E105" s="98"/>
      <c r="F105" s="143" t="s">
        <v>30</v>
      </c>
      <c r="G105" s="143"/>
      <c r="H105" s="143"/>
    </row>
    <row r="106" spans="1:8" x14ac:dyDescent="0.35">
      <c r="A106" s="98" t="s">
        <v>54</v>
      </c>
      <c r="B106" s="98"/>
      <c r="C106" s="98"/>
      <c r="D106" s="98"/>
      <c r="E106" s="98"/>
      <c r="F106" s="119">
        <v>200000</v>
      </c>
      <c r="G106" s="119"/>
      <c r="H106" s="119"/>
    </row>
    <row r="107" spans="1:8" s="48" customFormat="1" x14ac:dyDescent="0.35">
      <c r="A107" s="147" t="s">
        <v>55</v>
      </c>
      <c r="B107" s="147"/>
      <c r="C107" s="147"/>
      <c r="D107" s="147"/>
      <c r="E107" s="147"/>
      <c r="F107" s="143">
        <f>F94*0.8</f>
        <v>4800</v>
      </c>
      <c r="G107" s="143"/>
      <c r="H107" s="143"/>
    </row>
    <row r="108" spans="1:8" s="49" customFormat="1" ht="15.75" customHeight="1" x14ac:dyDescent="0.35">
      <c r="A108" s="95" t="s">
        <v>104</v>
      </c>
      <c r="B108" s="95"/>
      <c r="C108" s="95"/>
      <c r="D108" s="95"/>
      <c r="E108" s="95"/>
      <c r="F108" s="95"/>
      <c r="G108" s="95"/>
      <c r="H108" s="95"/>
    </row>
    <row r="109" spans="1:8" s="49" customFormat="1" ht="15.75" customHeight="1" x14ac:dyDescent="0.35">
      <c r="A109" s="97" t="s">
        <v>56</v>
      </c>
      <c r="B109" s="97"/>
      <c r="C109" s="50" t="s">
        <v>108</v>
      </c>
      <c r="D109" s="144" t="s">
        <v>57</v>
      </c>
      <c r="E109" s="144"/>
      <c r="F109" s="97" t="s">
        <v>58</v>
      </c>
      <c r="G109" s="97"/>
      <c r="H109" s="97"/>
    </row>
    <row r="110" spans="1:8" s="49" customFormat="1" ht="15.75" customHeight="1" x14ac:dyDescent="0.35">
      <c r="A110" s="191" t="s">
        <v>453</v>
      </c>
      <c r="B110" s="69" t="s">
        <v>163</v>
      </c>
      <c r="C110" s="51">
        <f>COUNT(D127:D197)</f>
        <v>71</v>
      </c>
      <c r="D110" s="120">
        <f>SUM(D127:D197)</f>
        <v>38995.28100000001</v>
      </c>
      <c r="E110" s="120"/>
      <c r="F110" s="122">
        <f>SUM(F127:F197)</f>
        <v>60442.68554999998</v>
      </c>
      <c r="G110" s="123"/>
      <c r="H110" s="124"/>
    </row>
    <row r="111" spans="1:8" s="49" customFormat="1" ht="15.75" customHeight="1" x14ac:dyDescent="0.35">
      <c r="A111" s="192"/>
      <c r="B111" s="69" t="s">
        <v>164</v>
      </c>
      <c r="C111" s="51">
        <f>COUNT(D199:D275)+COUNT(D277:D347)</f>
        <v>148</v>
      </c>
      <c r="D111" s="120">
        <f>SUM(D199:D275)+SUM(D277:D347)</f>
        <v>79236.817920000016</v>
      </c>
      <c r="E111" s="120"/>
      <c r="F111" s="122">
        <f>SUM(F199:F275)+SUM(F277:F347)</f>
        <v>122817.06777599995</v>
      </c>
      <c r="G111" s="123"/>
      <c r="H111" s="124"/>
    </row>
    <row r="112" spans="1:8" s="49" customFormat="1" ht="15.75" customHeight="1" x14ac:dyDescent="0.35">
      <c r="A112" s="193"/>
      <c r="B112" s="69" t="s">
        <v>165</v>
      </c>
      <c r="C112" s="51">
        <f>COUNT(D349:D387)+COUNT(D390:D398)+COUNT(D400:D408)</f>
        <v>57</v>
      </c>
      <c r="D112" s="120">
        <f>SUM(D349:D387)+SUM(D390:D398)+SUM(D400:D408)</f>
        <v>50663.887560000003</v>
      </c>
      <c r="E112" s="120"/>
      <c r="F112" s="122">
        <f>SUM(F349:F387)+SUM(F390:F398)+SUM(F400:F408)</f>
        <v>78529.025718000004</v>
      </c>
      <c r="G112" s="123"/>
      <c r="H112" s="124"/>
    </row>
    <row r="113" spans="1:10" s="49" customFormat="1" x14ac:dyDescent="0.35">
      <c r="A113" s="95" t="s">
        <v>60</v>
      </c>
      <c r="B113" s="95"/>
      <c r="C113" s="52">
        <f>SUM(C110:C112)</f>
        <v>276</v>
      </c>
      <c r="D113" s="96">
        <f>SUM(D110:E112)</f>
        <v>168895.98648000002</v>
      </c>
      <c r="E113" s="96"/>
      <c r="F113" s="97">
        <f>SUM(F110:H112)</f>
        <v>261788.77904399997</v>
      </c>
      <c r="G113" s="97"/>
      <c r="H113" s="97"/>
    </row>
    <row r="114" spans="1:10" s="49" customFormat="1" ht="28.5" customHeight="1" x14ac:dyDescent="0.35">
      <c r="A114" s="95" t="s">
        <v>95</v>
      </c>
      <c r="B114" s="95"/>
      <c r="C114" s="95"/>
      <c r="D114" s="95"/>
      <c r="E114" s="95"/>
      <c r="F114" s="95"/>
      <c r="G114" s="95"/>
      <c r="H114" s="95"/>
    </row>
    <row r="115" spans="1:10" s="49" customFormat="1" x14ac:dyDescent="0.35">
      <c r="A115" s="97" t="s">
        <v>56</v>
      </c>
      <c r="B115" s="97"/>
      <c r="C115" s="50" t="s">
        <v>108</v>
      </c>
      <c r="D115" s="144" t="s">
        <v>57</v>
      </c>
      <c r="E115" s="144"/>
      <c r="F115" s="97" t="s">
        <v>58</v>
      </c>
      <c r="G115" s="97"/>
      <c r="H115" s="97"/>
    </row>
    <row r="116" spans="1:10" s="49" customFormat="1" x14ac:dyDescent="0.35">
      <c r="A116" s="121" t="s">
        <v>178</v>
      </c>
      <c r="B116" s="121"/>
      <c r="C116" s="51">
        <f>COUNT(D414:D416,D423:D427)+COUNT(D429:D448)+COUNT(D450:D463)+COUNT(D465:D483)+COUNT(D485:D500)+COUNT(D502:D503,D506:D521)+COUNT(D523:D524,D527:D537)+COUNT(D539:D555)+COUNT(D557:D572)+COUNT(D574:D590)+COUNT(D592:D607)+COUNT(D609:D624)+COUNT(D626,D629:D642)+COUNT(D644,D647:D660)+COUNT(D662:D675)+COUNT(D677:D691)</f>
        <v>249</v>
      </c>
      <c r="D116" s="120">
        <f>SUM(D414:D416,D423:D427)+SUM(D429:D448)+SUM(D450:D463)+SUM(D465:D483)+SUM(D485:D500)+SUM(D502:D503,D506:D521)+SUM(D523:D524,D527:D537)+SUM(D539:D555)+SUM(D557:D572)+SUM(D574:D590)+SUM(D592:D607)+SUM(D609:D624)+SUM(D626,D629:D642)+SUM(D644,D647:D660)+SUM(D662:D675)+SUM(D677:D691)</f>
        <v>129073.13686799996</v>
      </c>
      <c r="E116" s="120"/>
      <c r="F116" s="122">
        <f>SUM(F414:F416,F423:F427)+SUM(F429:F448)+SUM(F450:F463)+SUM(F465:F483)+SUM(F485:F500)+SUM(F502:F503,F506:F521)+SUM(F523:F524,F527:F537)+SUM(F539:F555)+SUM(F557:F572)+SUM(F574:F590)+SUM(F592:F607)+SUM(F609:F624)+SUM(F626,F629:F642)+SUM(F644,F647:F660)+SUM(F662:F675)+SUM(F677:F691)</f>
        <v>193609.70530199996</v>
      </c>
      <c r="G116" s="123"/>
      <c r="H116" s="124"/>
    </row>
    <row r="117" spans="1:10" s="49" customFormat="1" x14ac:dyDescent="0.35">
      <c r="A117" s="121" t="s">
        <v>179</v>
      </c>
      <c r="B117" s="121"/>
      <c r="C117" s="51">
        <f>COUNT(D696:D697,D703:D704)+COUNT(D706:D714)+COUNT(D716:D724)+COUNT(D726:D734)+COUNT(D736:D744)+COUNT(D746:D754)+COUNT(D756:D764)+COUNT(D766:D774)+COUNT(D776:D784)+COUNT(D786:D794)+COUNT(D796:D804)+COUNT(D806:D814)+COUNT(D816:D824)+COUNT(D826:D834)+COUNT(D836:D844)+COUNT(D846:D854)</f>
        <v>139</v>
      </c>
      <c r="D117" s="120">
        <f>SUM(D696:D697,D703:D704)+SUM(D706:D714)+SUM(D716:D724)+SUM(D726:D734)+SUM(D736:D744)+SUM(D746:D754)+SUM(D756:D764)+SUM(D766:D774)+SUM(D776:D784)+SUM(D786:D794)+SUM(D796:D804)+SUM(D806:D814)+SUM(D816:D824)+SUM(D826:D834)+SUM(D836:D844)+SUM(D846:D854)</f>
        <v>103264.86456</v>
      </c>
      <c r="E117" s="120"/>
      <c r="F117" s="122">
        <f>SUM(F696:F697,F703:F704)+SUM(F706:F714)+SUM(F716:F724)+SUM(F726:F734)+SUM(F736:F744)+SUM(F746:F754)+SUM(F756:F764)+SUM(F766:F774)+SUM(F776:F784)+SUM(F786:F794)+SUM(F796:F804)+SUM(F806:F814)+SUM(F816:F824)+SUM(F826:F834)+SUM(F836:F844)+SUM(F846:F854)</f>
        <v>154897.29683999997</v>
      </c>
      <c r="G117" s="123"/>
      <c r="H117" s="124"/>
    </row>
    <row r="118" spans="1:10" s="49" customFormat="1" x14ac:dyDescent="0.35">
      <c r="A118" s="121" t="s">
        <v>180</v>
      </c>
      <c r="B118" s="121"/>
      <c r="C118" s="51">
        <f>COUNT(D858:D862,D869:D871)+COUNT(D873:D892)+COUNT(D894:D907)+COUNT(D909:D927)+COUNT(D929:D942)+COUNT(D944:D963)+COUNT(D965:D978)+COUNT(D980:D998)+COUNT(D1000:D1014,D1017:D1018)+COUNT(D1020:D1033,D1036:D1037)+COUNT(D1039:D1055)+COUNT(D1057:D1073)+COUNT(D1075:D1090)+COUNT(D1092:D1108)+COUNT(D1110:D1123,D1126)+COUNT(D1128:D1141,D1144)</f>
        <v>258</v>
      </c>
      <c r="D118" s="120">
        <f>SUM(D858:D862,D869:D871)+SUM(D873:D892)+SUM(D894:D907)+SUM(D909:D927)+SUM(D929:D942)+SUM(D944:D963)+SUM(D965:D978)+SUM(D980:D998)+SUM(D1000:D1014,D1017:D1018)+SUM(D1020:D1033,D1036:D1037)+SUM(D1039:D1055)+SUM(D1057:D1073)+SUM(D1075:D1090)+SUM(D1092:D1108)+SUM(D1110:D1123,D1126)+SUM(D1128:D1141,D1144)</f>
        <v>132591.81312000001</v>
      </c>
      <c r="E118" s="120"/>
      <c r="F118" s="122">
        <f>SUM(F858:F862,F869:F871)+SUM(F873:F892)+SUM(F894:F907)+SUM(F909:F927)+SUM(F929:F942)+SUM(F944:F963)+SUM(F965:F978)+SUM(F980:F998)+SUM(F1000:F1014,F1017:F1018)+SUM(F1020:F1033,F1036:F1037)+SUM(F1039:F1055)+SUM(F1057:F1073)+SUM(F1075:F1090)+SUM(F1092:F1108)+SUM(F1110:F1123,F1126)+SUM(F1128:F1141,F1144)</f>
        <v>198922.63136</v>
      </c>
      <c r="G118" s="123"/>
      <c r="H118" s="124"/>
    </row>
    <row r="119" spans="1:10" s="49" customFormat="1" x14ac:dyDescent="0.35">
      <c r="A119" s="174" t="s">
        <v>60</v>
      </c>
      <c r="B119" s="174"/>
      <c r="C119" s="61">
        <f>SUM(C116:C118)</f>
        <v>646</v>
      </c>
      <c r="D119" s="171">
        <f>SUM(D116:E118)</f>
        <v>364929.81454799999</v>
      </c>
      <c r="E119" s="171"/>
      <c r="F119" s="172">
        <f>SUM(F116:H118)</f>
        <v>547429.6335019999</v>
      </c>
      <c r="G119" s="172"/>
      <c r="H119" s="172"/>
    </row>
    <row r="120" spans="1:10" s="49" customFormat="1" x14ac:dyDescent="0.35">
      <c r="A120" s="95" t="s">
        <v>329</v>
      </c>
      <c r="B120" s="95"/>
      <c r="C120" s="52">
        <f>C113+C119</f>
        <v>922</v>
      </c>
      <c r="D120" s="96">
        <f>D113+D119</f>
        <v>533825.80102799996</v>
      </c>
      <c r="E120" s="96"/>
      <c r="F120" s="97">
        <f>F113+F119</f>
        <v>809218.41254599986</v>
      </c>
      <c r="G120" s="97"/>
      <c r="H120" s="97"/>
    </row>
    <row r="121" spans="1:10" s="48" customFormat="1" x14ac:dyDescent="0.35">
      <c r="A121" s="157" t="s">
        <v>61</v>
      </c>
      <c r="B121" s="157"/>
      <c r="C121" s="157"/>
      <c r="D121" s="157"/>
      <c r="E121" s="157"/>
      <c r="F121" s="157"/>
      <c r="G121" s="157"/>
      <c r="H121" s="157"/>
    </row>
    <row r="122" spans="1:10" x14ac:dyDescent="0.35">
      <c r="A122" s="157" t="s">
        <v>1067</v>
      </c>
      <c r="B122" s="157"/>
      <c r="C122" s="157"/>
      <c r="D122" s="157"/>
      <c r="E122" s="157"/>
      <c r="F122" s="157"/>
      <c r="G122" s="157"/>
      <c r="H122" s="157"/>
    </row>
    <row r="123" spans="1:10" ht="47.25" customHeight="1" x14ac:dyDescent="0.35">
      <c r="A123" s="173" t="s">
        <v>105</v>
      </c>
      <c r="B123" s="173"/>
      <c r="C123" s="77" t="s">
        <v>62</v>
      </c>
      <c r="D123" s="77" t="s">
        <v>63</v>
      </c>
      <c r="E123" s="6" t="s">
        <v>64</v>
      </c>
      <c r="F123" s="70" t="s">
        <v>1062</v>
      </c>
      <c r="G123" s="173" t="s">
        <v>65</v>
      </c>
      <c r="H123" s="173"/>
    </row>
    <row r="124" spans="1:10" s="53" customFormat="1" x14ac:dyDescent="0.35">
      <c r="A124" s="142" t="s">
        <v>453</v>
      </c>
      <c r="B124" s="142"/>
      <c r="C124" s="142"/>
      <c r="D124" s="142"/>
      <c r="E124" s="142"/>
      <c r="F124" s="142"/>
      <c r="G124" s="142"/>
      <c r="H124" s="142"/>
      <c r="J124" s="66">
        <v>10.763999999999999</v>
      </c>
    </row>
    <row r="125" spans="1:10" s="53" customFormat="1" ht="15.75" customHeight="1" x14ac:dyDescent="0.35">
      <c r="A125" s="94" t="s">
        <v>344</v>
      </c>
      <c r="B125" s="94"/>
      <c r="C125" s="94"/>
      <c r="D125" s="94"/>
      <c r="E125" s="94"/>
      <c r="F125" s="94"/>
      <c r="G125" s="94"/>
      <c r="H125" s="94"/>
    </row>
    <row r="126" spans="1:10" s="53" customFormat="1" ht="15.75" customHeight="1" x14ac:dyDescent="0.35">
      <c r="A126" s="94" t="s">
        <v>352</v>
      </c>
      <c r="B126" s="94"/>
      <c r="C126" s="94"/>
      <c r="D126" s="94"/>
      <c r="E126" s="94"/>
      <c r="F126" s="94"/>
      <c r="G126" s="94"/>
      <c r="H126" s="94"/>
    </row>
    <row r="127" spans="1:10" s="53" customFormat="1" x14ac:dyDescent="0.35">
      <c r="A127" s="82">
        <v>1</v>
      </c>
      <c r="B127" s="82"/>
      <c r="C127" s="73" t="s">
        <v>163</v>
      </c>
      <c r="D127" s="66">
        <f>(66.47)*10.764</f>
        <v>715.48307999999997</v>
      </c>
      <c r="E127" s="73">
        <v>0</v>
      </c>
      <c r="F127" s="73">
        <f>D127*1.55+E127</f>
        <v>1108.9987739999999</v>
      </c>
      <c r="G127" s="82" t="str">
        <f>A126</f>
        <v>Lower Ground floor (1st Basement floor) for Commercial</v>
      </c>
      <c r="H127" s="82"/>
      <c r="I127" s="53">
        <f>6.3*10.4</f>
        <v>65.52</v>
      </c>
    </row>
    <row r="128" spans="1:10" s="53" customFormat="1" x14ac:dyDescent="0.35">
      <c r="A128" s="82">
        <v>2</v>
      </c>
      <c r="B128" s="82"/>
      <c r="C128" s="73" t="s">
        <v>163</v>
      </c>
      <c r="D128" s="66">
        <f>(59.24)*10.764</f>
        <v>637.65935999999999</v>
      </c>
      <c r="E128" s="73">
        <v>0</v>
      </c>
      <c r="F128" s="73">
        <f t="shared" ref="F128:F191" si="0">D128*1.55+E128</f>
        <v>988.37200800000005</v>
      </c>
      <c r="G128" s="82"/>
      <c r="H128" s="82"/>
    </row>
    <row r="129" spans="1:8" s="53" customFormat="1" x14ac:dyDescent="0.35">
      <c r="A129" s="82">
        <v>3</v>
      </c>
      <c r="B129" s="82"/>
      <c r="C129" s="73" t="s">
        <v>163</v>
      </c>
      <c r="D129" s="66">
        <f>(31.81)*10.764</f>
        <v>342.40283999999997</v>
      </c>
      <c r="E129" s="73">
        <v>0</v>
      </c>
      <c r="F129" s="73">
        <f>D129*1.55+E129</f>
        <v>530.72440199999994</v>
      </c>
      <c r="G129" s="82"/>
      <c r="H129" s="82"/>
    </row>
    <row r="130" spans="1:8" s="53" customFormat="1" x14ac:dyDescent="0.35">
      <c r="A130" s="82">
        <v>4</v>
      </c>
      <c r="B130" s="82"/>
      <c r="C130" s="73" t="s">
        <v>163</v>
      </c>
      <c r="D130" s="66">
        <f>(59.08)*10.764</f>
        <v>635.93711999999994</v>
      </c>
      <c r="E130" s="73">
        <v>0</v>
      </c>
      <c r="F130" s="73">
        <f t="shared" si="0"/>
        <v>985.7025359999999</v>
      </c>
      <c r="G130" s="82"/>
      <c r="H130" s="82"/>
    </row>
    <row r="131" spans="1:8" s="53" customFormat="1" x14ac:dyDescent="0.35">
      <c r="A131" s="82">
        <v>5</v>
      </c>
      <c r="B131" s="82"/>
      <c r="C131" s="73" t="s">
        <v>163</v>
      </c>
      <c r="D131" s="66">
        <f>(62.77)*10.764</f>
        <v>675.65628000000004</v>
      </c>
      <c r="E131" s="73">
        <v>0</v>
      </c>
      <c r="F131" s="73">
        <f t="shared" si="0"/>
        <v>1047.2672340000001</v>
      </c>
      <c r="G131" s="82"/>
      <c r="H131" s="82"/>
    </row>
    <row r="132" spans="1:8" s="53" customFormat="1" x14ac:dyDescent="0.35">
      <c r="A132" s="82">
        <v>6</v>
      </c>
      <c r="B132" s="82"/>
      <c r="C132" s="73" t="s">
        <v>163</v>
      </c>
      <c r="D132" s="66">
        <f>(59.08)*10.764</f>
        <v>635.93711999999994</v>
      </c>
      <c r="E132" s="73">
        <v>0</v>
      </c>
      <c r="F132" s="73">
        <f t="shared" si="0"/>
        <v>985.7025359999999</v>
      </c>
      <c r="G132" s="82"/>
      <c r="H132" s="82"/>
    </row>
    <row r="133" spans="1:8" s="53" customFormat="1" x14ac:dyDescent="0.35">
      <c r="A133" s="82">
        <v>7</v>
      </c>
      <c r="B133" s="82"/>
      <c r="C133" s="73" t="s">
        <v>163</v>
      </c>
      <c r="D133" s="66">
        <v>675.65628000000004</v>
      </c>
      <c r="E133" s="73">
        <v>0</v>
      </c>
      <c r="F133" s="73">
        <f t="shared" si="0"/>
        <v>1047.2672340000001</v>
      </c>
      <c r="G133" s="82"/>
      <c r="H133" s="82"/>
    </row>
    <row r="134" spans="1:8" s="53" customFormat="1" x14ac:dyDescent="0.35">
      <c r="A134" s="82">
        <v>8</v>
      </c>
      <c r="B134" s="82"/>
      <c r="C134" s="73" t="s">
        <v>163</v>
      </c>
      <c r="D134" s="66">
        <f>(59.08)*10.764</f>
        <v>635.93711999999994</v>
      </c>
      <c r="E134" s="73">
        <v>0</v>
      </c>
      <c r="F134" s="73">
        <f t="shared" si="0"/>
        <v>985.7025359999999</v>
      </c>
      <c r="G134" s="82"/>
      <c r="H134" s="82"/>
    </row>
    <row r="135" spans="1:8" s="53" customFormat="1" x14ac:dyDescent="0.35">
      <c r="A135" s="82">
        <v>9</v>
      </c>
      <c r="B135" s="82"/>
      <c r="C135" s="73" t="s">
        <v>163</v>
      </c>
      <c r="D135" s="66">
        <f>(58.03)*10.764</f>
        <v>624.63491999999997</v>
      </c>
      <c r="E135" s="73">
        <v>0</v>
      </c>
      <c r="F135" s="73">
        <f t="shared" si="0"/>
        <v>968.18412599999999</v>
      </c>
      <c r="G135" s="82"/>
      <c r="H135" s="82"/>
    </row>
    <row r="136" spans="1:8" s="53" customFormat="1" ht="15.75" customHeight="1" x14ac:dyDescent="0.35">
      <c r="A136" s="82">
        <v>10</v>
      </c>
      <c r="B136" s="82"/>
      <c r="C136" s="73" t="s">
        <v>163</v>
      </c>
      <c r="D136" s="66">
        <f>(126.61)*10.764</f>
        <v>1362.8300399999998</v>
      </c>
      <c r="E136" s="73">
        <v>0</v>
      </c>
      <c r="F136" s="73">
        <f t="shared" si="0"/>
        <v>2112.3865619999997</v>
      </c>
      <c r="G136" s="82"/>
      <c r="H136" s="82"/>
    </row>
    <row r="137" spans="1:8" s="53" customFormat="1" ht="15.75" customHeight="1" x14ac:dyDescent="0.35">
      <c r="A137" s="82">
        <v>11</v>
      </c>
      <c r="B137" s="82"/>
      <c r="C137" s="73" t="s">
        <v>163</v>
      </c>
      <c r="D137" s="66">
        <f>(82.47)*10.764</f>
        <v>887.70707999999991</v>
      </c>
      <c r="E137" s="73">
        <v>0</v>
      </c>
      <c r="F137" s="73">
        <f t="shared" si="0"/>
        <v>1375.945974</v>
      </c>
      <c r="G137" s="82"/>
      <c r="H137" s="82"/>
    </row>
    <row r="138" spans="1:8" s="53" customFormat="1" ht="15.75" customHeight="1" x14ac:dyDescent="0.35">
      <c r="A138" s="82" t="s">
        <v>350</v>
      </c>
      <c r="B138" s="82"/>
      <c r="C138" s="73" t="s">
        <v>163</v>
      </c>
      <c r="D138" s="66">
        <f>(7.74)*10.764</f>
        <v>83.313360000000003</v>
      </c>
      <c r="E138" s="73">
        <v>0</v>
      </c>
      <c r="F138" s="73">
        <f t="shared" si="0"/>
        <v>129.13570800000002</v>
      </c>
      <c r="G138" s="82"/>
      <c r="H138" s="82"/>
    </row>
    <row r="139" spans="1:8" s="53" customFormat="1" ht="15.75" customHeight="1" x14ac:dyDescent="0.35">
      <c r="A139" s="82">
        <v>12</v>
      </c>
      <c r="B139" s="82"/>
      <c r="C139" s="73" t="s">
        <v>163</v>
      </c>
      <c r="D139" s="66">
        <f>(86.28)*10.764</f>
        <v>928.71791999999994</v>
      </c>
      <c r="E139" s="73">
        <v>0</v>
      </c>
      <c r="F139" s="73">
        <f t="shared" si="0"/>
        <v>1439.512776</v>
      </c>
      <c r="G139" s="82"/>
      <c r="H139" s="82"/>
    </row>
    <row r="140" spans="1:8" s="53" customFormat="1" ht="15.75" customHeight="1" x14ac:dyDescent="0.35">
      <c r="A140" s="82">
        <v>13</v>
      </c>
      <c r="B140" s="82"/>
      <c r="C140" s="73" t="s">
        <v>163</v>
      </c>
      <c r="D140" s="66">
        <f>(80.04)*10.764</f>
        <v>861.55056000000002</v>
      </c>
      <c r="E140" s="73">
        <v>0</v>
      </c>
      <c r="F140" s="73">
        <f t="shared" si="0"/>
        <v>1335.403368</v>
      </c>
      <c r="G140" s="82"/>
      <c r="H140" s="82"/>
    </row>
    <row r="141" spans="1:8" s="53" customFormat="1" ht="15.75" customHeight="1" x14ac:dyDescent="0.35">
      <c r="A141" s="82">
        <v>14</v>
      </c>
      <c r="B141" s="82"/>
      <c r="C141" s="73" t="s">
        <v>163</v>
      </c>
      <c r="D141" s="66">
        <f>(63.8)*10.764</f>
        <v>686.74319999999989</v>
      </c>
      <c r="E141" s="73">
        <v>0</v>
      </c>
      <c r="F141" s="73">
        <f t="shared" si="0"/>
        <v>1064.4519599999999</v>
      </c>
      <c r="G141" s="82"/>
      <c r="H141" s="82"/>
    </row>
    <row r="142" spans="1:8" s="53" customFormat="1" ht="15.75" customHeight="1" x14ac:dyDescent="0.35">
      <c r="A142" s="82">
        <v>15</v>
      </c>
      <c r="B142" s="82"/>
      <c r="C142" s="73" t="s">
        <v>163</v>
      </c>
      <c r="D142" s="66">
        <f>(65.69)*10.764</f>
        <v>707.08715999999993</v>
      </c>
      <c r="E142" s="73">
        <v>0</v>
      </c>
      <c r="F142" s="73">
        <f t="shared" si="0"/>
        <v>1095.9850979999999</v>
      </c>
      <c r="G142" s="82"/>
      <c r="H142" s="82"/>
    </row>
    <row r="143" spans="1:8" s="53" customFormat="1" ht="15.75" customHeight="1" x14ac:dyDescent="0.35">
      <c r="A143" s="82">
        <v>16</v>
      </c>
      <c r="B143" s="82"/>
      <c r="C143" s="73" t="s">
        <v>163</v>
      </c>
      <c r="D143" s="66">
        <f>(37.86)*10.764</f>
        <v>407.52503999999999</v>
      </c>
      <c r="E143" s="73">
        <v>0</v>
      </c>
      <c r="F143" s="73">
        <f t="shared" si="0"/>
        <v>631.66381200000001</v>
      </c>
      <c r="G143" s="82"/>
      <c r="H143" s="82"/>
    </row>
    <row r="144" spans="1:8" s="53" customFormat="1" ht="15.75" customHeight="1" x14ac:dyDescent="0.35">
      <c r="A144" s="82">
        <v>17</v>
      </c>
      <c r="B144" s="82"/>
      <c r="C144" s="73" t="s">
        <v>163</v>
      </c>
      <c r="D144" s="66">
        <f>(37.52)*10.764</f>
        <v>403.86527999999998</v>
      </c>
      <c r="E144" s="73">
        <v>0</v>
      </c>
      <c r="F144" s="73">
        <f t="shared" si="0"/>
        <v>625.99118399999998</v>
      </c>
      <c r="G144" s="82"/>
      <c r="H144" s="82"/>
    </row>
    <row r="145" spans="1:8" s="53" customFormat="1" ht="15.75" customHeight="1" x14ac:dyDescent="0.35">
      <c r="A145" s="82">
        <v>18</v>
      </c>
      <c r="B145" s="82"/>
      <c r="C145" s="73" t="s">
        <v>163</v>
      </c>
      <c r="D145" s="66">
        <f>(42.38)*10.764</f>
        <v>456.17831999999999</v>
      </c>
      <c r="E145" s="73">
        <v>0</v>
      </c>
      <c r="F145" s="73">
        <f t="shared" si="0"/>
        <v>707.07639600000005</v>
      </c>
      <c r="G145" s="82"/>
      <c r="H145" s="82"/>
    </row>
    <row r="146" spans="1:8" s="53" customFormat="1" ht="15.75" customHeight="1" x14ac:dyDescent="0.35">
      <c r="A146" s="82">
        <v>19</v>
      </c>
      <c r="B146" s="82"/>
      <c r="C146" s="73" t="s">
        <v>163</v>
      </c>
      <c r="D146" s="66">
        <f>(34.91)*10.764</f>
        <v>375.77123999999992</v>
      </c>
      <c r="E146" s="73">
        <v>0</v>
      </c>
      <c r="F146" s="73">
        <f t="shared" si="0"/>
        <v>582.44542199999989</v>
      </c>
      <c r="G146" s="82"/>
      <c r="H146" s="82"/>
    </row>
    <row r="147" spans="1:8" s="53" customFormat="1" ht="15.75" customHeight="1" x14ac:dyDescent="0.35">
      <c r="A147" s="82">
        <v>20</v>
      </c>
      <c r="B147" s="82"/>
      <c r="C147" s="73" t="s">
        <v>163</v>
      </c>
      <c r="D147" s="66">
        <f>(30.91)*10.764</f>
        <v>332.71523999999999</v>
      </c>
      <c r="E147" s="73">
        <v>0</v>
      </c>
      <c r="F147" s="73">
        <f t="shared" si="0"/>
        <v>515.70862199999999</v>
      </c>
      <c r="G147" s="82"/>
      <c r="H147" s="82"/>
    </row>
    <row r="148" spans="1:8" s="53" customFormat="1" ht="15.75" customHeight="1" x14ac:dyDescent="0.35">
      <c r="A148" s="82">
        <v>21</v>
      </c>
      <c r="B148" s="82"/>
      <c r="C148" s="73" t="s">
        <v>163</v>
      </c>
      <c r="D148" s="66">
        <f>(31.19)*10.764</f>
        <v>335.72915999999998</v>
      </c>
      <c r="E148" s="73">
        <v>0</v>
      </c>
      <c r="F148" s="73">
        <f t="shared" si="0"/>
        <v>520.38019799999995</v>
      </c>
      <c r="G148" s="82"/>
      <c r="H148" s="82"/>
    </row>
    <row r="149" spans="1:8" s="53" customFormat="1" ht="15.75" customHeight="1" x14ac:dyDescent="0.35">
      <c r="A149" s="82">
        <v>22</v>
      </c>
      <c r="B149" s="82"/>
      <c r="C149" s="73" t="s">
        <v>163</v>
      </c>
      <c r="D149" s="66">
        <f>(32.21)*10.764</f>
        <v>346.70844</v>
      </c>
      <c r="E149" s="73">
        <v>0</v>
      </c>
      <c r="F149" s="73">
        <f t="shared" si="0"/>
        <v>537.39808200000004</v>
      </c>
      <c r="G149" s="82"/>
      <c r="H149" s="82"/>
    </row>
    <row r="150" spans="1:8" s="53" customFormat="1" ht="15.75" customHeight="1" x14ac:dyDescent="0.35">
      <c r="A150" s="82">
        <v>23</v>
      </c>
      <c r="B150" s="82"/>
      <c r="C150" s="73" t="s">
        <v>163</v>
      </c>
      <c r="D150" s="66">
        <f>(31.92)*10.764</f>
        <v>343.58688000000001</v>
      </c>
      <c r="E150" s="73">
        <v>0</v>
      </c>
      <c r="F150" s="73">
        <f t="shared" si="0"/>
        <v>532.559664</v>
      </c>
      <c r="G150" s="82"/>
      <c r="H150" s="82"/>
    </row>
    <row r="151" spans="1:8" s="53" customFormat="1" ht="15.75" customHeight="1" x14ac:dyDescent="0.35">
      <c r="A151" s="82">
        <v>24</v>
      </c>
      <c r="B151" s="82"/>
      <c r="C151" s="73" t="s">
        <v>163</v>
      </c>
      <c r="D151" s="66">
        <f>(33.92)*10.764</f>
        <v>365.11487999999997</v>
      </c>
      <c r="E151" s="73">
        <v>0</v>
      </c>
      <c r="F151" s="73">
        <f t="shared" si="0"/>
        <v>565.92806399999995</v>
      </c>
      <c r="G151" s="82"/>
      <c r="H151" s="82"/>
    </row>
    <row r="152" spans="1:8" s="53" customFormat="1" ht="15.75" customHeight="1" x14ac:dyDescent="0.35">
      <c r="A152" s="82">
        <v>25</v>
      </c>
      <c r="B152" s="82"/>
      <c r="C152" s="73" t="s">
        <v>163</v>
      </c>
      <c r="D152" s="66">
        <f>(34.11)*10.764</f>
        <v>367.16003999999998</v>
      </c>
      <c r="E152" s="73">
        <v>0</v>
      </c>
      <c r="F152" s="73">
        <f t="shared" si="0"/>
        <v>569.09806200000003</v>
      </c>
      <c r="G152" s="82"/>
      <c r="H152" s="82"/>
    </row>
    <row r="153" spans="1:8" s="53" customFormat="1" ht="15.75" customHeight="1" x14ac:dyDescent="0.35">
      <c r="A153" s="82">
        <v>26</v>
      </c>
      <c r="B153" s="82"/>
      <c r="C153" s="73" t="s">
        <v>163</v>
      </c>
      <c r="D153" s="66">
        <f>(94.27)*10.764</f>
        <v>1014.7222799999998</v>
      </c>
      <c r="E153" s="73">
        <v>0</v>
      </c>
      <c r="F153" s="73">
        <f t="shared" si="0"/>
        <v>1572.8195339999997</v>
      </c>
      <c r="G153" s="82"/>
      <c r="H153" s="82"/>
    </row>
    <row r="154" spans="1:8" s="53" customFormat="1" ht="15.75" customHeight="1" x14ac:dyDescent="0.35">
      <c r="A154" s="82">
        <v>27</v>
      </c>
      <c r="B154" s="82"/>
      <c r="C154" s="73" t="s">
        <v>163</v>
      </c>
      <c r="D154" s="66">
        <f>(82.59)*10.764</f>
        <v>888.99875999999995</v>
      </c>
      <c r="E154" s="73">
        <v>0</v>
      </c>
      <c r="F154" s="73">
        <f t="shared" si="0"/>
        <v>1377.9480779999999</v>
      </c>
      <c r="G154" s="82"/>
      <c r="H154" s="82"/>
    </row>
    <row r="155" spans="1:8" s="53" customFormat="1" ht="15.75" customHeight="1" x14ac:dyDescent="0.35">
      <c r="A155" s="82">
        <v>28</v>
      </c>
      <c r="B155" s="82"/>
      <c r="C155" s="73" t="s">
        <v>163</v>
      </c>
      <c r="D155" s="66">
        <f>(52.67)*10.764</f>
        <v>566.93988000000002</v>
      </c>
      <c r="E155" s="73">
        <v>0</v>
      </c>
      <c r="F155" s="73">
        <f t="shared" si="0"/>
        <v>878.75681400000008</v>
      </c>
      <c r="G155" s="82"/>
      <c r="H155" s="82"/>
    </row>
    <row r="156" spans="1:8" s="53" customFormat="1" ht="15.75" customHeight="1" x14ac:dyDescent="0.35">
      <c r="A156" s="82">
        <v>29</v>
      </c>
      <c r="B156" s="82"/>
      <c r="C156" s="73" t="s">
        <v>163</v>
      </c>
      <c r="D156" s="66">
        <f>(56.75)*10.764</f>
        <v>610.85699999999997</v>
      </c>
      <c r="E156" s="73">
        <v>0</v>
      </c>
      <c r="F156" s="73">
        <f t="shared" si="0"/>
        <v>946.82835</v>
      </c>
      <c r="G156" s="82"/>
      <c r="H156" s="82"/>
    </row>
    <row r="157" spans="1:8" s="53" customFormat="1" ht="15.75" customHeight="1" x14ac:dyDescent="0.35">
      <c r="A157" s="82">
        <v>30</v>
      </c>
      <c r="B157" s="82"/>
      <c r="C157" s="73" t="s">
        <v>163</v>
      </c>
      <c r="D157" s="66">
        <f>(63.22)*10.764</f>
        <v>680.50007999999991</v>
      </c>
      <c r="E157" s="73">
        <v>0</v>
      </c>
      <c r="F157" s="73">
        <f t="shared" si="0"/>
        <v>1054.775124</v>
      </c>
      <c r="G157" s="82"/>
      <c r="H157" s="82"/>
    </row>
    <row r="158" spans="1:8" s="53" customFormat="1" ht="15.75" customHeight="1" x14ac:dyDescent="0.35">
      <c r="A158" s="82">
        <v>31</v>
      </c>
      <c r="B158" s="82"/>
      <c r="C158" s="73" t="s">
        <v>163</v>
      </c>
      <c r="D158" s="66">
        <f>(61.81)*10.764</f>
        <v>665.32283999999993</v>
      </c>
      <c r="E158" s="73">
        <v>0</v>
      </c>
      <c r="F158" s="73">
        <f t="shared" si="0"/>
        <v>1031.2504019999999</v>
      </c>
      <c r="G158" s="82"/>
      <c r="H158" s="82"/>
    </row>
    <row r="159" spans="1:8" s="53" customFormat="1" ht="15.75" customHeight="1" x14ac:dyDescent="0.35">
      <c r="A159" s="82">
        <v>32</v>
      </c>
      <c r="B159" s="82"/>
      <c r="C159" s="73" t="s">
        <v>163</v>
      </c>
      <c r="D159" s="66">
        <f>(62.52)*10.764</f>
        <v>672.96528000000001</v>
      </c>
      <c r="E159" s="73">
        <v>0</v>
      </c>
      <c r="F159" s="73">
        <f t="shared" si="0"/>
        <v>1043.096184</v>
      </c>
      <c r="G159" s="82"/>
      <c r="H159" s="82"/>
    </row>
    <row r="160" spans="1:8" s="53" customFormat="1" ht="15.75" customHeight="1" x14ac:dyDescent="0.35">
      <c r="A160" s="82">
        <v>33</v>
      </c>
      <c r="B160" s="82"/>
      <c r="C160" s="73" t="s">
        <v>163</v>
      </c>
      <c r="D160" s="66">
        <f>(54.11)*10.764</f>
        <v>582.44003999999995</v>
      </c>
      <c r="E160" s="73">
        <v>0</v>
      </c>
      <c r="F160" s="73">
        <f t="shared" si="0"/>
        <v>902.782062</v>
      </c>
      <c r="G160" s="82"/>
      <c r="H160" s="82"/>
    </row>
    <row r="161" spans="1:8" s="53" customFormat="1" ht="15.75" customHeight="1" x14ac:dyDescent="0.35">
      <c r="A161" s="82">
        <v>34</v>
      </c>
      <c r="B161" s="82"/>
      <c r="C161" s="73" t="s">
        <v>163</v>
      </c>
      <c r="D161" s="66">
        <f>(54.11)*10.764</f>
        <v>582.44003999999995</v>
      </c>
      <c r="E161" s="73">
        <v>0</v>
      </c>
      <c r="F161" s="73">
        <f t="shared" si="0"/>
        <v>902.782062</v>
      </c>
      <c r="G161" s="82"/>
      <c r="H161" s="82"/>
    </row>
    <row r="162" spans="1:8" s="53" customFormat="1" ht="15.75" customHeight="1" x14ac:dyDescent="0.35">
      <c r="A162" s="82">
        <v>35</v>
      </c>
      <c r="B162" s="82"/>
      <c r="C162" s="73" t="s">
        <v>163</v>
      </c>
      <c r="D162" s="66">
        <f>(33.64)*10.764</f>
        <v>362.10095999999999</v>
      </c>
      <c r="E162" s="73">
        <v>0</v>
      </c>
      <c r="F162" s="73">
        <f t="shared" si="0"/>
        <v>561.25648799999999</v>
      </c>
      <c r="G162" s="82"/>
      <c r="H162" s="82"/>
    </row>
    <row r="163" spans="1:8" s="53" customFormat="1" ht="15.75" customHeight="1" x14ac:dyDescent="0.35">
      <c r="A163" s="82">
        <v>36</v>
      </c>
      <c r="B163" s="82"/>
      <c r="C163" s="73" t="s">
        <v>163</v>
      </c>
      <c r="D163" s="66">
        <f>(17.64)*10.764</f>
        <v>189.87696</v>
      </c>
      <c r="E163" s="73">
        <v>0</v>
      </c>
      <c r="F163" s="73">
        <f t="shared" si="0"/>
        <v>294.30928799999998</v>
      </c>
      <c r="G163" s="82"/>
      <c r="H163" s="82"/>
    </row>
    <row r="164" spans="1:8" s="53" customFormat="1" ht="15.75" customHeight="1" x14ac:dyDescent="0.35">
      <c r="A164" s="82">
        <v>37</v>
      </c>
      <c r="B164" s="82"/>
      <c r="C164" s="73" t="s">
        <v>163</v>
      </c>
      <c r="D164" s="66">
        <f>(33.73)*10.764</f>
        <v>363.06971999999996</v>
      </c>
      <c r="E164" s="73">
        <v>0</v>
      </c>
      <c r="F164" s="73">
        <f t="shared" si="0"/>
        <v>562.75806599999999</v>
      </c>
      <c r="G164" s="82"/>
      <c r="H164" s="82"/>
    </row>
    <row r="165" spans="1:8" s="53" customFormat="1" ht="15.75" customHeight="1" x14ac:dyDescent="0.35">
      <c r="A165" s="82" t="s">
        <v>345</v>
      </c>
      <c r="B165" s="82"/>
      <c r="C165" s="73" t="s">
        <v>163</v>
      </c>
      <c r="D165" s="66">
        <f>(35.45)*10.764</f>
        <v>381.5838</v>
      </c>
      <c r="E165" s="73">
        <v>0</v>
      </c>
      <c r="F165" s="73">
        <f t="shared" si="0"/>
        <v>591.45488999999998</v>
      </c>
      <c r="G165" s="82"/>
      <c r="H165" s="82"/>
    </row>
    <row r="166" spans="1:8" s="53" customFormat="1" ht="15.75" customHeight="1" x14ac:dyDescent="0.35">
      <c r="A166" s="82" t="s">
        <v>346</v>
      </c>
      <c r="B166" s="82"/>
      <c r="C166" s="73" t="s">
        <v>163</v>
      </c>
      <c r="D166" s="66">
        <f>(34.99)*10.764</f>
        <v>376.63236000000001</v>
      </c>
      <c r="E166" s="73">
        <v>0</v>
      </c>
      <c r="F166" s="73">
        <f t="shared" si="0"/>
        <v>583.78015800000003</v>
      </c>
      <c r="G166" s="82"/>
      <c r="H166" s="82"/>
    </row>
    <row r="167" spans="1:8" s="53" customFormat="1" ht="15.75" customHeight="1" x14ac:dyDescent="0.35">
      <c r="A167" s="82" t="s">
        <v>347</v>
      </c>
      <c r="B167" s="82"/>
      <c r="C167" s="73" t="s">
        <v>163</v>
      </c>
      <c r="D167" s="66">
        <f>(35.45)*10.764</f>
        <v>381.5838</v>
      </c>
      <c r="E167" s="73">
        <v>0</v>
      </c>
      <c r="F167" s="73">
        <f t="shared" si="0"/>
        <v>591.45488999999998</v>
      </c>
      <c r="G167" s="82"/>
      <c r="H167" s="82"/>
    </row>
    <row r="168" spans="1:8" s="53" customFormat="1" ht="15.75" customHeight="1" x14ac:dyDescent="0.35">
      <c r="A168" s="82" t="s">
        <v>348</v>
      </c>
      <c r="B168" s="82"/>
      <c r="C168" s="73" t="s">
        <v>163</v>
      </c>
      <c r="D168" s="66">
        <f>(34.99)*10.764</f>
        <v>376.63236000000001</v>
      </c>
      <c r="E168" s="73">
        <v>0</v>
      </c>
      <c r="F168" s="73">
        <f t="shared" si="0"/>
        <v>583.78015800000003</v>
      </c>
      <c r="G168" s="82"/>
      <c r="H168" s="82"/>
    </row>
    <row r="169" spans="1:8" s="53" customFormat="1" ht="15.75" customHeight="1" x14ac:dyDescent="0.35">
      <c r="A169" s="82">
        <v>40</v>
      </c>
      <c r="B169" s="82"/>
      <c r="C169" s="73" t="s">
        <v>163</v>
      </c>
      <c r="D169" s="66">
        <f>(33.73)*10.764</f>
        <v>363.06971999999996</v>
      </c>
      <c r="E169" s="73">
        <v>0</v>
      </c>
      <c r="F169" s="73">
        <f t="shared" si="0"/>
        <v>562.75806599999999</v>
      </c>
      <c r="G169" s="82"/>
      <c r="H169" s="82"/>
    </row>
    <row r="170" spans="1:8" s="53" customFormat="1" ht="15.75" customHeight="1" x14ac:dyDescent="0.35">
      <c r="A170" s="82">
        <v>41</v>
      </c>
      <c r="B170" s="82"/>
      <c r="C170" s="73" t="s">
        <v>163</v>
      </c>
      <c r="D170" s="66">
        <f>(17.64)*10.764</f>
        <v>189.87696</v>
      </c>
      <c r="E170" s="73">
        <v>0</v>
      </c>
      <c r="F170" s="73">
        <f t="shared" si="0"/>
        <v>294.30928799999998</v>
      </c>
      <c r="G170" s="82"/>
      <c r="H170" s="82"/>
    </row>
    <row r="171" spans="1:8" s="53" customFormat="1" ht="15.75" customHeight="1" x14ac:dyDescent="0.35">
      <c r="A171" s="82">
        <v>42</v>
      </c>
      <c r="B171" s="82"/>
      <c r="C171" s="73" t="s">
        <v>163</v>
      </c>
      <c r="D171" s="66">
        <f>(33.64)*10.764</f>
        <v>362.10095999999999</v>
      </c>
      <c r="E171" s="73">
        <v>0</v>
      </c>
      <c r="F171" s="73">
        <f t="shared" si="0"/>
        <v>561.25648799999999</v>
      </c>
      <c r="G171" s="82"/>
      <c r="H171" s="82"/>
    </row>
    <row r="172" spans="1:8" s="53" customFormat="1" ht="15.75" customHeight="1" x14ac:dyDescent="0.35">
      <c r="A172" s="82">
        <v>43</v>
      </c>
      <c r="B172" s="82"/>
      <c r="C172" s="73" t="s">
        <v>163</v>
      </c>
      <c r="D172" s="66">
        <f>(55.27)*10.764</f>
        <v>594.92628000000002</v>
      </c>
      <c r="E172" s="73">
        <v>0</v>
      </c>
      <c r="F172" s="73">
        <f t="shared" si="0"/>
        <v>922.13573400000007</v>
      </c>
      <c r="G172" s="82"/>
      <c r="H172" s="82"/>
    </row>
    <row r="173" spans="1:8" s="53" customFormat="1" ht="15.75" customHeight="1" x14ac:dyDescent="0.35">
      <c r="A173" s="82">
        <v>44</v>
      </c>
      <c r="B173" s="82"/>
      <c r="C173" s="73" t="s">
        <v>163</v>
      </c>
      <c r="D173" s="66">
        <f>(54.11)*10.764</f>
        <v>582.44003999999995</v>
      </c>
      <c r="E173" s="73">
        <v>0</v>
      </c>
      <c r="F173" s="73">
        <f t="shared" si="0"/>
        <v>902.782062</v>
      </c>
      <c r="G173" s="82"/>
      <c r="H173" s="82"/>
    </row>
    <row r="174" spans="1:8" s="53" customFormat="1" ht="15.75" customHeight="1" x14ac:dyDescent="0.35">
      <c r="A174" s="82">
        <v>45</v>
      </c>
      <c r="B174" s="82"/>
      <c r="C174" s="73" t="s">
        <v>163</v>
      </c>
      <c r="D174" s="66">
        <f>(59.95)*10.764</f>
        <v>645.30179999999996</v>
      </c>
      <c r="E174" s="73">
        <v>0</v>
      </c>
      <c r="F174" s="73">
        <f t="shared" si="0"/>
        <v>1000.2177899999999</v>
      </c>
      <c r="G174" s="82"/>
      <c r="H174" s="82"/>
    </row>
    <row r="175" spans="1:8" s="53" customFormat="1" ht="15.75" customHeight="1" x14ac:dyDescent="0.35">
      <c r="A175" s="82">
        <v>46</v>
      </c>
      <c r="B175" s="82"/>
      <c r="C175" s="73" t="s">
        <v>163</v>
      </c>
      <c r="D175" s="66">
        <f>(54.32)*10.764</f>
        <v>584.70047999999997</v>
      </c>
      <c r="E175" s="73">
        <v>0</v>
      </c>
      <c r="F175" s="73">
        <f t="shared" si="0"/>
        <v>906.28574400000002</v>
      </c>
      <c r="G175" s="82"/>
      <c r="H175" s="82"/>
    </row>
    <row r="176" spans="1:8" s="53" customFormat="1" ht="15.75" customHeight="1" x14ac:dyDescent="0.35">
      <c r="A176" s="82">
        <v>47</v>
      </c>
      <c r="B176" s="82"/>
      <c r="C176" s="73" t="s">
        <v>163</v>
      </c>
      <c r="D176" s="66">
        <f>(30.91)*10.764</f>
        <v>332.71523999999999</v>
      </c>
      <c r="E176" s="73">
        <v>0</v>
      </c>
      <c r="F176" s="73">
        <f t="shared" si="0"/>
        <v>515.70862199999999</v>
      </c>
      <c r="G176" s="82"/>
      <c r="H176" s="82"/>
    </row>
    <row r="177" spans="1:8" s="53" customFormat="1" ht="15.75" customHeight="1" x14ac:dyDescent="0.35">
      <c r="A177" s="82">
        <v>48</v>
      </c>
      <c r="B177" s="82"/>
      <c r="C177" s="73" t="s">
        <v>163</v>
      </c>
      <c r="D177" s="66">
        <f>(34.11)*10.764</f>
        <v>367.16003999999998</v>
      </c>
      <c r="E177" s="73">
        <v>0</v>
      </c>
      <c r="F177" s="73">
        <f t="shared" si="0"/>
        <v>569.09806200000003</v>
      </c>
      <c r="G177" s="82"/>
      <c r="H177" s="82"/>
    </row>
    <row r="178" spans="1:8" s="53" customFormat="1" ht="15.75" customHeight="1" x14ac:dyDescent="0.35">
      <c r="A178" s="82">
        <v>49</v>
      </c>
      <c r="B178" s="82"/>
      <c r="C178" s="73" t="s">
        <v>163</v>
      </c>
      <c r="D178" s="66">
        <f>(33.83)*10.764</f>
        <v>364.14611999999994</v>
      </c>
      <c r="E178" s="73">
        <v>0</v>
      </c>
      <c r="F178" s="73">
        <f t="shared" si="0"/>
        <v>564.42648599999995</v>
      </c>
      <c r="G178" s="82"/>
      <c r="H178" s="82"/>
    </row>
    <row r="179" spans="1:8" s="53" customFormat="1" ht="15.75" customHeight="1" x14ac:dyDescent="0.35">
      <c r="A179" s="82">
        <v>50</v>
      </c>
      <c r="B179" s="82"/>
      <c r="C179" s="73" t="s">
        <v>163</v>
      </c>
      <c r="D179" s="66">
        <f>(34.37)*10.764</f>
        <v>369.95867999999996</v>
      </c>
      <c r="E179" s="73">
        <v>0</v>
      </c>
      <c r="F179" s="73">
        <f t="shared" si="0"/>
        <v>573.43595399999992</v>
      </c>
      <c r="G179" s="82"/>
      <c r="H179" s="82"/>
    </row>
    <row r="180" spans="1:8" s="53" customFormat="1" ht="15.75" customHeight="1" x14ac:dyDescent="0.35">
      <c r="A180" s="82">
        <v>51</v>
      </c>
      <c r="B180" s="82"/>
      <c r="C180" s="73" t="s">
        <v>163</v>
      </c>
      <c r="D180" s="66">
        <f>(31.92)*10.764</f>
        <v>343.58688000000001</v>
      </c>
      <c r="E180" s="73">
        <v>0</v>
      </c>
      <c r="F180" s="73">
        <f t="shared" si="0"/>
        <v>532.559664</v>
      </c>
      <c r="G180" s="82"/>
      <c r="H180" s="82"/>
    </row>
    <row r="181" spans="1:8" s="53" customFormat="1" ht="15.75" customHeight="1" x14ac:dyDescent="0.35">
      <c r="A181" s="82">
        <v>52</v>
      </c>
      <c r="B181" s="82"/>
      <c r="C181" s="73" t="s">
        <v>163</v>
      </c>
      <c r="D181" s="66">
        <f>(32.31)*10.764</f>
        <v>347.78484000000003</v>
      </c>
      <c r="E181" s="73">
        <v>0</v>
      </c>
      <c r="F181" s="73">
        <f t="shared" si="0"/>
        <v>539.06650200000001</v>
      </c>
      <c r="G181" s="82"/>
      <c r="H181" s="82"/>
    </row>
    <row r="182" spans="1:8" s="53" customFormat="1" ht="15.75" customHeight="1" x14ac:dyDescent="0.35">
      <c r="A182" s="82">
        <v>53</v>
      </c>
      <c r="B182" s="82"/>
      <c r="C182" s="73" t="s">
        <v>163</v>
      </c>
      <c r="D182" s="66">
        <f>(81.86)*10.764</f>
        <v>881.14103999999998</v>
      </c>
      <c r="E182" s="73">
        <v>0</v>
      </c>
      <c r="F182" s="73">
        <f t="shared" si="0"/>
        <v>1365.7686120000001</v>
      </c>
      <c r="G182" s="82"/>
      <c r="H182" s="82"/>
    </row>
    <row r="183" spans="1:8" s="53" customFormat="1" ht="15.75" customHeight="1" x14ac:dyDescent="0.35">
      <c r="A183" s="82" t="s">
        <v>351</v>
      </c>
      <c r="B183" s="82"/>
      <c r="C183" s="73" t="s">
        <v>163</v>
      </c>
      <c r="D183" s="66">
        <f>(6.61)*10.764</f>
        <v>71.150040000000004</v>
      </c>
      <c r="E183" s="73">
        <v>0</v>
      </c>
      <c r="F183" s="73">
        <f t="shared" si="0"/>
        <v>110.28256200000001</v>
      </c>
      <c r="G183" s="82"/>
      <c r="H183" s="82"/>
    </row>
    <row r="184" spans="1:8" s="53" customFormat="1" ht="15.75" customHeight="1" x14ac:dyDescent="0.35">
      <c r="A184" s="82">
        <v>54</v>
      </c>
      <c r="B184" s="82"/>
      <c r="C184" s="73" t="s">
        <v>163</v>
      </c>
      <c r="D184" s="66">
        <f>(126.61)*10.764</f>
        <v>1362.8300399999998</v>
      </c>
      <c r="E184" s="73">
        <v>0</v>
      </c>
      <c r="F184" s="73">
        <f t="shared" si="0"/>
        <v>2112.3865619999997</v>
      </c>
      <c r="G184" s="82"/>
      <c r="H184" s="82"/>
    </row>
    <row r="185" spans="1:8" s="53" customFormat="1" ht="15.75" customHeight="1" x14ac:dyDescent="0.35">
      <c r="A185" s="82">
        <v>55</v>
      </c>
      <c r="B185" s="82"/>
      <c r="C185" s="73" t="s">
        <v>163</v>
      </c>
      <c r="D185" s="66">
        <f>(58.03)*10.764</f>
        <v>624.63491999999997</v>
      </c>
      <c r="E185" s="73">
        <v>0</v>
      </c>
      <c r="F185" s="73">
        <f t="shared" si="0"/>
        <v>968.18412599999999</v>
      </c>
      <c r="G185" s="82"/>
      <c r="H185" s="82"/>
    </row>
    <row r="186" spans="1:8" s="53" customFormat="1" ht="15.75" customHeight="1" x14ac:dyDescent="0.35">
      <c r="A186" s="82">
        <v>56</v>
      </c>
      <c r="B186" s="82"/>
      <c r="C186" s="73" t="s">
        <v>163</v>
      </c>
      <c r="D186" s="66">
        <f>(59.08)*10.764</f>
        <v>635.93711999999994</v>
      </c>
      <c r="E186" s="73">
        <v>0</v>
      </c>
      <c r="F186" s="73">
        <f t="shared" si="0"/>
        <v>985.7025359999999</v>
      </c>
      <c r="G186" s="82"/>
      <c r="H186" s="82"/>
    </row>
    <row r="187" spans="1:8" s="53" customFormat="1" ht="15.75" customHeight="1" x14ac:dyDescent="0.35">
      <c r="A187" s="82">
        <v>57</v>
      </c>
      <c r="B187" s="82"/>
      <c r="C187" s="73" t="s">
        <v>163</v>
      </c>
      <c r="D187" s="66">
        <f>(63.62)*10.764</f>
        <v>684.80567999999994</v>
      </c>
      <c r="E187" s="73">
        <v>0</v>
      </c>
      <c r="F187" s="73">
        <f t="shared" si="0"/>
        <v>1061.4488039999999</v>
      </c>
      <c r="G187" s="82"/>
      <c r="H187" s="82"/>
    </row>
    <row r="188" spans="1:8" s="53" customFormat="1" ht="15.75" customHeight="1" x14ac:dyDescent="0.35">
      <c r="A188" s="82">
        <v>58</v>
      </c>
      <c r="B188" s="82"/>
      <c r="C188" s="73" t="s">
        <v>163</v>
      </c>
      <c r="D188" s="66">
        <f>(58.24)*10.764</f>
        <v>626.89535999999998</v>
      </c>
      <c r="E188" s="73">
        <v>0</v>
      </c>
      <c r="F188" s="73">
        <f t="shared" si="0"/>
        <v>971.68780800000002</v>
      </c>
      <c r="G188" s="82"/>
      <c r="H188" s="82"/>
    </row>
    <row r="189" spans="1:8" s="53" customFormat="1" ht="15.75" customHeight="1" x14ac:dyDescent="0.35">
      <c r="A189" s="82">
        <v>59</v>
      </c>
      <c r="B189" s="82"/>
      <c r="C189" s="73" t="s">
        <v>163</v>
      </c>
      <c r="D189" s="66">
        <f>(62.77)*10.764</f>
        <v>675.65628000000004</v>
      </c>
      <c r="E189" s="73">
        <v>0</v>
      </c>
      <c r="F189" s="73">
        <f t="shared" si="0"/>
        <v>1047.2672340000001</v>
      </c>
      <c r="G189" s="82"/>
      <c r="H189" s="82"/>
    </row>
    <row r="190" spans="1:8" s="53" customFormat="1" ht="15.75" customHeight="1" x14ac:dyDescent="0.35">
      <c r="A190" s="82">
        <v>60</v>
      </c>
      <c r="B190" s="82"/>
      <c r="C190" s="73" t="s">
        <v>163</v>
      </c>
      <c r="D190" s="66">
        <f>(59.08)*10.764</f>
        <v>635.93711999999994</v>
      </c>
      <c r="E190" s="73">
        <v>0</v>
      </c>
      <c r="F190" s="73">
        <f t="shared" si="0"/>
        <v>985.7025359999999</v>
      </c>
      <c r="G190" s="82"/>
      <c r="H190" s="82"/>
    </row>
    <row r="191" spans="1:8" s="53" customFormat="1" ht="15.75" customHeight="1" x14ac:dyDescent="0.35">
      <c r="A191" s="82" t="s">
        <v>349</v>
      </c>
      <c r="B191" s="82"/>
      <c r="C191" s="73" t="s">
        <v>163</v>
      </c>
      <c r="D191" s="66">
        <f>(31.81)*10.764</f>
        <v>342.40283999999997</v>
      </c>
      <c r="E191" s="73">
        <v>0</v>
      </c>
      <c r="F191" s="73">
        <f t="shared" si="0"/>
        <v>530.72440199999994</v>
      </c>
      <c r="G191" s="82"/>
      <c r="H191" s="82"/>
    </row>
    <row r="192" spans="1:8" s="53" customFormat="1" ht="15.75" customHeight="1" x14ac:dyDescent="0.35">
      <c r="A192" s="82">
        <v>61</v>
      </c>
      <c r="B192" s="82"/>
      <c r="C192" s="73" t="s">
        <v>163</v>
      </c>
      <c r="D192" s="66">
        <f>(59.24)*10.764</f>
        <v>637.65935999999999</v>
      </c>
      <c r="E192" s="73">
        <v>0</v>
      </c>
      <c r="F192" s="73">
        <f t="shared" ref="F192:F255" si="1">D192*1.55+E192</f>
        <v>988.37200800000005</v>
      </c>
      <c r="G192" s="82"/>
      <c r="H192" s="82"/>
    </row>
    <row r="193" spans="1:8" s="53" customFormat="1" ht="15.75" customHeight="1" x14ac:dyDescent="0.35">
      <c r="A193" s="82">
        <v>62</v>
      </c>
      <c r="B193" s="82"/>
      <c r="C193" s="73" t="s">
        <v>163</v>
      </c>
      <c r="D193" s="66">
        <f>(66.47)*10.764</f>
        <v>715.48307999999997</v>
      </c>
      <c r="E193" s="73">
        <v>0</v>
      </c>
      <c r="F193" s="73">
        <f t="shared" si="1"/>
        <v>1108.9987739999999</v>
      </c>
      <c r="G193" s="82"/>
      <c r="H193" s="82"/>
    </row>
    <row r="194" spans="1:8" s="53" customFormat="1" ht="15.75" customHeight="1" x14ac:dyDescent="0.35">
      <c r="A194" s="82">
        <v>63</v>
      </c>
      <c r="B194" s="82"/>
      <c r="C194" s="73" t="s">
        <v>163</v>
      </c>
      <c r="D194" s="66">
        <f>(30.23)*10.764</f>
        <v>325.39571999999998</v>
      </c>
      <c r="E194" s="73">
        <v>0</v>
      </c>
      <c r="F194" s="73">
        <f t="shared" si="1"/>
        <v>504.36336599999998</v>
      </c>
      <c r="G194" s="82"/>
      <c r="H194" s="82"/>
    </row>
    <row r="195" spans="1:8" s="53" customFormat="1" ht="15.75" customHeight="1" x14ac:dyDescent="0.35">
      <c r="A195" s="82">
        <v>64</v>
      </c>
      <c r="B195" s="82"/>
      <c r="C195" s="73" t="s">
        <v>163</v>
      </c>
      <c r="D195" s="66">
        <f>(45.92)*10.764</f>
        <v>494.28287999999998</v>
      </c>
      <c r="E195" s="73">
        <v>0</v>
      </c>
      <c r="F195" s="73">
        <f t="shared" si="1"/>
        <v>766.138464</v>
      </c>
      <c r="G195" s="82"/>
      <c r="H195" s="82"/>
    </row>
    <row r="196" spans="1:8" s="53" customFormat="1" ht="15.75" customHeight="1" x14ac:dyDescent="0.35">
      <c r="A196" s="82">
        <v>65</v>
      </c>
      <c r="B196" s="82"/>
      <c r="C196" s="73" t="s">
        <v>163</v>
      </c>
      <c r="D196" s="66">
        <f>(21.91)*10.764</f>
        <v>235.83923999999999</v>
      </c>
      <c r="E196" s="73">
        <v>0</v>
      </c>
      <c r="F196" s="73">
        <f>D196*1.55+E196</f>
        <v>365.55082199999998</v>
      </c>
      <c r="G196" s="82"/>
      <c r="H196" s="82"/>
    </row>
    <row r="197" spans="1:8" s="53" customFormat="1" ht="15.75" customHeight="1" x14ac:dyDescent="0.35">
      <c r="A197" s="82">
        <v>66</v>
      </c>
      <c r="B197" s="82"/>
      <c r="C197" s="73" t="s">
        <v>163</v>
      </c>
      <c r="D197" s="66">
        <f>(99.33)*10.764</f>
        <v>1069.18812</v>
      </c>
      <c r="E197" s="73">
        <v>0</v>
      </c>
      <c r="F197" s="73">
        <f t="shared" si="1"/>
        <v>1657.2415860000001</v>
      </c>
      <c r="G197" s="82"/>
      <c r="H197" s="82"/>
    </row>
    <row r="198" spans="1:8" s="53" customFormat="1" ht="15.75" customHeight="1" x14ac:dyDescent="0.35">
      <c r="A198" s="94" t="s">
        <v>353</v>
      </c>
      <c r="B198" s="94"/>
      <c r="C198" s="94"/>
      <c r="D198" s="94"/>
      <c r="E198" s="94"/>
      <c r="F198" s="94"/>
      <c r="G198" s="94"/>
      <c r="H198" s="94"/>
    </row>
    <row r="199" spans="1:8" s="53" customFormat="1" ht="15.65" customHeight="1" x14ac:dyDescent="0.35">
      <c r="A199" s="82" t="s">
        <v>354</v>
      </c>
      <c r="B199" s="82"/>
      <c r="C199" s="62" t="s">
        <v>164</v>
      </c>
      <c r="D199" s="66">
        <f>(66.47)*10.764</f>
        <v>715.48307999999997</v>
      </c>
      <c r="E199" s="62">
        <v>0</v>
      </c>
      <c r="F199" s="68">
        <f t="shared" si="1"/>
        <v>1108.9987739999999</v>
      </c>
      <c r="G199" s="83" t="str">
        <f>A198</f>
        <v>Upper Ground floor (Ground floor)</v>
      </c>
      <c r="H199" s="84"/>
    </row>
    <row r="200" spans="1:8" s="53" customFormat="1" x14ac:dyDescent="0.35">
      <c r="A200" s="82" t="s">
        <v>355</v>
      </c>
      <c r="B200" s="82"/>
      <c r="C200" s="62" t="s">
        <v>164</v>
      </c>
      <c r="D200" s="66">
        <f>(59.24)*10.764</f>
        <v>637.65935999999999</v>
      </c>
      <c r="E200" s="62">
        <v>0</v>
      </c>
      <c r="F200" s="68">
        <f t="shared" si="1"/>
        <v>988.37200800000005</v>
      </c>
      <c r="G200" s="85"/>
      <c r="H200" s="86"/>
    </row>
    <row r="201" spans="1:8" s="53" customFormat="1" x14ac:dyDescent="0.35">
      <c r="A201" s="82" t="s">
        <v>356</v>
      </c>
      <c r="B201" s="82"/>
      <c r="C201" s="62" t="s">
        <v>164</v>
      </c>
      <c r="D201" s="66">
        <f>(31.81)*10.764</f>
        <v>342.40283999999997</v>
      </c>
      <c r="E201" s="62">
        <v>0</v>
      </c>
      <c r="F201" s="68">
        <f t="shared" si="1"/>
        <v>530.72440199999994</v>
      </c>
      <c r="G201" s="85"/>
      <c r="H201" s="86"/>
    </row>
    <row r="202" spans="1:8" s="53" customFormat="1" x14ac:dyDescent="0.35">
      <c r="A202" s="82" t="s">
        <v>357</v>
      </c>
      <c r="B202" s="82"/>
      <c r="C202" s="62" t="s">
        <v>164</v>
      </c>
      <c r="D202" s="66">
        <f>(59.08)*10.764</f>
        <v>635.93711999999994</v>
      </c>
      <c r="E202" s="62">
        <v>0</v>
      </c>
      <c r="F202" s="68">
        <f t="shared" si="1"/>
        <v>985.7025359999999</v>
      </c>
      <c r="G202" s="85"/>
      <c r="H202" s="86"/>
    </row>
    <row r="203" spans="1:8" s="53" customFormat="1" x14ac:dyDescent="0.35">
      <c r="A203" s="82" t="s">
        <v>358</v>
      </c>
      <c r="B203" s="82"/>
      <c r="C203" s="62" t="s">
        <v>164</v>
      </c>
      <c r="D203" s="66">
        <f>(62.77)*10.764</f>
        <v>675.65628000000004</v>
      </c>
      <c r="E203" s="62">
        <v>0</v>
      </c>
      <c r="F203" s="68">
        <f t="shared" si="1"/>
        <v>1047.2672340000001</v>
      </c>
      <c r="G203" s="85"/>
      <c r="H203" s="86"/>
    </row>
    <row r="204" spans="1:8" s="53" customFormat="1" x14ac:dyDescent="0.35">
      <c r="A204" s="82" t="s">
        <v>359</v>
      </c>
      <c r="B204" s="82"/>
      <c r="C204" s="62" t="s">
        <v>164</v>
      </c>
      <c r="D204" s="66">
        <f>(59.08)*10.764</f>
        <v>635.93711999999994</v>
      </c>
      <c r="E204" s="62">
        <v>0</v>
      </c>
      <c r="F204" s="68">
        <f t="shared" si="1"/>
        <v>985.7025359999999</v>
      </c>
      <c r="G204" s="85"/>
      <c r="H204" s="86"/>
    </row>
    <row r="205" spans="1:8" s="53" customFormat="1" x14ac:dyDescent="0.35">
      <c r="A205" s="82" t="s">
        <v>360</v>
      </c>
      <c r="B205" s="82"/>
      <c r="C205" s="62" t="s">
        <v>164</v>
      </c>
      <c r="D205" s="66">
        <f>(62.77)*10.764</f>
        <v>675.65628000000004</v>
      </c>
      <c r="E205" s="62">
        <v>0</v>
      </c>
      <c r="F205" s="68">
        <f t="shared" si="1"/>
        <v>1047.2672340000001</v>
      </c>
      <c r="G205" s="85"/>
      <c r="H205" s="86"/>
    </row>
    <row r="206" spans="1:8" s="53" customFormat="1" x14ac:dyDescent="0.35">
      <c r="A206" s="82" t="s">
        <v>361</v>
      </c>
      <c r="B206" s="82"/>
      <c r="C206" s="62" t="s">
        <v>164</v>
      </c>
      <c r="D206" s="66">
        <f>(59.08)*10.764</f>
        <v>635.93711999999994</v>
      </c>
      <c r="E206" s="62">
        <v>0</v>
      </c>
      <c r="F206" s="68">
        <f t="shared" si="1"/>
        <v>985.7025359999999</v>
      </c>
      <c r="G206" s="85"/>
      <c r="H206" s="86"/>
    </row>
    <row r="207" spans="1:8" s="53" customFormat="1" x14ac:dyDescent="0.35">
      <c r="A207" s="82" t="s">
        <v>362</v>
      </c>
      <c r="B207" s="82"/>
      <c r="C207" s="62" t="s">
        <v>164</v>
      </c>
      <c r="D207" s="66">
        <f>(58.03)*10.764</f>
        <v>624.63491999999997</v>
      </c>
      <c r="E207" s="62">
        <v>0</v>
      </c>
      <c r="F207" s="68">
        <f t="shared" si="1"/>
        <v>968.18412599999999</v>
      </c>
      <c r="G207" s="85"/>
      <c r="H207" s="86"/>
    </row>
    <row r="208" spans="1:8" s="53" customFormat="1" ht="15.75" customHeight="1" x14ac:dyDescent="0.35">
      <c r="A208" s="82" t="s">
        <v>363</v>
      </c>
      <c r="B208" s="82"/>
      <c r="C208" s="62" t="s">
        <v>164</v>
      </c>
      <c r="D208" s="66">
        <f>(129.09)*10.764</f>
        <v>1389.52476</v>
      </c>
      <c r="E208" s="62">
        <v>0</v>
      </c>
      <c r="F208" s="68">
        <f t="shared" si="1"/>
        <v>2153.7633780000001</v>
      </c>
      <c r="G208" s="85"/>
      <c r="H208" s="86"/>
    </row>
    <row r="209" spans="1:8" s="53" customFormat="1" ht="15.75" customHeight="1" x14ac:dyDescent="0.35">
      <c r="A209" s="82" t="s">
        <v>365</v>
      </c>
      <c r="B209" s="82"/>
      <c r="C209" s="62" t="s">
        <v>164</v>
      </c>
      <c r="D209" s="66">
        <f>(31.07)*10.764</f>
        <v>334.43747999999999</v>
      </c>
      <c r="E209" s="62">
        <v>0</v>
      </c>
      <c r="F209" s="68">
        <f t="shared" si="1"/>
        <v>518.37809400000003</v>
      </c>
      <c r="G209" s="85"/>
      <c r="H209" s="86"/>
    </row>
    <row r="210" spans="1:8" s="53" customFormat="1" ht="15.75" customHeight="1" x14ac:dyDescent="0.35">
      <c r="A210" s="82" t="s">
        <v>366</v>
      </c>
      <c r="B210" s="82"/>
      <c r="C210" s="62" t="s">
        <v>164</v>
      </c>
      <c r="D210" s="66">
        <f>(28.08)*10.764</f>
        <v>302.25311999999997</v>
      </c>
      <c r="E210" s="62">
        <v>0</v>
      </c>
      <c r="F210" s="68">
        <f t="shared" si="1"/>
        <v>468.49233599999997</v>
      </c>
      <c r="G210" s="85"/>
      <c r="H210" s="86"/>
    </row>
    <row r="211" spans="1:8" s="53" customFormat="1" ht="15.75" customHeight="1" x14ac:dyDescent="0.35">
      <c r="A211" s="82" t="s">
        <v>364</v>
      </c>
      <c r="B211" s="82"/>
      <c r="C211" s="62" t="s">
        <v>164</v>
      </c>
      <c r="D211" s="66">
        <f>(83.59)*10.764</f>
        <v>899.76275999999996</v>
      </c>
      <c r="E211" s="62">
        <v>0</v>
      </c>
      <c r="F211" s="68">
        <f t="shared" si="1"/>
        <v>1394.632278</v>
      </c>
      <c r="G211" s="85"/>
      <c r="H211" s="86"/>
    </row>
    <row r="212" spans="1:8" s="53" customFormat="1" ht="15.75" customHeight="1" x14ac:dyDescent="0.35">
      <c r="A212" s="82" t="s">
        <v>367</v>
      </c>
      <c r="B212" s="82"/>
      <c r="C212" s="62" t="s">
        <v>164</v>
      </c>
      <c r="D212" s="66">
        <f>(87.17)*10.764</f>
        <v>938.29787999999996</v>
      </c>
      <c r="E212" s="62">
        <v>0</v>
      </c>
      <c r="F212" s="68">
        <f t="shared" si="1"/>
        <v>1454.3617139999999</v>
      </c>
      <c r="G212" s="85"/>
      <c r="H212" s="86"/>
    </row>
    <row r="213" spans="1:8" s="53" customFormat="1" ht="15.75" customHeight="1" x14ac:dyDescent="0.35">
      <c r="A213" s="82" t="s">
        <v>368</v>
      </c>
      <c r="B213" s="82"/>
      <c r="C213" s="62" t="s">
        <v>164</v>
      </c>
      <c r="D213" s="66">
        <f>(80.87)*10.764</f>
        <v>870.48468000000003</v>
      </c>
      <c r="E213" s="62">
        <v>0</v>
      </c>
      <c r="F213" s="68">
        <f t="shared" si="1"/>
        <v>1349.251254</v>
      </c>
      <c r="G213" s="85"/>
      <c r="H213" s="86"/>
    </row>
    <row r="214" spans="1:8" s="53" customFormat="1" ht="15.75" customHeight="1" x14ac:dyDescent="0.35">
      <c r="A214" s="82" t="s">
        <v>369</v>
      </c>
      <c r="B214" s="82"/>
      <c r="C214" s="62" t="s">
        <v>164</v>
      </c>
      <c r="D214" s="66">
        <f>(64.46)*10.764</f>
        <v>693.84743999999989</v>
      </c>
      <c r="E214" s="62">
        <v>0</v>
      </c>
      <c r="F214" s="68">
        <f t="shared" si="1"/>
        <v>1075.4635319999998</v>
      </c>
      <c r="G214" s="85"/>
      <c r="H214" s="86"/>
    </row>
    <row r="215" spans="1:8" s="53" customFormat="1" ht="15.75" customHeight="1" x14ac:dyDescent="0.35">
      <c r="A215" s="82" t="s">
        <v>370</v>
      </c>
      <c r="B215" s="82"/>
      <c r="C215" s="62" t="s">
        <v>164</v>
      </c>
      <c r="D215" s="66">
        <f>(68.56)*10.764</f>
        <v>737.97983999999997</v>
      </c>
      <c r="E215" s="62">
        <v>0</v>
      </c>
      <c r="F215" s="68">
        <f t="shared" si="1"/>
        <v>1143.8687520000001</v>
      </c>
      <c r="G215" s="85"/>
      <c r="H215" s="86"/>
    </row>
    <row r="216" spans="1:8" s="53" customFormat="1" ht="15.75" customHeight="1" x14ac:dyDescent="0.35">
      <c r="A216" s="82" t="s">
        <v>371</v>
      </c>
      <c r="B216" s="82"/>
      <c r="C216" s="62" t="s">
        <v>164</v>
      </c>
      <c r="D216" s="66">
        <f>(37.86)*10.764</f>
        <v>407.52503999999999</v>
      </c>
      <c r="E216" s="62">
        <v>0</v>
      </c>
      <c r="F216" s="68">
        <f t="shared" si="1"/>
        <v>631.66381200000001</v>
      </c>
      <c r="G216" s="85"/>
      <c r="H216" s="86"/>
    </row>
    <row r="217" spans="1:8" s="53" customFormat="1" ht="15.75" customHeight="1" x14ac:dyDescent="0.35">
      <c r="A217" s="82" t="s">
        <v>372</v>
      </c>
      <c r="B217" s="82"/>
      <c r="C217" s="62" t="s">
        <v>164</v>
      </c>
      <c r="D217" s="66">
        <f>(37.52)*10.764</f>
        <v>403.86527999999998</v>
      </c>
      <c r="E217" s="62">
        <v>0</v>
      </c>
      <c r="F217" s="68">
        <f t="shared" si="1"/>
        <v>625.99118399999998</v>
      </c>
      <c r="G217" s="85"/>
      <c r="H217" s="86"/>
    </row>
    <row r="218" spans="1:8" s="53" customFormat="1" ht="15.75" customHeight="1" x14ac:dyDescent="0.35">
      <c r="A218" s="82" t="s">
        <v>373</v>
      </c>
      <c r="B218" s="82"/>
      <c r="C218" s="62" t="s">
        <v>164</v>
      </c>
      <c r="D218" s="66">
        <f>(40.87)*10.764</f>
        <v>439.92467999999997</v>
      </c>
      <c r="E218" s="62">
        <v>0</v>
      </c>
      <c r="F218" s="68">
        <f t="shared" si="1"/>
        <v>681.88325399999997</v>
      </c>
      <c r="G218" s="85"/>
      <c r="H218" s="86"/>
    </row>
    <row r="219" spans="1:8" s="53" customFormat="1" ht="15.75" customHeight="1" x14ac:dyDescent="0.35">
      <c r="A219" s="82" t="s">
        <v>374</v>
      </c>
      <c r="B219" s="82"/>
      <c r="C219" s="62" t="s">
        <v>164</v>
      </c>
      <c r="D219" s="66">
        <f>(33.67)*10.764</f>
        <v>362.42388</v>
      </c>
      <c r="E219" s="62">
        <v>0</v>
      </c>
      <c r="F219" s="68">
        <f t="shared" si="1"/>
        <v>561.75701400000003</v>
      </c>
      <c r="G219" s="85"/>
      <c r="H219" s="86"/>
    </row>
    <row r="220" spans="1:8" s="53" customFormat="1" ht="15.75" customHeight="1" x14ac:dyDescent="0.35">
      <c r="A220" s="82" t="s">
        <v>375</v>
      </c>
      <c r="B220" s="82"/>
      <c r="C220" s="62" t="s">
        <v>164</v>
      </c>
      <c r="D220" s="66">
        <f>(30.91)*10.764</f>
        <v>332.71523999999999</v>
      </c>
      <c r="E220" s="62">
        <v>0</v>
      </c>
      <c r="F220" s="68">
        <f t="shared" si="1"/>
        <v>515.70862199999999</v>
      </c>
      <c r="G220" s="85"/>
      <c r="H220" s="86"/>
    </row>
    <row r="221" spans="1:8" s="53" customFormat="1" ht="15.75" customHeight="1" x14ac:dyDescent="0.35">
      <c r="A221" s="82" t="s">
        <v>376</v>
      </c>
      <c r="B221" s="82"/>
      <c r="C221" s="62" t="s">
        <v>164</v>
      </c>
      <c r="D221" s="66">
        <f>(31.19)*10.764</f>
        <v>335.72915999999998</v>
      </c>
      <c r="E221" s="62">
        <v>0</v>
      </c>
      <c r="F221" s="68">
        <f t="shared" si="1"/>
        <v>520.38019799999995</v>
      </c>
      <c r="G221" s="85"/>
      <c r="H221" s="86"/>
    </row>
    <row r="222" spans="1:8" s="53" customFormat="1" ht="15.75" customHeight="1" x14ac:dyDescent="0.35">
      <c r="A222" s="82" t="s">
        <v>377</v>
      </c>
      <c r="B222" s="82"/>
      <c r="C222" s="62" t="s">
        <v>164</v>
      </c>
      <c r="D222" s="66">
        <f>(32.21)*10.764</f>
        <v>346.70844</v>
      </c>
      <c r="E222" s="62">
        <v>0</v>
      </c>
      <c r="F222" s="68">
        <f t="shared" si="1"/>
        <v>537.39808200000004</v>
      </c>
      <c r="G222" s="85"/>
      <c r="H222" s="86"/>
    </row>
    <row r="223" spans="1:8" s="53" customFormat="1" ht="15.75" customHeight="1" x14ac:dyDescent="0.35">
      <c r="A223" s="82" t="s">
        <v>378</v>
      </c>
      <c r="B223" s="82"/>
      <c r="C223" s="62" t="s">
        <v>164</v>
      </c>
      <c r="D223" s="66">
        <f>(31.92)*10.764</f>
        <v>343.58688000000001</v>
      </c>
      <c r="E223" s="62">
        <v>0</v>
      </c>
      <c r="F223" s="68">
        <f t="shared" si="1"/>
        <v>532.559664</v>
      </c>
      <c r="G223" s="85"/>
      <c r="H223" s="86"/>
    </row>
    <row r="224" spans="1:8" s="53" customFormat="1" ht="15.75" customHeight="1" x14ac:dyDescent="0.35">
      <c r="A224" s="82" t="s">
        <v>379</v>
      </c>
      <c r="B224" s="82"/>
      <c r="C224" s="62" t="s">
        <v>164</v>
      </c>
      <c r="D224" s="66">
        <f>(33.92)*10.764</f>
        <v>365.11487999999997</v>
      </c>
      <c r="E224" s="62">
        <v>0</v>
      </c>
      <c r="F224" s="68">
        <f t="shared" si="1"/>
        <v>565.92806399999995</v>
      </c>
      <c r="G224" s="85"/>
      <c r="H224" s="86"/>
    </row>
    <row r="225" spans="1:8" s="53" customFormat="1" ht="15.75" customHeight="1" x14ac:dyDescent="0.35">
      <c r="A225" s="82" t="s">
        <v>380</v>
      </c>
      <c r="B225" s="82"/>
      <c r="C225" s="62" t="s">
        <v>164</v>
      </c>
      <c r="D225" s="66">
        <f>(34.11)*10.764</f>
        <v>367.16003999999998</v>
      </c>
      <c r="E225" s="62">
        <v>0</v>
      </c>
      <c r="F225" s="68">
        <f t="shared" si="1"/>
        <v>569.09806200000003</v>
      </c>
      <c r="G225" s="85"/>
      <c r="H225" s="86"/>
    </row>
    <row r="226" spans="1:8" s="53" customFormat="1" ht="15.75" customHeight="1" x14ac:dyDescent="0.35">
      <c r="A226" s="82" t="s">
        <v>381</v>
      </c>
      <c r="B226" s="82"/>
      <c r="C226" s="62" t="s">
        <v>164</v>
      </c>
      <c r="D226" s="66">
        <f>(46.43)*10.764</f>
        <v>499.77251999999999</v>
      </c>
      <c r="E226" s="62">
        <v>0</v>
      </c>
      <c r="F226" s="68">
        <f t="shared" si="1"/>
        <v>774.64740600000005</v>
      </c>
      <c r="G226" s="85"/>
      <c r="H226" s="86"/>
    </row>
    <row r="227" spans="1:8" s="53" customFormat="1" ht="15.75" customHeight="1" x14ac:dyDescent="0.35">
      <c r="A227" s="82" t="s">
        <v>382</v>
      </c>
      <c r="B227" s="82"/>
      <c r="C227" s="62" t="s">
        <v>164</v>
      </c>
      <c r="D227" s="66">
        <f>(46.43)*10.764</f>
        <v>499.77251999999999</v>
      </c>
      <c r="E227" s="62">
        <v>0</v>
      </c>
      <c r="F227" s="68">
        <f t="shared" si="1"/>
        <v>774.64740600000005</v>
      </c>
      <c r="G227" s="85"/>
      <c r="H227" s="86"/>
    </row>
    <row r="228" spans="1:8" s="53" customFormat="1" ht="15.75" customHeight="1" x14ac:dyDescent="0.35">
      <c r="A228" s="190" t="s">
        <v>383</v>
      </c>
      <c r="B228" s="190"/>
      <c r="C228" s="62" t="s">
        <v>164</v>
      </c>
      <c r="D228" s="66">
        <f>(40.59)*10.764</f>
        <v>436.91075999999998</v>
      </c>
      <c r="E228" s="62">
        <v>0</v>
      </c>
      <c r="F228" s="68">
        <f t="shared" si="1"/>
        <v>677.21167800000001</v>
      </c>
      <c r="G228" s="85"/>
      <c r="H228" s="86"/>
    </row>
    <row r="229" spans="1:8" s="53" customFormat="1" ht="15.75" customHeight="1" x14ac:dyDescent="0.35">
      <c r="A229" s="190" t="s">
        <v>430</v>
      </c>
      <c r="B229" s="190"/>
      <c r="C229" s="62" t="s">
        <v>164</v>
      </c>
      <c r="D229" s="66">
        <f>(40.59)*10.764</f>
        <v>436.91075999999998</v>
      </c>
      <c r="E229" s="62">
        <v>0</v>
      </c>
      <c r="F229" s="68">
        <f t="shared" si="1"/>
        <v>677.21167800000001</v>
      </c>
      <c r="G229" s="85"/>
      <c r="H229" s="86"/>
    </row>
    <row r="230" spans="1:8" s="53" customFormat="1" ht="15.75" customHeight="1" x14ac:dyDescent="0.35">
      <c r="A230" s="190" t="s">
        <v>384</v>
      </c>
      <c r="B230" s="190"/>
      <c r="C230" s="62" t="s">
        <v>164</v>
      </c>
      <c r="D230" s="66">
        <f>(52.67)*10.764</f>
        <v>566.93988000000002</v>
      </c>
      <c r="E230" s="62">
        <v>0</v>
      </c>
      <c r="F230" s="68">
        <f t="shared" si="1"/>
        <v>878.75681400000008</v>
      </c>
      <c r="G230" s="85"/>
      <c r="H230" s="86"/>
    </row>
    <row r="231" spans="1:8" s="53" customFormat="1" ht="15.75" customHeight="1" x14ac:dyDescent="0.35">
      <c r="A231" s="82" t="s">
        <v>385</v>
      </c>
      <c r="B231" s="82"/>
      <c r="C231" s="62" t="s">
        <v>164</v>
      </c>
      <c r="D231" s="66">
        <f>(56.75)*10.764</f>
        <v>610.85699999999997</v>
      </c>
      <c r="E231" s="62">
        <v>0</v>
      </c>
      <c r="F231" s="68">
        <f t="shared" si="1"/>
        <v>946.82835</v>
      </c>
      <c r="G231" s="85"/>
      <c r="H231" s="86"/>
    </row>
    <row r="232" spans="1:8" s="53" customFormat="1" ht="15.75" customHeight="1" x14ac:dyDescent="0.35">
      <c r="A232" s="82" t="s">
        <v>386</v>
      </c>
      <c r="B232" s="82"/>
      <c r="C232" s="62" t="s">
        <v>164</v>
      </c>
      <c r="D232" s="66">
        <f>(61.81)*10.764</f>
        <v>665.32283999999993</v>
      </c>
      <c r="E232" s="62">
        <v>0</v>
      </c>
      <c r="F232" s="68">
        <f t="shared" si="1"/>
        <v>1031.2504019999999</v>
      </c>
      <c r="G232" s="85"/>
      <c r="H232" s="86"/>
    </row>
    <row r="233" spans="1:8" s="53" customFormat="1" ht="15.75" customHeight="1" x14ac:dyDescent="0.35">
      <c r="A233" s="82" t="s">
        <v>387</v>
      </c>
      <c r="B233" s="82"/>
      <c r="C233" s="62" t="s">
        <v>164</v>
      </c>
      <c r="D233" s="66">
        <f>(61.81)*10.764</f>
        <v>665.32283999999993</v>
      </c>
      <c r="E233" s="62">
        <v>0</v>
      </c>
      <c r="F233" s="68">
        <f t="shared" si="1"/>
        <v>1031.2504019999999</v>
      </c>
      <c r="G233" s="85"/>
      <c r="H233" s="86"/>
    </row>
    <row r="234" spans="1:8" s="53" customFormat="1" ht="15.75" customHeight="1" x14ac:dyDescent="0.35">
      <c r="A234" s="82" t="s">
        <v>388</v>
      </c>
      <c r="B234" s="82"/>
      <c r="C234" s="62" t="s">
        <v>164</v>
      </c>
      <c r="D234" s="66">
        <f>(63.22)*10.764</f>
        <v>680.50007999999991</v>
      </c>
      <c r="E234" s="62">
        <v>0</v>
      </c>
      <c r="F234" s="68">
        <f t="shared" si="1"/>
        <v>1054.775124</v>
      </c>
      <c r="G234" s="85"/>
      <c r="H234" s="86"/>
    </row>
    <row r="235" spans="1:8" s="53" customFormat="1" ht="15.75" customHeight="1" x14ac:dyDescent="0.35">
      <c r="A235" s="82" t="s">
        <v>389</v>
      </c>
      <c r="B235" s="82"/>
      <c r="C235" s="62" t="s">
        <v>164</v>
      </c>
      <c r="D235" s="66">
        <f>(54.11)*10.764</f>
        <v>582.44003999999995</v>
      </c>
      <c r="E235" s="62">
        <v>0</v>
      </c>
      <c r="F235" s="68">
        <f t="shared" si="1"/>
        <v>902.782062</v>
      </c>
      <c r="G235" s="85"/>
      <c r="H235" s="86"/>
    </row>
    <row r="236" spans="1:8" s="53" customFormat="1" ht="15.75" customHeight="1" x14ac:dyDescent="0.35">
      <c r="A236" s="82" t="s">
        <v>390</v>
      </c>
      <c r="B236" s="82"/>
      <c r="C236" s="62" t="s">
        <v>164</v>
      </c>
      <c r="D236" s="66">
        <f>(53.49)*10.764</f>
        <v>575.76635999999996</v>
      </c>
      <c r="E236" s="62">
        <v>0</v>
      </c>
      <c r="F236" s="68">
        <f t="shared" si="1"/>
        <v>892.43785800000001</v>
      </c>
      <c r="G236" s="85"/>
      <c r="H236" s="86"/>
    </row>
    <row r="237" spans="1:8" s="53" customFormat="1" ht="15.75" customHeight="1" x14ac:dyDescent="0.35">
      <c r="A237" s="82" t="s">
        <v>391</v>
      </c>
      <c r="B237" s="82"/>
      <c r="C237" s="62" t="s">
        <v>164</v>
      </c>
      <c r="D237" s="66">
        <f>(33.64)*10.764</f>
        <v>362.10095999999999</v>
      </c>
      <c r="E237" s="62">
        <v>0</v>
      </c>
      <c r="F237" s="68">
        <f t="shared" si="1"/>
        <v>561.25648799999999</v>
      </c>
      <c r="G237" s="85"/>
      <c r="H237" s="86"/>
    </row>
    <row r="238" spans="1:8" s="53" customFormat="1" ht="15.75" customHeight="1" x14ac:dyDescent="0.35">
      <c r="A238" s="82" t="s">
        <v>392</v>
      </c>
      <c r="B238" s="82"/>
      <c r="C238" s="62" t="s">
        <v>164</v>
      </c>
      <c r="D238" s="66">
        <f>(17.64)*10.764</f>
        <v>189.87696</v>
      </c>
      <c r="E238" s="62">
        <v>0</v>
      </c>
      <c r="F238" s="68">
        <f t="shared" si="1"/>
        <v>294.30928799999998</v>
      </c>
      <c r="G238" s="85"/>
      <c r="H238" s="86"/>
    </row>
    <row r="239" spans="1:8" s="53" customFormat="1" ht="15.75" customHeight="1" x14ac:dyDescent="0.35">
      <c r="A239" s="82" t="s">
        <v>393</v>
      </c>
      <c r="B239" s="82"/>
      <c r="C239" s="62" t="s">
        <v>164</v>
      </c>
      <c r="D239" s="66">
        <f>(33.73)*10.764</f>
        <v>363.06971999999996</v>
      </c>
      <c r="E239" s="62">
        <v>0</v>
      </c>
      <c r="F239" s="68">
        <f t="shared" si="1"/>
        <v>562.75806599999999</v>
      </c>
      <c r="G239" s="85"/>
      <c r="H239" s="86"/>
    </row>
    <row r="240" spans="1:8" s="53" customFormat="1" ht="15.75" customHeight="1" x14ac:dyDescent="0.35">
      <c r="A240" s="82" t="s">
        <v>394</v>
      </c>
      <c r="B240" s="82"/>
      <c r="C240" s="62" t="s">
        <v>164</v>
      </c>
      <c r="D240" s="66">
        <f>(34.59)*10.764</f>
        <v>372.32676000000004</v>
      </c>
      <c r="E240" s="62">
        <v>0</v>
      </c>
      <c r="F240" s="68">
        <f t="shared" si="1"/>
        <v>577.10647800000004</v>
      </c>
      <c r="G240" s="85"/>
      <c r="H240" s="86"/>
    </row>
    <row r="241" spans="1:8" s="53" customFormat="1" ht="15.75" customHeight="1" x14ac:dyDescent="0.35">
      <c r="A241" s="82" t="s">
        <v>395</v>
      </c>
      <c r="B241" s="82"/>
      <c r="C241" s="62" t="s">
        <v>164</v>
      </c>
      <c r="D241" s="66">
        <f>(34.99)*10.764</f>
        <v>376.63236000000001</v>
      </c>
      <c r="E241" s="62">
        <v>0</v>
      </c>
      <c r="F241" s="68">
        <f t="shared" si="1"/>
        <v>583.78015800000003</v>
      </c>
      <c r="G241" s="85"/>
      <c r="H241" s="86"/>
    </row>
    <row r="242" spans="1:8" s="53" customFormat="1" ht="15.75" customHeight="1" x14ac:dyDescent="0.35">
      <c r="A242" s="82" t="s">
        <v>396</v>
      </c>
      <c r="B242" s="82"/>
      <c r="C242" s="62" t="s">
        <v>164</v>
      </c>
      <c r="D242" s="66">
        <f>(34.59)*10.764</f>
        <v>372.32676000000004</v>
      </c>
      <c r="E242" s="62">
        <v>0</v>
      </c>
      <c r="F242" s="68">
        <f t="shared" si="1"/>
        <v>577.10647800000004</v>
      </c>
      <c r="G242" s="85"/>
      <c r="H242" s="86"/>
    </row>
    <row r="243" spans="1:8" s="53" customFormat="1" ht="15.75" customHeight="1" x14ac:dyDescent="0.35">
      <c r="A243" s="82" t="s">
        <v>397</v>
      </c>
      <c r="B243" s="82"/>
      <c r="C243" s="62" t="s">
        <v>164</v>
      </c>
      <c r="D243" s="66">
        <f>(34.99)*10.764</f>
        <v>376.63236000000001</v>
      </c>
      <c r="E243" s="62">
        <v>0</v>
      </c>
      <c r="F243" s="68">
        <f t="shared" si="1"/>
        <v>583.78015800000003</v>
      </c>
      <c r="G243" s="85"/>
      <c r="H243" s="86"/>
    </row>
    <row r="244" spans="1:8" s="53" customFormat="1" ht="15.75" customHeight="1" x14ac:dyDescent="0.35">
      <c r="A244" s="82" t="s">
        <v>398</v>
      </c>
      <c r="B244" s="82"/>
      <c r="C244" s="62" t="s">
        <v>164</v>
      </c>
      <c r="D244" s="66">
        <f>(33.73)*10.764</f>
        <v>363.06971999999996</v>
      </c>
      <c r="E244" s="62">
        <v>0</v>
      </c>
      <c r="F244" s="68">
        <f t="shared" si="1"/>
        <v>562.75806599999999</v>
      </c>
      <c r="G244" s="85"/>
      <c r="H244" s="86"/>
    </row>
    <row r="245" spans="1:8" s="53" customFormat="1" ht="15.75" customHeight="1" x14ac:dyDescent="0.35">
      <c r="A245" s="82" t="s">
        <v>399</v>
      </c>
      <c r="B245" s="82"/>
      <c r="C245" s="62" t="s">
        <v>164</v>
      </c>
      <c r="D245" s="66">
        <f>(17.64)*10.764</f>
        <v>189.87696</v>
      </c>
      <c r="E245" s="62">
        <v>0</v>
      </c>
      <c r="F245" s="68">
        <f t="shared" si="1"/>
        <v>294.30928799999998</v>
      </c>
      <c r="G245" s="85"/>
      <c r="H245" s="86"/>
    </row>
    <row r="246" spans="1:8" s="53" customFormat="1" ht="15.75" customHeight="1" x14ac:dyDescent="0.35">
      <c r="A246" s="82" t="s">
        <v>400</v>
      </c>
      <c r="B246" s="82"/>
      <c r="C246" s="62" t="s">
        <v>164</v>
      </c>
      <c r="D246" s="66">
        <f>(33.64)*10.764</f>
        <v>362.10095999999999</v>
      </c>
      <c r="E246" s="62">
        <v>0</v>
      </c>
      <c r="F246" s="68">
        <f t="shared" si="1"/>
        <v>561.25648799999999</v>
      </c>
      <c r="G246" s="85"/>
      <c r="H246" s="86"/>
    </row>
    <row r="247" spans="1:8" s="53" customFormat="1" ht="15.75" customHeight="1" x14ac:dyDescent="0.35">
      <c r="A247" s="82" t="s">
        <v>401</v>
      </c>
      <c r="B247" s="82"/>
      <c r="C247" s="62" t="s">
        <v>164</v>
      </c>
      <c r="D247" s="66">
        <f>(53.49)*10.764</f>
        <v>575.76635999999996</v>
      </c>
      <c r="E247" s="62">
        <v>0</v>
      </c>
      <c r="F247" s="68">
        <f t="shared" si="1"/>
        <v>892.43785800000001</v>
      </c>
      <c r="G247" s="85"/>
      <c r="H247" s="86"/>
    </row>
    <row r="248" spans="1:8" s="53" customFormat="1" ht="15.75" customHeight="1" x14ac:dyDescent="0.35">
      <c r="A248" s="82" t="s">
        <v>402</v>
      </c>
      <c r="B248" s="82"/>
      <c r="C248" s="62" t="s">
        <v>164</v>
      </c>
      <c r="D248" s="66">
        <f>(54.11)*10.764</f>
        <v>582.44003999999995</v>
      </c>
      <c r="E248" s="62">
        <v>0</v>
      </c>
      <c r="F248" s="68">
        <f t="shared" si="1"/>
        <v>902.782062</v>
      </c>
      <c r="G248" s="85"/>
      <c r="H248" s="86"/>
    </row>
    <row r="249" spans="1:8" s="53" customFormat="1" ht="15.75" customHeight="1" x14ac:dyDescent="0.35">
      <c r="A249" s="82" t="s">
        <v>403</v>
      </c>
      <c r="B249" s="82"/>
      <c r="C249" s="62" t="s">
        <v>164</v>
      </c>
      <c r="D249" s="66">
        <f>(59.95)*10.764</f>
        <v>645.30179999999996</v>
      </c>
      <c r="E249" s="62">
        <v>0</v>
      </c>
      <c r="F249" s="68">
        <f t="shared" si="1"/>
        <v>1000.2177899999999</v>
      </c>
      <c r="G249" s="85"/>
      <c r="H249" s="86"/>
    </row>
    <row r="250" spans="1:8" s="53" customFormat="1" ht="15.75" customHeight="1" x14ac:dyDescent="0.35">
      <c r="A250" s="82" t="s">
        <v>404</v>
      </c>
      <c r="B250" s="82"/>
      <c r="C250" s="62" t="s">
        <v>164</v>
      </c>
      <c r="D250" s="66">
        <f>(54.32)*10.764</f>
        <v>584.70047999999997</v>
      </c>
      <c r="E250" s="62">
        <v>0</v>
      </c>
      <c r="F250" s="68">
        <f t="shared" si="1"/>
        <v>906.28574400000002</v>
      </c>
      <c r="G250" s="85"/>
      <c r="H250" s="86"/>
    </row>
    <row r="251" spans="1:8" s="53" customFormat="1" ht="15.75" customHeight="1" x14ac:dyDescent="0.35">
      <c r="A251" s="82" t="s">
        <v>405</v>
      </c>
      <c r="B251" s="82"/>
      <c r="C251" s="62" t="s">
        <v>164</v>
      </c>
      <c r="D251" s="66">
        <f>(54.81)*10.764</f>
        <v>589.97483999999997</v>
      </c>
      <c r="E251" s="62">
        <v>0</v>
      </c>
      <c r="F251" s="68">
        <f t="shared" si="1"/>
        <v>914.46100200000001</v>
      </c>
      <c r="G251" s="85"/>
      <c r="H251" s="86"/>
    </row>
    <row r="252" spans="1:8" s="53" customFormat="1" ht="15.75" customHeight="1" x14ac:dyDescent="0.35">
      <c r="A252" s="82" t="s">
        <v>406</v>
      </c>
      <c r="B252" s="82"/>
      <c r="C252" s="62" t="s">
        <v>164</v>
      </c>
      <c r="D252" s="66">
        <f>(84.09)*10.764</f>
        <v>905.14476000000002</v>
      </c>
      <c r="E252" s="62">
        <v>0</v>
      </c>
      <c r="F252" s="68">
        <f t="shared" si="1"/>
        <v>1402.9743780000001</v>
      </c>
      <c r="G252" s="85"/>
      <c r="H252" s="86"/>
    </row>
    <row r="253" spans="1:8" s="53" customFormat="1" ht="15.75" customHeight="1" x14ac:dyDescent="0.35">
      <c r="A253" s="82" t="s">
        <v>407</v>
      </c>
      <c r="B253" s="82"/>
      <c r="C253" s="62" t="s">
        <v>164</v>
      </c>
      <c r="D253" s="66">
        <f>(20.62)*10.764</f>
        <v>221.95367999999999</v>
      </c>
      <c r="E253" s="62">
        <v>0</v>
      </c>
      <c r="F253" s="68">
        <f t="shared" si="1"/>
        <v>344.02820400000002</v>
      </c>
      <c r="G253" s="85"/>
      <c r="H253" s="86"/>
    </row>
    <row r="254" spans="1:8" s="53" customFormat="1" ht="15.75" customHeight="1" x14ac:dyDescent="0.35">
      <c r="A254" s="82" t="s">
        <v>408</v>
      </c>
      <c r="B254" s="82"/>
      <c r="C254" s="62" t="s">
        <v>164</v>
      </c>
      <c r="D254" s="66">
        <f>(31.19)*10.764</f>
        <v>335.72915999999998</v>
      </c>
      <c r="E254" s="62">
        <v>0</v>
      </c>
      <c r="F254" s="68">
        <f t="shared" si="1"/>
        <v>520.38019799999995</v>
      </c>
      <c r="G254" s="85"/>
      <c r="H254" s="86"/>
    </row>
    <row r="255" spans="1:8" s="53" customFormat="1" ht="15.75" customHeight="1" x14ac:dyDescent="0.35">
      <c r="A255" s="82" t="s">
        <v>409</v>
      </c>
      <c r="B255" s="82"/>
      <c r="C255" s="62" t="s">
        <v>164</v>
      </c>
      <c r="D255" s="66">
        <f>(33.67)*10.764</f>
        <v>362.42388</v>
      </c>
      <c r="E255" s="62">
        <v>0</v>
      </c>
      <c r="F255" s="68">
        <f t="shared" si="1"/>
        <v>561.75701400000003</v>
      </c>
      <c r="G255" s="85"/>
      <c r="H255" s="86"/>
    </row>
    <row r="256" spans="1:8" s="53" customFormat="1" ht="15.75" customHeight="1" x14ac:dyDescent="0.35">
      <c r="A256" s="82" t="s">
        <v>410</v>
      </c>
      <c r="B256" s="82"/>
      <c r="C256" s="62" t="s">
        <v>164</v>
      </c>
      <c r="D256" s="66">
        <f>(34.11)*10.764</f>
        <v>367.16003999999998</v>
      </c>
      <c r="E256" s="62">
        <v>0</v>
      </c>
      <c r="F256" s="68">
        <f t="shared" ref="F256:F275" si="2">D256*1.55+E256</f>
        <v>569.09806200000003</v>
      </c>
      <c r="G256" s="85"/>
      <c r="H256" s="86"/>
    </row>
    <row r="257" spans="1:9" s="53" customFormat="1" ht="15.75" customHeight="1" x14ac:dyDescent="0.35">
      <c r="A257" s="82" t="s">
        <v>411</v>
      </c>
      <c r="B257" s="82"/>
      <c r="C257" s="62" t="s">
        <v>164</v>
      </c>
      <c r="D257" s="66">
        <f>(33.83)*10.764</f>
        <v>364.14611999999994</v>
      </c>
      <c r="E257" s="62">
        <v>0</v>
      </c>
      <c r="F257" s="68">
        <f t="shared" si="2"/>
        <v>564.42648599999995</v>
      </c>
      <c r="G257" s="85"/>
      <c r="H257" s="86"/>
    </row>
    <row r="258" spans="1:9" s="53" customFormat="1" ht="15.75" customHeight="1" x14ac:dyDescent="0.35">
      <c r="A258" s="82" t="s">
        <v>412</v>
      </c>
      <c r="B258" s="82"/>
      <c r="C258" s="62" t="s">
        <v>164</v>
      </c>
      <c r="D258" s="66">
        <f>(34.37)*10.764</f>
        <v>369.95867999999996</v>
      </c>
      <c r="E258" s="62">
        <v>0</v>
      </c>
      <c r="F258" s="68">
        <f t="shared" si="2"/>
        <v>573.43595399999992</v>
      </c>
      <c r="G258" s="85"/>
      <c r="H258" s="86"/>
    </row>
    <row r="259" spans="1:9" s="53" customFormat="1" ht="15.75" customHeight="1" x14ac:dyDescent="0.35">
      <c r="A259" s="82" t="s">
        <v>413</v>
      </c>
      <c r="B259" s="82"/>
      <c r="C259" s="62" t="s">
        <v>164</v>
      </c>
      <c r="D259" s="66">
        <f>(31.92)*10.764</f>
        <v>343.58688000000001</v>
      </c>
      <c r="E259" s="62">
        <v>0</v>
      </c>
      <c r="F259" s="68">
        <f t="shared" si="2"/>
        <v>532.559664</v>
      </c>
      <c r="G259" s="85"/>
      <c r="H259" s="86"/>
    </row>
    <row r="260" spans="1:9" s="53" customFormat="1" ht="15.75" customHeight="1" x14ac:dyDescent="0.35">
      <c r="A260" s="82" t="s">
        <v>414</v>
      </c>
      <c r="B260" s="82"/>
      <c r="C260" s="62" t="s">
        <v>164</v>
      </c>
      <c r="D260" s="66">
        <f>(32.21)*10.764</f>
        <v>346.70844</v>
      </c>
      <c r="E260" s="62">
        <v>0</v>
      </c>
      <c r="F260" s="68">
        <f t="shared" si="2"/>
        <v>537.39808200000004</v>
      </c>
      <c r="G260" s="85"/>
      <c r="H260" s="86"/>
    </row>
    <row r="261" spans="1:9" s="53" customFormat="1" ht="15.75" customHeight="1" x14ac:dyDescent="0.35">
      <c r="A261" s="82" t="s">
        <v>415</v>
      </c>
      <c r="B261" s="82"/>
      <c r="C261" s="62" t="s">
        <v>164</v>
      </c>
      <c r="D261" s="66">
        <f>(82.72)*10.764</f>
        <v>890.39807999999994</v>
      </c>
      <c r="E261" s="62">
        <v>0</v>
      </c>
      <c r="F261" s="68">
        <f t="shared" si="2"/>
        <v>1380.1170239999999</v>
      </c>
      <c r="G261" s="85"/>
      <c r="H261" s="86"/>
    </row>
    <row r="262" spans="1:9" s="53" customFormat="1" ht="15.75" customHeight="1" x14ac:dyDescent="0.35">
      <c r="A262" s="82" t="s">
        <v>416</v>
      </c>
      <c r="B262" s="82"/>
      <c r="C262" s="62" t="s">
        <v>164</v>
      </c>
      <c r="D262" s="66">
        <f>(7.74)*10.764</f>
        <v>83.313360000000003</v>
      </c>
      <c r="E262" s="62">
        <v>0</v>
      </c>
      <c r="F262" s="68">
        <f t="shared" si="2"/>
        <v>129.13570800000002</v>
      </c>
      <c r="G262" s="85"/>
      <c r="H262" s="86"/>
    </row>
    <row r="263" spans="1:9" s="53" customFormat="1" ht="15.75" customHeight="1" x14ac:dyDescent="0.35">
      <c r="A263" s="82" t="s">
        <v>417</v>
      </c>
      <c r="B263" s="82"/>
      <c r="C263" s="62" t="s">
        <v>164</v>
      </c>
      <c r="D263" s="66">
        <f>(6.45*10.4)*10.764</f>
        <v>722.0491199999999</v>
      </c>
      <c r="E263" s="62">
        <v>0</v>
      </c>
      <c r="F263" s="68">
        <f t="shared" si="2"/>
        <v>1119.1761359999998</v>
      </c>
      <c r="G263" s="85"/>
      <c r="H263" s="86"/>
      <c r="I263" s="54">
        <f>6.45*10.4</f>
        <v>67.08</v>
      </c>
    </row>
    <row r="264" spans="1:9" s="53" customFormat="1" ht="15.75" customHeight="1" x14ac:dyDescent="0.35">
      <c r="A264" s="82" t="s">
        <v>418</v>
      </c>
      <c r="B264" s="82"/>
      <c r="C264" s="62" t="s">
        <v>164</v>
      </c>
      <c r="D264" s="66">
        <f>(31.07)*10.764</f>
        <v>334.43747999999999</v>
      </c>
      <c r="E264" s="62">
        <v>0</v>
      </c>
      <c r="F264" s="68">
        <f t="shared" si="2"/>
        <v>518.37809400000003</v>
      </c>
      <c r="G264" s="85"/>
      <c r="H264" s="86"/>
      <c r="I264" s="54">
        <f>5.7*5.45</f>
        <v>31.065000000000001</v>
      </c>
    </row>
    <row r="265" spans="1:9" s="53" customFormat="1" ht="15.75" customHeight="1" x14ac:dyDescent="0.35">
      <c r="A265" s="82" t="s">
        <v>419</v>
      </c>
      <c r="B265" s="82"/>
      <c r="C265" s="62" t="s">
        <v>164</v>
      </c>
      <c r="D265" s="66">
        <f>(28.08)*10.764</f>
        <v>302.25311999999997</v>
      </c>
      <c r="E265" s="62">
        <v>0</v>
      </c>
      <c r="F265" s="68">
        <f t="shared" si="2"/>
        <v>468.49233599999997</v>
      </c>
      <c r="G265" s="85"/>
      <c r="H265" s="86"/>
      <c r="I265" s="54">
        <f>5.2*5.4</f>
        <v>28.080000000000002</v>
      </c>
    </row>
    <row r="266" spans="1:9" s="53" customFormat="1" ht="15.75" customHeight="1" x14ac:dyDescent="0.35">
      <c r="A266" s="82" t="s">
        <v>420</v>
      </c>
      <c r="B266" s="82"/>
      <c r="C266" s="62" t="s">
        <v>164</v>
      </c>
      <c r="D266" s="66">
        <f>(58.03)*10.764</f>
        <v>624.63491999999997</v>
      </c>
      <c r="E266" s="62">
        <v>0</v>
      </c>
      <c r="F266" s="68">
        <f t="shared" si="2"/>
        <v>968.18412599999999</v>
      </c>
      <c r="G266" s="85"/>
      <c r="H266" s="86"/>
    </row>
    <row r="267" spans="1:9" s="53" customFormat="1" ht="15.75" customHeight="1" x14ac:dyDescent="0.35">
      <c r="A267" s="82" t="s">
        <v>421</v>
      </c>
      <c r="B267" s="82"/>
      <c r="C267" s="62" t="s">
        <v>164</v>
      </c>
      <c r="D267" s="66">
        <f>(58.08)*10.764</f>
        <v>625.17311999999993</v>
      </c>
      <c r="E267" s="62">
        <v>0</v>
      </c>
      <c r="F267" s="68">
        <f t="shared" si="2"/>
        <v>969.01833599999986</v>
      </c>
      <c r="G267" s="85"/>
      <c r="H267" s="86"/>
    </row>
    <row r="268" spans="1:9" s="53" customFormat="1" ht="15.75" customHeight="1" x14ac:dyDescent="0.35">
      <c r="A268" s="82" t="s">
        <v>422</v>
      </c>
      <c r="B268" s="82"/>
      <c r="C268" s="62" t="s">
        <v>164</v>
      </c>
      <c r="D268" s="66">
        <f>(63.62)*10.764</f>
        <v>684.80567999999994</v>
      </c>
      <c r="E268" s="62">
        <v>0</v>
      </c>
      <c r="F268" s="68">
        <f t="shared" si="2"/>
        <v>1061.4488039999999</v>
      </c>
      <c r="G268" s="85"/>
      <c r="H268" s="86"/>
    </row>
    <row r="269" spans="1:9" s="53" customFormat="1" ht="15.75" customHeight="1" x14ac:dyDescent="0.35">
      <c r="A269" s="82" t="s">
        <v>423</v>
      </c>
      <c r="B269" s="82"/>
      <c r="C269" s="62" t="s">
        <v>164</v>
      </c>
      <c r="D269" s="66">
        <f>(58.24)*10.764</f>
        <v>626.89535999999998</v>
      </c>
      <c r="E269" s="62">
        <v>0</v>
      </c>
      <c r="F269" s="68">
        <f t="shared" si="2"/>
        <v>971.68780800000002</v>
      </c>
      <c r="G269" s="85"/>
      <c r="H269" s="86"/>
    </row>
    <row r="270" spans="1:9" s="53" customFormat="1" ht="15.75" customHeight="1" x14ac:dyDescent="0.35">
      <c r="A270" s="82" t="s">
        <v>424</v>
      </c>
      <c r="B270" s="82"/>
      <c r="C270" s="62" t="s">
        <v>164</v>
      </c>
      <c r="D270" s="66">
        <f>(62.77)*10.764</f>
        <v>675.65628000000004</v>
      </c>
      <c r="E270" s="62">
        <v>0</v>
      </c>
      <c r="F270" s="68">
        <f t="shared" si="2"/>
        <v>1047.2672340000001</v>
      </c>
      <c r="G270" s="85"/>
      <c r="H270" s="86"/>
    </row>
    <row r="271" spans="1:9" s="53" customFormat="1" ht="15.75" customHeight="1" x14ac:dyDescent="0.35">
      <c r="A271" s="82" t="s">
        <v>425</v>
      </c>
      <c r="B271" s="82"/>
      <c r="C271" s="62" t="s">
        <v>164</v>
      </c>
      <c r="D271" s="66">
        <f>(59.08)*10.764</f>
        <v>635.93711999999994</v>
      </c>
      <c r="E271" s="62">
        <v>0</v>
      </c>
      <c r="F271" s="68">
        <f t="shared" si="2"/>
        <v>985.7025359999999</v>
      </c>
      <c r="G271" s="85"/>
      <c r="H271" s="86"/>
    </row>
    <row r="272" spans="1:9" s="53" customFormat="1" ht="15.75" customHeight="1" x14ac:dyDescent="0.35">
      <c r="A272" s="82" t="s">
        <v>426</v>
      </c>
      <c r="B272" s="82"/>
      <c r="C272" s="62" t="s">
        <v>164</v>
      </c>
      <c r="D272" s="66">
        <f>(31.81)*10.764</f>
        <v>342.40283999999997</v>
      </c>
      <c r="E272" s="62">
        <v>0</v>
      </c>
      <c r="F272" s="68">
        <f t="shared" si="2"/>
        <v>530.72440199999994</v>
      </c>
      <c r="G272" s="85"/>
      <c r="H272" s="86"/>
    </row>
    <row r="273" spans="1:8" s="53" customFormat="1" ht="15.75" customHeight="1" x14ac:dyDescent="0.35">
      <c r="A273" s="82" t="s">
        <v>427</v>
      </c>
      <c r="B273" s="82"/>
      <c r="C273" s="62" t="s">
        <v>164</v>
      </c>
      <c r="D273" s="66">
        <f>(59.24)*10.764</f>
        <v>637.65935999999999</v>
      </c>
      <c r="E273" s="62">
        <v>0</v>
      </c>
      <c r="F273" s="68">
        <f t="shared" si="2"/>
        <v>988.37200800000005</v>
      </c>
      <c r="G273" s="85"/>
      <c r="H273" s="86"/>
    </row>
    <row r="274" spans="1:8" s="53" customFormat="1" ht="15.75" customHeight="1" x14ac:dyDescent="0.35">
      <c r="A274" s="82" t="s">
        <v>428</v>
      </c>
      <c r="B274" s="82"/>
      <c r="C274" s="62" t="s">
        <v>164</v>
      </c>
      <c r="D274" s="66">
        <f>(66.47)*10.764</f>
        <v>715.48307999999997</v>
      </c>
      <c r="E274" s="62">
        <v>0</v>
      </c>
      <c r="F274" s="68">
        <f t="shared" si="2"/>
        <v>1108.9987739999999</v>
      </c>
      <c r="G274" s="85"/>
      <c r="H274" s="86"/>
    </row>
    <row r="275" spans="1:8" s="53" customFormat="1" ht="15.75" customHeight="1" x14ac:dyDescent="0.35">
      <c r="A275" s="82" t="s">
        <v>429</v>
      </c>
      <c r="B275" s="82"/>
      <c r="C275" s="62" t="s">
        <v>164</v>
      </c>
      <c r="D275" s="66">
        <f>(114.97)*10.764</f>
        <v>1237.5370799999998</v>
      </c>
      <c r="E275" s="62">
        <v>0</v>
      </c>
      <c r="F275" s="68">
        <f t="shared" si="2"/>
        <v>1918.1824739999997</v>
      </c>
      <c r="G275" s="87"/>
      <c r="H275" s="88"/>
    </row>
    <row r="276" spans="1:8" s="53" customFormat="1" ht="15.75" customHeight="1" x14ac:dyDescent="0.35">
      <c r="A276" s="94" t="s">
        <v>431</v>
      </c>
      <c r="B276" s="94"/>
      <c r="C276" s="94"/>
      <c r="D276" s="94"/>
      <c r="E276" s="94"/>
      <c r="F276" s="94"/>
      <c r="G276" s="94"/>
      <c r="H276" s="94"/>
    </row>
    <row r="277" spans="1:8" s="53" customFormat="1" x14ac:dyDescent="0.35">
      <c r="A277" s="82">
        <v>101</v>
      </c>
      <c r="B277" s="82"/>
      <c r="C277" s="62" t="s">
        <v>164</v>
      </c>
      <c r="D277" s="66">
        <f>(66.47)*10.764</f>
        <v>715.48307999999997</v>
      </c>
      <c r="E277" s="62">
        <v>0</v>
      </c>
      <c r="F277" s="68">
        <f t="shared" ref="F277:F340" si="3">D277*1.55+E277</f>
        <v>1108.9987739999999</v>
      </c>
      <c r="G277" s="83" t="str">
        <f>A276</f>
        <v>1st Floor</v>
      </c>
      <c r="H277" s="84"/>
    </row>
    <row r="278" spans="1:8" s="53" customFormat="1" x14ac:dyDescent="0.35">
      <c r="A278" s="82">
        <v>102</v>
      </c>
      <c r="B278" s="82"/>
      <c r="C278" s="62" t="s">
        <v>164</v>
      </c>
      <c r="D278" s="66">
        <f>(59.24)*10.764</f>
        <v>637.65935999999999</v>
      </c>
      <c r="E278" s="62">
        <v>0</v>
      </c>
      <c r="F278" s="68">
        <f t="shared" si="3"/>
        <v>988.37200800000005</v>
      </c>
      <c r="G278" s="85"/>
      <c r="H278" s="86"/>
    </row>
    <row r="279" spans="1:8" s="53" customFormat="1" x14ac:dyDescent="0.35">
      <c r="A279" s="82">
        <v>103</v>
      </c>
      <c r="B279" s="82"/>
      <c r="C279" s="62" t="s">
        <v>164</v>
      </c>
      <c r="D279" s="66">
        <f>(31.81)*10.764</f>
        <v>342.40283999999997</v>
      </c>
      <c r="E279" s="62">
        <v>0</v>
      </c>
      <c r="F279" s="68">
        <f t="shared" si="3"/>
        <v>530.72440199999994</v>
      </c>
      <c r="G279" s="85"/>
      <c r="H279" s="86"/>
    </row>
    <row r="280" spans="1:8" s="53" customFormat="1" x14ac:dyDescent="0.35">
      <c r="A280" s="82">
        <v>104</v>
      </c>
      <c r="B280" s="82"/>
      <c r="C280" s="62" t="s">
        <v>164</v>
      </c>
      <c r="D280" s="66">
        <f>(59.08)*10.764</f>
        <v>635.93711999999994</v>
      </c>
      <c r="E280" s="62">
        <v>0</v>
      </c>
      <c r="F280" s="68">
        <f t="shared" si="3"/>
        <v>985.7025359999999</v>
      </c>
      <c r="G280" s="85"/>
      <c r="H280" s="86"/>
    </row>
    <row r="281" spans="1:8" s="53" customFormat="1" x14ac:dyDescent="0.35">
      <c r="A281" s="82">
        <v>105</v>
      </c>
      <c r="B281" s="82"/>
      <c r="C281" s="62" t="s">
        <v>164</v>
      </c>
      <c r="D281" s="66">
        <f>(62.77)*10.764</f>
        <v>675.65628000000004</v>
      </c>
      <c r="E281" s="62">
        <v>0</v>
      </c>
      <c r="F281" s="68">
        <f t="shared" si="3"/>
        <v>1047.2672340000001</v>
      </c>
      <c r="G281" s="85"/>
      <c r="H281" s="86"/>
    </row>
    <row r="282" spans="1:8" s="53" customFormat="1" x14ac:dyDescent="0.35">
      <c r="A282" s="82">
        <v>106</v>
      </c>
      <c r="B282" s="82"/>
      <c r="C282" s="62" t="s">
        <v>164</v>
      </c>
      <c r="D282" s="66">
        <f>(59.08)*10.764</f>
        <v>635.93711999999994</v>
      </c>
      <c r="E282" s="62">
        <v>0</v>
      </c>
      <c r="F282" s="68">
        <f t="shared" si="3"/>
        <v>985.7025359999999</v>
      </c>
      <c r="G282" s="85"/>
      <c r="H282" s="86"/>
    </row>
    <row r="283" spans="1:8" s="53" customFormat="1" x14ac:dyDescent="0.35">
      <c r="A283" s="82">
        <v>107</v>
      </c>
      <c r="B283" s="82"/>
      <c r="C283" s="62" t="s">
        <v>164</v>
      </c>
      <c r="D283" s="66">
        <f>(62.77)*10.764</f>
        <v>675.65628000000004</v>
      </c>
      <c r="E283" s="62">
        <v>0</v>
      </c>
      <c r="F283" s="68">
        <f t="shared" si="3"/>
        <v>1047.2672340000001</v>
      </c>
      <c r="G283" s="85"/>
      <c r="H283" s="86"/>
    </row>
    <row r="284" spans="1:8" s="53" customFormat="1" x14ac:dyDescent="0.35">
      <c r="A284" s="82">
        <v>108</v>
      </c>
      <c r="B284" s="82"/>
      <c r="C284" s="62" t="s">
        <v>164</v>
      </c>
      <c r="D284" s="66">
        <f>(59.08)*10.764</f>
        <v>635.93711999999994</v>
      </c>
      <c r="E284" s="62">
        <v>0</v>
      </c>
      <c r="F284" s="68">
        <f t="shared" si="3"/>
        <v>985.7025359999999</v>
      </c>
      <c r="G284" s="85"/>
      <c r="H284" s="86"/>
    </row>
    <row r="285" spans="1:8" s="53" customFormat="1" x14ac:dyDescent="0.35">
      <c r="A285" s="82">
        <v>109</v>
      </c>
      <c r="B285" s="82"/>
      <c r="C285" s="62" t="s">
        <v>164</v>
      </c>
      <c r="D285" s="66">
        <f>(58.03)*10.764</f>
        <v>624.63491999999997</v>
      </c>
      <c r="E285" s="62">
        <v>0</v>
      </c>
      <c r="F285" s="68">
        <f t="shared" si="3"/>
        <v>968.18412599999999</v>
      </c>
      <c r="G285" s="85"/>
      <c r="H285" s="86"/>
    </row>
    <row r="286" spans="1:8" s="53" customFormat="1" ht="15.75" customHeight="1" x14ac:dyDescent="0.35">
      <c r="A286" s="82">
        <v>110</v>
      </c>
      <c r="B286" s="82"/>
      <c r="C286" s="62" t="s">
        <v>164</v>
      </c>
      <c r="D286" s="66">
        <f>(129.09)*10.764</f>
        <v>1389.52476</v>
      </c>
      <c r="E286" s="62">
        <v>0</v>
      </c>
      <c r="F286" s="68">
        <f t="shared" si="3"/>
        <v>2153.7633780000001</v>
      </c>
      <c r="G286" s="85"/>
      <c r="H286" s="86"/>
    </row>
    <row r="287" spans="1:8" s="53" customFormat="1" ht="15.75" customHeight="1" x14ac:dyDescent="0.35">
      <c r="A287" s="82">
        <v>111</v>
      </c>
      <c r="B287" s="82"/>
      <c r="C287" s="62" t="s">
        <v>164</v>
      </c>
      <c r="D287" s="66">
        <f>(83.59)*10.764</f>
        <v>899.76275999999996</v>
      </c>
      <c r="E287" s="62">
        <v>0</v>
      </c>
      <c r="F287" s="68">
        <f t="shared" si="3"/>
        <v>1394.632278</v>
      </c>
      <c r="G287" s="85"/>
      <c r="H287" s="86"/>
    </row>
    <row r="288" spans="1:8" s="53" customFormat="1" ht="15.75" customHeight="1" x14ac:dyDescent="0.35">
      <c r="A288" s="82" t="s">
        <v>432</v>
      </c>
      <c r="B288" s="82"/>
      <c r="C288" s="62" t="s">
        <v>164</v>
      </c>
      <c r="D288" s="66">
        <f>(7.74)*10.764</f>
        <v>83.313360000000003</v>
      </c>
      <c r="E288" s="62">
        <v>0</v>
      </c>
      <c r="F288" s="68">
        <f t="shared" si="3"/>
        <v>129.13570800000002</v>
      </c>
      <c r="G288" s="85"/>
      <c r="H288" s="86"/>
    </row>
    <row r="289" spans="1:8" s="53" customFormat="1" ht="15.75" customHeight="1" x14ac:dyDescent="0.35">
      <c r="A289" s="82">
        <v>112</v>
      </c>
      <c r="B289" s="82"/>
      <c r="C289" s="62" t="s">
        <v>164</v>
      </c>
      <c r="D289" s="66">
        <f>(87.17)*10.764</f>
        <v>938.29787999999996</v>
      </c>
      <c r="E289" s="62">
        <v>0</v>
      </c>
      <c r="F289" s="68">
        <f t="shared" si="3"/>
        <v>1454.3617139999999</v>
      </c>
      <c r="G289" s="85"/>
      <c r="H289" s="86"/>
    </row>
    <row r="290" spans="1:8" s="53" customFormat="1" ht="15.75" customHeight="1" x14ac:dyDescent="0.35">
      <c r="A290" s="82">
        <v>113</v>
      </c>
      <c r="B290" s="82"/>
      <c r="C290" s="62" t="s">
        <v>164</v>
      </c>
      <c r="D290" s="66">
        <f>(80.87)*10.764</f>
        <v>870.48468000000003</v>
      </c>
      <c r="E290" s="62">
        <v>0</v>
      </c>
      <c r="F290" s="68">
        <f t="shared" si="3"/>
        <v>1349.251254</v>
      </c>
      <c r="G290" s="85"/>
      <c r="H290" s="86"/>
    </row>
    <row r="291" spans="1:8" s="53" customFormat="1" ht="15.75" customHeight="1" x14ac:dyDescent="0.35">
      <c r="A291" s="82">
        <v>114</v>
      </c>
      <c r="B291" s="82"/>
      <c r="C291" s="62" t="s">
        <v>164</v>
      </c>
      <c r="D291" s="66">
        <f>(64.46)*10.764</f>
        <v>693.84743999999989</v>
      </c>
      <c r="E291" s="62">
        <v>0</v>
      </c>
      <c r="F291" s="68">
        <f t="shared" si="3"/>
        <v>1075.4635319999998</v>
      </c>
      <c r="G291" s="85"/>
      <c r="H291" s="86"/>
    </row>
    <row r="292" spans="1:8" s="53" customFormat="1" ht="15.75" customHeight="1" x14ac:dyDescent="0.35">
      <c r="A292" s="82">
        <v>115</v>
      </c>
      <c r="B292" s="82"/>
      <c r="C292" s="62" t="s">
        <v>164</v>
      </c>
      <c r="D292" s="66">
        <f>(68.56)*10.764</f>
        <v>737.97983999999997</v>
      </c>
      <c r="E292" s="62">
        <v>0</v>
      </c>
      <c r="F292" s="68">
        <f t="shared" si="3"/>
        <v>1143.8687520000001</v>
      </c>
      <c r="G292" s="85"/>
      <c r="H292" s="86"/>
    </row>
    <row r="293" spans="1:8" s="53" customFormat="1" ht="15.75" customHeight="1" x14ac:dyDescent="0.35">
      <c r="A293" s="82">
        <v>116</v>
      </c>
      <c r="B293" s="82"/>
      <c r="C293" s="62" t="s">
        <v>164</v>
      </c>
      <c r="D293" s="66">
        <f>(37.86)*10.764</f>
        <v>407.52503999999999</v>
      </c>
      <c r="E293" s="62">
        <v>0</v>
      </c>
      <c r="F293" s="68">
        <f t="shared" si="3"/>
        <v>631.66381200000001</v>
      </c>
      <c r="G293" s="85"/>
      <c r="H293" s="86"/>
    </row>
    <row r="294" spans="1:8" s="53" customFormat="1" ht="15.75" customHeight="1" x14ac:dyDescent="0.35">
      <c r="A294" s="82">
        <v>117</v>
      </c>
      <c r="B294" s="82"/>
      <c r="C294" s="62" t="s">
        <v>164</v>
      </c>
      <c r="D294" s="66">
        <f>(37.52)*10.764</f>
        <v>403.86527999999998</v>
      </c>
      <c r="E294" s="62">
        <v>0</v>
      </c>
      <c r="F294" s="68">
        <f t="shared" si="3"/>
        <v>625.99118399999998</v>
      </c>
      <c r="G294" s="85"/>
      <c r="H294" s="86"/>
    </row>
    <row r="295" spans="1:8" s="53" customFormat="1" ht="15.75" customHeight="1" x14ac:dyDescent="0.35">
      <c r="A295" s="82">
        <v>118</v>
      </c>
      <c r="B295" s="82"/>
      <c r="C295" s="62" t="s">
        <v>164</v>
      </c>
      <c r="D295" s="66">
        <f>(40.87)*10.764</f>
        <v>439.92467999999997</v>
      </c>
      <c r="E295" s="62">
        <v>0</v>
      </c>
      <c r="F295" s="68">
        <f t="shared" si="3"/>
        <v>681.88325399999997</v>
      </c>
      <c r="G295" s="85"/>
      <c r="H295" s="86"/>
    </row>
    <row r="296" spans="1:8" s="53" customFormat="1" ht="15.75" customHeight="1" x14ac:dyDescent="0.35">
      <c r="A296" s="82">
        <v>119</v>
      </c>
      <c r="B296" s="82"/>
      <c r="C296" s="62" t="s">
        <v>164</v>
      </c>
      <c r="D296" s="66">
        <f>(33.89)*10.764</f>
        <v>364.79195999999996</v>
      </c>
      <c r="E296" s="62">
        <v>0</v>
      </c>
      <c r="F296" s="68">
        <f t="shared" si="3"/>
        <v>565.42753799999991</v>
      </c>
      <c r="G296" s="85"/>
      <c r="H296" s="86"/>
    </row>
    <row r="297" spans="1:8" s="53" customFormat="1" ht="15.75" customHeight="1" x14ac:dyDescent="0.35">
      <c r="A297" s="82">
        <v>120</v>
      </c>
      <c r="B297" s="82"/>
      <c r="C297" s="62" t="s">
        <v>164</v>
      </c>
      <c r="D297" s="66">
        <f>(30.91)*10.764</f>
        <v>332.71523999999999</v>
      </c>
      <c r="E297" s="62">
        <v>0</v>
      </c>
      <c r="F297" s="68">
        <f t="shared" si="3"/>
        <v>515.70862199999999</v>
      </c>
      <c r="G297" s="85"/>
      <c r="H297" s="86"/>
    </row>
    <row r="298" spans="1:8" s="53" customFormat="1" ht="15.75" customHeight="1" x14ac:dyDescent="0.35">
      <c r="A298" s="82">
        <v>121</v>
      </c>
      <c r="B298" s="82"/>
      <c r="C298" s="62" t="s">
        <v>164</v>
      </c>
      <c r="D298" s="66">
        <f>(31.19)*10.764</f>
        <v>335.72915999999998</v>
      </c>
      <c r="E298" s="62">
        <v>0</v>
      </c>
      <c r="F298" s="68">
        <f t="shared" si="3"/>
        <v>520.38019799999995</v>
      </c>
      <c r="G298" s="85"/>
      <c r="H298" s="86"/>
    </row>
    <row r="299" spans="1:8" s="53" customFormat="1" ht="15.75" customHeight="1" x14ac:dyDescent="0.35">
      <c r="A299" s="82">
        <v>122</v>
      </c>
      <c r="B299" s="82"/>
      <c r="C299" s="62" t="s">
        <v>164</v>
      </c>
      <c r="D299" s="66">
        <f>(32.21)*10.764</f>
        <v>346.70844</v>
      </c>
      <c r="E299" s="62">
        <v>0</v>
      </c>
      <c r="F299" s="68">
        <f t="shared" si="3"/>
        <v>537.39808200000004</v>
      </c>
      <c r="G299" s="85"/>
      <c r="H299" s="86"/>
    </row>
    <row r="300" spans="1:8" s="53" customFormat="1" ht="15.75" customHeight="1" x14ac:dyDescent="0.35">
      <c r="A300" s="82">
        <v>123</v>
      </c>
      <c r="B300" s="82"/>
      <c r="C300" s="62" t="s">
        <v>164</v>
      </c>
      <c r="D300" s="66">
        <f>(31.92)*10.764</f>
        <v>343.58688000000001</v>
      </c>
      <c r="E300" s="62">
        <v>0</v>
      </c>
      <c r="F300" s="68">
        <f t="shared" si="3"/>
        <v>532.559664</v>
      </c>
      <c r="G300" s="85"/>
      <c r="H300" s="86"/>
    </row>
    <row r="301" spans="1:8" s="53" customFormat="1" ht="15.75" customHeight="1" x14ac:dyDescent="0.35">
      <c r="A301" s="82">
        <v>124</v>
      </c>
      <c r="B301" s="82"/>
      <c r="C301" s="62" t="s">
        <v>164</v>
      </c>
      <c r="D301" s="66">
        <f>(33.91)*10.764</f>
        <v>365.00723999999997</v>
      </c>
      <c r="E301" s="62">
        <v>0</v>
      </c>
      <c r="F301" s="68">
        <f t="shared" si="3"/>
        <v>565.76122199999998</v>
      </c>
      <c r="G301" s="85"/>
      <c r="H301" s="86"/>
    </row>
    <row r="302" spans="1:8" s="53" customFormat="1" ht="15.75" customHeight="1" x14ac:dyDescent="0.35">
      <c r="A302" s="82">
        <v>125</v>
      </c>
      <c r="B302" s="82"/>
      <c r="C302" s="62" t="s">
        <v>164</v>
      </c>
      <c r="D302" s="66">
        <f>(34.11)*10.764</f>
        <v>367.16003999999998</v>
      </c>
      <c r="E302" s="62">
        <v>0</v>
      </c>
      <c r="F302" s="68">
        <f t="shared" si="3"/>
        <v>569.09806200000003</v>
      </c>
      <c r="G302" s="85"/>
      <c r="H302" s="86"/>
    </row>
    <row r="303" spans="1:8" s="53" customFormat="1" ht="15.75" customHeight="1" x14ac:dyDescent="0.35">
      <c r="A303" s="82">
        <v>126</v>
      </c>
      <c r="B303" s="82"/>
      <c r="C303" s="62" t="s">
        <v>164</v>
      </c>
      <c r="D303" s="66">
        <f>(77.06)*10.764</f>
        <v>829.47384</v>
      </c>
      <c r="E303" s="62">
        <v>0</v>
      </c>
      <c r="F303" s="68">
        <f t="shared" si="3"/>
        <v>1285.684452</v>
      </c>
      <c r="G303" s="85"/>
      <c r="H303" s="86"/>
    </row>
    <row r="304" spans="1:8" s="53" customFormat="1" ht="15.75" customHeight="1" x14ac:dyDescent="0.35">
      <c r="A304" s="82">
        <v>127</v>
      </c>
      <c r="B304" s="82"/>
      <c r="C304" s="62" t="s">
        <v>164</v>
      </c>
      <c r="D304" s="66">
        <f>(58.95)*10.764</f>
        <v>634.53779999999995</v>
      </c>
      <c r="E304" s="62">
        <v>0</v>
      </c>
      <c r="F304" s="68">
        <f t="shared" si="3"/>
        <v>983.53358999999989</v>
      </c>
      <c r="G304" s="85"/>
      <c r="H304" s="86"/>
    </row>
    <row r="305" spans="1:8" s="53" customFormat="1" ht="15.75" customHeight="1" x14ac:dyDescent="0.35">
      <c r="A305" s="82">
        <v>128</v>
      </c>
      <c r="B305" s="82"/>
      <c r="C305" s="62" t="s">
        <v>164</v>
      </c>
      <c r="D305" s="66">
        <f>(82.59)*10.764</f>
        <v>888.99875999999995</v>
      </c>
      <c r="E305" s="62">
        <v>0</v>
      </c>
      <c r="F305" s="68">
        <f t="shared" si="3"/>
        <v>1377.9480779999999</v>
      </c>
      <c r="G305" s="85"/>
      <c r="H305" s="86"/>
    </row>
    <row r="306" spans="1:8" s="53" customFormat="1" ht="15.75" customHeight="1" x14ac:dyDescent="0.35">
      <c r="A306" s="82" t="s">
        <v>433</v>
      </c>
      <c r="B306" s="82"/>
      <c r="C306" s="62" t="s">
        <v>164</v>
      </c>
      <c r="D306" s="66">
        <f>(108.17)*10.764</f>
        <v>1164.3418799999999</v>
      </c>
      <c r="E306" s="62">
        <v>0</v>
      </c>
      <c r="F306" s="68">
        <f t="shared" si="3"/>
        <v>1804.729914</v>
      </c>
      <c r="G306" s="85"/>
      <c r="H306" s="86"/>
    </row>
    <row r="307" spans="1:8" s="53" customFormat="1" ht="15.75" customHeight="1" x14ac:dyDescent="0.35">
      <c r="A307" s="82">
        <v>129</v>
      </c>
      <c r="B307" s="82"/>
      <c r="C307" s="62" t="s">
        <v>164</v>
      </c>
      <c r="D307" s="66">
        <f>(54.11)*10.764</f>
        <v>582.44003999999995</v>
      </c>
      <c r="E307" s="62">
        <v>0</v>
      </c>
      <c r="F307" s="68">
        <f t="shared" si="3"/>
        <v>902.782062</v>
      </c>
      <c r="G307" s="85"/>
      <c r="H307" s="86"/>
    </row>
    <row r="308" spans="1:8" s="53" customFormat="1" ht="15.75" customHeight="1" x14ac:dyDescent="0.35">
      <c r="A308" s="82">
        <v>130</v>
      </c>
      <c r="B308" s="82"/>
      <c r="C308" s="62" t="s">
        <v>164</v>
      </c>
      <c r="D308" s="66">
        <v>575.76635999999996</v>
      </c>
      <c r="E308" s="62">
        <v>0</v>
      </c>
      <c r="F308" s="68">
        <f t="shared" si="3"/>
        <v>892.43785800000001</v>
      </c>
      <c r="G308" s="85"/>
      <c r="H308" s="86"/>
    </row>
    <row r="309" spans="1:8" s="53" customFormat="1" ht="15.75" customHeight="1" x14ac:dyDescent="0.35">
      <c r="A309" s="82">
        <v>131</v>
      </c>
      <c r="B309" s="82"/>
      <c r="C309" s="62" t="s">
        <v>164</v>
      </c>
      <c r="D309" s="66">
        <f>(33.64)*10.764</f>
        <v>362.10095999999999</v>
      </c>
      <c r="E309" s="62">
        <v>0</v>
      </c>
      <c r="F309" s="68">
        <f t="shared" si="3"/>
        <v>561.25648799999999</v>
      </c>
      <c r="G309" s="85"/>
      <c r="H309" s="86"/>
    </row>
    <row r="310" spans="1:8" s="53" customFormat="1" ht="15.75" customHeight="1" x14ac:dyDescent="0.35">
      <c r="A310" s="82">
        <v>132</v>
      </c>
      <c r="B310" s="82"/>
      <c r="C310" s="62" t="s">
        <v>164</v>
      </c>
      <c r="D310" s="66">
        <f>(17.64)*10.764</f>
        <v>189.87696</v>
      </c>
      <c r="E310" s="62">
        <v>0</v>
      </c>
      <c r="F310" s="68">
        <f t="shared" si="3"/>
        <v>294.30928799999998</v>
      </c>
      <c r="G310" s="85"/>
      <c r="H310" s="86"/>
    </row>
    <row r="311" spans="1:8" s="53" customFormat="1" ht="15.75" customHeight="1" x14ac:dyDescent="0.35">
      <c r="A311" s="82">
        <v>133</v>
      </c>
      <c r="B311" s="82"/>
      <c r="C311" s="62" t="s">
        <v>164</v>
      </c>
      <c r="D311" s="66">
        <f>(33.73)*10.764</f>
        <v>363.06971999999996</v>
      </c>
      <c r="E311" s="62">
        <v>0</v>
      </c>
      <c r="F311" s="68">
        <f t="shared" si="3"/>
        <v>562.75806599999999</v>
      </c>
      <c r="G311" s="85"/>
      <c r="H311" s="86"/>
    </row>
    <row r="312" spans="1:8" s="53" customFormat="1" ht="15.75" customHeight="1" x14ac:dyDescent="0.35">
      <c r="A312" s="82" t="s">
        <v>434</v>
      </c>
      <c r="B312" s="82"/>
      <c r="C312" s="62" t="s">
        <v>164</v>
      </c>
      <c r="D312" s="66">
        <f>(34.59)*10.764</f>
        <v>372.32676000000004</v>
      </c>
      <c r="E312" s="62">
        <v>0</v>
      </c>
      <c r="F312" s="68">
        <f t="shared" si="3"/>
        <v>577.10647800000004</v>
      </c>
      <c r="G312" s="85"/>
      <c r="H312" s="86"/>
    </row>
    <row r="313" spans="1:8" s="53" customFormat="1" ht="15.75" customHeight="1" x14ac:dyDescent="0.35">
      <c r="A313" s="82" t="s">
        <v>435</v>
      </c>
      <c r="B313" s="82"/>
      <c r="C313" s="62" t="s">
        <v>164</v>
      </c>
      <c r="D313" s="66">
        <f>(34.99)*10.764</f>
        <v>376.63236000000001</v>
      </c>
      <c r="E313" s="62">
        <v>0</v>
      </c>
      <c r="F313" s="68">
        <f t="shared" si="3"/>
        <v>583.78015800000003</v>
      </c>
      <c r="G313" s="85"/>
      <c r="H313" s="86"/>
    </row>
    <row r="314" spans="1:8" s="53" customFormat="1" ht="15.75" customHeight="1" x14ac:dyDescent="0.35">
      <c r="A314" s="82" t="s">
        <v>436</v>
      </c>
      <c r="B314" s="82"/>
      <c r="C314" s="62" t="s">
        <v>164</v>
      </c>
      <c r="D314" s="66">
        <f>(34.59)*10.764</f>
        <v>372.32676000000004</v>
      </c>
      <c r="E314" s="62">
        <v>0</v>
      </c>
      <c r="F314" s="68">
        <f t="shared" si="3"/>
        <v>577.10647800000004</v>
      </c>
      <c r="G314" s="85"/>
      <c r="H314" s="86"/>
    </row>
    <row r="315" spans="1:8" s="53" customFormat="1" ht="15.75" customHeight="1" x14ac:dyDescent="0.35">
      <c r="A315" s="82" t="s">
        <v>437</v>
      </c>
      <c r="B315" s="82"/>
      <c r="C315" s="62" t="s">
        <v>164</v>
      </c>
      <c r="D315" s="66">
        <f>(34.99)*10.764</f>
        <v>376.63236000000001</v>
      </c>
      <c r="E315" s="62">
        <v>0</v>
      </c>
      <c r="F315" s="68">
        <f t="shared" si="3"/>
        <v>583.78015800000003</v>
      </c>
      <c r="G315" s="85"/>
      <c r="H315" s="86"/>
    </row>
    <row r="316" spans="1:8" s="53" customFormat="1" ht="15.75" customHeight="1" x14ac:dyDescent="0.35">
      <c r="A316" s="82">
        <v>136</v>
      </c>
      <c r="B316" s="82"/>
      <c r="C316" s="62" t="s">
        <v>164</v>
      </c>
      <c r="D316" s="66">
        <f>(33.73)*10.764</f>
        <v>363.06971999999996</v>
      </c>
      <c r="E316" s="62">
        <v>0</v>
      </c>
      <c r="F316" s="68">
        <f t="shared" si="3"/>
        <v>562.75806599999999</v>
      </c>
      <c r="G316" s="85"/>
      <c r="H316" s="86"/>
    </row>
    <row r="317" spans="1:8" s="53" customFormat="1" ht="15.75" customHeight="1" x14ac:dyDescent="0.35">
      <c r="A317" s="82">
        <v>137</v>
      </c>
      <c r="B317" s="82"/>
      <c r="C317" s="62" t="s">
        <v>164</v>
      </c>
      <c r="D317" s="66">
        <f>(17.64)*10.764</f>
        <v>189.87696</v>
      </c>
      <c r="E317" s="62">
        <v>0</v>
      </c>
      <c r="F317" s="68">
        <f t="shared" si="3"/>
        <v>294.30928799999998</v>
      </c>
      <c r="G317" s="85"/>
      <c r="H317" s="86"/>
    </row>
    <row r="318" spans="1:8" s="53" customFormat="1" ht="15.75" customHeight="1" x14ac:dyDescent="0.35">
      <c r="A318" s="82">
        <v>138</v>
      </c>
      <c r="B318" s="82"/>
      <c r="C318" s="62" t="s">
        <v>164</v>
      </c>
      <c r="D318" s="66">
        <f>(33.64)*10.764</f>
        <v>362.10095999999999</v>
      </c>
      <c r="E318" s="62">
        <v>0</v>
      </c>
      <c r="F318" s="68">
        <f t="shared" si="3"/>
        <v>561.25648799999999</v>
      </c>
      <c r="G318" s="85"/>
      <c r="H318" s="86"/>
    </row>
    <row r="319" spans="1:8" s="53" customFormat="1" ht="15.75" customHeight="1" x14ac:dyDescent="0.35">
      <c r="A319" s="82">
        <v>139</v>
      </c>
      <c r="B319" s="82"/>
      <c r="C319" s="62" t="s">
        <v>164</v>
      </c>
      <c r="D319" s="66">
        <f>(53.49)*10.764</f>
        <v>575.76635999999996</v>
      </c>
      <c r="E319" s="62">
        <v>0</v>
      </c>
      <c r="F319" s="68">
        <f t="shared" si="3"/>
        <v>892.43785800000001</v>
      </c>
      <c r="G319" s="85"/>
      <c r="H319" s="86"/>
    </row>
    <row r="320" spans="1:8" s="53" customFormat="1" ht="15.75" customHeight="1" x14ac:dyDescent="0.35">
      <c r="A320" s="82">
        <v>140</v>
      </c>
      <c r="B320" s="82"/>
      <c r="C320" s="62" t="s">
        <v>164</v>
      </c>
      <c r="D320" s="66">
        <f>(54.11)*10.764</f>
        <v>582.44003999999995</v>
      </c>
      <c r="E320" s="62">
        <v>0</v>
      </c>
      <c r="F320" s="68">
        <f t="shared" si="3"/>
        <v>902.782062</v>
      </c>
      <c r="G320" s="85"/>
      <c r="H320" s="86"/>
    </row>
    <row r="321" spans="1:8" s="53" customFormat="1" ht="15.75" customHeight="1" x14ac:dyDescent="0.35">
      <c r="A321" s="82">
        <v>141</v>
      </c>
      <c r="B321" s="82"/>
      <c r="C321" s="62" t="s">
        <v>164</v>
      </c>
      <c r="D321" s="66">
        <f>(42.38)*10.764</f>
        <v>456.17831999999999</v>
      </c>
      <c r="E321" s="62">
        <v>0</v>
      </c>
      <c r="F321" s="68">
        <f t="shared" si="3"/>
        <v>707.07639600000005</v>
      </c>
      <c r="G321" s="85"/>
      <c r="H321" s="86"/>
    </row>
    <row r="322" spans="1:8" s="53" customFormat="1" ht="15.75" customHeight="1" x14ac:dyDescent="0.35">
      <c r="A322" s="82">
        <v>142</v>
      </c>
      <c r="B322" s="82"/>
      <c r="C322" s="62" t="s">
        <v>164</v>
      </c>
      <c r="D322" s="66">
        <f>(37.52)*10.764</f>
        <v>403.86527999999998</v>
      </c>
      <c r="E322" s="62">
        <v>0</v>
      </c>
      <c r="F322" s="68">
        <f t="shared" si="3"/>
        <v>625.99118399999998</v>
      </c>
      <c r="G322" s="85"/>
      <c r="H322" s="86"/>
    </row>
    <row r="323" spans="1:8" s="53" customFormat="1" ht="15.75" customHeight="1" x14ac:dyDescent="0.35">
      <c r="A323" s="82">
        <v>143</v>
      </c>
      <c r="B323" s="82"/>
      <c r="C323" s="62" t="s">
        <v>164</v>
      </c>
      <c r="D323" s="66">
        <f>(37.86)*10.764</f>
        <v>407.52503999999999</v>
      </c>
      <c r="E323" s="62">
        <v>0</v>
      </c>
      <c r="F323" s="68">
        <f t="shared" si="3"/>
        <v>631.66381200000001</v>
      </c>
      <c r="G323" s="85"/>
      <c r="H323" s="86"/>
    </row>
    <row r="324" spans="1:8" s="53" customFormat="1" ht="15.75" customHeight="1" x14ac:dyDescent="0.35">
      <c r="A324" s="82">
        <v>144</v>
      </c>
      <c r="B324" s="82"/>
      <c r="C324" s="62" t="s">
        <v>164</v>
      </c>
      <c r="D324" s="66">
        <f>(52.53)*10.764</f>
        <v>565.43291999999997</v>
      </c>
      <c r="E324" s="62">
        <v>0</v>
      </c>
      <c r="F324" s="68">
        <f t="shared" si="3"/>
        <v>876.42102599999998</v>
      </c>
      <c r="G324" s="85"/>
      <c r="H324" s="86"/>
    </row>
    <row r="325" spans="1:8" s="53" customFormat="1" ht="15.75" customHeight="1" x14ac:dyDescent="0.35">
      <c r="A325" s="82">
        <v>145</v>
      </c>
      <c r="B325" s="82"/>
      <c r="C325" s="62" t="s">
        <v>164</v>
      </c>
      <c r="D325" s="66">
        <f>(51.59)*10.764</f>
        <v>555.31475999999998</v>
      </c>
      <c r="E325" s="62">
        <v>0</v>
      </c>
      <c r="F325" s="68">
        <f t="shared" si="3"/>
        <v>860.73787800000002</v>
      </c>
      <c r="G325" s="85"/>
      <c r="H325" s="86"/>
    </row>
    <row r="326" spans="1:8" s="53" customFormat="1" ht="15.75" customHeight="1" x14ac:dyDescent="0.35">
      <c r="A326" s="82">
        <v>146</v>
      </c>
      <c r="B326" s="82"/>
      <c r="C326" s="62" t="s">
        <v>164</v>
      </c>
      <c r="D326" s="66">
        <f>(49.33)*10.764</f>
        <v>530.98811999999998</v>
      </c>
      <c r="E326" s="62">
        <v>0</v>
      </c>
      <c r="F326" s="68">
        <f t="shared" si="3"/>
        <v>823.03158599999995</v>
      </c>
      <c r="G326" s="85"/>
      <c r="H326" s="86"/>
    </row>
    <row r="327" spans="1:8" s="53" customFormat="1" ht="15.75" customHeight="1" x14ac:dyDescent="0.35">
      <c r="A327" s="82">
        <v>147</v>
      </c>
      <c r="B327" s="82"/>
      <c r="C327" s="62" t="s">
        <v>164</v>
      </c>
      <c r="D327" s="66">
        <f>(83.07)*10.764</f>
        <v>894.16547999999989</v>
      </c>
      <c r="E327" s="62">
        <v>0</v>
      </c>
      <c r="F327" s="68">
        <f t="shared" si="3"/>
        <v>1385.9564939999998</v>
      </c>
      <c r="G327" s="85"/>
      <c r="H327" s="86"/>
    </row>
    <row r="328" spans="1:8" s="53" customFormat="1" ht="15.75" customHeight="1" x14ac:dyDescent="0.35">
      <c r="A328" s="82">
        <v>148</v>
      </c>
      <c r="B328" s="82"/>
      <c r="C328" s="62" t="s">
        <v>164</v>
      </c>
      <c r="D328" s="66">
        <f>(21.05)*10.764</f>
        <v>226.5822</v>
      </c>
      <c r="E328" s="62">
        <v>0</v>
      </c>
      <c r="F328" s="68">
        <f t="shared" si="3"/>
        <v>351.20240999999999</v>
      </c>
      <c r="G328" s="85"/>
      <c r="H328" s="86"/>
    </row>
    <row r="329" spans="1:8" s="53" customFormat="1" ht="15.75" customHeight="1" x14ac:dyDescent="0.35">
      <c r="A329" s="82">
        <v>149</v>
      </c>
      <c r="B329" s="82"/>
      <c r="C329" s="62" t="s">
        <v>164</v>
      </c>
      <c r="D329" s="66">
        <f>(31.19)*10.764</f>
        <v>335.72915999999998</v>
      </c>
      <c r="E329" s="62">
        <v>0</v>
      </c>
      <c r="F329" s="68">
        <f t="shared" si="3"/>
        <v>520.38019799999995</v>
      </c>
      <c r="G329" s="85"/>
      <c r="H329" s="86"/>
    </row>
    <row r="330" spans="1:8" s="53" customFormat="1" ht="15.75" customHeight="1" x14ac:dyDescent="0.35">
      <c r="A330" s="82">
        <v>150</v>
      </c>
      <c r="B330" s="82"/>
      <c r="C330" s="62" t="s">
        <v>164</v>
      </c>
      <c r="D330" s="66">
        <f>(30.91)*10.764</f>
        <v>332.71523999999999</v>
      </c>
      <c r="E330" s="62">
        <v>0</v>
      </c>
      <c r="F330" s="68">
        <f t="shared" si="3"/>
        <v>515.70862199999999</v>
      </c>
      <c r="G330" s="85"/>
      <c r="H330" s="86"/>
    </row>
    <row r="331" spans="1:8" s="53" customFormat="1" ht="15.75" customHeight="1" x14ac:dyDescent="0.35">
      <c r="A331" s="82">
        <v>151</v>
      </c>
      <c r="B331" s="82"/>
      <c r="C331" s="62" t="s">
        <v>164</v>
      </c>
      <c r="D331" s="66">
        <f>(34.11)*10.764</f>
        <v>367.16003999999998</v>
      </c>
      <c r="E331" s="62">
        <v>0</v>
      </c>
      <c r="F331" s="68">
        <f t="shared" si="3"/>
        <v>569.09806200000003</v>
      </c>
      <c r="G331" s="85"/>
      <c r="H331" s="86"/>
    </row>
    <row r="332" spans="1:8" s="53" customFormat="1" ht="15.75" customHeight="1" x14ac:dyDescent="0.35">
      <c r="A332" s="82">
        <v>152</v>
      </c>
      <c r="B332" s="82"/>
      <c r="C332" s="62" t="s">
        <v>164</v>
      </c>
      <c r="D332" s="66">
        <f>(33.83)*10.764</f>
        <v>364.14611999999994</v>
      </c>
      <c r="E332" s="62">
        <v>0</v>
      </c>
      <c r="F332" s="68">
        <f t="shared" si="3"/>
        <v>564.42648599999995</v>
      </c>
      <c r="G332" s="85"/>
      <c r="H332" s="86"/>
    </row>
    <row r="333" spans="1:8" s="53" customFormat="1" ht="15.75" customHeight="1" x14ac:dyDescent="0.35">
      <c r="A333" s="82">
        <v>153</v>
      </c>
      <c r="B333" s="82"/>
      <c r="C333" s="62" t="s">
        <v>164</v>
      </c>
      <c r="D333" s="66">
        <f>(34.37)*10.764</f>
        <v>369.95867999999996</v>
      </c>
      <c r="E333" s="62">
        <v>0</v>
      </c>
      <c r="F333" s="68">
        <f t="shared" si="3"/>
        <v>573.43595399999992</v>
      </c>
      <c r="G333" s="85"/>
      <c r="H333" s="86"/>
    </row>
    <row r="334" spans="1:8" s="53" customFormat="1" ht="15.75" customHeight="1" x14ac:dyDescent="0.35">
      <c r="A334" s="82">
        <v>154</v>
      </c>
      <c r="B334" s="82"/>
      <c r="C334" s="62" t="s">
        <v>164</v>
      </c>
      <c r="D334" s="66">
        <f>(31.92)*10.764</f>
        <v>343.58688000000001</v>
      </c>
      <c r="E334" s="62">
        <v>0</v>
      </c>
      <c r="F334" s="68">
        <f t="shared" si="3"/>
        <v>532.559664</v>
      </c>
      <c r="G334" s="85"/>
      <c r="H334" s="86"/>
    </row>
    <row r="335" spans="1:8" s="53" customFormat="1" ht="15.75" customHeight="1" x14ac:dyDescent="0.35">
      <c r="A335" s="82">
        <v>155</v>
      </c>
      <c r="B335" s="82"/>
      <c r="C335" s="62" t="s">
        <v>164</v>
      </c>
      <c r="D335" s="66">
        <f>(32.21)*10.764</f>
        <v>346.70844</v>
      </c>
      <c r="E335" s="62">
        <v>0</v>
      </c>
      <c r="F335" s="68">
        <f t="shared" si="3"/>
        <v>537.39808200000004</v>
      </c>
      <c r="G335" s="85"/>
      <c r="H335" s="86"/>
    </row>
    <row r="336" spans="1:8" s="53" customFormat="1" ht="15.75" customHeight="1" x14ac:dyDescent="0.35">
      <c r="A336" s="82">
        <v>156</v>
      </c>
      <c r="B336" s="82"/>
      <c r="C336" s="62" t="s">
        <v>164</v>
      </c>
      <c r="D336" s="66">
        <f>(82.72)*10.764</f>
        <v>890.39807999999994</v>
      </c>
      <c r="E336" s="62">
        <v>0</v>
      </c>
      <c r="F336" s="68">
        <f t="shared" si="3"/>
        <v>1380.1170239999999</v>
      </c>
      <c r="G336" s="85"/>
      <c r="H336" s="86"/>
    </row>
    <row r="337" spans="1:8" s="53" customFormat="1" ht="15.75" customHeight="1" x14ac:dyDescent="0.35">
      <c r="A337" s="82" t="s">
        <v>438</v>
      </c>
      <c r="B337" s="82"/>
      <c r="C337" s="62" t="s">
        <v>164</v>
      </c>
      <c r="D337" s="66">
        <f>(7.74)*10.764</f>
        <v>83.313360000000003</v>
      </c>
      <c r="E337" s="62">
        <v>0</v>
      </c>
      <c r="F337" s="68">
        <f t="shared" si="3"/>
        <v>129.13570800000002</v>
      </c>
      <c r="G337" s="85"/>
      <c r="H337" s="86"/>
    </row>
    <row r="338" spans="1:8" s="53" customFormat="1" ht="15.75" customHeight="1" x14ac:dyDescent="0.35">
      <c r="A338" s="82">
        <v>157</v>
      </c>
      <c r="B338" s="82"/>
      <c r="C338" s="62" t="s">
        <v>164</v>
      </c>
      <c r="D338" s="66">
        <f>(129.09)*10.764</f>
        <v>1389.52476</v>
      </c>
      <c r="E338" s="62">
        <v>0</v>
      </c>
      <c r="F338" s="68">
        <f t="shared" si="3"/>
        <v>2153.7633780000001</v>
      </c>
      <c r="G338" s="85"/>
      <c r="H338" s="86"/>
    </row>
    <row r="339" spans="1:8" s="53" customFormat="1" ht="15.75" customHeight="1" x14ac:dyDescent="0.35">
      <c r="A339" s="82">
        <v>158</v>
      </c>
      <c r="B339" s="82"/>
      <c r="C339" s="62" t="s">
        <v>164</v>
      </c>
      <c r="D339" s="66">
        <f>(58.03)*10.764</f>
        <v>624.63491999999997</v>
      </c>
      <c r="E339" s="62">
        <v>0</v>
      </c>
      <c r="F339" s="68">
        <f t="shared" si="3"/>
        <v>968.18412599999999</v>
      </c>
      <c r="G339" s="85"/>
      <c r="H339" s="86"/>
    </row>
    <row r="340" spans="1:8" s="53" customFormat="1" ht="15.75" customHeight="1" x14ac:dyDescent="0.35">
      <c r="A340" s="82">
        <v>159</v>
      </c>
      <c r="B340" s="82"/>
      <c r="C340" s="62" t="s">
        <v>164</v>
      </c>
      <c r="D340" s="66">
        <f>(59.08)*10.764</f>
        <v>635.93711999999994</v>
      </c>
      <c r="E340" s="62">
        <v>0</v>
      </c>
      <c r="F340" s="68">
        <f t="shared" si="3"/>
        <v>985.7025359999999</v>
      </c>
      <c r="G340" s="85"/>
      <c r="H340" s="86"/>
    </row>
    <row r="341" spans="1:8" s="53" customFormat="1" ht="15.75" customHeight="1" x14ac:dyDescent="0.35">
      <c r="A341" s="82">
        <v>160</v>
      </c>
      <c r="B341" s="82"/>
      <c r="C341" s="62" t="s">
        <v>164</v>
      </c>
      <c r="D341" s="66">
        <f>(63.62)*10.764</f>
        <v>684.80567999999994</v>
      </c>
      <c r="E341" s="62">
        <v>0</v>
      </c>
      <c r="F341" s="68">
        <f t="shared" ref="F341:F347" si="4">D341*1.55+E341</f>
        <v>1061.4488039999999</v>
      </c>
      <c r="G341" s="85"/>
      <c r="H341" s="86"/>
    </row>
    <row r="342" spans="1:8" s="53" customFormat="1" ht="15.75" customHeight="1" x14ac:dyDescent="0.35">
      <c r="A342" s="82">
        <v>161</v>
      </c>
      <c r="B342" s="82"/>
      <c r="C342" s="62" t="s">
        <v>164</v>
      </c>
      <c r="D342" s="66">
        <f>(58.24)*10.764</f>
        <v>626.89535999999998</v>
      </c>
      <c r="E342" s="62">
        <v>0</v>
      </c>
      <c r="F342" s="68">
        <f t="shared" si="4"/>
        <v>971.68780800000002</v>
      </c>
      <c r="G342" s="85"/>
      <c r="H342" s="86"/>
    </row>
    <row r="343" spans="1:8" s="53" customFormat="1" ht="15.75" customHeight="1" x14ac:dyDescent="0.35">
      <c r="A343" s="82">
        <v>162</v>
      </c>
      <c r="B343" s="82"/>
      <c r="C343" s="62" t="s">
        <v>164</v>
      </c>
      <c r="D343" s="66">
        <f>(62.77)*10.764</f>
        <v>675.65628000000004</v>
      </c>
      <c r="E343" s="62">
        <v>0</v>
      </c>
      <c r="F343" s="68">
        <f t="shared" si="4"/>
        <v>1047.2672340000001</v>
      </c>
      <c r="G343" s="85"/>
      <c r="H343" s="86"/>
    </row>
    <row r="344" spans="1:8" s="53" customFormat="1" ht="15.75" customHeight="1" x14ac:dyDescent="0.35">
      <c r="A344" s="82">
        <v>163</v>
      </c>
      <c r="B344" s="82"/>
      <c r="C344" s="62" t="s">
        <v>164</v>
      </c>
      <c r="D344" s="66">
        <f>(59.08)*10.764</f>
        <v>635.93711999999994</v>
      </c>
      <c r="E344" s="62">
        <v>0</v>
      </c>
      <c r="F344" s="68">
        <f t="shared" si="4"/>
        <v>985.7025359999999</v>
      </c>
      <c r="G344" s="85"/>
      <c r="H344" s="86"/>
    </row>
    <row r="345" spans="1:8" s="53" customFormat="1" ht="15.75" customHeight="1" x14ac:dyDescent="0.35">
      <c r="A345" s="82">
        <v>164</v>
      </c>
      <c r="B345" s="82"/>
      <c r="C345" s="62" t="s">
        <v>164</v>
      </c>
      <c r="D345" s="66">
        <f>(31.81)*10.764</f>
        <v>342.40283999999997</v>
      </c>
      <c r="E345" s="62">
        <v>0</v>
      </c>
      <c r="F345" s="68">
        <f t="shared" si="4"/>
        <v>530.72440199999994</v>
      </c>
      <c r="G345" s="85"/>
      <c r="H345" s="86"/>
    </row>
    <row r="346" spans="1:8" s="53" customFormat="1" ht="15.75" customHeight="1" x14ac:dyDescent="0.35">
      <c r="A346" s="82">
        <v>165</v>
      </c>
      <c r="B346" s="82"/>
      <c r="C346" s="62" t="s">
        <v>164</v>
      </c>
      <c r="D346" s="66">
        <f>(59.24)*10.764</f>
        <v>637.65935999999999</v>
      </c>
      <c r="E346" s="62">
        <v>0</v>
      </c>
      <c r="F346" s="68">
        <f t="shared" si="4"/>
        <v>988.37200800000005</v>
      </c>
      <c r="G346" s="85"/>
      <c r="H346" s="86"/>
    </row>
    <row r="347" spans="1:8" s="53" customFormat="1" ht="15.75" customHeight="1" x14ac:dyDescent="0.35">
      <c r="A347" s="82">
        <v>166</v>
      </c>
      <c r="B347" s="82"/>
      <c r="C347" s="62" t="s">
        <v>164</v>
      </c>
      <c r="D347" s="66">
        <f>(66.47)*10.764</f>
        <v>715.48307999999997</v>
      </c>
      <c r="E347" s="62">
        <v>0</v>
      </c>
      <c r="F347" s="68">
        <f t="shared" si="4"/>
        <v>1108.9987739999999</v>
      </c>
      <c r="G347" s="87"/>
      <c r="H347" s="88"/>
    </row>
    <row r="348" spans="1:8" s="53" customFormat="1" ht="15.75" customHeight="1" x14ac:dyDescent="0.35">
      <c r="A348" s="94" t="s">
        <v>439</v>
      </c>
      <c r="B348" s="94"/>
      <c r="C348" s="94"/>
      <c r="D348" s="94"/>
      <c r="E348" s="94"/>
      <c r="F348" s="94"/>
      <c r="G348" s="94"/>
      <c r="H348" s="94"/>
    </row>
    <row r="349" spans="1:8" s="53" customFormat="1" x14ac:dyDescent="0.35">
      <c r="A349" s="82">
        <v>201</v>
      </c>
      <c r="B349" s="82"/>
      <c r="C349" s="62" t="s">
        <v>165</v>
      </c>
      <c r="D349" s="66">
        <f>(79.2)*10.764</f>
        <v>852.50879999999995</v>
      </c>
      <c r="E349" s="62">
        <v>0</v>
      </c>
      <c r="F349" s="68">
        <f t="shared" ref="F349:F387" si="5">D349*1.55+E349</f>
        <v>1321.3886399999999</v>
      </c>
      <c r="G349" s="83" t="str">
        <f>A348</f>
        <v>2nd Floor</v>
      </c>
      <c r="H349" s="84"/>
    </row>
    <row r="350" spans="1:8" s="53" customFormat="1" x14ac:dyDescent="0.35">
      <c r="A350" s="82">
        <f>A349+1</f>
        <v>202</v>
      </c>
      <c r="B350" s="82"/>
      <c r="C350" s="62" t="s">
        <v>165</v>
      </c>
      <c r="D350" s="66">
        <f>(75.07)*10.764</f>
        <v>808.05347999999992</v>
      </c>
      <c r="E350" s="62">
        <v>0</v>
      </c>
      <c r="F350" s="68">
        <f t="shared" si="5"/>
        <v>1252.482894</v>
      </c>
      <c r="G350" s="85"/>
      <c r="H350" s="86"/>
    </row>
    <row r="351" spans="1:8" s="53" customFormat="1" x14ac:dyDescent="0.35">
      <c r="A351" s="82">
        <f t="shared" ref="A351:A357" si="6">A350+1</f>
        <v>203</v>
      </c>
      <c r="B351" s="82"/>
      <c r="C351" s="62" t="s">
        <v>165</v>
      </c>
      <c r="D351" s="66">
        <f>(67.66)*10.764</f>
        <v>728.29223999999988</v>
      </c>
      <c r="E351" s="62">
        <v>0</v>
      </c>
      <c r="F351" s="68">
        <f t="shared" si="5"/>
        <v>1128.8529719999999</v>
      </c>
      <c r="G351" s="85"/>
      <c r="H351" s="86"/>
    </row>
    <row r="352" spans="1:8" s="53" customFormat="1" x14ac:dyDescent="0.35">
      <c r="A352" s="82">
        <f t="shared" si="6"/>
        <v>204</v>
      </c>
      <c r="B352" s="82"/>
      <c r="C352" s="62" t="s">
        <v>165</v>
      </c>
      <c r="D352" s="66">
        <f>(105.62)*10.764</f>
        <v>1136.8936799999999</v>
      </c>
      <c r="E352" s="62">
        <v>0</v>
      </c>
      <c r="F352" s="68">
        <f t="shared" si="5"/>
        <v>1762.1852039999999</v>
      </c>
      <c r="G352" s="85"/>
      <c r="H352" s="86"/>
    </row>
    <row r="353" spans="1:8" s="53" customFormat="1" x14ac:dyDescent="0.35">
      <c r="A353" s="82">
        <f t="shared" si="6"/>
        <v>205</v>
      </c>
      <c r="B353" s="82"/>
      <c r="C353" s="62" t="s">
        <v>165</v>
      </c>
      <c r="D353" s="66">
        <f>(71.7)*10.764</f>
        <v>771.77879999999993</v>
      </c>
      <c r="E353" s="62">
        <v>0</v>
      </c>
      <c r="F353" s="68">
        <f t="shared" si="5"/>
        <v>1196.2571399999999</v>
      </c>
      <c r="G353" s="85"/>
      <c r="H353" s="86"/>
    </row>
    <row r="354" spans="1:8" s="53" customFormat="1" x14ac:dyDescent="0.35">
      <c r="A354" s="82">
        <f t="shared" si="6"/>
        <v>206</v>
      </c>
      <c r="B354" s="82"/>
      <c r="C354" s="62" t="s">
        <v>165</v>
      </c>
      <c r="D354" s="66">
        <f>(67.48)*10.764</f>
        <v>726.35472000000004</v>
      </c>
      <c r="E354" s="62">
        <v>0</v>
      </c>
      <c r="F354" s="68">
        <f t="shared" si="5"/>
        <v>1125.8498160000001</v>
      </c>
      <c r="G354" s="85"/>
      <c r="H354" s="86"/>
    </row>
    <row r="355" spans="1:8" s="53" customFormat="1" x14ac:dyDescent="0.35">
      <c r="A355" s="82">
        <f t="shared" si="6"/>
        <v>207</v>
      </c>
      <c r="B355" s="82"/>
      <c r="C355" s="62" t="s">
        <v>165</v>
      </c>
      <c r="D355" s="66">
        <f>(71.7)*10.764</f>
        <v>771.77879999999993</v>
      </c>
      <c r="E355" s="62">
        <v>0</v>
      </c>
      <c r="F355" s="68">
        <f t="shared" si="5"/>
        <v>1196.2571399999999</v>
      </c>
      <c r="G355" s="85"/>
      <c r="H355" s="86"/>
    </row>
    <row r="356" spans="1:8" s="53" customFormat="1" x14ac:dyDescent="0.35">
      <c r="A356" s="82">
        <f t="shared" si="6"/>
        <v>208</v>
      </c>
      <c r="B356" s="82"/>
      <c r="C356" s="62" t="s">
        <v>165</v>
      </c>
      <c r="D356" s="66">
        <f>(67.48)*10.764</f>
        <v>726.35472000000004</v>
      </c>
      <c r="E356" s="62">
        <v>0</v>
      </c>
      <c r="F356" s="68">
        <f t="shared" si="5"/>
        <v>1125.8498160000001</v>
      </c>
      <c r="G356" s="85"/>
      <c r="H356" s="86"/>
    </row>
    <row r="357" spans="1:8" s="53" customFormat="1" x14ac:dyDescent="0.35">
      <c r="A357" s="82">
        <f t="shared" si="6"/>
        <v>209</v>
      </c>
      <c r="B357" s="82"/>
      <c r="C357" s="62" t="s">
        <v>165</v>
      </c>
      <c r="D357" s="66">
        <f>(66.28)*10.764</f>
        <v>713.43791999999996</v>
      </c>
      <c r="E357" s="62">
        <v>0</v>
      </c>
      <c r="F357" s="68">
        <f t="shared" si="5"/>
        <v>1105.8287760000001</v>
      </c>
      <c r="G357" s="85"/>
      <c r="H357" s="86"/>
    </row>
    <row r="358" spans="1:8" s="53" customFormat="1" ht="15.75" customHeight="1" x14ac:dyDescent="0.35">
      <c r="A358" s="82">
        <f>A357+1</f>
        <v>210</v>
      </c>
      <c r="B358" s="82"/>
      <c r="C358" s="62" t="s">
        <v>165</v>
      </c>
      <c r="D358" s="66">
        <f>(153.81)*10.764</f>
        <v>1655.6108399999998</v>
      </c>
      <c r="E358" s="62">
        <v>0</v>
      </c>
      <c r="F358" s="68">
        <f t="shared" si="5"/>
        <v>2566.1968019999999</v>
      </c>
      <c r="G358" s="85"/>
      <c r="H358" s="86"/>
    </row>
    <row r="359" spans="1:8" s="53" customFormat="1" ht="15.75" customHeight="1" x14ac:dyDescent="0.35">
      <c r="A359" s="82" t="s">
        <v>440</v>
      </c>
      <c r="B359" s="82"/>
      <c r="C359" s="62" t="s">
        <v>165</v>
      </c>
      <c r="D359" s="66">
        <f>(82.45)*10.764</f>
        <v>887.49180000000001</v>
      </c>
      <c r="E359" s="62">
        <v>0</v>
      </c>
      <c r="F359" s="68">
        <f t="shared" si="5"/>
        <v>1375.61229</v>
      </c>
      <c r="G359" s="85"/>
      <c r="H359" s="86"/>
    </row>
    <row r="360" spans="1:8" s="53" customFormat="1" ht="15.75" customHeight="1" x14ac:dyDescent="0.35">
      <c r="A360" s="82" t="s">
        <v>441</v>
      </c>
      <c r="B360" s="82"/>
      <c r="C360" s="62" t="s">
        <v>165</v>
      </c>
      <c r="D360" s="66">
        <f>(83.84)*10.764</f>
        <v>902.45375999999999</v>
      </c>
      <c r="E360" s="62">
        <v>0</v>
      </c>
      <c r="F360" s="68">
        <f t="shared" si="5"/>
        <v>1398.803328</v>
      </c>
      <c r="G360" s="85"/>
      <c r="H360" s="86"/>
    </row>
    <row r="361" spans="1:8" s="53" customFormat="1" ht="15.75" customHeight="1" x14ac:dyDescent="0.35">
      <c r="A361" s="82" t="s">
        <v>442</v>
      </c>
      <c r="B361" s="82"/>
      <c r="C361" s="62" t="s">
        <v>165</v>
      </c>
      <c r="D361" s="66">
        <f>(63.8)*10.764</f>
        <v>686.74319999999989</v>
      </c>
      <c r="E361" s="62">
        <v>0</v>
      </c>
      <c r="F361" s="68">
        <f t="shared" si="5"/>
        <v>1064.4519599999999</v>
      </c>
      <c r="G361" s="85"/>
      <c r="H361" s="86"/>
    </row>
    <row r="362" spans="1:8" s="53" customFormat="1" ht="15.75" customHeight="1" x14ac:dyDescent="0.35">
      <c r="A362" s="82">
        <v>211</v>
      </c>
      <c r="B362" s="82"/>
      <c r="C362" s="62" t="s">
        <v>165</v>
      </c>
      <c r="D362" s="66">
        <f>(128.21)*10.764</f>
        <v>1380.0524399999999</v>
      </c>
      <c r="E362" s="62">
        <v>0</v>
      </c>
      <c r="F362" s="68">
        <f t="shared" si="5"/>
        <v>2139.0812820000001</v>
      </c>
      <c r="G362" s="85"/>
      <c r="H362" s="86"/>
    </row>
    <row r="363" spans="1:8" s="53" customFormat="1" ht="15.75" customHeight="1" x14ac:dyDescent="0.35">
      <c r="A363" s="82">
        <v>212</v>
      </c>
      <c r="B363" s="82"/>
      <c r="C363" s="62" t="s">
        <v>165</v>
      </c>
      <c r="D363" s="66">
        <f>(96.09)*10.764</f>
        <v>1034.31276</v>
      </c>
      <c r="E363" s="62">
        <v>0</v>
      </c>
      <c r="F363" s="68">
        <f t="shared" si="5"/>
        <v>1603.1847780000001</v>
      </c>
      <c r="G363" s="85"/>
      <c r="H363" s="86"/>
    </row>
    <row r="364" spans="1:8" s="53" customFormat="1" ht="15.75" customHeight="1" x14ac:dyDescent="0.35">
      <c r="A364" s="82">
        <v>213</v>
      </c>
      <c r="B364" s="82"/>
      <c r="C364" s="62" t="s">
        <v>165</v>
      </c>
      <c r="D364" s="66">
        <f>(89.15)*10.764</f>
        <v>959.61059999999998</v>
      </c>
      <c r="E364" s="62">
        <v>0</v>
      </c>
      <c r="F364" s="68">
        <f t="shared" si="5"/>
        <v>1487.39643</v>
      </c>
      <c r="G364" s="85"/>
      <c r="H364" s="86"/>
    </row>
    <row r="365" spans="1:8" s="53" customFormat="1" ht="15.75" customHeight="1" x14ac:dyDescent="0.35">
      <c r="A365" s="82">
        <v>214</v>
      </c>
      <c r="B365" s="82"/>
      <c r="C365" s="62" t="s">
        <v>165</v>
      </c>
      <c r="D365" s="66">
        <f>(71.06)*10.764</f>
        <v>764.88983999999994</v>
      </c>
      <c r="E365" s="62">
        <v>0</v>
      </c>
      <c r="F365" s="68">
        <f t="shared" si="5"/>
        <v>1185.579252</v>
      </c>
      <c r="G365" s="85"/>
      <c r="H365" s="86"/>
    </row>
    <row r="366" spans="1:8" s="53" customFormat="1" ht="15.75" customHeight="1" x14ac:dyDescent="0.35">
      <c r="A366" s="82">
        <v>215</v>
      </c>
      <c r="B366" s="82"/>
      <c r="C366" s="62" t="s">
        <v>165</v>
      </c>
      <c r="D366" s="66">
        <f>(75.58)*10.764</f>
        <v>813.54311999999993</v>
      </c>
      <c r="E366" s="62">
        <v>0</v>
      </c>
      <c r="F366" s="68">
        <f t="shared" si="5"/>
        <v>1260.9918359999999</v>
      </c>
      <c r="G366" s="85"/>
      <c r="H366" s="86"/>
    </row>
    <row r="367" spans="1:8" s="53" customFormat="1" ht="15.75" customHeight="1" x14ac:dyDescent="0.35">
      <c r="A367" s="82">
        <v>216</v>
      </c>
      <c r="B367" s="82"/>
      <c r="C367" s="62" t="s">
        <v>165</v>
      </c>
      <c r="D367" s="66">
        <f>(59.19)*10.764</f>
        <v>637.12115999999992</v>
      </c>
      <c r="E367" s="62">
        <v>0</v>
      </c>
      <c r="F367" s="68">
        <f t="shared" si="5"/>
        <v>987.53779799999995</v>
      </c>
      <c r="G367" s="85"/>
      <c r="H367" s="86"/>
    </row>
    <row r="368" spans="1:8" s="53" customFormat="1" ht="15.75" customHeight="1" x14ac:dyDescent="0.35">
      <c r="A368" s="82">
        <v>217</v>
      </c>
      <c r="B368" s="82"/>
      <c r="C368" s="62" t="s">
        <v>165</v>
      </c>
      <c r="D368" s="66">
        <f>(51.92)*10.764</f>
        <v>558.86688000000004</v>
      </c>
      <c r="E368" s="62">
        <v>0</v>
      </c>
      <c r="F368" s="68">
        <f t="shared" si="5"/>
        <v>866.24366400000008</v>
      </c>
      <c r="G368" s="85"/>
      <c r="H368" s="86"/>
    </row>
    <row r="369" spans="1:8" s="53" customFormat="1" ht="15.75" customHeight="1" x14ac:dyDescent="0.35">
      <c r="A369" s="82">
        <v>218</v>
      </c>
      <c r="B369" s="82"/>
      <c r="C369" s="62" t="s">
        <v>165</v>
      </c>
      <c r="D369" s="66">
        <f>(82.21)*10.764</f>
        <v>884.90843999999993</v>
      </c>
      <c r="E369" s="62">
        <v>0</v>
      </c>
      <c r="F369" s="68">
        <f t="shared" si="5"/>
        <v>1371.608082</v>
      </c>
      <c r="G369" s="85"/>
      <c r="H369" s="86"/>
    </row>
    <row r="370" spans="1:8" s="53" customFormat="1" ht="15.75" customHeight="1" x14ac:dyDescent="0.35">
      <c r="A370" s="82">
        <v>219</v>
      </c>
      <c r="B370" s="82"/>
      <c r="C370" s="62" t="s">
        <v>165</v>
      </c>
      <c r="D370" s="66">
        <f>(55.81)*10.764</f>
        <v>600.73883999999998</v>
      </c>
      <c r="E370" s="62">
        <v>0</v>
      </c>
      <c r="F370" s="68">
        <f t="shared" si="5"/>
        <v>931.14520200000004</v>
      </c>
      <c r="G370" s="85"/>
      <c r="H370" s="86"/>
    </row>
    <row r="371" spans="1:8" s="53" customFormat="1" ht="15.75" customHeight="1" x14ac:dyDescent="0.35">
      <c r="A371" s="82">
        <v>220</v>
      </c>
      <c r="B371" s="82"/>
      <c r="C371" s="62" t="s">
        <v>165</v>
      </c>
      <c r="D371" s="66">
        <f>(53.58)*10.764</f>
        <v>576.73511999999994</v>
      </c>
      <c r="E371" s="62">
        <v>0</v>
      </c>
      <c r="F371" s="68">
        <f t="shared" si="5"/>
        <v>893.93943599999989</v>
      </c>
      <c r="G371" s="85"/>
      <c r="H371" s="86"/>
    </row>
    <row r="372" spans="1:8" s="53" customFormat="1" ht="15.75" customHeight="1" x14ac:dyDescent="0.35">
      <c r="A372" s="82">
        <v>221</v>
      </c>
      <c r="B372" s="82"/>
      <c r="C372" s="62" t="s">
        <v>165</v>
      </c>
      <c r="D372" s="66">
        <f>(54.76)*10.764</f>
        <v>589.4366399999999</v>
      </c>
      <c r="E372" s="62">
        <v>0</v>
      </c>
      <c r="F372" s="68">
        <f t="shared" si="5"/>
        <v>913.62679199999991</v>
      </c>
      <c r="G372" s="85"/>
      <c r="H372" s="86"/>
    </row>
    <row r="373" spans="1:8" s="53" customFormat="1" ht="15.75" customHeight="1" x14ac:dyDescent="0.35">
      <c r="A373" s="82">
        <v>222</v>
      </c>
      <c r="B373" s="82"/>
      <c r="C373" s="62" t="s">
        <v>165</v>
      </c>
      <c r="D373" s="66">
        <f>(53.28)*10.764</f>
        <v>573.50591999999995</v>
      </c>
      <c r="E373" s="62">
        <v>0</v>
      </c>
      <c r="F373" s="68">
        <f t="shared" si="5"/>
        <v>888.93417599999998</v>
      </c>
      <c r="G373" s="85"/>
      <c r="H373" s="86"/>
    </row>
    <row r="374" spans="1:8" s="53" customFormat="1" ht="15.75" customHeight="1" x14ac:dyDescent="0.35">
      <c r="A374" s="82">
        <v>223</v>
      </c>
      <c r="B374" s="82"/>
      <c r="C374" s="62" t="s">
        <v>165</v>
      </c>
      <c r="D374" s="66">
        <f>(50.84)*10.764</f>
        <v>547.24176</v>
      </c>
      <c r="E374" s="62">
        <v>0</v>
      </c>
      <c r="F374" s="68">
        <f t="shared" si="5"/>
        <v>848.22472800000003</v>
      </c>
      <c r="G374" s="85"/>
      <c r="H374" s="86"/>
    </row>
    <row r="375" spans="1:8" s="53" customFormat="1" ht="15.75" customHeight="1" x14ac:dyDescent="0.35">
      <c r="A375" s="82">
        <v>224</v>
      </c>
      <c r="B375" s="82"/>
      <c r="C375" s="62" t="s">
        <v>165</v>
      </c>
      <c r="D375" s="66">
        <f>(95.21)*10.764</f>
        <v>1024.8404399999999</v>
      </c>
      <c r="E375" s="62">
        <v>0</v>
      </c>
      <c r="F375" s="68">
        <f t="shared" si="5"/>
        <v>1588.502682</v>
      </c>
      <c r="G375" s="85"/>
      <c r="H375" s="86"/>
    </row>
    <row r="376" spans="1:8" s="53" customFormat="1" ht="15.75" customHeight="1" x14ac:dyDescent="0.35">
      <c r="A376" s="82">
        <v>225</v>
      </c>
      <c r="B376" s="82"/>
      <c r="C376" s="62" t="s">
        <v>165</v>
      </c>
      <c r="D376" s="66">
        <f>(104.52)*10.764</f>
        <v>1125.0532799999999</v>
      </c>
      <c r="E376" s="62">
        <v>0</v>
      </c>
      <c r="F376" s="68">
        <f t="shared" si="5"/>
        <v>1743.8325839999998</v>
      </c>
      <c r="G376" s="85"/>
      <c r="H376" s="86"/>
    </row>
    <row r="377" spans="1:8" s="53" customFormat="1" ht="15.75" customHeight="1" x14ac:dyDescent="0.35">
      <c r="A377" s="82">
        <v>226</v>
      </c>
      <c r="B377" s="82"/>
      <c r="C377" s="62" t="s">
        <v>165</v>
      </c>
      <c r="D377" s="66">
        <f>(147.9)*10.764</f>
        <v>1591.9956</v>
      </c>
      <c r="E377" s="62">
        <v>0</v>
      </c>
      <c r="F377" s="68">
        <f t="shared" si="5"/>
        <v>2467.5931799999998</v>
      </c>
      <c r="G377" s="85"/>
      <c r="H377" s="86"/>
    </row>
    <row r="378" spans="1:8" s="53" customFormat="1" ht="15.75" customHeight="1" x14ac:dyDescent="0.35">
      <c r="A378" s="82">
        <v>227</v>
      </c>
      <c r="B378" s="82"/>
      <c r="C378" s="62" t="s">
        <v>165</v>
      </c>
      <c r="D378" s="66">
        <f>(153.06)*10.764</f>
        <v>1647.53784</v>
      </c>
      <c r="E378" s="62">
        <v>0</v>
      </c>
      <c r="F378" s="68">
        <f t="shared" si="5"/>
        <v>2553.6836520000002</v>
      </c>
      <c r="G378" s="85"/>
      <c r="H378" s="86"/>
    </row>
    <row r="379" spans="1:8" s="53" customFormat="1" ht="15.75" customHeight="1" x14ac:dyDescent="0.35">
      <c r="A379" s="82">
        <v>228</v>
      </c>
      <c r="B379" s="82"/>
      <c r="C379" s="62" t="s">
        <v>165</v>
      </c>
      <c r="D379" s="66">
        <f>(66.28)*10.764</f>
        <v>713.43791999999996</v>
      </c>
      <c r="E379" s="62">
        <v>0</v>
      </c>
      <c r="F379" s="68">
        <f t="shared" si="5"/>
        <v>1105.8287760000001</v>
      </c>
      <c r="G379" s="85"/>
      <c r="H379" s="86"/>
    </row>
    <row r="380" spans="1:8" s="53" customFormat="1" ht="15.75" customHeight="1" x14ac:dyDescent="0.35">
      <c r="A380" s="82">
        <v>229</v>
      </c>
      <c r="B380" s="82"/>
      <c r="C380" s="62" t="s">
        <v>165</v>
      </c>
      <c r="D380" s="66">
        <f>(67.48)*10.764</f>
        <v>726.35472000000004</v>
      </c>
      <c r="E380" s="62">
        <v>0</v>
      </c>
      <c r="F380" s="68">
        <f t="shared" si="5"/>
        <v>1125.8498160000001</v>
      </c>
      <c r="G380" s="85"/>
      <c r="H380" s="86"/>
    </row>
    <row r="381" spans="1:8" s="53" customFormat="1" ht="15.75" customHeight="1" x14ac:dyDescent="0.35">
      <c r="A381" s="82">
        <v>230</v>
      </c>
      <c r="B381" s="82"/>
      <c r="C381" s="62" t="s">
        <v>165</v>
      </c>
      <c r="D381" s="66">
        <f>(71.7)*10.764</f>
        <v>771.77879999999993</v>
      </c>
      <c r="E381" s="62">
        <v>0</v>
      </c>
      <c r="F381" s="68">
        <f t="shared" si="5"/>
        <v>1196.2571399999999</v>
      </c>
      <c r="G381" s="85"/>
      <c r="H381" s="86"/>
    </row>
    <row r="382" spans="1:8" s="53" customFormat="1" ht="15.75" customHeight="1" x14ac:dyDescent="0.35">
      <c r="A382" s="82">
        <v>231</v>
      </c>
      <c r="B382" s="82"/>
      <c r="C382" s="62" t="s">
        <v>165</v>
      </c>
      <c r="D382" s="66">
        <f>(67.48)*10.764</f>
        <v>726.35472000000004</v>
      </c>
      <c r="E382" s="62">
        <v>0</v>
      </c>
      <c r="F382" s="68">
        <f t="shared" si="5"/>
        <v>1125.8498160000001</v>
      </c>
      <c r="G382" s="85"/>
      <c r="H382" s="86"/>
    </row>
    <row r="383" spans="1:8" s="53" customFormat="1" ht="15.75" customHeight="1" x14ac:dyDescent="0.35">
      <c r="A383" s="82">
        <v>232</v>
      </c>
      <c r="B383" s="82"/>
      <c r="C383" s="62" t="s">
        <v>165</v>
      </c>
      <c r="D383" s="66">
        <f>(71.7)*10.764</f>
        <v>771.77879999999993</v>
      </c>
      <c r="E383" s="62">
        <v>0</v>
      </c>
      <c r="F383" s="68">
        <f t="shared" si="5"/>
        <v>1196.2571399999999</v>
      </c>
      <c r="G383" s="85"/>
      <c r="H383" s="86"/>
    </row>
    <row r="384" spans="1:8" s="53" customFormat="1" ht="15.75" customHeight="1" x14ac:dyDescent="0.35">
      <c r="A384" s="82">
        <v>233</v>
      </c>
      <c r="B384" s="82"/>
      <c r="C384" s="62" t="s">
        <v>165</v>
      </c>
      <c r="D384" s="66">
        <f>(105.62)*10.764</f>
        <v>1136.8936799999999</v>
      </c>
      <c r="E384" s="62">
        <v>0</v>
      </c>
      <c r="F384" s="68">
        <f t="shared" si="5"/>
        <v>1762.1852039999999</v>
      </c>
      <c r="G384" s="85"/>
      <c r="H384" s="86"/>
    </row>
    <row r="385" spans="1:10" s="53" customFormat="1" ht="15.75" customHeight="1" x14ac:dyDescent="0.35">
      <c r="A385" s="82">
        <v>234</v>
      </c>
      <c r="B385" s="82"/>
      <c r="C385" s="62" t="s">
        <v>165</v>
      </c>
      <c r="D385" s="66">
        <f>(67.66)*10.764</f>
        <v>728.29223999999988</v>
      </c>
      <c r="E385" s="62">
        <v>0</v>
      </c>
      <c r="F385" s="68">
        <f>D385*1.55+E385</f>
        <v>1128.8529719999999</v>
      </c>
      <c r="G385" s="85"/>
      <c r="H385" s="86"/>
    </row>
    <row r="386" spans="1:10" s="53" customFormat="1" ht="15.75" customHeight="1" x14ac:dyDescent="0.35">
      <c r="A386" s="82">
        <v>235</v>
      </c>
      <c r="B386" s="82"/>
      <c r="C386" s="62" t="s">
        <v>165</v>
      </c>
      <c r="D386" s="66">
        <f>(75.07)*10.764</f>
        <v>808.05347999999992</v>
      </c>
      <c r="E386" s="62">
        <v>0</v>
      </c>
      <c r="F386" s="68">
        <f t="shared" si="5"/>
        <v>1252.482894</v>
      </c>
      <c r="G386" s="85"/>
      <c r="H386" s="86"/>
    </row>
    <row r="387" spans="1:10" s="53" customFormat="1" ht="15.75" customHeight="1" x14ac:dyDescent="0.35">
      <c r="A387" s="82">
        <v>236</v>
      </c>
      <c r="B387" s="82"/>
      <c r="C387" s="62" t="s">
        <v>165</v>
      </c>
      <c r="D387" s="66">
        <f>(79.2)*10.764</f>
        <v>852.50879999999995</v>
      </c>
      <c r="E387" s="62">
        <v>0</v>
      </c>
      <c r="F387" s="68">
        <f t="shared" si="5"/>
        <v>1321.3886399999999</v>
      </c>
      <c r="G387" s="85"/>
      <c r="H387" s="86"/>
    </row>
    <row r="388" spans="1:10" s="53" customFormat="1" x14ac:dyDescent="0.35">
      <c r="A388" s="142" t="s">
        <v>1057</v>
      </c>
      <c r="B388" s="142"/>
      <c r="C388" s="142"/>
      <c r="D388" s="142"/>
      <c r="E388" s="142"/>
      <c r="F388" s="142"/>
      <c r="G388" s="142"/>
      <c r="H388" s="142"/>
    </row>
    <row r="389" spans="1:10" s="53" customFormat="1" ht="15.75" customHeight="1" x14ac:dyDescent="0.35">
      <c r="A389" s="94" t="s">
        <v>443</v>
      </c>
      <c r="B389" s="94"/>
      <c r="C389" s="94"/>
      <c r="D389" s="94"/>
      <c r="E389" s="94"/>
      <c r="F389" s="94"/>
      <c r="G389" s="94"/>
      <c r="H389" s="94"/>
      <c r="J389" s="66">
        <v>10.763999999999999</v>
      </c>
    </row>
    <row r="390" spans="1:10" s="53" customFormat="1" x14ac:dyDescent="0.35">
      <c r="A390" s="82" t="s">
        <v>444</v>
      </c>
      <c r="B390" s="82"/>
      <c r="C390" s="62" t="s">
        <v>165</v>
      </c>
      <c r="D390" s="66">
        <f>(68.15)*10.764</f>
        <v>733.56659999999999</v>
      </c>
      <c r="E390" s="62">
        <v>0</v>
      </c>
      <c r="F390" s="68">
        <f t="shared" ref="F390:F398" si="7">D390*1.55+E390</f>
        <v>1137.0282300000001</v>
      </c>
      <c r="G390" s="83" t="str">
        <f>A389</f>
        <v>Parking -1 Floor for Commercial &amp; Parking</v>
      </c>
      <c r="H390" s="84"/>
    </row>
    <row r="391" spans="1:10" s="53" customFormat="1" x14ac:dyDescent="0.35">
      <c r="A391" s="82" t="s">
        <v>445</v>
      </c>
      <c r="B391" s="82"/>
      <c r="C391" s="62" t="s">
        <v>165</v>
      </c>
      <c r="D391" s="66">
        <f>(109.4)*10.764</f>
        <v>1177.5816</v>
      </c>
      <c r="E391" s="62">
        <v>0</v>
      </c>
      <c r="F391" s="68">
        <f t="shared" si="7"/>
        <v>1825.2514800000001</v>
      </c>
      <c r="G391" s="85"/>
      <c r="H391" s="86"/>
    </row>
    <row r="392" spans="1:10" s="53" customFormat="1" x14ac:dyDescent="0.35">
      <c r="A392" s="82" t="s">
        <v>446</v>
      </c>
      <c r="B392" s="82"/>
      <c r="C392" s="62" t="s">
        <v>165</v>
      </c>
      <c r="D392" s="66">
        <f>(68.41)*10.764</f>
        <v>736.36523999999997</v>
      </c>
      <c r="E392" s="62">
        <v>0</v>
      </c>
      <c r="F392" s="68">
        <f t="shared" si="7"/>
        <v>1141.3661219999999</v>
      </c>
      <c r="G392" s="85"/>
      <c r="H392" s="86"/>
    </row>
    <row r="393" spans="1:10" s="53" customFormat="1" x14ac:dyDescent="0.35">
      <c r="A393" s="82" t="s">
        <v>447</v>
      </c>
      <c r="B393" s="82"/>
      <c r="C393" s="62" t="s">
        <v>165</v>
      </c>
      <c r="D393" s="66">
        <f>(67.7)*10.764</f>
        <v>728.72280000000001</v>
      </c>
      <c r="E393" s="62">
        <v>0</v>
      </c>
      <c r="F393" s="68">
        <f t="shared" si="7"/>
        <v>1129.52034</v>
      </c>
      <c r="G393" s="85"/>
      <c r="H393" s="86"/>
    </row>
    <row r="394" spans="1:10" s="53" customFormat="1" x14ac:dyDescent="0.35">
      <c r="A394" s="82" t="s">
        <v>448</v>
      </c>
      <c r="B394" s="82"/>
      <c r="C394" s="62" t="s">
        <v>165</v>
      </c>
      <c r="D394" s="66">
        <f>(109.36)*10.764</f>
        <v>1177.15104</v>
      </c>
      <c r="E394" s="62">
        <v>0</v>
      </c>
      <c r="F394" s="68">
        <f t="shared" si="7"/>
        <v>1824.584112</v>
      </c>
      <c r="G394" s="85"/>
      <c r="H394" s="86"/>
    </row>
    <row r="395" spans="1:10" s="53" customFormat="1" x14ac:dyDescent="0.35">
      <c r="A395" s="82" t="s">
        <v>449</v>
      </c>
      <c r="B395" s="82"/>
      <c r="C395" s="62" t="s">
        <v>165</v>
      </c>
      <c r="D395" s="66">
        <f>(109.11)*10.764</f>
        <v>1174.4600399999999</v>
      </c>
      <c r="E395" s="62">
        <v>0</v>
      </c>
      <c r="F395" s="68">
        <f t="shared" si="7"/>
        <v>1820.4130619999999</v>
      </c>
      <c r="G395" s="85"/>
      <c r="H395" s="86"/>
    </row>
    <row r="396" spans="1:10" s="53" customFormat="1" x14ac:dyDescent="0.35">
      <c r="A396" s="82" t="s">
        <v>450</v>
      </c>
      <c r="B396" s="82"/>
      <c r="C396" s="62" t="s">
        <v>165</v>
      </c>
      <c r="D396" s="66">
        <f>(67.7)*10.764</f>
        <v>728.72280000000001</v>
      </c>
      <c r="E396" s="62">
        <v>0</v>
      </c>
      <c r="F396" s="68">
        <f t="shared" si="7"/>
        <v>1129.52034</v>
      </c>
      <c r="G396" s="85"/>
      <c r="H396" s="86"/>
    </row>
    <row r="397" spans="1:10" s="53" customFormat="1" x14ac:dyDescent="0.35">
      <c r="A397" s="82" t="s">
        <v>451</v>
      </c>
      <c r="B397" s="82"/>
      <c r="C397" s="62" t="s">
        <v>165</v>
      </c>
      <c r="D397" s="66">
        <f>(110.09)*10.764</f>
        <v>1185.0087599999999</v>
      </c>
      <c r="E397" s="62">
        <v>0</v>
      </c>
      <c r="F397" s="68">
        <f t="shared" si="7"/>
        <v>1836.7635780000001</v>
      </c>
      <c r="G397" s="85"/>
      <c r="H397" s="86"/>
    </row>
    <row r="398" spans="1:10" s="53" customFormat="1" x14ac:dyDescent="0.35">
      <c r="A398" s="82" t="s">
        <v>452</v>
      </c>
      <c r="B398" s="82"/>
      <c r="C398" s="62" t="s">
        <v>165</v>
      </c>
      <c r="D398" s="66">
        <f>(68.15)*10.764</f>
        <v>733.56659999999999</v>
      </c>
      <c r="E398" s="62">
        <v>0</v>
      </c>
      <c r="F398" s="68">
        <f t="shared" si="7"/>
        <v>1137.0282300000001</v>
      </c>
      <c r="G398" s="85"/>
      <c r="H398" s="86"/>
    </row>
    <row r="399" spans="1:10" s="53" customFormat="1" ht="15.75" customHeight="1" x14ac:dyDescent="0.35">
      <c r="A399" s="94" t="s">
        <v>454</v>
      </c>
      <c r="B399" s="94"/>
      <c r="C399" s="94"/>
      <c r="D399" s="94"/>
      <c r="E399" s="94"/>
      <c r="F399" s="94"/>
      <c r="G399" s="94"/>
      <c r="H399" s="94"/>
    </row>
    <row r="400" spans="1:10" s="53" customFormat="1" x14ac:dyDescent="0.35">
      <c r="A400" s="82" t="s">
        <v>455</v>
      </c>
      <c r="B400" s="82"/>
      <c r="C400" s="62" t="s">
        <v>165</v>
      </c>
      <c r="D400" s="66">
        <f>(68.15)*10.764</f>
        <v>733.56659999999999</v>
      </c>
      <c r="E400" s="62">
        <v>0</v>
      </c>
      <c r="F400" s="68">
        <f t="shared" ref="F400:F408" si="8">D400*1.55+E400</f>
        <v>1137.0282300000001</v>
      </c>
      <c r="G400" s="83" t="str">
        <f>A399</f>
        <v>Parking -2 Floor</v>
      </c>
      <c r="H400" s="84"/>
    </row>
    <row r="401" spans="1:11" s="53" customFormat="1" x14ac:dyDescent="0.35">
      <c r="A401" s="82" t="s">
        <v>456</v>
      </c>
      <c r="B401" s="82"/>
      <c r="C401" s="62" t="s">
        <v>165</v>
      </c>
      <c r="D401" s="66">
        <f>(109.4)*10.764</f>
        <v>1177.5816</v>
      </c>
      <c r="E401" s="62">
        <v>0</v>
      </c>
      <c r="F401" s="68">
        <f t="shared" si="8"/>
        <v>1825.2514800000001</v>
      </c>
      <c r="G401" s="85"/>
      <c r="H401" s="86"/>
    </row>
    <row r="402" spans="1:11" s="53" customFormat="1" x14ac:dyDescent="0.35">
      <c r="A402" s="82" t="s">
        <v>457</v>
      </c>
      <c r="B402" s="82"/>
      <c r="C402" s="62" t="s">
        <v>165</v>
      </c>
      <c r="D402" s="66">
        <f>(68.41)*10.764</f>
        <v>736.36523999999997</v>
      </c>
      <c r="E402" s="62">
        <v>0</v>
      </c>
      <c r="F402" s="68">
        <f t="shared" si="8"/>
        <v>1141.3661219999999</v>
      </c>
      <c r="G402" s="85"/>
      <c r="H402" s="86"/>
    </row>
    <row r="403" spans="1:11" s="53" customFormat="1" x14ac:dyDescent="0.35">
      <c r="A403" s="82" t="s">
        <v>458</v>
      </c>
      <c r="B403" s="82"/>
      <c r="C403" s="62" t="s">
        <v>165</v>
      </c>
      <c r="D403" s="66">
        <f>(67.7)*10.764</f>
        <v>728.72280000000001</v>
      </c>
      <c r="E403" s="62">
        <v>0</v>
      </c>
      <c r="F403" s="68">
        <f t="shared" si="8"/>
        <v>1129.52034</v>
      </c>
      <c r="G403" s="85"/>
      <c r="H403" s="86"/>
    </row>
    <row r="404" spans="1:11" s="53" customFormat="1" x14ac:dyDescent="0.35">
      <c r="A404" s="82" t="s">
        <v>459</v>
      </c>
      <c r="B404" s="82"/>
      <c r="C404" s="62" t="s">
        <v>165</v>
      </c>
      <c r="D404" s="66">
        <f>(109.36)*10.764</f>
        <v>1177.15104</v>
      </c>
      <c r="E404" s="62">
        <v>0</v>
      </c>
      <c r="F404" s="68">
        <f t="shared" si="8"/>
        <v>1824.584112</v>
      </c>
      <c r="G404" s="85"/>
      <c r="H404" s="86"/>
    </row>
    <row r="405" spans="1:11" s="53" customFormat="1" x14ac:dyDescent="0.35">
      <c r="A405" s="82" t="s">
        <v>460</v>
      </c>
      <c r="B405" s="82"/>
      <c r="C405" s="62" t="s">
        <v>165</v>
      </c>
      <c r="D405" s="66">
        <f>(109.11)*10.764</f>
        <v>1174.4600399999999</v>
      </c>
      <c r="E405" s="62">
        <v>0</v>
      </c>
      <c r="F405" s="68">
        <f t="shared" si="8"/>
        <v>1820.4130619999999</v>
      </c>
      <c r="G405" s="85"/>
      <c r="H405" s="86"/>
    </row>
    <row r="406" spans="1:11" s="53" customFormat="1" x14ac:dyDescent="0.35">
      <c r="A406" s="82" t="s">
        <v>461</v>
      </c>
      <c r="B406" s="82"/>
      <c r="C406" s="62" t="s">
        <v>165</v>
      </c>
      <c r="D406" s="66">
        <f>(67.7)*10.764</f>
        <v>728.72280000000001</v>
      </c>
      <c r="E406" s="62">
        <v>0</v>
      </c>
      <c r="F406" s="68">
        <f t="shared" si="8"/>
        <v>1129.52034</v>
      </c>
      <c r="G406" s="85"/>
      <c r="H406" s="86"/>
    </row>
    <row r="407" spans="1:11" s="53" customFormat="1" x14ac:dyDescent="0.35">
      <c r="A407" s="82" t="s">
        <v>462</v>
      </c>
      <c r="B407" s="82"/>
      <c r="C407" s="62" t="s">
        <v>165</v>
      </c>
      <c r="D407" s="66">
        <f>(110.09)*10.764</f>
        <v>1185.0087599999999</v>
      </c>
      <c r="E407" s="62">
        <v>0</v>
      </c>
      <c r="F407" s="68">
        <f t="shared" si="8"/>
        <v>1836.7635780000001</v>
      </c>
      <c r="G407" s="85"/>
      <c r="H407" s="86"/>
    </row>
    <row r="408" spans="1:11" s="53" customFormat="1" x14ac:dyDescent="0.35">
      <c r="A408" s="82" t="s">
        <v>463</v>
      </c>
      <c r="B408" s="82"/>
      <c r="C408" s="62" t="s">
        <v>165</v>
      </c>
      <c r="D408" s="66">
        <f>(68.15)*10.764</f>
        <v>733.56659999999999</v>
      </c>
      <c r="E408" s="62">
        <v>0</v>
      </c>
      <c r="F408" s="68">
        <f t="shared" si="8"/>
        <v>1137.0282300000001</v>
      </c>
      <c r="G408" s="85"/>
      <c r="H408" s="86"/>
    </row>
    <row r="409" spans="1:11" s="53" customFormat="1" x14ac:dyDescent="0.35">
      <c r="A409" s="78" t="s">
        <v>1068</v>
      </c>
      <c r="B409" s="79"/>
      <c r="C409" s="79"/>
      <c r="D409" s="79"/>
      <c r="E409" s="79"/>
      <c r="F409" s="79"/>
      <c r="G409" s="79"/>
      <c r="H409" s="80"/>
    </row>
    <row r="410" spans="1:11" ht="47.25" customHeight="1" x14ac:dyDescent="0.35">
      <c r="A410" s="173" t="s">
        <v>105</v>
      </c>
      <c r="B410" s="173"/>
      <c r="C410" s="71" t="s">
        <v>62</v>
      </c>
      <c r="D410" s="71" t="s">
        <v>63</v>
      </c>
      <c r="E410" s="6" t="s">
        <v>64</v>
      </c>
      <c r="F410" s="70" t="s">
        <v>1069</v>
      </c>
      <c r="G410" s="173" t="s">
        <v>65</v>
      </c>
      <c r="H410" s="173"/>
    </row>
    <row r="411" spans="1:11" s="53" customFormat="1" x14ac:dyDescent="0.35">
      <c r="A411" s="142" t="s">
        <v>166</v>
      </c>
      <c r="B411" s="142"/>
      <c r="C411" s="142"/>
      <c r="D411" s="142"/>
      <c r="E411" s="142"/>
      <c r="F411" s="142"/>
      <c r="G411" s="142"/>
      <c r="H411" s="142"/>
    </row>
    <row r="412" spans="1:11" s="53" customFormat="1" x14ac:dyDescent="0.35">
      <c r="A412" s="78" t="s">
        <v>1061</v>
      </c>
      <c r="B412" s="79"/>
      <c r="C412" s="79"/>
      <c r="D412" s="79"/>
      <c r="E412" s="79"/>
      <c r="F412" s="79"/>
      <c r="G412" s="79"/>
      <c r="H412" s="80"/>
    </row>
    <row r="413" spans="1:11" s="53" customFormat="1" x14ac:dyDescent="0.35">
      <c r="A413" s="78" t="s">
        <v>464</v>
      </c>
      <c r="B413" s="79"/>
      <c r="C413" s="79"/>
      <c r="D413" s="79"/>
      <c r="E413" s="79"/>
      <c r="F413" s="79"/>
      <c r="G413" s="79"/>
      <c r="H413" s="80"/>
      <c r="K413" s="53">
        <v>5400</v>
      </c>
    </row>
    <row r="414" spans="1:11" s="53" customFormat="1" x14ac:dyDescent="0.35">
      <c r="A414" s="82" t="s">
        <v>191</v>
      </c>
      <c r="B414" s="82"/>
      <c r="C414" s="26" t="s">
        <v>170</v>
      </c>
      <c r="D414" s="66">
        <f>(38.18+2.9*1.2+2.55*0.8+3*0.6)*10.764</f>
        <v>489.76199999999989</v>
      </c>
      <c r="E414" s="26">
        <v>0</v>
      </c>
      <c r="F414" s="26">
        <f>D414*1.5+E414</f>
        <v>734.6429999999998</v>
      </c>
      <c r="G414" s="83" t="s">
        <v>167</v>
      </c>
      <c r="H414" s="84"/>
      <c r="I414" s="53">
        <f>D414*1.5</f>
        <v>734.6429999999998</v>
      </c>
      <c r="J414" s="64">
        <f>3.45*2.9+2.15*2.55+2.9*3+0.45+2.4+1.4*1.2+0.95*1.2+0.9*2.6+0.45*1.2+1.5*2.9</f>
        <v>37.087499999999999</v>
      </c>
      <c r="K414" s="53">
        <f>K$413*F414</f>
        <v>3967072.1999999988</v>
      </c>
    </row>
    <row r="415" spans="1:11" s="53" customFormat="1" x14ac:dyDescent="0.35">
      <c r="A415" s="82" t="s">
        <v>192</v>
      </c>
      <c r="B415" s="82"/>
      <c r="C415" s="26" t="s">
        <v>170</v>
      </c>
      <c r="D415" s="66">
        <f>(37.42+2.9*1.2+2.55*0.8+2.75*0.6)*10.764</f>
        <v>479.96675999999991</v>
      </c>
      <c r="E415" s="26">
        <v>0</v>
      </c>
      <c r="F415" s="63">
        <f>D415*1.5+E415</f>
        <v>719.95013999999992</v>
      </c>
      <c r="G415" s="85"/>
      <c r="H415" s="86"/>
      <c r="I415" s="53">
        <f t="shared" ref="I415:I416" si="9">D415*1.5</f>
        <v>719.95013999999992</v>
      </c>
      <c r="K415" s="53">
        <f t="shared" ref="K415:K438" si="10">K$413*F415</f>
        <v>3887730.7559999996</v>
      </c>
    </row>
    <row r="416" spans="1:11" s="53" customFormat="1" x14ac:dyDescent="0.35">
      <c r="A416" s="82" t="s">
        <v>193</v>
      </c>
      <c r="B416" s="82"/>
      <c r="C416" s="26" t="s">
        <v>170</v>
      </c>
      <c r="D416" s="66">
        <f>(37.4+2.9*1.2+2.55*0.8+2.9*0.6)*10.764</f>
        <v>480.72023999999993</v>
      </c>
      <c r="E416" s="26">
        <v>0</v>
      </c>
      <c r="F416" s="63">
        <f t="shared" ref="F416" si="11">D416*1.5+E416</f>
        <v>721.08035999999993</v>
      </c>
      <c r="G416" s="85"/>
      <c r="H416" s="86"/>
      <c r="I416" s="53">
        <f t="shared" si="9"/>
        <v>721.08035999999993</v>
      </c>
      <c r="K416" s="53">
        <f t="shared" si="10"/>
        <v>3893833.9439999997</v>
      </c>
    </row>
    <row r="417" spans="1:11" s="53" customFormat="1" ht="15.65" customHeight="1" x14ac:dyDescent="0.35">
      <c r="A417" s="82" t="s">
        <v>194</v>
      </c>
      <c r="B417" s="82"/>
      <c r="C417" s="83" t="s">
        <v>190</v>
      </c>
      <c r="D417" s="92"/>
      <c r="E417" s="92"/>
      <c r="F417" s="84"/>
      <c r="G417" s="85"/>
      <c r="H417" s="86"/>
      <c r="K417" s="53">
        <f t="shared" si="10"/>
        <v>0</v>
      </c>
    </row>
    <row r="418" spans="1:11" s="53" customFormat="1" ht="15.65" customHeight="1" x14ac:dyDescent="0.35">
      <c r="A418" s="82" t="s">
        <v>195</v>
      </c>
      <c r="B418" s="82"/>
      <c r="C418" s="85"/>
      <c r="D418" s="133"/>
      <c r="E418" s="133"/>
      <c r="F418" s="86"/>
      <c r="G418" s="85"/>
      <c r="H418" s="86"/>
      <c r="K418" s="53">
        <f t="shared" si="10"/>
        <v>0</v>
      </c>
    </row>
    <row r="419" spans="1:11" s="53" customFormat="1" ht="15.65" customHeight="1" x14ac:dyDescent="0.35">
      <c r="A419" s="82" t="s">
        <v>196</v>
      </c>
      <c r="B419" s="82"/>
      <c r="C419" s="85"/>
      <c r="D419" s="133"/>
      <c r="E419" s="133"/>
      <c r="F419" s="86"/>
      <c r="G419" s="85"/>
      <c r="H419" s="86"/>
      <c r="K419" s="53">
        <f t="shared" si="10"/>
        <v>0</v>
      </c>
    </row>
    <row r="420" spans="1:11" s="53" customFormat="1" ht="15.65" customHeight="1" x14ac:dyDescent="0.35">
      <c r="A420" s="82" t="s">
        <v>197</v>
      </c>
      <c r="B420" s="82"/>
      <c r="C420" s="85"/>
      <c r="D420" s="133"/>
      <c r="E420" s="133"/>
      <c r="F420" s="86"/>
      <c r="G420" s="85"/>
      <c r="H420" s="86"/>
      <c r="K420" s="53">
        <f t="shared" si="10"/>
        <v>0</v>
      </c>
    </row>
    <row r="421" spans="1:11" s="53" customFormat="1" ht="15.65" customHeight="1" x14ac:dyDescent="0.35">
      <c r="A421" s="82" t="s">
        <v>198</v>
      </c>
      <c r="B421" s="82"/>
      <c r="C421" s="85"/>
      <c r="D421" s="133"/>
      <c r="E421" s="133"/>
      <c r="F421" s="86"/>
      <c r="G421" s="85"/>
      <c r="H421" s="86"/>
      <c r="K421" s="53">
        <f t="shared" si="10"/>
        <v>0</v>
      </c>
    </row>
    <row r="422" spans="1:11" s="53" customFormat="1" ht="15.65" customHeight="1" x14ac:dyDescent="0.35">
      <c r="A422" s="82" t="s">
        <v>199</v>
      </c>
      <c r="B422" s="82"/>
      <c r="C422" s="87"/>
      <c r="D422" s="93"/>
      <c r="E422" s="93"/>
      <c r="F422" s="88"/>
      <c r="G422" s="85"/>
      <c r="H422" s="86"/>
      <c r="K422" s="53">
        <f t="shared" si="10"/>
        <v>0</v>
      </c>
    </row>
    <row r="423" spans="1:11" s="53" customFormat="1" x14ac:dyDescent="0.35">
      <c r="A423" s="82" t="s">
        <v>200</v>
      </c>
      <c r="B423" s="82"/>
      <c r="C423" s="26" t="s">
        <v>1058</v>
      </c>
      <c r="D423" s="66">
        <f>(71+0.6*(3+2.45+2.9)+1.2*3)*10.764</f>
        <v>856.92203999999992</v>
      </c>
      <c r="E423" s="26">
        <v>0</v>
      </c>
      <c r="F423" s="63">
        <f t="shared" ref="F423:F486" si="12">D423*1.5+E423</f>
        <v>1285.3830599999999</v>
      </c>
      <c r="G423" s="85"/>
      <c r="H423" s="86"/>
      <c r="I423" s="54">
        <f t="shared" ref="I423:I427" si="13">D423*1.5</f>
        <v>1285.3830599999999</v>
      </c>
      <c r="K423" s="53">
        <f t="shared" si="10"/>
        <v>6941068.5239999993</v>
      </c>
    </row>
    <row r="424" spans="1:11" s="53" customFormat="1" x14ac:dyDescent="0.35">
      <c r="A424" s="82" t="s">
        <v>201</v>
      </c>
      <c r="B424" s="82"/>
      <c r="C424" s="26" t="s">
        <v>1058</v>
      </c>
      <c r="D424" s="66">
        <f>(68.6+0.6*(2.9+2.45+2.9)+1.2*3)*10.764</f>
        <v>830.44259999999986</v>
      </c>
      <c r="E424" s="26">
        <v>0</v>
      </c>
      <c r="F424" s="63">
        <f t="shared" si="12"/>
        <v>1245.6638999999998</v>
      </c>
      <c r="G424" s="85"/>
      <c r="H424" s="86"/>
      <c r="I424" s="54">
        <f t="shared" si="13"/>
        <v>1245.6638999999998</v>
      </c>
      <c r="K424" s="53">
        <f t="shared" si="10"/>
        <v>6726585.0599999987</v>
      </c>
    </row>
    <row r="425" spans="1:11" s="53" customFormat="1" x14ac:dyDescent="0.35">
      <c r="A425" s="82" t="s">
        <v>202</v>
      </c>
      <c r="B425" s="82"/>
      <c r="C425" s="26" t="s">
        <v>1059</v>
      </c>
      <c r="D425" s="66">
        <f>(57.24+0.6*(2.45+2.9)+1.2*3)*10.764</f>
        <v>689.43419999999992</v>
      </c>
      <c r="E425" s="26">
        <v>0</v>
      </c>
      <c r="F425" s="63">
        <f t="shared" si="12"/>
        <v>1034.1513</v>
      </c>
      <c r="G425" s="85"/>
      <c r="H425" s="86"/>
      <c r="I425" s="54">
        <f t="shared" si="13"/>
        <v>1034.1513</v>
      </c>
      <c r="J425" s="53">
        <f>3*3.45+2.45*3.05+2.45*3.05+2.9*3.05+1.55*2.35+1.2*1.95+2.6*2.35+1.15*1.2+1.65*0.75+1.5*3</f>
        <v>53.35</v>
      </c>
      <c r="K425" s="53">
        <f t="shared" si="10"/>
        <v>5584417.0199999996</v>
      </c>
    </row>
    <row r="426" spans="1:11" s="53" customFormat="1" x14ac:dyDescent="0.35">
      <c r="A426" s="82" t="s">
        <v>203</v>
      </c>
      <c r="B426" s="82"/>
      <c r="C426" s="26" t="s">
        <v>1058</v>
      </c>
      <c r="D426" s="66">
        <f>(70.37+0.6*(2.9+2.45+2.9)+1.2*3)*10.764</f>
        <v>849.49487999999997</v>
      </c>
      <c r="E426" s="26">
        <v>0</v>
      </c>
      <c r="F426" s="63">
        <f t="shared" si="12"/>
        <v>1274.2423199999998</v>
      </c>
      <c r="G426" s="85"/>
      <c r="H426" s="86"/>
      <c r="I426" s="54">
        <f t="shared" si="13"/>
        <v>1274.2423199999998</v>
      </c>
      <c r="K426" s="53">
        <f t="shared" si="10"/>
        <v>6880908.527999999</v>
      </c>
    </row>
    <row r="427" spans="1:11" s="53" customFormat="1" x14ac:dyDescent="0.35">
      <c r="A427" s="82" t="s">
        <v>204</v>
      </c>
      <c r="B427" s="82"/>
      <c r="C427" s="26" t="s">
        <v>1058</v>
      </c>
      <c r="D427" s="66">
        <f>(64.17+0.6*(3.05+2.75+2.3)+1.2*2.9)*10.764</f>
        <v>780.49764000000005</v>
      </c>
      <c r="E427" s="26">
        <v>0</v>
      </c>
      <c r="F427" s="63">
        <f t="shared" si="12"/>
        <v>1170.7464600000001</v>
      </c>
      <c r="G427" s="87"/>
      <c r="H427" s="88"/>
      <c r="I427" s="54">
        <f t="shared" si="13"/>
        <v>1170.7464600000001</v>
      </c>
      <c r="K427" s="53">
        <f t="shared" si="10"/>
        <v>6322030.8840000005</v>
      </c>
    </row>
    <row r="428" spans="1:11" s="53" customFormat="1" x14ac:dyDescent="0.35">
      <c r="A428" s="78" t="s">
        <v>465</v>
      </c>
      <c r="B428" s="79"/>
      <c r="C428" s="79"/>
      <c r="D428" s="79"/>
      <c r="E428" s="79"/>
      <c r="F428" s="79"/>
      <c r="G428" s="79"/>
      <c r="H428" s="80"/>
      <c r="K428" s="53">
        <f>K$413*F428</f>
        <v>0</v>
      </c>
    </row>
    <row r="429" spans="1:11" s="53" customFormat="1" x14ac:dyDescent="0.35">
      <c r="A429" s="82" t="s">
        <v>466</v>
      </c>
      <c r="B429" s="82"/>
      <c r="C429" s="62" t="s">
        <v>170</v>
      </c>
      <c r="D429" s="66">
        <f>(38.18+2.9*1.2+2.55*0.8+3*0.6)*10.764</f>
        <v>489.76199999999989</v>
      </c>
      <c r="E429" s="62">
        <v>0</v>
      </c>
      <c r="F429" s="63">
        <f t="shared" si="12"/>
        <v>734.6429999999998</v>
      </c>
      <c r="G429" s="83" t="str">
        <f>A428</f>
        <v>4th Floor</v>
      </c>
      <c r="H429" s="84"/>
      <c r="K429" s="53">
        <f t="shared" si="10"/>
        <v>3967072.1999999988</v>
      </c>
    </row>
    <row r="430" spans="1:11" s="53" customFormat="1" x14ac:dyDescent="0.35">
      <c r="A430" s="82" t="s">
        <v>467</v>
      </c>
      <c r="B430" s="82"/>
      <c r="C430" s="62" t="s">
        <v>170</v>
      </c>
      <c r="D430" s="66">
        <f>(37.42+2.9*1.2+2.55*0.8+2.75*0.6)*10.764</f>
        <v>479.96675999999991</v>
      </c>
      <c r="E430" s="62">
        <v>0</v>
      </c>
      <c r="F430" s="63">
        <f t="shared" si="12"/>
        <v>719.95013999999992</v>
      </c>
      <c r="G430" s="85"/>
      <c r="H430" s="86"/>
      <c r="K430" s="53">
        <f t="shared" si="10"/>
        <v>3887730.7559999996</v>
      </c>
    </row>
    <row r="431" spans="1:11" s="53" customFormat="1" x14ac:dyDescent="0.35">
      <c r="A431" s="82" t="s">
        <v>468</v>
      </c>
      <c r="B431" s="82"/>
      <c r="C431" s="62" t="s">
        <v>170</v>
      </c>
      <c r="D431" s="66">
        <f>(37.4+2.9*1.2+2.55*0.8+2.9*0.6)*10.764</f>
        <v>480.72023999999993</v>
      </c>
      <c r="E431" s="62">
        <v>0</v>
      </c>
      <c r="F431" s="63">
        <f t="shared" si="12"/>
        <v>721.08035999999993</v>
      </c>
      <c r="G431" s="85"/>
      <c r="H431" s="86"/>
      <c r="K431" s="53">
        <f t="shared" si="10"/>
        <v>3893833.9439999997</v>
      </c>
    </row>
    <row r="432" spans="1:11" s="53" customFormat="1" ht="15.65" customHeight="1" x14ac:dyDescent="0.35">
      <c r="A432" s="82" t="s">
        <v>469</v>
      </c>
      <c r="B432" s="82"/>
      <c r="C432" s="62" t="s">
        <v>170</v>
      </c>
      <c r="D432" s="66">
        <f>(36.85+0.6*2.55+0.5*2.9+1.2*2.9)*10.764</f>
        <v>466.18883999999997</v>
      </c>
      <c r="E432" s="62">
        <v>0</v>
      </c>
      <c r="F432" s="63">
        <f t="shared" si="12"/>
        <v>699.28325999999993</v>
      </c>
      <c r="G432" s="85"/>
      <c r="H432" s="86"/>
      <c r="K432" s="53">
        <f>K$413*F432</f>
        <v>3776129.6039999998</v>
      </c>
    </row>
    <row r="433" spans="1:11" s="53" customFormat="1" ht="15.65" customHeight="1" x14ac:dyDescent="0.35">
      <c r="A433" s="82" t="s">
        <v>470</v>
      </c>
      <c r="B433" s="82"/>
      <c r="C433" s="62" t="s">
        <v>170</v>
      </c>
      <c r="D433" s="66">
        <f>(36.45+0.6*2.55+0.5*2.75+1.2*2.9)*10.764</f>
        <v>461.07594</v>
      </c>
      <c r="E433" s="62">
        <v>0</v>
      </c>
      <c r="F433" s="63">
        <f t="shared" si="12"/>
        <v>691.61391000000003</v>
      </c>
      <c r="G433" s="85"/>
      <c r="H433" s="86"/>
      <c r="K433" s="53">
        <f t="shared" si="10"/>
        <v>3734715.1140000001</v>
      </c>
    </row>
    <row r="434" spans="1:11" s="53" customFormat="1" ht="15.65" customHeight="1" x14ac:dyDescent="0.35">
      <c r="A434" s="82" t="s">
        <v>471</v>
      </c>
      <c r="B434" s="82"/>
      <c r="C434" s="62" t="s">
        <v>1059</v>
      </c>
      <c r="D434" s="66">
        <f>(61.55+0.6*(2.45+2.9)+1.2*3)*10.764</f>
        <v>735.82703999999978</v>
      </c>
      <c r="E434" s="62">
        <v>0</v>
      </c>
      <c r="F434" s="63">
        <f t="shared" si="12"/>
        <v>1103.7405599999997</v>
      </c>
      <c r="G434" s="85"/>
      <c r="H434" s="86"/>
      <c r="I434" s="53">
        <f>3.1*1.1+3*3.45+2.45*3.05+2.45*3.05+2.9*3.05+2.6*2.35+1.55*2.35+1.2*1.95+1.15*1.2+1.65*0.75+1.5*3</f>
        <v>56.76</v>
      </c>
      <c r="K434" s="53">
        <f t="shared" si="10"/>
        <v>5960199.0239999983</v>
      </c>
    </row>
    <row r="435" spans="1:11" s="53" customFormat="1" ht="15.65" customHeight="1" x14ac:dyDescent="0.35">
      <c r="A435" s="82" t="s">
        <v>472</v>
      </c>
      <c r="B435" s="82"/>
      <c r="C435" s="62" t="s">
        <v>1059</v>
      </c>
      <c r="D435" s="66">
        <f>(61.55+0.6*(2.45+2.9)+1.2*3)*10.764</f>
        <v>735.82703999999978</v>
      </c>
      <c r="E435" s="62">
        <v>0</v>
      </c>
      <c r="F435" s="63">
        <f t="shared" si="12"/>
        <v>1103.7405599999997</v>
      </c>
      <c r="G435" s="85"/>
      <c r="H435" s="86"/>
      <c r="K435" s="53">
        <f t="shared" si="10"/>
        <v>5960199.0239999983</v>
      </c>
    </row>
    <row r="436" spans="1:11" s="53" customFormat="1" ht="15.65" customHeight="1" x14ac:dyDescent="0.35">
      <c r="A436" s="82" t="s">
        <v>474</v>
      </c>
      <c r="B436" s="82"/>
      <c r="C436" s="62" t="s">
        <v>170</v>
      </c>
      <c r="D436" s="66">
        <f>(35.58+0.6*2.9+1.2*2.75)*10.764</f>
        <v>437.23367999999994</v>
      </c>
      <c r="E436" s="62">
        <v>0</v>
      </c>
      <c r="F436" s="63">
        <f t="shared" si="12"/>
        <v>655.85051999999996</v>
      </c>
      <c r="G436" s="85"/>
      <c r="H436" s="86"/>
      <c r="K436" s="53">
        <f t="shared" si="10"/>
        <v>3541592.8079999997</v>
      </c>
    </row>
    <row r="437" spans="1:11" s="53" customFormat="1" x14ac:dyDescent="0.35">
      <c r="A437" s="82" t="s">
        <v>475</v>
      </c>
      <c r="B437" s="82"/>
      <c r="C437" s="62" t="s">
        <v>486</v>
      </c>
      <c r="D437" s="66">
        <f>(28.03+0.6*2.9+1.2*2.75)*10.764</f>
        <v>355.96547999999996</v>
      </c>
      <c r="E437" s="62">
        <v>0</v>
      </c>
      <c r="F437" s="63">
        <f t="shared" si="12"/>
        <v>533.94821999999999</v>
      </c>
      <c r="G437" s="85"/>
      <c r="H437" s="86"/>
      <c r="I437" s="54"/>
      <c r="K437" s="53">
        <f t="shared" si="10"/>
        <v>2883320.3879999998</v>
      </c>
    </row>
    <row r="438" spans="1:11" s="53" customFormat="1" x14ac:dyDescent="0.35">
      <c r="A438" s="82" t="s">
        <v>476</v>
      </c>
      <c r="B438" s="82"/>
      <c r="C438" s="62" t="s">
        <v>170</v>
      </c>
      <c r="D438" s="66">
        <f>(36.89+0.6*2.9+1.2*2.5)*10.764</f>
        <v>448.10532000000001</v>
      </c>
      <c r="E438" s="62">
        <v>0</v>
      </c>
      <c r="F438" s="63">
        <f t="shared" si="12"/>
        <v>672.15797999999995</v>
      </c>
      <c r="G438" s="85"/>
      <c r="H438" s="86"/>
      <c r="I438" s="54"/>
      <c r="K438" s="53">
        <f t="shared" si="10"/>
        <v>3629653.0919999997</v>
      </c>
    </row>
    <row r="439" spans="1:11" s="53" customFormat="1" x14ac:dyDescent="0.35">
      <c r="A439" s="82" t="s">
        <v>477</v>
      </c>
      <c r="B439" s="82"/>
      <c r="C439" s="62" t="s">
        <v>486</v>
      </c>
      <c r="D439" s="66">
        <f>(24.52+0.6*3+1.2*3)*10.764</f>
        <v>322.05887999999999</v>
      </c>
      <c r="E439" s="62">
        <v>0</v>
      </c>
      <c r="F439" s="63">
        <f t="shared" si="12"/>
        <v>483.08831999999995</v>
      </c>
      <c r="G439" s="85"/>
      <c r="H439" s="86"/>
      <c r="I439" s="54"/>
    </row>
    <row r="440" spans="1:11" s="53" customFormat="1" ht="15.65" customHeight="1" x14ac:dyDescent="0.35">
      <c r="A440" s="82" t="s">
        <v>478</v>
      </c>
      <c r="B440" s="82"/>
      <c r="C440" s="62" t="s">
        <v>486</v>
      </c>
      <c r="D440" s="66">
        <f>(24.52+0.6*3+1.2*3)*10.764</f>
        <v>322.05887999999999</v>
      </c>
      <c r="E440" s="62">
        <v>0</v>
      </c>
      <c r="F440" s="63">
        <f t="shared" si="12"/>
        <v>483.08831999999995</v>
      </c>
      <c r="G440" s="85"/>
      <c r="H440" s="86"/>
    </row>
    <row r="441" spans="1:11" s="53" customFormat="1" ht="15.65" customHeight="1" x14ac:dyDescent="0.35">
      <c r="A441" s="82" t="s">
        <v>479</v>
      </c>
      <c r="B441" s="82"/>
      <c r="C441" s="62" t="s">
        <v>170</v>
      </c>
      <c r="D441" s="66">
        <f>(36.82+0.6*2.9+1.2*2.5)*10.764</f>
        <v>447.35183999999998</v>
      </c>
      <c r="E441" s="62">
        <v>0</v>
      </c>
      <c r="F441" s="63">
        <f t="shared" si="12"/>
        <v>671.02775999999994</v>
      </c>
      <c r="G441" s="85"/>
      <c r="H441" s="86"/>
    </row>
    <row r="442" spans="1:11" s="53" customFormat="1" ht="15.65" customHeight="1" x14ac:dyDescent="0.35">
      <c r="A442" s="82" t="s">
        <v>480</v>
      </c>
      <c r="B442" s="82"/>
      <c r="C442" s="62" t="s">
        <v>486</v>
      </c>
      <c r="D442" s="66">
        <f>(24.41+0.6*2.9+1.2*2.75)*10.764</f>
        <v>316.99979999999999</v>
      </c>
      <c r="E442" s="62">
        <v>0</v>
      </c>
      <c r="F442" s="63">
        <f t="shared" si="12"/>
        <v>475.49969999999996</v>
      </c>
      <c r="G442" s="85"/>
      <c r="H442" s="86"/>
    </row>
    <row r="443" spans="1:11" s="53" customFormat="1" ht="15.65" customHeight="1" x14ac:dyDescent="0.35">
      <c r="A443" s="82" t="s">
        <v>481</v>
      </c>
      <c r="B443" s="82"/>
      <c r="C443" s="62" t="s">
        <v>170</v>
      </c>
      <c r="D443" s="66">
        <f>(35.41+0.6*2.9+1.2*2.78)*10.764</f>
        <v>435.79130399999997</v>
      </c>
      <c r="E443" s="62">
        <v>0</v>
      </c>
      <c r="F443" s="63">
        <f t="shared" si="12"/>
        <v>653.68695600000001</v>
      </c>
      <c r="G443" s="85"/>
      <c r="H443" s="86"/>
    </row>
    <row r="444" spans="1:11" s="53" customFormat="1" ht="15.65" customHeight="1" x14ac:dyDescent="0.35">
      <c r="A444" s="82" t="s">
        <v>473</v>
      </c>
      <c r="B444" s="82"/>
      <c r="C444" s="62" t="s">
        <v>1059</v>
      </c>
      <c r="D444" s="66">
        <f>(61.19+0.6*(2.45+2.9)+1.2*3)*10.764</f>
        <v>731.95199999999977</v>
      </c>
      <c r="E444" s="62">
        <v>0</v>
      </c>
      <c r="F444" s="63">
        <f t="shared" si="12"/>
        <v>1097.9279999999997</v>
      </c>
      <c r="G444" s="85"/>
      <c r="H444" s="86"/>
    </row>
    <row r="445" spans="1:11" s="53" customFormat="1" ht="15.65" customHeight="1" x14ac:dyDescent="0.35">
      <c r="A445" s="82" t="s">
        <v>482</v>
      </c>
      <c r="B445" s="82"/>
      <c r="C445" s="62" t="s">
        <v>170</v>
      </c>
      <c r="D445" s="66">
        <f>(39.34+0.6*(2.75+2.9))*10.764</f>
        <v>459.94571999999999</v>
      </c>
      <c r="E445" s="62">
        <v>0</v>
      </c>
      <c r="F445" s="63">
        <f t="shared" si="12"/>
        <v>689.91858000000002</v>
      </c>
      <c r="G445" s="85"/>
      <c r="H445" s="86"/>
    </row>
    <row r="446" spans="1:11" s="53" customFormat="1" ht="15.65" customHeight="1" x14ac:dyDescent="0.35">
      <c r="A446" s="82" t="s">
        <v>483</v>
      </c>
      <c r="B446" s="82"/>
      <c r="C446" s="62" t="s">
        <v>486</v>
      </c>
      <c r="D446" s="66">
        <f>(23.23+0.6*2.9+1.2*2.75)*10.764</f>
        <v>304.29827999999998</v>
      </c>
      <c r="E446" s="62">
        <v>0</v>
      </c>
      <c r="F446" s="63">
        <f t="shared" si="12"/>
        <v>456.44741999999997</v>
      </c>
      <c r="G446" s="85"/>
      <c r="H446" s="86"/>
    </row>
    <row r="447" spans="1:11" s="53" customFormat="1" ht="15.65" customHeight="1" x14ac:dyDescent="0.35">
      <c r="A447" s="82" t="s">
        <v>484</v>
      </c>
      <c r="B447" s="82"/>
      <c r="C447" s="62" t="s">
        <v>170</v>
      </c>
      <c r="D447" s="66">
        <f>(28.68+0.6*3.05+1.2*2.9)*10.764</f>
        <v>365.86835999999994</v>
      </c>
      <c r="E447" s="62">
        <v>0</v>
      </c>
      <c r="F447" s="63">
        <f t="shared" si="12"/>
        <v>548.80253999999991</v>
      </c>
      <c r="G447" s="85"/>
      <c r="H447" s="86"/>
    </row>
    <row r="448" spans="1:11" s="53" customFormat="1" ht="15.65" customHeight="1" x14ac:dyDescent="0.35">
      <c r="A448" s="82" t="s">
        <v>485</v>
      </c>
      <c r="B448" s="82"/>
      <c r="C448" s="62" t="s">
        <v>486</v>
      </c>
      <c r="D448" s="66">
        <f>(25.47+0.6*(2.9+2.35))*10.764</f>
        <v>308.06567999999993</v>
      </c>
      <c r="E448" s="62">
        <v>0</v>
      </c>
      <c r="F448" s="63">
        <f t="shared" si="12"/>
        <v>462.09851999999989</v>
      </c>
      <c r="G448" s="87"/>
      <c r="H448" s="88"/>
    </row>
    <row r="449" spans="1:9" s="53" customFormat="1" x14ac:dyDescent="0.35">
      <c r="A449" s="78" t="s">
        <v>516</v>
      </c>
      <c r="B449" s="79"/>
      <c r="C449" s="79"/>
      <c r="D449" s="79"/>
      <c r="E449" s="79"/>
      <c r="F449" s="79"/>
      <c r="G449" s="79"/>
      <c r="H449" s="80"/>
    </row>
    <row r="450" spans="1:9" s="53" customFormat="1" x14ac:dyDescent="0.35">
      <c r="A450" s="82" t="s">
        <v>517</v>
      </c>
      <c r="B450" s="82"/>
      <c r="C450" s="62" t="s">
        <v>170</v>
      </c>
      <c r="D450" s="66">
        <f>(38.18+2.9*1.2+2.55*0.8+3*0.6)*10.764</f>
        <v>489.76199999999989</v>
      </c>
      <c r="E450" s="62">
        <v>0</v>
      </c>
      <c r="F450" s="63">
        <f t="shared" si="12"/>
        <v>734.6429999999998</v>
      </c>
      <c r="G450" s="83" t="str">
        <f>A449</f>
        <v>5th Floor</v>
      </c>
      <c r="H450" s="84"/>
    </row>
    <row r="451" spans="1:9" s="53" customFormat="1" x14ac:dyDescent="0.35">
      <c r="A451" s="82" t="s">
        <v>518</v>
      </c>
      <c r="B451" s="82"/>
      <c r="C451" s="62" t="s">
        <v>170</v>
      </c>
      <c r="D451" s="66">
        <f>(37.42+2.9*1.2+2.55*0.8+2.75*0.6)*10.764</f>
        <v>479.96675999999991</v>
      </c>
      <c r="E451" s="62">
        <v>0</v>
      </c>
      <c r="F451" s="63">
        <f t="shared" si="12"/>
        <v>719.95013999999992</v>
      </c>
      <c r="G451" s="85"/>
      <c r="H451" s="86"/>
    </row>
    <row r="452" spans="1:9" s="53" customFormat="1" x14ac:dyDescent="0.35">
      <c r="A452" s="82" t="s">
        <v>519</v>
      </c>
      <c r="B452" s="82"/>
      <c r="C452" s="62" t="s">
        <v>170</v>
      </c>
      <c r="D452" s="66">
        <f>(37.4+2.9*1.2+2.55*0.8+2.9*0.6)*10.764</f>
        <v>480.72023999999993</v>
      </c>
      <c r="E452" s="62">
        <v>0</v>
      </c>
      <c r="F452" s="63">
        <f t="shared" si="12"/>
        <v>721.08035999999993</v>
      </c>
      <c r="G452" s="85"/>
      <c r="H452" s="86"/>
    </row>
    <row r="453" spans="1:9" s="53" customFormat="1" ht="15.65" customHeight="1" x14ac:dyDescent="0.35">
      <c r="A453" s="82" t="s">
        <v>520</v>
      </c>
      <c r="B453" s="82"/>
      <c r="C453" s="62" t="s">
        <v>170</v>
      </c>
      <c r="D453" s="66">
        <f>(36.85+0.6*2.55+0.5*2.9+1.2*2.9)*10.764</f>
        <v>466.18883999999997</v>
      </c>
      <c r="E453" s="62">
        <v>0</v>
      </c>
      <c r="F453" s="63">
        <f t="shared" si="12"/>
        <v>699.28325999999993</v>
      </c>
      <c r="G453" s="85"/>
      <c r="H453" s="86"/>
    </row>
    <row r="454" spans="1:9" s="53" customFormat="1" ht="15.65" customHeight="1" x14ac:dyDescent="0.35">
      <c r="A454" s="82" t="s">
        <v>521</v>
      </c>
      <c r="B454" s="82"/>
      <c r="C454" s="62" t="s">
        <v>170</v>
      </c>
      <c r="D454" s="66">
        <f>(36.45+0.6*2.55+0.5*2.75+1.2*2.9)*10.764</f>
        <v>461.07594</v>
      </c>
      <c r="E454" s="62">
        <v>0</v>
      </c>
      <c r="F454" s="63">
        <f t="shared" si="12"/>
        <v>691.61391000000003</v>
      </c>
      <c r="G454" s="85"/>
      <c r="H454" s="86"/>
    </row>
    <row r="455" spans="1:9" s="53" customFormat="1" ht="15.65" customHeight="1" x14ac:dyDescent="0.35">
      <c r="A455" s="82" t="s">
        <v>522</v>
      </c>
      <c r="B455" s="82"/>
      <c r="C455" s="62" t="s">
        <v>1059</v>
      </c>
      <c r="D455" s="66">
        <f>(56.87+0.6*(2.45+2.9)+1.2*3)*10.764</f>
        <v>685.45151999999996</v>
      </c>
      <c r="E455" s="62">
        <v>0</v>
      </c>
      <c r="F455" s="63">
        <f t="shared" si="12"/>
        <v>1028.1772799999999</v>
      </c>
      <c r="G455" s="85"/>
      <c r="H455" s="86"/>
      <c r="I455" s="53">
        <f>3*3.45+2.45*3.05+2.45*3.05+2.9*3.05+2.6*2.35+1.55*2.35+1.2*1.95+1.15*1.2+1.65*0.75+1.5*3</f>
        <v>53.35</v>
      </c>
    </row>
    <row r="456" spans="1:9" s="53" customFormat="1" ht="15.65" customHeight="1" x14ac:dyDescent="0.35">
      <c r="A456" s="82" t="s">
        <v>523</v>
      </c>
      <c r="B456" s="82"/>
      <c r="C456" s="68" t="s">
        <v>1059</v>
      </c>
      <c r="D456" s="66">
        <f>(56.87+0.6*(2.45+2.9)+1.2*3)*10.764</f>
        <v>685.45151999999996</v>
      </c>
      <c r="E456" s="62">
        <v>0</v>
      </c>
      <c r="F456" s="63">
        <f t="shared" si="12"/>
        <v>1028.1772799999999</v>
      </c>
      <c r="G456" s="85"/>
      <c r="H456" s="86"/>
    </row>
    <row r="457" spans="1:9" s="53" customFormat="1" ht="15.65" customHeight="1" x14ac:dyDescent="0.35">
      <c r="A457" s="82" t="s">
        <v>524</v>
      </c>
      <c r="B457" s="82"/>
      <c r="C457" s="62" t="s">
        <v>1058</v>
      </c>
      <c r="D457" s="66">
        <f>(72.17+0.6*(2.9+2.45+2.9)+1.2*3)*10.764</f>
        <v>868.87007999999992</v>
      </c>
      <c r="E457" s="62">
        <v>0</v>
      </c>
      <c r="F457" s="63">
        <f t="shared" si="12"/>
        <v>1303.30512</v>
      </c>
      <c r="G457" s="85"/>
      <c r="H457" s="86"/>
    </row>
    <row r="458" spans="1:9" s="53" customFormat="1" x14ac:dyDescent="0.35">
      <c r="A458" s="82" t="s">
        <v>525</v>
      </c>
      <c r="B458" s="82"/>
      <c r="C458" s="68" t="s">
        <v>1058</v>
      </c>
      <c r="D458" s="66">
        <f>(70.74+0.6*(3+2.45+2.9)+1.2*3)*10.764</f>
        <v>854.12339999999983</v>
      </c>
      <c r="E458" s="62">
        <v>0</v>
      </c>
      <c r="F458" s="63">
        <f t="shared" si="12"/>
        <v>1281.1850999999997</v>
      </c>
      <c r="G458" s="85"/>
      <c r="H458" s="86"/>
      <c r="I458" s="54"/>
    </row>
    <row r="459" spans="1:9" s="53" customFormat="1" x14ac:dyDescent="0.35">
      <c r="A459" s="82" t="s">
        <v>526</v>
      </c>
      <c r="B459" s="82"/>
      <c r="C459" s="68" t="s">
        <v>1058</v>
      </c>
      <c r="D459" s="66">
        <f>(71+0.6*(3+2.45+2.9)+1.2*3)*10.764</f>
        <v>856.92203999999992</v>
      </c>
      <c r="E459" s="62">
        <v>0</v>
      </c>
      <c r="F459" s="63">
        <f t="shared" si="12"/>
        <v>1285.3830599999999</v>
      </c>
      <c r="G459" s="85"/>
      <c r="H459" s="86"/>
      <c r="I459" s="54"/>
    </row>
    <row r="460" spans="1:9" s="53" customFormat="1" x14ac:dyDescent="0.35">
      <c r="A460" s="82" t="s">
        <v>527</v>
      </c>
      <c r="B460" s="82"/>
      <c r="C460" s="68" t="s">
        <v>1058</v>
      </c>
      <c r="D460" s="66">
        <f>(68.6+0.6*(2.9+2.45+2.9)+1.2*3)*10.764</f>
        <v>830.44259999999986</v>
      </c>
      <c r="E460" s="62">
        <v>0</v>
      </c>
      <c r="F460" s="63">
        <f t="shared" si="12"/>
        <v>1245.6638999999998</v>
      </c>
      <c r="G460" s="85"/>
      <c r="H460" s="86"/>
      <c r="I460" s="54"/>
    </row>
    <row r="461" spans="1:9" s="53" customFormat="1" ht="15.65" customHeight="1" x14ac:dyDescent="0.35">
      <c r="A461" s="82" t="s">
        <v>528</v>
      </c>
      <c r="B461" s="82"/>
      <c r="C461" s="62" t="s">
        <v>171</v>
      </c>
      <c r="D461" s="66">
        <f>(57.24+0.6*(2.45+2.9)+1.2*3)*10.764</f>
        <v>689.43419999999992</v>
      </c>
      <c r="E461" s="62">
        <v>0</v>
      </c>
      <c r="F461" s="63">
        <f t="shared" si="12"/>
        <v>1034.1513</v>
      </c>
      <c r="G461" s="85"/>
      <c r="H461" s="86"/>
      <c r="I461" s="53">
        <f>3*3.45+2.45*3.05+2.45*3.05+2.9*3.05+2.6*2.35+1.55*2.35+1.2*1.95+1.15*1.2+1.65*0.75+1.5*3</f>
        <v>53.35</v>
      </c>
    </row>
    <row r="462" spans="1:9" s="53" customFormat="1" ht="15.65" customHeight="1" x14ac:dyDescent="0.35">
      <c r="A462" s="82" t="s">
        <v>529</v>
      </c>
      <c r="B462" s="82"/>
      <c r="C462" s="68" t="s">
        <v>1058</v>
      </c>
      <c r="D462" s="66">
        <f>(70.37+0.6*(2.9+2.45+2.9)+1.2*3)*10.764</f>
        <v>849.49487999999997</v>
      </c>
      <c r="E462" s="62">
        <v>0</v>
      </c>
      <c r="F462" s="63">
        <f t="shared" si="12"/>
        <v>1274.2423199999998</v>
      </c>
      <c r="G462" s="85"/>
      <c r="H462" s="86"/>
    </row>
    <row r="463" spans="1:9" s="53" customFormat="1" ht="15.65" customHeight="1" x14ac:dyDescent="0.35">
      <c r="A463" s="82" t="s">
        <v>530</v>
      </c>
      <c r="B463" s="82"/>
      <c r="C463" s="68" t="s">
        <v>1058</v>
      </c>
      <c r="D463" s="66">
        <f>(64.17+0.6*(3.05+2.3+2.75)+1.2*2.9)*10.764</f>
        <v>780.49764000000005</v>
      </c>
      <c r="E463" s="62">
        <v>0</v>
      </c>
      <c r="F463" s="63">
        <f t="shared" si="12"/>
        <v>1170.7464600000001</v>
      </c>
      <c r="G463" s="85"/>
      <c r="H463" s="86"/>
    </row>
    <row r="464" spans="1:9" s="53" customFormat="1" ht="14.5" customHeight="1" x14ac:dyDescent="0.35">
      <c r="A464" s="78" t="s">
        <v>554</v>
      </c>
      <c r="B464" s="79"/>
      <c r="C464" s="79"/>
      <c r="D464" s="79"/>
      <c r="E464" s="79"/>
      <c r="F464" s="79"/>
      <c r="G464" s="79"/>
      <c r="H464" s="80"/>
    </row>
    <row r="465" spans="1:9" s="53" customFormat="1" x14ac:dyDescent="0.35">
      <c r="A465" s="82" t="s">
        <v>555</v>
      </c>
      <c r="B465" s="82"/>
      <c r="C465" s="63" t="s">
        <v>170</v>
      </c>
      <c r="D465" s="66">
        <f>(38.18+2.9*1.2+2.55*0.8+3*0.6)*10.764</f>
        <v>489.76199999999989</v>
      </c>
      <c r="E465" s="63">
        <v>0</v>
      </c>
      <c r="F465" s="63">
        <f t="shared" si="12"/>
        <v>734.6429999999998</v>
      </c>
      <c r="G465" s="83" t="str">
        <f>A464</f>
        <v>6th Floor</v>
      </c>
      <c r="H465" s="84"/>
    </row>
    <row r="466" spans="1:9" s="53" customFormat="1" x14ac:dyDescent="0.35">
      <c r="A466" s="82" t="s">
        <v>556</v>
      </c>
      <c r="B466" s="82"/>
      <c r="C466" s="63" t="s">
        <v>170</v>
      </c>
      <c r="D466" s="66">
        <f>(37.42+2.9*1.2+2.55*0.8+2.75*0.6)*10.764</f>
        <v>479.96675999999991</v>
      </c>
      <c r="E466" s="63">
        <v>0</v>
      </c>
      <c r="F466" s="63">
        <f t="shared" si="12"/>
        <v>719.95013999999992</v>
      </c>
      <c r="G466" s="85"/>
      <c r="H466" s="86"/>
    </row>
    <row r="467" spans="1:9" s="53" customFormat="1" x14ac:dyDescent="0.35">
      <c r="A467" s="82" t="s">
        <v>557</v>
      </c>
      <c r="B467" s="82"/>
      <c r="C467" s="63" t="s">
        <v>170</v>
      </c>
      <c r="D467" s="66">
        <f>(37.4+2.9*1.2+2.55*0.8+2.9*0.6)*10.764</f>
        <v>480.72023999999993</v>
      </c>
      <c r="E467" s="63">
        <v>0</v>
      </c>
      <c r="F467" s="63">
        <f t="shared" si="12"/>
        <v>721.08035999999993</v>
      </c>
      <c r="G467" s="85"/>
      <c r="H467" s="86"/>
    </row>
    <row r="468" spans="1:9" s="53" customFormat="1" ht="15.65" customHeight="1" x14ac:dyDescent="0.35">
      <c r="A468" s="82" t="s">
        <v>558</v>
      </c>
      <c r="B468" s="82"/>
      <c r="C468" s="63" t="s">
        <v>170</v>
      </c>
      <c r="D468" s="66">
        <f>(36.85+0.6*2.55+0.5*2.9+1.2*2.9)*10.764</f>
        <v>466.18883999999997</v>
      </c>
      <c r="E468" s="63">
        <v>0</v>
      </c>
      <c r="F468" s="63">
        <f t="shared" si="12"/>
        <v>699.28325999999993</v>
      </c>
      <c r="G468" s="85"/>
      <c r="H468" s="86"/>
    </row>
    <row r="469" spans="1:9" s="53" customFormat="1" ht="15.65" customHeight="1" x14ac:dyDescent="0.35">
      <c r="A469" s="82" t="s">
        <v>559</v>
      </c>
      <c r="B469" s="82"/>
      <c r="C469" s="63" t="s">
        <v>170</v>
      </c>
      <c r="D469" s="66">
        <f>(36.45+0.6*2.55+0.5*2.75+1.2*2.9)*10.764</f>
        <v>461.07594</v>
      </c>
      <c r="E469" s="63">
        <v>0</v>
      </c>
      <c r="F469" s="63">
        <f t="shared" si="12"/>
        <v>691.61391000000003</v>
      </c>
      <c r="G469" s="85"/>
      <c r="H469" s="86"/>
    </row>
    <row r="470" spans="1:9" s="53" customFormat="1" ht="15.65" customHeight="1" x14ac:dyDescent="0.35">
      <c r="A470" s="82" t="s">
        <v>560</v>
      </c>
      <c r="B470" s="82"/>
      <c r="C470" s="63" t="s">
        <v>1059</v>
      </c>
      <c r="D470" s="66">
        <f>(61.55+0.6*(2.45+2.9)+1.2*3)*10.764</f>
        <v>735.82703999999978</v>
      </c>
      <c r="E470" s="63">
        <v>0</v>
      </c>
      <c r="F470" s="63">
        <f t="shared" si="12"/>
        <v>1103.7405599999997</v>
      </c>
      <c r="G470" s="85"/>
      <c r="H470" s="86"/>
    </row>
    <row r="471" spans="1:9" s="53" customFormat="1" ht="15.65" customHeight="1" x14ac:dyDescent="0.35">
      <c r="A471" s="82" t="s">
        <v>561</v>
      </c>
      <c r="B471" s="82"/>
      <c r="C471" s="63" t="s">
        <v>1059</v>
      </c>
      <c r="D471" s="66">
        <f>(61.55+0.6*(2.45+2.9)+1.2*3)*10.764</f>
        <v>735.82703999999978</v>
      </c>
      <c r="E471" s="63">
        <v>0</v>
      </c>
      <c r="F471" s="63">
        <f t="shared" si="12"/>
        <v>1103.7405599999997</v>
      </c>
      <c r="G471" s="85"/>
      <c r="H471" s="86"/>
    </row>
    <row r="472" spans="1:9" s="53" customFormat="1" ht="15.65" customHeight="1" x14ac:dyDescent="0.35">
      <c r="A472" s="82" t="s">
        <v>562</v>
      </c>
      <c r="B472" s="82"/>
      <c r="C472" s="63" t="s">
        <v>170</v>
      </c>
      <c r="D472" s="66">
        <f>(35.58+0.6*2.9+1.2*2.75)*10.764</f>
        <v>437.23367999999994</v>
      </c>
      <c r="E472" s="63">
        <v>0</v>
      </c>
      <c r="F472" s="63">
        <f t="shared" si="12"/>
        <v>655.85051999999996</v>
      </c>
      <c r="G472" s="85"/>
      <c r="H472" s="86"/>
    </row>
    <row r="473" spans="1:9" s="53" customFormat="1" x14ac:dyDescent="0.35">
      <c r="A473" s="82" t="s">
        <v>563</v>
      </c>
      <c r="B473" s="82"/>
      <c r="C473" s="63" t="s">
        <v>486</v>
      </c>
      <c r="D473" s="66">
        <f>(28.03+0.6*2.9+1.2*2.75)*10.764</f>
        <v>355.96547999999996</v>
      </c>
      <c r="E473" s="63">
        <v>0</v>
      </c>
      <c r="F473" s="63">
        <f t="shared" si="12"/>
        <v>533.94821999999999</v>
      </c>
      <c r="G473" s="85"/>
      <c r="H473" s="86"/>
      <c r="I473" s="54"/>
    </row>
    <row r="474" spans="1:9" s="53" customFormat="1" x14ac:dyDescent="0.35">
      <c r="A474" s="82" t="s">
        <v>564</v>
      </c>
      <c r="B474" s="82"/>
      <c r="C474" s="68" t="s">
        <v>1059</v>
      </c>
      <c r="D474" s="66">
        <f>(61.98+0.6*(2.45+2.9)+1.2*3)*10.764</f>
        <v>740.45555999999988</v>
      </c>
      <c r="E474" s="63">
        <v>0</v>
      </c>
      <c r="F474" s="63">
        <f t="shared" si="12"/>
        <v>1110.6833399999998</v>
      </c>
      <c r="G474" s="85"/>
      <c r="H474" s="86"/>
      <c r="I474" s="54"/>
    </row>
    <row r="475" spans="1:9" s="53" customFormat="1" ht="15.65" customHeight="1" x14ac:dyDescent="0.35">
      <c r="A475" s="82" t="s">
        <v>565</v>
      </c>
      <c r="B475" s="82"/>
      <c r="C475" s="63" t="s">
        <v>486</v>
      </c>
      <c r="D475" s="66">
        <f>(24.52+0.6*3+1.2*3)*10.764</f>
        <v>322.05887999999999</v>
      </c>
      <c r="E475" s="63">
        <v>0</v>
      </c>
      <c r="F475" s="63">
        <f t="shared" si="12"/>
        <v>483.08831999999995</v>
      </c>
      <c r="G475" s="85"/>
      <c r="H475" s="86"/>
    </row>
    <row r="476" spans="1:9" s="53" customFormat="1" ht="15.65" customHeight="1" x14ac:dyDescent="0.35">
      <c r="A476" s="82" t="s">
        <v>566</v>
      </c>
      <c r="B476" s="82"/>
      <c r="C476" s="63" t="s">
        <v>170</v>
      </c>
      <c r="D476" s="66">
        <f>(36.82+0.6*2.9+1.2*2.5)*10.764</f>
        <v>447.35183999999998</v>
      </c>
      <c r="E476" s="63">
        <v>0</v>
      </c>
      <c r="F476" s="63">
        <f t="shared" si="12"/>
        <v>671.02775999999994</v>
      </c>
      <c r="G476" s="85"/>
      <c r="H476" s="86"/>
    </row>
    <row r="477" spans="1:9" s="53" customFormat="1" ht="15.65" customHeight="1" x14ac:dyDescent="0.35">
      <c r="A477" s="82" t="s">
        <v>567</v>
      </c>
      <c r="B477" s="82"/>
      <c r="C477" s="63" t="s">
        <v>486</v>
      </c>
      <c r="D477" s="66">
        <f>(24.41+0.6*2.9+1.2*2.75)*10.764</f>
        <v>316.99979999999999</v>
      </c>
      <c r="E477" s="63">
        <v>0</v>
      </c>
      <c r="F477" s="63">
        <f t="shared" si="12"/>
        <v>475.49969999999996</v>
      </c>
      <c r="G477" s="85"/>
      <c r="H477" s="86"/>
    </row>
    <row r="478" spans="1:9" s="53" customFormat="1" ht="15.65" customHeight="1" x14ac:dyDescent="0.35">
      <c r="A478" s="82" t="s">
        <v>568</v>
      </c>
      <c r="B478" s="82"/>
      <c r="C478" s="63" t="s">
        <v>170</v>
      </c>
      <c r="D478" s="66">
        <f>(35.41+0.6*2.9+1.2*2.78)*10.764</f>
        <v>435.79130399999997</v>
      </c>
      <c r="E478" s="63">
        <v>0</v>
      </c>
      <c r="F478" s="63">
        <f t="shared" si="12"/>
        <v>653.68695600000001</v>
      </c>
      <c r="G478" s="85"/>
      <c r="H478" s="86"/>
    </row>
    <row r="479" spans="1:9" s="53" customFormat="1" ht="15.65" customHeight="1" x14ac:dyDescent="0.35">
      <c r="A479" s="82" t="s">
        <v>569</v>
      </c>
      <c r="B479" s="82"/>
      <c r="C479" s="68" t="s">
        <v>1059</v>
      </c>
      <c r="D479" s="66">
        <f>(61.19+0.6*(2.45+2.9)+1.2*3)*10.764</f>
        <v>731.95199999999977</v>
      </c>
      <c r="E479" s="63">
        <v>0</v>
      </c>
      <c r="F479" s="63">
        <f t="shared" si="12"/>
        <v>1097.9279999999997</v>
      </c>
      <c r="G479" s="85"/>
      <c r="H479" s="86"/>
    </row>
    <row r="480" spans="1:9" s="53" customFormat="1" ht="15.65" customHeight="1" x14ac:dyDescent="0.35">
      <c r="A480" s="82" t="s">
        <v>570</v>
      </c>
      <c r="B480" s="82"/>
      <c r="C480" s="63" t="s">
        <v>170</v>
      </c>
      <c r="D480" s="66">
        <f>(39.34+0.6*(2.75+2.9))*10.764</f>
        <v>459.94571999999999</v>
      </c>
      <c r="E480" s="63">
        <v>0</v>
      </c>
      <c r="F480" s="63">
        <f t="shared" si="12"/>
        <v>689.91858000000002</v>
      </c>
      <c r="G480" s="85"/>
      <c r="H480" s="86"/>
    </row>
    <row r="481" spans="1:9" s="53" customFormat="1" ht="15.65" customHeight="1" x14ac:dyDescent="0.35">
      <c r="A481" s="82" t="s">
        <v>571</v>
      </c>
      <c r="B481" s="82"/>
      <c r="C481" s="63" t="s">
        <v>486</v>
      </c>
      <c r="D481" s="66">
        <f>(23.23+0.6*2.9+1.2*2.75)*10.764</f>
        <v>304.29827999999998</v>
      </c>
      <c r="E481" s="63">
        <v>0</v>
      </c>
      <c r="F481" s="63">
        <f t="shared" si="12"/>
        <v>456.44741999999997</v>
      </c>
      <c r="G481" s="85"/>
      <c r="H481" s="86"/>
    </row>
    <row r="482" spans="1:9" s="53" customFormat="1" ht="15.65" customHeight="1" x14ac:dyDescent="0.35">
      <c r="A482" s="82" t="s">
        <v>572</v>
      </c>
      <c r="B482" s="82"/>
      <c r="C482" s="63" t="s">
        <v>170</v>
      </c>
      <c r="D482" s="66">
        <f>(28.68+0.6*3.05+1.2*2.9)*10.764</f>
        <v>365.86835999999994</v>
      </c>
      <c r="E482" s="63">
        <v>0</v>
      </c>
      <c r="F482" s="63">
        <f t="shared" si="12"/>
        <v>548.80253999999991</v>
      </c>
      <c r="G482" s="85"/>
      <c r="H482" s="86"/>
    </row>
    <row r="483" spans="1:9" s="53" customFormat="1" ht="15.65" customHeight="1" x14ac:dyDescent="0.35">
      <c r="A483" s="82" t="s">
        <v>573</v>
      </c>
      <c r="B483" s="82"/>
      <c r="C483" s="63" t="s">
        <v>486</v>
      </c>
      <c r="D483" s="66">
        <f>(25.47+0.6*(2.9+2.35))*10.764</f>
        <v>308.06567999999993</v>
      </c>
      <c r="E483" s="63">
        <v>0</v>
      </c>
      <c r="F483" s="63">
        <f t="shared" si="12"/>
        <v>462.09851999999989</v>
      </c>
      <c r="G483" s="87"/>
      <c r="H483" s="88"/>
    </row>
    <row r="484" spans="1:9" s="53" customFormat="1" x14ac:dyDescent="0.35">
      <c r="A484" s="78" t="s">
        <v>602</v>
      </c>
      <c r="B484" s="79"/>
      <c r="C484" s="79"/>
      <c r="D484" s="79"/>
      <c r="E484" s="79"/>
      <c r="F484" s="79"/>
      <c r="G484" s="79"/>
      <c r="H484" s="80"/>
    </row>
    <row r="485" spans="1:9" s="53" customFormat="1" x14ac:dyDescent="0.35">
      <c r="A485" s="82" t="s">
        <v>603</v>
      </c>
      <c r="B485" s="82"/>
      <c r="C485" s="63" t="s">
        <v>170</v>
      </c>
      <c r="D485" s="66">
        <f>(38.18+2.9*1.2+2.55*0.8+3*0.6)*10.764</f>
        <v>489.76199999999989</v>
      </c>
      <c r="E485" s="63">
        <v>0</v>
      </c>
      <c r="F485" s="63">
        <f t="shared" si="12"/>
        <v>734.6429999999998</v>
      </c>
      <c r="G485" s="83" t="str">
        <f>A484</f>
        <v>7th Floor</v>
      </c>
      <c r="H485" s="84"/>
    </row>
    <row r="486" spans="1:9" s="53" customFormat="1" x14ac:dyDescent="0.35">
      <c r="A486" s="82" t="s">
        <v>604</v>
      </c>
      <c r="B486" s="82"/>
      <c r="C486" s="63" t="s">
        <v>170</v>
      </c>
      <c r="D486" s="66">
        <f>(37.42+2.9*1.2+2.55*0.8+2.75*0.6)*10.764</f>
        <v>479.96675999999991</v>
      </c>
      <c r="E486" s="63">
        <v>0</v>
      </c>
      <c r="F486" s="63">
        <f t="shared" si="12"/>
        <v>719.95013999999992</v>
      </c>
      <c r="G486" s="85"/>
      <c r="H486" s="86"/>
    </row>
    <row r="487" spans="1:9" s="53" customFormat="1" x14ac:dyDescent="0.35">
      <c r="A487" s="82" t="s">
        <v>605</v>
      </c>
      <c r="B487" s="82"/>
      <c r="C487" s="63" t="s">
        <v>170</v>
      </c>
      <c r="D487" s="66">
        <f>(37.4+2.9*1.2+2.55*0.8+2.9*0.6)*10.764</f>
        <v>480.72023999999993</v>
      </c>
      <c r="E487" s="63">
        <v>0</v>
      </c>
      <c r="F487" s="63">
        <f t="shared" ref="F487:F500" si="14">D487*1.5+E487</f>
        <v>721.08035999999993</v>
      </c>
      <c r="G487" s="85"/>
      <c r="H487" s="86"/>
    </row>
    <row r="488" spans="1:9" s="53" customFormat="1" ht="15.65" customHeight="1" x14ac:dyDescent="0.35">
      <c r="A488" s="82" t="s">
        <v>606</v>
      </c>
      <c r="B488" s="82"/>
      <c r="C488" s="63" t="s">
        <v>170</v>
      </c>
      <c r="D488" s="66">
        <f>(36.85+0.6*2.55+0.5*2.9+1.2*2.9)*10.764</f>
        <v>466.18883999999997</v>
      </c>
      <c r="E488" s="63">
        <v>0</v>
      </c>
      <c r="F488" s="63">
        <f t="shared" si="14"/>
        <v>699.28325999999993</v>
      </c>
      <c r="G488" s="85"/>
      <c r="H488" s="86"/>
    </row>
    <row r="489" spans="1:9" s="53" customFormat="1" ht="15.65" customHeight="1" x14ac:dyDescent="0.35">
      <c r="A489" s="82" t="s">
        <v>607</v>
      </c>
      <c r="B489" s="82"/>
      <c r="C489" s="63" t="s">
        <v>170</v>
      </c>
      <c r="D489" s="66">
        <f>(36.45+0.6*2.55+0.5*2.75+1.2*2.9)*10.764</f>
        <v>461.07594</v>
      </c>
      <c r="E489" s="63">
        <v>0</v>
      </c>
      <c r="F489" s="63">
        <f t="shared" si="14"/>
        <v>691.61391000000003</v>
      </c>
      <c r="G489" s="85"/>
      <c r="H489" s="86"/>
    </row>
    <row r="490" spans="1:9" s="53" customFormat="1" ht="15.65" customHeight="1" x14ac:dyDescent="0.35">
      <c r="A490" s="82" t="s">
        <v>608</v>
      </c>
      <c r="B490" s="82"/>
      <c r="C490" s="63" t="s">
        <v>1059</v>
      </c>
      <c r="D490" s="66">
        <f>(61.55+0.6*(2.45+2.9)+1.2*3)*10.764</f>
        <v>735.82703999999978</v>
      </c>
      <c r="E490" s="63">
        <v>0</v>
      </c>
      <c r="F490" s="63">
        <f t="shared" si="14"/>
        <v>1103.7405599999997</v>
      </c>
      <c r="G490" s="85"/>
      <c r="H490" s="86"/>
      <c r="I490" s="53">
        <f>3*3.45+2.45*3.05+2.45*3.05+2.9*3.05+1.55*2.35+1.2*1.95+1.15*1.2+2.6*2.35+1.65*0.75+1.5*3</f>
        <v>53.35</v>
      </c>
    </row>
    <row r="491" spans="1:9" s="53" customFormat="1" ht="15.65" customHeight="1" x14ac:dyDescent="0.35">
      <c r="A491" s="82" t="s">
        <v>609</v>
      </c>
      <c r="B491" s="82"/>
      <c r="C491" s="68" t="s">
        <v>1059</v>
      </c>
      <c r="D491" s="66">
        <f>(61.55+0.6*(2.45+2.9)+1.2*3)*10.764</f>
        <v>735.82703999999978</v>
      </c>
      <c r="E491" s="63">
        <v>0</v>
      </c>
      <c r="F491" s="63">
        <f t="shared" si="14"/>
        <v>1103.7405599999997</v>
      </c>
      <c r="G491" s="85"/>
      <c r="H491" s="86"/>
    </row>
    <row r="492" spans="1:9" s="53" customFormat="1" ht="15.65" customHeight="1" x14ac:dyDescent="0.35">
      <c r="A492" s="82" t="s">
        <v>610</v>
      </c>
      <c r="B492" s="82"/>
      <c r="C492" s="63" t="s">
        <v>1058</v>
      </c>
      <c r="D492" s="66">
        <f>(72.17+0.6*(2.9+2.45+2.9)+1.2*3)*10.764</f>
        <v>868.87007999999992</v>
      </c>
      <c r="E492" s="63">
        <v>0</v>
      </c>
      <c r="F492" s="63">
        <f t="shared" si="14"/>
        <v>1303.30512</v>
      </c>
      <c r="G492" s="85"/>
      <c r="H492" s="86"/>
    </row>
    <row r="493" spans="1:9" s="53" customFormat="1" x14ac:dyDescent="0.35">
      <c r="A493" s="82" t="s">
        <v>611</v>
      </c>
      <c r="B493" s="82"/>
      <c r="C493" s="68" t="s">
        <v>1059</v>
      </c>
      <c r="D493" s="66">
        <f>(57.24+0.6*(2.45+2.9)+1.2*3)*10.764</f>
        <v>689.43419999999992</v>
      </c>
      <c r="E493" s="63">
        <v>0</v>
      </c>
      <c r="F493" s="63">
        <f t="shared" si="14"/>
        <v>1034.1513</v>
      </c>
      <c r="G493" s="85"/>
      <c r="H493" s="86"/>
      <c r="I493" s="53">
        <f>3*3.45+2.45*3.05+2.45*3.05+2.9*3.05+1.55*2.35+1.2*1.95+1.15*1.2+2.6*2.35+1.65*0.75+1.5*3</f>
        <v>53.35</v>
      </c>
    </row>
    <row r="494" spans="1:9" s="53" customFormat="1" ht="15.65" customHeight="1" x14ac:dyDescent="0.35">
      <c r="A494" s="82" t="s">
        <v>612</v>
      </c>
      <c r="B494" s="82"/>
      <c r="C494" s="68" t="s">
        <v>1058</v>
      </c>
      <c r="D494" s="66">
        <f>(71+0.6*(3+2.45+2.9)+1.2*3)*10.764</f>
        <v>856.92203999999992</v>
      </c>
      <c r="E494" s="63">
        <v>0</v>
      </c>
      <c r="F494" s="63">
        <f t="shared" si="14"/>
        <v>1285.3830599999999</v>
      </c>
      <c r="G494" s="85"/>
      <c r="H494" s="86"/>
    </row>
    <row r="495" spans="1:9" s="53" customFormat="1" ht="15.65" customHeight="1" x14ac:dyDescent="0.35">
      <c r="A495" s="82" t="s">
        <v>613</v>
      </c>
      <c r="B495" s="82"/>
      <c r="C495" s="68" t="s">
        <v>1058</v>
      </c>
      <c r="D495" s="66">
        <f>(68.6+0.6*(2.9+2.45+2.9)+1.2*3)*10.764</f>
        <v>830.44259999999986</v>
      </c>
      <c r="E495" s="63">
        <v>0</v>
      </c>
      <c r="F495" s="63">
        <f t="shared" si="14"/>
        <v>1245.6638999999998</v>
      </c>
      <c r="G495" s="85"/>
      <c r="H495" s="86"/>
    </row>
    <row r="496" spans="1:9" s="53" customFormat="1" ht="15.65" customHeight="1" x14ac:dyDescent="0.35">
      <c r="A496" s="82" t="s">
        <v>614</v>
      </c>
      <c r="B496" s="82"/>
      <c r="C496" s="68" t="s">
        <v>1059</v>
      </c>
      <c r="D496" s="66">
        <f>(61.56+0.6*(2.45+2.9)+1.2*3)*10.764</f>
        <v>735.93467999999984</v>
      </c>
      <c r="E496" s="63">
        <v>0</v>
      </c>
      <c r="F496" s="63">
        <f t="shared" si="14"/>
        <v>1103.9020199999998</v>
      </c>
      <c r="G496" s="85"/>
      <c r="H496" s="86"/>
      <c r="I496" s="53">
        <f>3*3.45+2.45*3.05+2.45*3.05+2.9*3.05+1.55*2.35+1.2*1.95+1.15*1.2+2.6*2.35+1.65*0.75+1.5*3</f>
        <v>53.35</v>
      </c>
    </row>
    <row r="497" spans="1:9" s="53" customFormat="1" ht="15.65" customHeight="1" x14ac:dyDescent="0.35">
      <c r="A497" s="82" t="s">
        <v>615</v>
      </c>
      <c r="B497" s="82"/>
      <c r="C497" s="63" t="s">
        <v>170</v>
      </c>
      <c r="D497" s="66">
        <f>(39.34+0.6*(2.75+2.9))*10.764</f>
        <v>459.94571999999999</v>
      </c>
      <c r="E497" s="63">
        <v>0</v>
      </c>
      <c r="F497" s="63">
        <f t="shared" si="14"/>
        <v>689.91858000000002</v>
      </c>
      <c r="G497" s="85"/>
      <c r="H497" s="86"/>
    </row>
    <row r="498" spans="1:9" s="53" customFormat="1" ht="15.65" customHeight="1" x14ac:dyDescent="0.35">
      <c r="A498" s="82" t="s">
        <v>616</v>
      </c>
      <c r="B498" s="82"/>
      <c r="C498" s="63" t="s">
        <v>486</v>
      </c>
      <c r="D498" s="66">
        <f>(23.23+0.6*2.9+1.2*2.75)*10.764</f>
        <v>304.29827999999998</v>
      </c>
      <c r="E498" s="63">
        <v>0</v>
      </c>
      <c r="F498" s="63">
        <f t="shared" si="14"/>
        <v>456.44741999999997</v>
      </c>
      <c r="G498" s="85"/>
      <c r="H498" s="86"/>
    </row>
    <row r="499" spans="1:9" s="53" customFormat="1" ht="15.65" customHeight="1" x14ac:dyDescent="0.35">
      <c r="A499" s="82" t="s">
        <v>617</v>
      </c>
      <c r="B499" s="82"/>
      <c r="C499" s="63" t="s">
        <v>170</v>
      </c>
      <c r="D499" s="66">
        <f>(28.68+0.6*3.05+1.2*2.9)*10.764</f>
        <v>365.86835999999994</v>
      </c>
      <c r="E499" s="63">
        <v>0</v>
      </c>
      <c r="F499" s="63">
        <f t="shared" si="14"/>
        <v>548.80253999999991</v>
      </c>
      <c r="G499" s="85"/>
      <c r="H499" s="86"/>
    </row>
    <row r="500" spans="1:9" s="53" customFormat="1" ht="15.65" customHeight="1" x14ac:dyDescent="0.35">
      <c r="A500" s="82" t="s">
        <v>618</v>
      </c>
      <c r="B500" s="82"/>
      <c r="C500" s="63" t="s">
        <v>486</v>
      </c>
      <c r="D500" s="66">
        <f>(25.47+0.6*(2.9+2.35))*10.764</f>
        <v>308.06567999999993</v>
      </c>
      <c r="E500" s="63">
        <v>0</v>
      </c>
      <c r="F500" s="63">
        <f t="shared" si="14"/>
        <v>462.09851999999989</v>
      </c>
      <c r="G500" s="87"/>
      <c r="H500" s="88"/>
    </row>
    <row r="501" spans="1:9" s="53" customFormat="1" ht="14.5" customHeight="1" x14ac:dyDescent="0.35">
      <c r="A501" s="78" t="s">
        <v>642</v>
      </c>
      <c r="B501" s="79"/>
      <c r="C501" s="79"/>
      <c r="D501" s="79"/>
      <c r="E501" s="79"/>
      <c r="F501" s="79"/>
      <c r="G501" s="79"/>
      <c r="H501" s="80"/>
    </row>
    <row r="502" spans="1:9" s="53" customFormat="1" x14ac:dyDescent="0.35">
      <c r="A502" s="82" t="s">
        <v>205</v>
      </c>
      <c r="B502" s="82"/>
      <c r="C502" s="63" t="s">
        <v>170</v>
      </c>
      <c r="D502" s="66">
        <f>(38.18+2.9*1.2+2.55*0.8+3*0.6)*10.764</f>
        <v>489.76199999999989</v>
      </c>
      <c r="E502" s="63">
        <v>0</v>
      </c>
      <c r="F502" s="63">
        <f t="shared" ref="F502:F503" si="15">D502*1.5+E502</f>
        <v>734.6429999999998</v>
      </c>
      <c r="G502" s="83" t="str">
        <f>A501</f>
        <v>8th Floor (Part Terrace Area)</v>
      </c>
      <c r="H502" s="84"/>
    </row>
    <row r="503" spans="1:9" s="53" customFormat="1" x14ac:dyDescent="0.35">
      <c r="A503" s="82" t="s">
        <v>206</v>
      </c>
      <c r="B503" s="82"/>
      <c r="C503" s="63" t="s">
        <v>170</v>
      </c>
      <c r="D503" s="66">
        <f>(37.42+2.9*1.2+2.55*0.8+2.75*0.6)*10.764</f>
        <v>479.96675999999991</v>
      </c>
      <c r="E503" s="63">
        <v>0</v>
      </c>
      <c r="F503" s="63">
        <f t="shared" si="15"/>
        <v>719.95013999999992</v>
      </c>
      <c r="G503" s="85"/>
      <c r="H503" s="86"/>
    </row>
    <row r="504" spans="1:9" s="53" customFormat="1" x14ac:dyDescent="0.35">
      <c r="A504" s="82" t="s">
        <v>207</v>
      </c>
      <c r="B504" s="82"/>
      <c r="C504" s="83" t="s">
        <v>643</v>
      </c>
      <c r="D504" s="92"/>
      <c r="E504" s="92"/>
      <c r="F504" s="84"/>
      <c r="G504" s="85"/>
      <c r="H504" s="86"/>
    </row>
    <row r="505" spans="1:9" s="53" customFormat="1" ht="15.65" customHeight="1" x14ac:dyDescent="0.35">
      <c r="A505" s="82" t="s">
        <v>208</v>
      </c>
      <c r="B505" s="82"/>
      <c r="C505" s="87"/>
      <c r="D505" s="93"/>
      <c r="E505" s="93"/>
      <c r="F505" s="88"/>
      <c r="G505" s="85"/>
      <c r="H505" s="86"/>
    </row>
    <row r="506" spans="1:9" s="53" customFormat="1" ht="15.65" customHeight="1" x14ac:dyDescent="0.35">
      <c r="A506" s="82" t="s">
        <v>209</v>
      </c>
      <c r="B506" s="82"/>
      <c r="C506" s="63" t="s">
        <v>170</v>
      </c>
      <c r="D506" s="66">
        <f>(36.45+0.6*2.55+0.5*2.75+1.2*2.9)*10.764</f>
        <v>461.07594</v>
      </c>
      <c r="E506" s="63">
        <v>0</v>
      </c>
      <c r="F506" s="63">
        <f t="shared" ref="F506:F521" si="16">D506*1.5+E506</f>
        <v>691.61391000000003</v>
      </c>
      <c r="G506" s="85"/>
      <c r="H506" s="86"/>
    </row>
    <row r="507" spans="1:9" s="53" customFormat="1" ht="15.65" customHeight="1" x14ac:dyDescent="0.35">
      <c r="A507" s="82" t="s">
        <v>210</v>
      </c>
      <c r="B507" s="82"/>
      <c r="C507" s="63" t="s">
        <v>1059</v>
      </c>
      <c r="D507" s="66">
        <f>(56.87+0.6*(2.45+2.9)+1.2*3)*10.764</f>
        <v>685.45151999999996</v>
      </c>
      <c r="E507" s="63">
        <v>0</v>
      </c>
      <c r="F507" s="63">
        <f t="shared" si="16"/>
        <v>1028.1772799999999</v>
      </c>
      <c r="G507" s="85"/>
      <c r="H507" s="86"/>
    </row>
    <row r="508" spans="1:9" s="53" customFormat="1" ht="15.65" customHeight="1" x14ac:dyDescent="0.35">
      <c r="A508" s="82" t="s">
        <v>211</v>
      </c>
      <c r="B508" s="82"/>
      <c r="C508" s="68" t="s">
        <v>1059</v>
      </c>
      <c r="D508" s="66">
        <f>(61.55+0.6*(2.45+2.9)+1.2*3)*10.764</f>
        <v>735.82703999999978</v>
      </c>
      <c r="E508" s="63">
        <v>0</v>
      </c>
      <c r="F508" s="63">
        <f t="shared" si="16"/>
        <v>1103.7405599999997</v>
      </c>
      <c r="G508" s="85"/>
      <c r="H508" s="86"/>
    </row>
    <row r="509" spans="1:9" s="53" customFormat="1" ht="15.65" customHeight="1" x14ac:dyDescent="0.35">
      <c r="A509" s="82" t="s">
        <v>644</v>
      </c>
      <c r="B509" s="82"/>
      <c r="C509" s="63" t="s">
        <v>170</v>
      </c>
      <c r="D509" s="66">
        <f>(61.55+0.6*(2.45+2.9)+1.2*3)*10.764</f>
        <v>735.82703999999978</v>
      </c>
      <c r="E509" s="63">
        <v>0</v>
      </c>
      <c r="F509" s="63">
        <f t="shared" si="16"/>
        <v>1103.7405599999997</v>
      </c>
      <c r="G509" s="85"/>
      <c r="H509" s="86"/>
    </row>
    <row r="510" spans="1:9" s="53" customFormat="1" x14ac:dyDescent="0.35">
      <c r="A510" s="82" t="s">
        <v>645</v>
      </c>
      <c r="B510" s="82"/>
      <c r="C510" s="63" t="s">
        <v>486</v>
      </c>
      <c r="D510" s="66">
        <f>(28.03+0.6*2.9+1.2*2.75)*10.764</f>
        <v>355.96547999999996</v>
      </c>
      <c r="E510" s="63">
        <v>0</v>
      </c>
      <c r="F510" s="63">
        <f t="shared" si="16"/>
        <v>533.94821999999999</v>
      </c>
      <c r="G510" s="85"/>
      <c r="H510" s="86"/>
      <c r="I510" s="54"/>
    </row>
    <row r="511" spans="1:9" s="53" customFormat="1" x14ac:dyDescent="0.35">
      <c r="A511" s="82" t="s">
        <v>646</v>
      </c>
      <c r="B511" s="82"/>
      <c r="C511" s="63" t="s">
        <v>170</v>
      </c>
      <c r="D511" s="66">
        <f>(36.89+0.6*2.9+1.2*2.5)*10.764</f>
        <v>448.10532000000001</v>
      </c>
      <c r="E511" s="63">
        <v>0</v>
      </c>
      <c r="F511" s="63">
        <f t="shared" si="16"/>
        <v>672.15797999999995</v>
      </c>
      <c r="G511" s="85"/>
      <c r="H511" s="86"/>
      <c r="I511" s="54"/>
    </row>
    <row r="512" spans="1:9" s="53" customFormat="1" x14ac:dyDescent="0.35">
      <c r="A512" s="82" t="s">
        <v>647</v>
      </c>
      <c r="B512" s="82"/>
      <c r="C512" s="63" t="s">
        <v>486</v>
      </c>
      <c r="D512" s="66">
        <f>(24.52+0.6*3+1.2*3)*10.764</f>
        <v>322.05887999999999</v>
      </c>
      <c r="E512" s="63">
        <v>0</v>
      </c>
      <c r="F512" s="63">
        <f t="shared" si="16"/>
        <v>483.08831999999995</v>
      </c>
      <c r="G512" s="85"/>
      <c r="H512" s="86"/>
      <c r="I512" s="54"/>
    </row>
    <row r="513" spans="1:8" s="53" customFormat="1" ht="15.65" customHeight="1" x14ac:dyDescent="0.35">
      <c r="A513" s="82" t="s">
        <v>648</v>
      </c>
      <c r="B513" s="82"/>
      <c r="C513" s="63" t="s">
        <v>486</v>
      </c>
      <c r="D513" s="66">
        <f>(24.52+0.6*3+1.2*3)*10.764</f>
        <v>322.05887999999999</v>
      </c>
      <c r="E513" s="63">
        <v>0</v>
      </c>
      <c r="F513" s="63">
        <f t="shared" si="16"/>
        <v>483.08831999999995</v>
      </c>
      <c r="G513" s="85"/>
      <c r="H513" s="86"/>
    </row>
    <row r="514" spans="1:8" s="53" customFormat="1" ht="15.65" customHeight="1" x14ac:dyDescent="0.35">
      <c r="A514" s="82" t="s">
        <v>649</v>
      </c>
      <c r="B514" s="82"/>
      <c r="C514" s="63" t="s">
        <v>170</v>
      </c>
      <c r="D514" s="66">
        <f>(36.82+0.6*2.9+1.2*2.5)*10.764</f>
        <v>447.35183999999998</v>
      </c>
      <c r="E514" s="63">
        <v>0</v>
      </c>
      <c r="F514" s="63">
        <f t="shared" si="16"/>
        <v>671.02775999999994</v>
      </c>
      <c r="G514" s="85"/>
      <c r="H514" s="86"/>
    </row>
    <row r="515" spans="1:8" s="53" customFormat="1" ht="15.65" customHeight="1" x14ac:dyDescent="0.35">
      <c r="A515" s="82" t="s">
        <v>715</v>
      </c>
      <c r="B515" s="82"/>
      <c r="C515" s="63" t="s">
        <v>486</v>
      </c>
      <c r="D515" s="66">
        <f>(24.41+0.6*2.9+1.2*2.75)*10.764</f>
        <v>316.99979999999999</v>
      </c>
      <c r="E515" s="63">
        <v>0</v>
      </c>
      <c r="F515" s="63">
        <f t="shared" si="16"/>
        <v>475.49969999999996</v>
      </c>
      <c r="G515" s="85"/>
      <c r="H515" s="86"/>
    </row>
    <row r="516" spans="1:8" s="53" customFormat="1" ht="15.65" customHeight="1" x14ac:dyDescent="0.35">
      <c r="A516" s="82" t="s">
        <v>716</v>
      </c>
      <c r="B516" s="82"/>
      <c r="C516" s="63" t="s">
        <v>170</v>
      </c>
      <c r="D516" s="66">
        <f>(35.41+0.6*2.9+1.2*2.78)*10.764</f>
        <v>435.79130399999997</v>
      </c>
      <c r="E516" s="63">
        <v>0</v>
      </c>
      <c r="F516" s="63">
        <f t="shared" si="16"/>
        <v>653.68695600000001</v>
      </c>
      <c r="G516" s="85"/>
      <c r="H516" s="86"/>
    </row>
    <row r="517" spans="1:8" s="53" customFormat="1" ht="15.65" customHeight="1" x14ac:dyDescent="0.35">
      <c r="A517" s="82" t="s">
        <v>212</v>
      </c>
      <c r="B517" s="82"/>
      <c r="C517" s="68" t="s">
        <v>1059</v>
      </c>
      <c r="D517" s="66">
        <f>(61.56+0.6*(2.45+2.9)+1.2*3)*10.764</f>
        <v>735.93467999999984</v>
      </c>
      <c r="E517" s="63">
        <v>0</v>
      </c>
      <c r="F517" s="63">
        <f t="shared" si="16"/>
        <v>1103.9020199999998</v>
      </c>
      <c r="G517" s="85"/>
      <c r="H517" s="86"/>
    </row>
    <row r="518" spans="1:8" s="53" customFormat="1" ht="15.65" customHeight="1" x14ac:dyDescent="0.35">
      <c r="A518" s="82" t="s">
        <v>717</v>
      </c>
      <c r="B518" s="82"/>
      <c r="C518" s="63" t="s">
        <v>170</v>
      </c>
      <c r="D518" s="66">
        <f>(39.34+0.6*(2.75+2.9))*10.764</f>
        <v>459.94571999999999</v>
      </c>
      <c r="E518" s="63">
        <v>0</v>
      </c>
      <c r="F518" s="63">
        <f t="shared" si="16"/>
        <v>689.91858000000002</v>
      </c>
      <c r="G518" s="85"/>
      <c r="H518" s="86"/>
    </row>
    <row r="519" spans="1:8" s="53" customFormat="1" ht="15.65" customHeight="1" x14ac:dyDescent="0.35">
      <c r="A519" s="82" t="s">
        <v>718</v>
      </c>
      <c r="B519" s="82"/>
      <c r="C519" s="63" t="s">
        <v>486</v>
      </c>
      <c r="D519" s="66">
        <f>(23.23+0.6*2.9+1.2*2.75)*10.764</f>
        <v>304.29827999999998</v>
      </c>
      <c r="E519" s="63">
        <v>0</v>
      </c>
      <c r="F519" s="63">
        <f t="shared" si="16"/>
        <v>456.44741999999997</v>
      </c>
      <c r="G519" s="85"/>
      <c r="H519" s="86"/>
    </row>
    <row r="520" spans="1:8" s="53" customFormat="1" ht="15.65" customHeight="1" x14ac:dyDescent="0.35">
      <c r="A520" s="82" t="s">
        <v>719</v>
      </c>
      <c r="B520" s="82"/>
      <c r="C520" s="63" t="s">
        <v>170</v>
      </c>
      <c r="D520" s="66">
        <f>(28.68+0.6*3.05+1.2*2.9)*10.764</f>
        <v>365.86835999999994</v>
      </c>
      <c r="E520" s="63">
        <v>0</v>
      </c>
      <c r="F520" s="63">
        <f t="shared" si="16"/>
        <v>548.80253999999991</v>
      </c>
      <c r="G520" s="85"/>
      <c r="H520" s="86"/>
    </row>
    <row r="521" spans="1:8" s="53" customFormat="1" ht="15.65" customHeight="1" x14ac:dyDescent="0.35">
      <c r="A521" s="82" t="s">
        <v>720</v>
      </c>
      <c r="B521" s="82"/>
      <c r="C521" s="63" t="s">
        <v>486</v>
      </c>
      <c r="D521" s="66">
        <f>(25.47+0.6*(2.9+2.35))*10.764</f>
        <v>308.06567999999993</v>
      </c>
      <c r="E521" s="63">
        <v>0</v>
      </c>
      <c r="F521" s="63">
        <f t="shared" si="16"/>
        <v>462.09851999999989</v>
      </c>
      <c r="G521" s="87"/>
      <c r="H521" s="88"/>
    </row>
    <row r="522" spans="1:8" s="53" customFormat="1" ht="14.5" customHeight="1" x14ac:dyDescent="0.35">
      <c r="A522" s="78" t="s">
        <v>175</v>
      </c>
      <c r="B522" s="79"/>
      <c r="C522" s="79"/>
      <c r="D522" s="79"/>
      <c r="E522" s="79"/>
      <c r="F522" s="79"/>
      <c r="G522" s="79"/>
      <c r="H522" s="80"/>
    </row>
    <row r="523" spans="1:8" s="53" customFormat="1" x14ac:dyDescent="0.35">
      <c r="A523" s="82" t="s">
        <v>213</v>
      </c>
      <c r="B523" s="82"/>
      <c r="C523" s="63" t="s">
        <v>170</v>
      </c>
      <c r="D523" s="66">
        <f>(38.18+2.9*1.2+2.55*0.8+3*0.6)*10.764</f>
        <v>489.76199999999989</v>
      </c>
      <c r="E523" s="63">
        <v>0</v>
      </c>
      <c r="F523" s="63">
        <f t="shared" ref="F523:F524" si="17">D523*1.5+E523</f>
        <v>734.6429999999998</v>
      </c>
      <c r="G523" s="83" t="str">
        <f>A522</f>
        <v>9th Floor</v>
      </c>
      <c r="H523" s="84"/>
    </row>
    <row r="524" spans="1:8" s="53" customFormat="1" x14ac:dyDescent="0.35">
      <c r="A524" s="82" t="s">
        <v>214</v>
      </c>
      <c r="B524" s="82"/>
      <c r="C524" s="63" t="s">
        <v>170</v>
      </c>
      <c r="D524" s="66">
        <f>(37.42+2.9*1.2+2.55*0.8+2.75*0.6)*10.764</f>
        <v>479.96675999999991</v>
      </c>
      <c r="E524" s="63">
        <v>0</v>
      </c>
      <c r="F524" s="63">
        <f t="shared" si="17"/>
        <v>719.95013999999992</v>
      </c>
      <c r="G524" s="85"/>
      <c r="H524" s="86"/>
    </row>
    <row r="525" spans="1:8" s="53" customFormat="1" x14ac:dyDescent="0.35">
      <c r="A525" s="82" t="s">
        <v>215</v>
      </c>
      <c r="B525" s="82"/>
      <c r="C525" s="83" t="s">
        <v>669</v>
      </c>
      <c r="D525" s="92"/>
      <c r="E525" s="92"/>
      <c r="F525" s="84"/>
      <c r="G525" s="85"/>
      <c r="H525" s="86"/>
    </row>
    <row r="526" spans="1:8" s="53" customFormat="1" ht="15.65" customHeight="1" x14ac:dyDescent="0.35">
      <c r="A526" s="82" t="s">
        <v>216</v>
      </c>
      <c r="B526" s="82"/>
      <c r="C526" s="87"/>
      <c r="D526" s="93"/>
      <c r="E526" s="93"/>
      <c r="F526" s="88"/>
      <c r="G526" s="85"/>
      <c r="H526" s="86"/>
    </row>
    <row r="527" spans="1:8" s="53" customFormat="1" ht="15.65" customHeight="1" x14ac:dyDescent="0.35">
      <c r="A527" s="82" t="s">
        <v>217</v>
      </c>
      <c r="B527" s="82"/>
      <c r="C527" s="63" t="s">
        <v>170</v>
      </c>
      <c r="D527" s="66">
        <f>(36.45+0.6*2.55+0.5*2.75+1.2*2.9)*10.764</f>
        <v>461.07594</v>
      </c>
      <c r="E527" s="63">
        <v>0</v>
      </c>
      <c r="F527" s="63">
        <f t="shared" ref="F527:F537" si="18">D527*1.5+E527</f>
        <v>691.61391000000003</v>
      </c>
      <c r="G527" s="85"/>
      <c r="H527" s="86"/>
    </row>
    <row r="528" spans="1:8" s="53" customFormat="1" ht="15.65" customHeight="1" x14ac:dyDescent="0.35">
      <c r="A528" s="82" t="s">
        <v>218</v>
      </c>
      <c r="B528" s="82"/>
      <c r="C528" s="63" t="s">
        <v>1059</v>
      </c>
      <c r="D528" s="66">
        <f>(56.87+0.6*(2.45+2.9)+1.2*3)*10.764</f>
        <v>685.45151999999996</v>
      </c>
      <c r="E528" s="63">
        <v>0</v>
      </c>
      <c r="F528" s="63">
        <f t="shared" si="18"/>
        <v>1028.1772799999999</v>
      </c>
      <c r="G528" s="85"/>
      <c r="H528" s="86"/>
    </row>
    <row r="529" spans="1:9" s="53" customFormat="1" ht="15.65" customHeight="1" x14ac:dyDescent="0.35">
      <c r="A529" s="82" t="s">
        <v>219</v>
      </c>
      <c r="B529" s="82"/>
      <c r="C529" s="68" t="s">
        <v>1059</v>
      </c>
      <c r="D529" s="66">
        <f>(56.87+0.6*(2.45+2.9)+1.2*3)*10.764</f>
        <v>685.45151999999996</v>
      </c>
      <c r="E529" s="63">
        <v>0</v>
      </c>
      <c r="F529" s="63">
        <f t="shared" si="18"/>
        <v>1028.1772799999999</v>
      </c>
      <c r="G529" s="85"/>
      <c r="H529" s="86"/>
    </row>
    <row r="530" spans="1:9" s="53" customFormat="1" ht="15.65" customHeight="1" x14ac:dyDescent="0.35">
      <c r="A530" s="82" t="s">
        <v>220</v>
      </c>
      <c r="B530" s="82"/>
      <c r="C530" s="63" t="s">
        <v>1058</v>
      </c>
      <c r="D530" s="66">
        <f>(72.17+0.6*(2.9+2.45+2.9)+1.2*3)*10.764</f>
        <v>868.87007999999992</v>
      </c>
      <c r="E530" s="63">
        <v>0</v>
      </c>
      <c r="F530" s="63">
        <f t="shared" si="18"/>
        <v>1303.30512</v>
      </c>
      <c r="G530" s="85"/>
      <c r="H530" s="86"/>
    </row>
    <row r="531" spans="1:9" s="53" customFormat="1" x14ac:dyDescent="0.35">
      <c r="A531" s="82" t="s">
        <v>221</v>
      </c>
      <c r="B531" s="82"/>
      <c r="C531" s="68" t="s">
        <v>1058</v>
      </c>
      <c r="D531" s="66">
        <f>(70.74+0.6*(3+2.45+2.9)+1.2*3)*10.764</f>
        <v>854.12339999999983</v>
      </c>
      <c r="E531" s="63">
        <v>0</v>
      </c>
      <c r="F531" s="63">
        <f t="shared" si="18"/>
        <v>1281.1850999999997</v>
      </c>
      <c r="G531" s="85"/>
      <c r="H531" s="86"/>
      <c r="I531" s="54"/>
    </row>
    <row r="532" spans="1:9" s="53" customFormat="1" x14ac:dyDescent="0.35">
      <c r="A532" s="82" t="s">
        <v>222</v>
      </c>
      <c r="B532" s="82"/>
      <c r="C532" s="68" t="s">
        <v>1058</v>
      </c>
      <c r="D532" s="66">
        <f>(71+0.6*(3+2.45+2.9)+1.2*3)*10.764</f>
        <v>856.92203999999992</v>
      </c>
      <c r="E532" s="63">
        <v>0</v>
      </c>
      <c r="F532" s="63">
        <f t="shared" si="18"/>
        <v>1285.3830599999999</v>
      </c>
      <c r="G532" s="85"/>
      <c r="H532" s="86"/>
      <c r="I532" s="54"/>
    </row>
    <row r="533" spans="1:9" s="53" customFormat="1" x14ac:dyDescent="0.35">
      <c r="A533" s="82" t="s">
        <v>223</v>
      </c>
      <c r="B533" s="82"/>
      <c r="C533" s="68" t="s">
        <v>1058</v>
      </c>
      <c r="D533" s="66">
        <f>(68.6+0.6*(2.9+2.45+2.9)+1.2*3)*10.764</f>
        <v>830.44259999999986</v>
      </c>
      <c r="E533" s="63">
        <v>0</v>
      </c>
      <c r="F533" s="63">
        <f t="shared" si="18"/>
        <v>1245.6638999999998</v>
      </c>
      <c r="G533" s="85"/>
      <c r="H533" s="86"/>
      <c r="I533" s="54"/>
    </row>
    <row r="534" spans="1:9" s="53" customFormat="1" ht="15.65" customHeight="1" x14ac:dyDescent="0.35">
      <c r="A534" s="82" t="s">
        <v>224</v>
      </c>
      <c r="B534" s="82"/>
      <c r="C534" s="63" t="s">
        <v>1059</v>
      </c>
      <c r="D534" s="66">
        <f>(61.56+0.6*(2.45+2.9)+1.2*3)*10.764</f>
        <v>735.93467999999984</v>
      </c>
      <c r="E534" s="63">
        <v>0</v>
      </c>
      <c r="F534" s="63">
        <f t="shared" si="18"/>
        <v>1103.9020199999998</v>
      </c>
      <c r="G534" s="85"/>
      <c r="H534" s="86"/>
    </row>
    <row r="535" spans="1:9" s="53" customFormat="1" ht="15.65" customHeight="1" x14ac:dyDescent="0.35">
      <c r="A535" s="82" t="s">
        <v>225</v>
      </c>
      <c r="B535" s="82"/>
      <c r="C535" s="68" t="s">
        <v>1058</v>
      </c>
      <c r="D535" s="66">
        <f>(70.37+0.6*(2.9+2.45+2.9)+1.2*3)*10.764</f>
        <v>849.49487999999997</v>
      </c>
      <c r="E535" s="63">
        <v>0</v>
      </c>
      <c r="F535" s="63">
        <f t="shared" si="18"/>
        <v>1274.2423199999998</v>
      </c>
      <c r="G535" s="85"/>
      <c r="H535" s="86"/>
    </row>
    <row r="536" spans="1:9" s="53" customFormat="1" ht="15.65" customHeight="1" x14ac:dyDescent="0.35">
      <c r="A536" s="82" t="s">
        <v>670</v>
      </c>
      <c r="B536" s="82"/>
      <c r="C536" s="63" t="s">
        <v>170</v>
      </c>
      <c r="D536" s="66">
        <f>(28.68+0.6*3.05+1.2*2.9)*10.764</f>
        <v>365.86835999999994</v>
      </c>
      <c r="E536" s="63">
        <v>0</v>
      </c>
      <c r="F536" s="63">
        <f t="shared" si="18"/>
        <v>548.80253999999991</v>
      </c>
      <c r="G536" s="85"/>
      <c r="H536" s="86"/>
    </row>
    <row r="537" spans="1:9" s="53" customFormat="1" ht="15.65" customHeight="1" x14ac:dyDescent="0.35">
      <c r="A537" s="82" t="s">
        <v>671</v>
      </c>
      <c r="B537" s="82"/>
      <c r="C537" s="63" t="s">
        <v>486</v>
      </c>
      <c r="D537" s="66">
        <f>(25.47+0.6*(2.9+2.35))*10.764</f>
        <v>308.06567999999993</v>
      </c>
      <c r="E537" s="63">
        <v>0</v>
      </c>
      <c r="F537" s="63">
        <f t="shared" si="18"/>
        <v>462.09851999999989</v>
      </c>
      <c r="G537" s="85"/>
      <c r="H537" s="86"/>
    </row>
    <row r="538" spans="1:9" s="53" customFormat="1" ht="14.5" customHeight="1" x14ac:dyDescent="0.35">
      <c r="A538" s="89" t="s">
        <v>176</v>
      </c>
      <c r="B538" s="90"/>
      <c r="C538" s="90"/>
      <c r="D538" s="90"/>
      <c r="E538" s="90"/>
      <c r="F538" s="90"/>
      <c r="G538" s="90"/>
      <c r="H538" s="91"/>
    </row>
    <row r="539" spans="1:9" s="53" customFormat="1" x14ac:dyDescent="0.35">
      <c r="A539" s="82" t="s">
        <v>226</v>
      </c>
      <c r="B539" s="82"/>
      <c r="C539" s="63" t="s">
        <v>170</v>
      </c>
      <c r="D539" s="66">
        <f>(38.18+2.9*1.2+2.55*0.8+3*0.6)*10.764</f>
        <v>489.76199999999989</v>
      </c>
      <c r="E539" s="63">
        <v>0</v>
      </c>
      <c r="F539" s="63">
        <f t="shared" ref="F539:F555" si="19">D539*1.5+E539</f>
        <v>734.6429999999998</v>
      </c>
      <c r="G539" s="83" t="str">
        <f>A538</f>
        <v>10th Floor</v>
      </c>
      <c r="H539" s="84"/>
    </row>
    <row r="540" spans="1:9" s="53" customFormat="1" x14ac:dyDescent="0.35">
      <c r="A540" s="82" t="s">
        <v>227</v>
      </c>
      <c r="B540" s="82"/>
      <c r="C540" s="63" t="s">
        <v>170</v>
      </c>
      <c r="D540" s="66">
        <f>(37.42+2.9*1.2+2.55*0.8+2.75*0.6)*10.764</f>
        <v>479.96675999999991</v>
      </c>
      <c r="E540" s="63">
        <v>0</v>
      </c>
      <c r="F540" s="63">
        <f t="shared" si="19"/>
        <v>719.95013999999992</v>
      </c>
      <c r="G540" s="85"/>
      <c r="H540" s="86"/>
    </row>
    <row r="541" spans="1:9" s="53" customFormat="1" ht="15.65" customHeight="1" x14ac:dyDescent="0.35">
      <c r="A541" s="82" t="s">
        <v>228</v>
      </c>
      <c r="B541" s="82"/>
      <c r="C541" s="63" t="s">
        <v>170</v>
      </c>
      <c r="D541" s="66">
        <f>(36.45+0.6*2.55+0.5*2.75+1.2*2.9)*10.764</f>
        <v>461.07594</v>
      </c>
      <c r="E541" s="63">
        <v>0</v>
      </c>
      <c r="F541" s="63">
        <f t="shared" si="19"/>
        <v>691.61391000000003</v>
      </c>
      <c r="G541" s="85"/>
      <c r="H541" s="86"/>
    </row>
    <row r="542" spans="1:9" s="53" customFormat="1" ht="15.65" customHeight="1" x14ac:dyDescent="0.35">
      <c r="A542" s="82" t="s">
        <v>229</v>
      </c>
      <c r="B542" s="82"/>
      <c r="C542" s="68" t="s">
        <v>1059</v>
      </c>
      <c r="D542" s="66">
        <f>(61.55+0.6*(2.45+2.9)+1.2*3)*10.764</f>
        <v>735.82703999999978</v>
      </c>
      <c r="E542" s="63">
        <v>0</v>
      </c>
      <c r="F542" s="63">
        <f t="shared" si="19"/>
        <v>1103.7405599999997</v>
      </c>
      <c r="G542" s="85"/>
      <c r="H542" s="86"/>
      <c r="I542" s="54">
        <f>3.1*1.1+3*3.45+2.45*3.05+2.45*3.05+2.9*3.05+1.55*2.35+1.2*1.95+1.15*1.2+2.6*2.35+1.65*0.75+1.5*3</f>
        <v>56.76</v>
      </c>
    </row>
    <row r="543" spans="1:9" s="53" customFormat="1" ht="15.65" customHeight="1" x14ac:dyDescent="0.35">
      <c r="A543" s="82" t="s">
        <v>230</v>
      </c>
      <c r="B543" s="82"/>
      <c r="C543" s="68" t="s">
        <v>1059</v>
      </c>
      <c r="D543" s="66">
        <f>(61.56+0.6*(2.45+2.9)+1.2*3)*10.764</f>
        <v>735.93467999999984</v>
      </c>
      <c r="E543" s="63">
        <v>0</v>
      </c>
      <c r="F543" s="63">
        <f t="shared" si="19"/>
        <v>1103.9020199999998</v>
      </c>
      <c r="G543" s="85"/>
      <c r="H543" s="86"/>
    </row>
    <row r="544" spans="1:9" s="53" customFormat="1" ht="15.65" customHeight="1" x14ac:dyDescent="0.35">
      <c r="A544" s="82" t="s">
        <v>686</v>
      </c>
      <c r="B544" s="82"/>
      <c r="C544" s="63" t="s">
        <v>170</v>
      </c>
      <c r="D544" s="66">
        <f>(35.58+0.6*2.9+1.2*2.75)*10.764</f>
        <v>437.23367999999994</v>
      </c>
      <c r="E544" s="63">
        <v>0</v>
      </c>
      <c r="F544" s="63">
        <f t="shared" si="19"/>
        <v>655.85051999999996</v>
      </c>
      <c r="G544" s="85"/>
      <c r="H544" s="86"/>
    </row>
    <row r="545" spans="1:9" s="53" customFormat="1" x14ac:dyDescent="0.35">
      <c r="A545" s="82" t="s">
        <v>687</v>
      </c>
      <c r="B545" s="82"/>
      <c r="C545" s="63" t="s">
        <v>486</v>
      </c>
      <c r="D545" s="66">
        <f>(28.03+0.6*2.9+1.2*2.75)*10.764</f>
        <v>355.96547999999996</v>
      </c>
      <c r="E545" s="63">
        <v>0</v>
      </c>
      <c r="F545" s="63">
        <f t="shared" si="19"/>
        <v>533.94821999999999</v>
      </c>
      <c r="G545" s="85"/>
      <c r="H545" s="86"/>
      <c r="I545" s="54"/>
    </row>
    <row r="546" spans="1:9" s="53" customFormat="1" x14ac:dyDescent="0.35">
      <c r="A546" s="82" t="s">
        <v>231</v>
      </c>
      <c r="B546" s="82"/>
      <c r="C546" s="68" t="s">
        <v>1059</v>
      </c>
      <c r="D546" s="66">
        <f>(61.97+0.6*(2.9+2.45)+1.2*3)*10.764</f>
        <v>740.34791999999982</v>
      </c>
      <c r="E546" s="63">
        <v>0</v>
      </c>
      <c r="F546" s="63">
        <f t="shared" si="19"/>
        <v>1110.5218799999998</v>
      </c>
      <c r="G546" s="85"/>
      <c r="H546" s="86"/>
      <c r="I546" s="54"/>
    </row>
    <row r="547" spans="1:9" s="53" customFormat="1" x14ac:dyDescent="0.35">
      <c r="A547" s="82" t="s">
        <v>688</v>
      </c>
      <c r="B547" s="82"/>
      <c r="C547" s="63" t="s">
        <v>486</v>
      </c>
      <c r="D547" s="66">
        <f>(24.52+0.6*3+1.2*3)*10.764</f>
        <v>322.05887999999999</v>
      </c>
      <c r="E547" s="63">
        <v>0</v>
      </c>
      <c r="F547" s="63">
        <f t="shared" si="19"/>
        <v>483.08831999999995</v>
      </c>
      <c r="G547" s="85"/>
      <c r="H547" s="86"/>
      <c r="I547" s="54"/>
    </row>
    <row r="548" spans="1:9" s="53" customFormat="1" ht="15.65" customHeight="1" x14ac:dyDescent="0.35">
      <c r="A548" s="82" t="s">
        <v>689</v>
      </c>
      <c r="B548" s="82"/>
      <c r="C548" s="63" t="s">
        <v>170</v>
      </c>
      <c r="D548" s="66">
        <f>(36.82+0.6*2.9+1.2*2.5)*10.764</f>
        <v>447.35183999999998</v>
      </c>
      <c r="E548" s="63">
        <v>0</v>
      </c>
      <c r="F548" s="63">
        <f t="shared" si="19"/>
        <v>671.02775999999994</v>
      </c>
      <c r="G548" s="85"/>
      <c r="H548" s="86"/>
    </row>
    <row r="549" spans="1:9" s="53" customFormat="1" ht="15.65" customHeight="1" x14ac:dyDescent="0.35">
      <c r="A549" s="82" t="s">
        <v>690</v>
      </c>
      <c r="B549" s="82"/>
      <c r="C549" s="63" t="s">
        <v>486</v>
      </c>
      <c r="D549" s="66">
        <f>(24.41+0.6*2.9+1.2*2.75)*10.764</f>
        <v>316.99979999999999</v>
      </c>
      <c r="E549" s="63">
        <v>0</v>
      </c>
      <c r="F549" s="63">
        <f t="shared" si="19"/>
        <v>475.49969999999996</v>
      </c>
      <c r="G549" s="85"/>
      <c r="H549" s="86"/>
    </row>
    <row r="550" spans="1:9" s="53" customFormat="1" ht="15.65" customHeight="1" x14ac:dyDescent="0.35">
      <c r="A550" s="82" t="s">
        <v>691</v>
      </c>
      <c r="B550" s="82"/>
      <c r="C550" s="63" t="s">
        <v>170</v>
      </c>
      <c r="D550" s="66">
        <f>(35.41+0.6*2.9+1.2*2.78)*10.764</f>
        <v>435.79130399999997</v>
      </c>
      <c r="E550" s="63">
        <v>0</v>
      </c>
      <c r="F550" s="63">
        <f t="shared" si="19"/>
        <v>653.68695600000001</v>
      </c>
      <c r="G550" s="85"/>
      <c r="H550" s="86"/>
    </row>
    <row r="551" spans="1:9" s="53" customFormat="1" ht="15.65" customHeight="1" x14ac:dyDescent="0.35">
      <c r="A551" s="82" t="s">
        <v>232</v>
      </c>
      <c r="B551" s="82"/>
      <c r="C551" s="68" t="s">
        <v>1059</v>
      </c>
      <c r="D551" s="66">
        <f>(61.19+0.6*(2.45+2.9)+1.2*3)*10.764</f>
        <v>731.95199999999977</v>
      </c>
      <c r="E551" s="63">
        <v>0</v>
      </c>
      <c r="F551" s="63">
        <f t="shared" si="19"/>
        <v>1097.9279999999997</v>
      </c>
      <c r="G551" s="85"/>
      <c r="H551" s="86"/>
    </row>
    <row r="552" spans="1:9" s="53" customFormat="1" ht="15.65" customHeight="1" x14ac:dyDescent="0.35">
      <c r="A552" s="82" t="s">
        <v>692</v>
      </c>
      <c r="B552" s="82"/>
      <c r="C552" s="63" t="s">
        <v>170</v>
      </c>
      <c r="D552" s="66">
        <f>(39.34+0.6*(2.75+2.9))*10.764</f>
        <v>459.94571999999999</v>
      </c>
      <c r="E552" s="63">
        <v>0</v>
      </c>
      <c r="F552" s="63">
        <f t="shared" si="19"/>
        <v>689.91858000000002</v>
      </c>
      <c r="G552" s="85"/>
      <c r="H552" s="86"/>
    </row>
    <row r="553" spans="1:9" s="53" customFormat="1" ht="15.65" customHeight="1" x14ac:dyDescent="0.35">
      <c r="A553" s="82" t="s">
        <v>693</v>
      </c>
      <c r="B553" s="82"/>
      <c r="C553" s="63" t="s">
        <v>486</v>
      </c>
      <c r="D553" s="66">
        <f>(23.23+0.6*2.9+1.2*2.75)*10.764</f>
        <v>304.29827999999998</v>
      </c>
      <c r="E553" s="63">
        <v>0</v>
      </c>
      <c r="F553" s="63">
        <f t="shared" si="19"/>
        <v>456.44741999999997</v>
      </c>
      <c r="G553" s="85"/>
      <c r="H553" s="86"/>
    </row>
    <row r="554" spans="1:9" s="53" customFormat="1" ht="15.65" customHeight="1" x14ac:dyDescent="0.35">
      <c r="A554" s="82" t="s">
        <v>694</v>
      </c>
      <c r="B554" s="82"/>
      <c r="C554" s="63" t="s">
        <v>170</v>
      </c>
      <c r="D554" s="66">
        <f>(28.68+0.6*3.05+1.2*2.9)*10.764</f>
        <v>365.86835999999994</v>
      </c>
      <c r="E554" s="63">
        <v>0</v>
      </c>
      <c r="F554" s="63">
        <f t="shared" si="19"/>
        <v>548.80253999999991</v>
      </c>
      <c r="G554" s="85"/>
      <c r="H554" s="86"/>
    </row>
    <row r="555" spans="1:9" s="53" customFormat="1" ht="15.65" customHeight="1" x14ac:dyDescent="0.35">
      <c r="A555" s="82" t="s">
        <v>695</v>
      </c>
      <c r="B555" s="82"/>
      <c r="C555" s="63" t="s">
        <v>486</v>
      </c>
      <c r="D555" s="66">
        <f>(25.47+0.6*(2.9+2.35))*10.764</f>
        <v>308.06567999999993</v>
      </c>
      <c r="E555" s="63">
        <v>0</v>
      </c>
      <c r="F555" s="63">
        <f t="shared" si="19"/>
        <v>462.09851999999989</v>
      </c>
      <c r="G555" s="87"/>
      <c r="H555" s="88"/>
    </row>
    <row r="556" spans="1:9" s="53" customFormat="1" ht="14.5" customHeight="1" x14ac:dyDescent="0.35">
      <c r="A556" s="127" t="s">
        <v>177</v>
      </c>
      <c r="B556" s="128"/>
      <c r="C556" s="128"/>
      <c r="D556" s="128"/>
      <c r="E556" s="128"/>
      <c r="F556" s="128"/>
      <c r="G556" s="128"/>
      <c r="H556" s="129"/>
    </row>
    <row r="557" spans="1:9" s="53" customFormat="1" x14ac:dyDescent="0.35">
      <c r="A557" s="82" t="s">
        <v>233</v>
      </c>
      <c r="B557" s="82"/>
      <c r="C557" s="63" t="s">
        <v>170</v>
      </c>
      <c r="D557" s="66">
        <f>(38.18+2.9*1.2+2.55*0.8+3*0.6)*10.764</f>
        <v>489.76199999999989</v>
      </c>
      <c r="E557" s="63">
        <v>0</v>
      </c>
      <c r="F557" s="63">
        <f t="shared" ref="F557:F572" si="20">D557*1.5+E557</f>
        <v>734.6429999999998</v>
      </c>
      <c r="G557" s="83" t="str">
        <f>A556</f>
        <v>11th Floor</v>
      </c>
      <c r="H557" s="84"/>
    </row>
    <row r="558" spans="1:9" s="53" customFormat="1" x14ac:dyDescent="0.35">
      <c r="A558" s="82" t="s">
        <v>234</v>
      </c>
      <c r="B558" s="82"/>
      <c r="C558" s="63" t="s">
        <v>170</v>
      </c>
      <c r="D558" s="66">
        <f>(37.42+2.9*1.2+2.55*0.8+2.75*0.6)*10.764</f>
        <v>479.96675999999991</v>
      </c>
      <c r="E558" s="63">
        <v>0</v>
      </c>
      <c r="F558" s="63">
        <f t="shared" si="20"/>
        <v>719.95013999999992</v>
      </c>
      <c r="G558" s="85"/>
      <c r="H558" s="86"/>
    </row>
    <row r="559" spans="1:9" s="53" customFormat="1" ht="15.65" customHeight="1" x14ac:dyDescent="0.35">
      <c r="A559" s="82" t="s">
        <v>235</v>
      </c>
      <c r="B559" s="82"/>
      <c r="C559" s="63" t="s">
        <v>170</v>
      </c>
      <c r="D559" s="66">
        <f>(36.45+0.6*2.55+0.5*2.75+1.2*2.9)*10.764</f>
        <v>461.07594</v>
      </c>
      <c r="E559" s="63">
        <v>0</v>
      </c>
      <c r="F559" s="63">
        <f t="shared" si="20"/>
        <v>691.61391000000003</v>
      </c>
      <c r="G559" s="85"/>
      <c r="H559" s="86"/>
    </row>
    <row r="560" spans="1:9" s="53" customFormat="1" ht="15.65" customHeight="1" x14ac:dyDescent="0.35">
      <c r="A560" s="82" t="s">
        <v>236</v>
      </c>
      <c r="B560" s="82"/>
      <c r="C560" s="68" t="s">
        <v>1059</v>
      </c>
      <c r="D560" s="66">
        <f>(61.55+0.6*(2.45+2.9)+1.2*3)*10.764</f>
        <v>735.82703999999978</v>
      </c>
      <c r="E560" s="63">
        <v>0</v>
      </c>
      <c r="F560" s="63">
        <f t="shared" si="20"/>
        <v>1103.7405599999997</v>
      </c>
      <c r="G560" s="85"/>
      <c r="H560" s="86"/>
    </row>
    <row r="561" spans="1:9" s="53" customFormat="1" ht="15.65" customHeight="1" x14ac:dyDescent="0.35">
      <c r="A561" s="82" t="s">
        <v>237</v>
      </c>
      <c r="B561" s="82"/>
      <c r="C561" s="68" t="s">
        <v>1059</v>
      </c>
      <c r="D561" s="66">
        <f>(61.56+0.6*(2.45+2.9)+1.2*3)*10.764</f>
        <v>735.93467999999984</v>
      </c>
      <c r="E561" s="63">
        <v>0</v>
      </c>
      <c r="F561" s="63">
        <f t="shared" si="20"/>
        <v>1103.9020199999998</v>
      </c>
      <c r="G561" s="85"/>
      <c r="H561" s="86"/>
    </row>
    <row r="562" spans="1:9" s="53" customFormat="1" ht="15.65" customHeight="1" x14ac:dyDescent="0.35">
      <c r="A562" s="82" t="s">
        <v>721</v>
      </c>
      <c r="B562" s="82"/>
      <c r="C562" s="63" t="s">
        <v>170</v>
      </c>
      <c r="D562" s="66">
        <f>(35.58+0.6*2.9+1.2*2.75)*10.764</f>
        <v>437.23367999999994</v>
      </c>
      <c r="E562" s="63">
        <v>0</v>
      </c>
      <c r="F562" s="63">
        <f t="shared" si="20"/>
        <v>655.85051999999996</v>
      </c>
      <c r="G562" s="85"/>
      <c r="H562" s="86"/>
    </row>
    <row r="563" spans="1:9" s="53" customFormat="1" x14ac:dyDescent="0.35">
      <c r="A563" s="82" t="s">
        <v>722</v>
      </c>
      <c r="B563" s="82"/>
      <c r="C563" s="63" t="s">
        <v>486</v>
      </c>
      <c r="D563" s="66">
        <f>(28.03+0.6*2.9+1.2*2.75)*10.764</f>
        <v>355.96547999999996</v>
      </c>
      <c r="E563" s="63">
        <v>0</v>
      </c>
      <c r="F563" s="63">
        <f t="shared" si="20"/>
        <v>533.94821999999999</v>
      </c>
      <c r="G563" s="85"/>
      <c r="H563" s="86"/>
      <c r="I563" s="54"/>
    </row>
    <row r="564" spans="1:9" s="53" customFormat="1" x14ac:dyDescent="0.35">
      <c r="A564" s="82" t="s">
        <v>238</v>
      </c>
      <c r="B564" s="82"/>
      <c r="C564" s="68" t="s">
        <v>1059</v>
      </c>
      <c r="D564" s="66">
        <f>(61.97+0.6*(2.9+2.45)+1.2*3)*10.764</f>
        <v>740.34791999999982</v>
      </c>
      <c r="E564" s="63">
        <v>0</v>
      </c>
      <c r="F564" s="63">
        <f t="shared" si="20"/>
        <v>1110.5218799999998</v>
      </c>
      <c r="G564" s="85"/>
      <c r="H564" s="86"/>
      <c r="I564" s="54"/>
    </row>
    <row r="565" spans="1:9" s="53" customFormat="1" x14ac:dyDescent="0.35">
      <c r="A565" s="82" t="s">
        <v>239</v>
      </c>
      <c r="B565" s="82"/>
      <c r="C565" s="63" t="s">
        <v>1058</v>
      </c>
      <c r="D565" s="66">
        <f>(71+0.6*(3+2.45+2.9)+1.2*3)*10.764</f>
        <v>856.92203999999992</v>
      </c>
      <c r="E565" s="63">
        <v>0</v>
      </c>
      <c r="F565" s="63">
        <f t="shared" si="20"/>
        <v>1285.3830599999999</v>
      </c>
      <c r="G565" s="85"/>
      <c r="H565" s="86"/>
      <c r="I565" s="54"/>
    </row>
    <row r="566" spans="1:9" s="53" customFormat="1" ht="15.65" customHeight="1" x14ac:dyDescent="0.35">
      <c r="A566" s="82" t="s">
        <v>723</v>
      </c>
      <c r="B566" s="82"/>
      <c r="C566" s="63" t="s">
        <v>486</v>
      </c>
      <c r="D566" s="66">
        <f>(24.41+0.6*2.9+1.2*2.75)*10.764</f>
        <v>316.99979999999999</v>
      </c>
      <c r="E566" s="63">
        <v>0</v>
      </c>
      <c r="F566" s="63">
        <f t="shared" si="20"/>
        <v>475.49969999999996</v>
      </c>
      <c r="G566" s="85"/>
      <c r="H566" s="86"/>
    </row>
    <row r="567" spans="1:9" s="53" customFormat="1" ht="15.65" customHeight="1" x14ac:dyDescent="0.35">
      <c r="A567" s="82" t="s">
        <v>724</v>
      </c>
      <c r="B567" s="82"/>
      <c r="C567" s="63" t="s">
        <v>170</v>
      </c>
      <c r="D567" s="66">
        <f>(35.41+0.6*2.9+1.2*2.78)*10.764</f>
        <v>435.79130399999997</v>
      </c>
      <c r="E567" s="63">
        <v>0</v>
      </c>
      <c r="F567" s="63">
        <f t="shared" si="20"/>
        <v>653.68695600000001</v>
      </c>
      <c r="G567" s="85"/>
      <c r="H567" s="86"/>
    </row>
    <row r="568" spans="1:9" s="53" customFormat="1" ht="15.65" customHeight="1" x14ac:dyDescent="0.35">
      <c r="A568" s="82" t="s">
        <v>240</v>
      </c>
      <c r="B568" s="82"/>
      <c r="C568" s="68" t="s">
        <v>1059</v>
      </c>
      <c r="D568" s="66">
        <f>(61.19+0.6*(2.45+2.9)+1.2*3)*10.764</f>
        <v>731.95199999999977</v>
      </c>
      <c r="E568" s="63">
        <v>0</v>
      </c>
      <c r="F568" s="63">
        <f t="shared" si="20"/>
        <v>1097.9279999999997</v>
      </c>
      <c r="G568" s="85"/>
      <c r="H568" s="86"/>
    </row>
    <row r="569" spans="1:9" s="53" customFormat="1" ht="15.65" customHeight="1" x14ac:dyDescent="0.35">
      <c r="A569" s="82" t="s">
        <v>725</v>
      </c>
      <c r="B569" s="82"/>
      <c r="C569" s="63" t="s">
        <v>170</v>
      </c>
      <c r="D569" s="66">
        <f>(39.34+0.6*(2.75+2.9))*10.764</f>
        <v>459.94571999999999</v>
      </c>
      <c r="E569" s="63">
        <v>0</v>
      </c>
      <c r="F569" s="63">
        <f t="shared" si="20"/>
        <v>689.91858000000002</v>
      </c>
      <c r="G569" s="85"/>
      <c r="H569" s="86"/>
    </row>
    <row r="570" spans="1:9" s="53" customFormat="1" ht="15.65" customHeight="1" x14ac:dyDescent="0.35">
      <c r="A570" s="82" t="s">
        <v>726</v>
      </c>
      <c r="B570" s="82"/>
      <c r="C570" s="63" t="s">
        <v>486</v>
      </c>
      <c r="D570" s="66">
        <f>(23.23+0.6*2.9+1.2*2.75)*10.764</f>
        <v>304.29827999999998</v>
      </c>
      <c r="E570" s="63">
        <v>0</v>
      </c>
      <c r="F570" s="63">
        <f t="shared" si="20"/>
        <v>456.44741999999997</v>
      </c>
      <c r="G570" s="85"/>
      <c r="H570" s="86"/>
    </row>
    <row r="571" spans="1:9" s="53" customFormat="1" ht="15.65" customHeight="1" x14ac:dyDescent="0.35">
      <c r="A571" s="82" t="s">
        <v>727</v>
      </c>
      <c r="B571" s="82"/>
      <c r="C571" s="63" t="s">
        <v>170</v>
      </c>
      <c r="D571" s="66">
        <f>(28.68+0.6*3.05+1.2*2.9)*10.764</f>
        <v>365.86835999999994</v>
      </c>
      <c r="E571" s="63">
        <v>0</v>
      </c>
      <c r="F571" s="63">
        <f t="shared" si="20"/>
        <v>548.80253999999991</v>
      </c>
      <c r="G571" s="85"/>
      <c r="H571" s="86"/>
    </row>
    <row r="572" spans="1:9" s="53" customFormat="1" ht="15.65" customHeight="1" x14ac:dyDescent="0.35">
      <c r="A572" s="82" t="s">
        <v>728</v>
      </c>
      <c r="B572" s="82"/>
      <c r="C572" s="63" t="s">
        <v>486</v>
      </c>
      <c r="D572" s="66">
        <f>(25.47+0.6*(2.9+2.35))*10.764</f>
        <v>308.06567999999993</v>
      </c>
      <c r="E572" s="63">
        <v>0</v>
      </c>
      <c r="F572" s="63">
        <f t="shared" si="20"/>
        <v>462.09851999999989</v>
      </c>
      <c r="G572" s="87"/>
      <c r="H572" s="88"/>
    </row>
    <row r="573" spans="1:9" s="53" customFormat="1" ht="14.5" customHeight="1" x14ac:dyDescent="0.35">
      <c r="A573" s="89" t="s">
        <v>730</v>
      </c>
      <c r="B573" s="90"/>
      <c r="C573" s="90"/>
      <c r="D573" s="90"/>
      <c r="E573" s="90"/>
      <c r="F573" s="90"/>
      <c r="G573" s="90"/>
      <c r="H573" s="91"/>
    </row>
    <row r="574" spans="1:9" s="53" customFormat="1" x14ac:dyDescent="0.35">
      <c r="A574" s="82" t="s">
        <v>738</v>
      </c>
      <c r="B574" s="82"/>
      <c r="C574" s="63" t="s">
        <v>170</v>
      </c>
      <c r="D574" s="66">
        <f>(38.18+2.9*1.2+2.55*0.8+3*0.6)*10.764</f>
        <v>489.76199999999989</v>
      </c>
      <c r="E574" s="63">
        <v>0</v>
      </c>
      <c r="F574" s="63">
        <f t="shared" ref="F574:F590" si="21">D574*1.5+E574</f>
        <v>734.6429999999998</v>
      </c>
      <c r="G574" s="83" t="str">
        <f>A573</f>
        <v>12th Floor</v>
      </c>
      <c r="H574" s="84"/>
    </row>
    <row r="575" spans="1:9" s="53" customFormat="1" x14ac:dyDescent="0.35">
      <c r="A575" s="82" t="s">
        <v>739</v>
      </c>
      <c r="B575" s="82"/>
      <c r="C575" s="63" t="s">
        <v>170</v>
      </c>
      <c r="D575" s="66">
        <f>(37.42+2.9*1.2+2.55*0.8+2.75*0.6)*10.764</f>
        <v>479.96675999999991</v>
      </c>
      <c r="E575" s="63">
        <v>0</v>
      </c>
      <c r="F575" s="63">
        <f t="shared" si="21"/>
        <v>719.95013999999992</v>
      </c>
      <c r="G575" s="85"/>
      <c r="H575" s="86"/>
    </row>
    <row r="576" spans="1:9" s="53" customFormat="1" ht="15.65" customHeight="1" x14ac:dyDescent="0.35">
      <c r="A576" s="82" t="s">
        <v>740</v>
      </c>
      <c r="B576" s="82"/>
      <c r="C576" s="63" t="s">
        <v>170</v>
      </c>
      <c r="D576" s="66">
        <f>(36.45+0.6*2.55+0.5*2.75+1.2*2.9)*10.764</f>
        <v>461.07594</v>
      </c>
      <c r="E576" s="63">
        <v>0</v>
      </c>
      <c r="F576" s="63">
        <f t="shared" si="21"/>
        <v>691.61391000000003</v>
      </c>
      <c r="G576" s="85"/>
      <c r="H576" s="86"/>
    </row>
    <row r="577" spans="1:9" s="53" customFormat="1" ht="15.65" customHeight="1" x14ac:dyDescent="0.35">
      <c r="A577" s="82" t="s">
        <v>741</v>
      </c>
      <c r="B577" s="82"/>
      <c r="C577" s="68" t="s">
        <v>1059</v>
      </c>
      <c r="D577" s="66">
        <f>(61.55+0.6*(2.45+2.9)+1.2*3)*10.764</f>
        <v>735.82703999999978</v>
      </c>
      <c r="E577" s="63">
        <v>0</v>
      </c>
      <c r="F577" s="63">
        <f t="shared" si="21"/>
        <v>1103.7405599999997</v>
      </c>
      <c r="G577" s="85"/>
      <c r="H577" s="86"/>
      <c r="I577" s="54">
        <f>3.1*1.1+3*3.45+2.45*3.05+2.45*3.05+2.9*3.05+1.55*2.35+1.2*1.95+1.15*1.2+2.6*2.35+1.65*0.75+1.5*3</f>
        <v>56.76</v>
      </c>
    </row>
    <row r="578" spans="1:9" s="53" customFormat="1" ht="15.65" customHeight="1" x14ac:dyDescent="0.35">
      <c r="A578" s="82" t="s">
        <v>742</v>
      </c>
      <c r="B578" s="82"/>
      <c r="C578" s="68" t="s">
        <v>1059</v>
      </c>
      <c r="D578" s="66">
        <f>(61.56+0.6*(2.45+2.9)+1.2*3)*10.764</f>
        <v>735.93467999999984</v>
      </c>
      <c r="E578" s="63">
        <v>0</v>
      </c>
      <c r="F578" s="63">
        <f t="shared" si="21"/>
        <v>1103.9020199999998</v>
      </c>
      <c r="G578" s="85"/>
      <c r="H578" s="86"/>
    </row>
    <row r="579" spans="1:9" s="53" customFormat="1" ht="15.65" customHeight="1" x14ac:dyDescent="0.35">
      <c r="A579" s="82" t="s">
        <v>743</v>
      </c>
      <c r="B579" s="82"/>
      <c r="C579" s="63" t="s">
        <v>170</v>
      </c>
      <c r="D579" s="66">
        <f>(35.58+0.6*2.9+1.2*2.75)*10.764</f>
        <v>437.23367999999994</v>
      </c>
      <c r="E579" s="63">
        <v>0</v>
      </c>
      <c r="F579" s="63">
        <f t="shared" si="21"/>
        <v>655.85051999999996</v>
      </c>
      <c r="G579" s="85"/>
      <c r="H579" s="86"/>
    </row>
    <row r="580" spans="1:9" s="53" customFormat="1" x14ac:dyDescent="0.35">
      <c r="A580" s="82" t="s">
        <v>744</v>
      </c>
      <c r="B580" s="82"/>
      <c r="C580" s="63" t="s">
        <v>486</v>
      </c>
      <c r="D580" s="66">
        <f>(28.03+0.6*2.9+1.2*2.75)*10.764</f>
        <v>355.96547999999996</v>
      </c>
      <c r="E580" s="63">
        <v>0</v>
      </c>
      <c r="F580" s="63">
        <f t="shared" si="21"/>
        <v>533.94821999999999</v>
      </c>
      <c r="G580" s="85"/>
      <c r="H580" s="86"/>
      <c r="I580" s="54"/>
    </row>
    <row r="581" spans="1:9" s="53" customFormat="1" x14ac:dyDescent="0.35">
      <c r="A581" s="82" t="s">
        <v>745</v>
      </c>
      <c r="B581" s="82"/>
      <c r="C581" s="68" t="s">
        <v>1059</v>
      </c>
      <c r="D581" s="66">
        <f>(61.97+0.6*(2.9+2.45)+1.2*3)*10.764</f>
        <v>740.34791999999982</v>
      </c>
      <c r="E581" s="63">
        <v>0</v>
      </c>
      <c r="F581" s="63">
        <f t="shared" si="21"/>
        <v>1110.5218799999998</v>
      </c>
      <c r="G581" s="85"/>
      <c r="H581" s="86"/>
      <c r="I581" s="54"/>
    </row>
    <row r="582" spans="1:9" s="53" customFormat="1" x14ac:dyDescent="0.35">
      <c r="A582" s="82" t="s">
        <v>746</v>
      </c>
      <c r="B582" s="82"/>
      <c r="C582" s="63" t="s">
        <v>486</v>
      </c>
      <c r="D582" s="66">
        <f>(24.52+0.6*3+1.2*3)*10.764</f>
        <v>322.05887999999999</v>
      </c>
      <c r="E582" s="63">
        <v>0</v>
      </c>
      <c r="F582" s="63">
        <f t="shared" si="21"/>
        <v>483.08831999999995</v>
      </c>
      <c r="G582" s="85"/>
      <c r="H582" s="86"/>
      <c r="I582" s="54"/>
    </row>
    <row r="583" spans="1:9" s="53" customFormat="1" ht="15.65" customHeight="1" x14ac:dyDescent="0.35">
      <c r="A583" s="82" t="s">
        <v>747</v>
      </c>
      <c r="B583" s="82"/>
      <c r="C583" s="63" t="s">
        <v>170</v>
      </c>
      <c r="D583" s="66">
        <f>(36.82+0.6*2.9+1.2*2.5)*10.764</f>
        <v>447.35183999999998</v>
      </c>
      <c r="E583" s="63">
        <v>0</v>
      </c>
      <c r="F583" s="63">
        <f t="shared" si="21"/>
        <v>671.02775999999994</v>
      </c>
      <c r="G583" s="85"/>
      <c r="H583" s="86"/>
    </row>
    <row r="584" spans="1:9" s="53" customFormat="1" ht="15.65" customHeight="1" x14ac:dyDescent="0.35">
      <c r="A584" s="82" t="s">
        <v>748</v>
      </c>
      <c r="B584" s="82"/>
      <c r="C584" s="63" t="s">
        <v>486</v>
      </c>
      <c r="D584" s="66">
        <f>(24.41+0.6*2.9+1.2*2.75)*10.764</f>
        <v>316.99979999999999</v>
      </c>
      <c r="E584" s="63">
        <v>0</v>
      </c>
      <c r="F584" s="63">
        <f t="shared" si="21"/>
        <v>475.49969999999996</v>
      </c>
      <c r="G584" s="85"/>
      <c r="H584" s="86"/>
    </row>
    <row r="585" spans="1:9" s="53" customFormat="1" ht="15.65" customHeight="1" x14ac:dyDescent="0.35">
      <c r="A585" s="82" t="s">
        <v>749</v>
      </c>
      <c r="B585" s="82"/>
      <c r="C585" s="63" t="s">
        <v>170</v>
      </c>
      <c r="D585" s="66">
        <f>(35.41+0.6*2.9+1.2*2.78)*10.764</f>
        <v>435.79130399999997</v>
      </c>
      <c r="E585" s="63">
        <v>0</v>
      </c>
      <c r="F585" s="63">
        <f t="shared" si="21"/>
        <v>653.68695600000001</v>
      </c>
      <c r="G585" s="85"/>
      <c r="H585" s="86"/>
    </row>
    <row r="586" spans="1:9" s="53" customFormat="1" ht="15.65" customHeight="1" x14ac:dyDescent="0.35">
      <c r="A586" s="82" t="s">
        <v>750</v>
      </c>
      <c r="B586" s="82"/>
      <c r="C586" s="68" t="s">
        <v>1059</v>
      </c>
      <c r="D586" s="66">
        <f>(61.19+0.6*(2.45+2.9)+1.2*3)*10.764</f>
        <v>731.95199999999977</v>
      </c>
      <c r="E586" s="63">
        <v>0</v>
      </c>
      <c r="F586" s="63">
        <f t="shared" si="21"/>
        <v>1097.9279999999997</v>
      </c>
      <c r="G586" s="85"/>
      <c r="H586" s="86"/>
    </row>
    <row r="587" spans="1:9" s="53" customFormat="1" ht="15.65" customHeight="1" x14ac:dyDescent="0.35">
      <c r="A587" s="82" t="s">
        <v>751</v>
      </c>
      <c r="B587" s="82"/>
      <c r="C587" s="63" t="s">
        <v>170</v>
      </c>
      <c r="D587" s="66">
        <f>(39.34+0.6*(2.75+2.9))*10.764</f>
        <v>459.94571999999999</v>
      </c>
      <c r="E587" s="63">
        <v>0</v>
      </c>
      <c r="F587" s="63">
        <f t="shared" si="21"/>
        <v>689.91858000000002</v>
      </c>
      <c r="G587" s="85"/>
      <c r="H587" s="86"/>
    </row>
    <row r="588" spans="1:9" s="53" customFormat="1" ht="15.65" customHeight="1" x14ac:dyDescent="0.35">
      <c r="A588" s="82" t="s">
        <v>752</v>
      </c>
      <c r="B588" s="82"/>
      <c r="C588" s="63" t="s">
        <v>486</v>
      </c>
      <c r="D588" s="66">
        <f>(23.23+0.6*2.9+1.2*2.75)*10.764</f>
        <v>304.29827999999998</v>
      </c>
      <c r="E588" s="63">
        <v>0</v>
      </c>
      <c r="F588" s="63">
        <f t="shared" si="21"/>
        <v>456.44741999999997</v>
      </c>
      <c r="G588" s="85"/>
      <c r="H588" s="86"/>
    </row>
    <row r="589" spans="1:9" s="53" customFormat="1" ht="15.65" customHeight="1" x14ac:dyDescent="0.35">
      <c r="A589" s="82" t="s">
        <v>753</v>
      </c>
      <c r="B589" s="82"/>
      <c r="C589" s="63" t="s">
        <v>170</v>
      </c>
      <c r="D589" s="66">
        <f>(28.68+0.6*3.05+1.2*2.9)*10.764</f>
        <v>365.86835999999994</v>
      </c>
      <c r="E589" s="63">
        <v>0</v>
      </c>
      <c r="F589" s="63">
        <f t="shared" si="21"/>
        <v>548.80253999999991</v>
      </c>
      <c r="G589" s="85"/>
      <c r="H589" s="86"/>
    </row>
    <row r="590" spans="1:9" s="53" customFormat="1" ht="15.65" customHeight="1" x14ac:dyDescent="0.35">
      <c r="A590" s="82" t="s">
        <v>754</v>
      </c>
      <c r="B590" s="82"/>
      <c r="C590" s="63" t="s">
        <v>486</v>
      </c>
      <c r="D590" s="66">
        <f>(25.47+0.6*(2.9+2.35))*10.764</f>
        <v>308.06567999999993</v>
      </c>
      <c r="E590" s="63">
        <v>0</v>
      </c>
      <c r="F590" s="63">
        <f t="shared" si="21"/>
        <v>462.09851999999989</v>
      </c>
      <c r="G590" s="87"/>
      <c r="H590" s="88"/>
    </row>
    <row r="591" spans="1:9" s="53" customFormat="1" ht="14.5" customHeight="1" x14ac:dyDescent="0.35">
      <c r="A591" s="89" t="s">
        <v>731</v>
      </c>
      <c r="B591" s="90"/>
      <c r="C591" s="90"/>
      <c r="D591" s="90"/>
      <c r="E591" s="90"/>
      <c r="F591" s="90"/>
      <c r="G591" s="90"/>
      <c r="H591" s="91"/>
    </row>
    <row r="592" spans="1:9" s="53" customFormat="1" x14ac:dyDescent="0.35">
      <c r="A592" s="82" t="s">
        <v>755</v>
      </c>
      <c r="B592" s="82"/>
      <c r="C592" s="63" t="s">
        <v>170</v>
      </c>
      <c r="D592" s="66">
        <f>(38.18+2.9*1.2+2.55*0.8+3*0.6)*10.764</f>
        <v>489.76199999999989</v>
      </c>
      <c r="E592" s="63">
        <v>0</v>
      </c>
      <c r="F592" s="63">
        <f t="shared" ref="F592:F607" si="22">D592*1.5+E592</f>
        <v>734.6429999999998</v>
      </c>
      <c r="G592" s="83" t="str">
        <f>A591</f>
        <v>13th Floor</v>
      </c>
      <c r="H592" s="84"/>
    </row>
    <row r="593" spans="1:9" s="53" customFormat="1" x14ac:dyDescent="0.35">
      <c r="A593" s="82" t="s">
        <v>756</v>
      </c>
      <c r="B593" s="82"/>
      <c r="C593" s="63" t="s">
        <v>170</v>
      </c>
      <c r="D593" s="66">
        <f>(37.42+2.9*1.2+2.55*0.8+2.75*0.6)*10.764</f>
        <v>479.96675999999991</v>
      </c>
      <c r="E593" s="63">
        <v>0</v>
      </c>
      <c r="F593" s="63">
        <f t="shared" si="22"/>
        <v>719.95013999999992</v>
      </c>
      <c r="G593" s="85"/>
      <c r="H593" s="86"/>
    </row>
    <row r="594" spans="1:9" s="53" customFormat="1" ht="15.65" customHeight="1" x14ac:dyDescent="0.35">
      <c r="A594" s="82" t="s">
        <v>757</v>
      </c>
      <c r="B594" s="82"/>
      <c r="C594" s="63" t="s">
        <v>170</v>
      </c>
      <c r="D594" s="66">
        <f>(36.45+0.6*2.55+0.5*2.75+1.2*2.9)*10.764</f>
        <v>461.07594</v>
      </c>
      <c r="E594" s="63">
        <v>0</v>
      </c>
      <c r="F594" s="63">
        <f t="shared" si="22"/>
        <v>691.61391000000003</v>
      </c>
      <c r="G594" s="85"/>
      <c r="H594" s="86"/>
    </row>
    <row r="595" spans="1:9" s="53" customFormat="1" ht="15.65" customHeight="1" x14ac:dyDescent="0.35">
      <c r="A595" s="82" t="s">
        <v>758</v>
      </c>
      <c r="B595" s="82"/>
      <c r="C595" s="68" t="s">
        <v>1059</v>
      </c>
      <c r="D595" s="66">
        <f>(61.55+0.6*(2.45+2.9)+1.2*3)*10.764</f>
        <v>735.82703999999978</v>
      </c>
      <c r="E595" s="63">
        <v>0</v>
      </c>
      <c r="F595" s="63">
        <f t="shared" si="22"/>
        <v>1103.7405599999997</v>
      </c>
      <c r="G595" s="85"/>
      <c r="H595" s="86"/>
      <c r="I595" s="54">
        <f>3.1*1.1+3*3.45+2.45*3.05+2.45*3.05+2.9*3.05+1.55*2.35+1.2*1.95+1.15*1.2+2.6*2.35+1.65*0.75+1.5*3</f>
        <v>56.76</v>
      </c>
    </row>
    <row r="596" spans="1:9" s="53" customFormat="1" ht="15.65" customHeight="1" x14ac:dyDescent="0.35">
      <c r="A596" s="82" t="s">
        <v>759</v>
      </c>
      <c r="B596" s="82"/>
      <c r="C596" s="68" t="s">
        <v>1059</v>
      </c>
      <c r="D596" s="66">
        <f>(61.56+0.6*(2.45+2.9)+1.2*3)*10.764</f>
        <v>735.93467999999984</v>
      </c>
      <c r="E596" s="63">
        <v>0</v>
      </c>
      <c r="F596" s="63">
        <f t="shared" si="22"/>
        <v>1103.9020199999998</v>
      </c>
      <c r="G596" s="85"/>
      <c r="H596" s="86"/>
    </row>
    <row r="597" spans="1:9" s="53" customFormat="1" ht="15.65" customHeight="1" x14ac:dyDescent="0.35">
      <c r="A597" s="82" t="s">
        <v>760</v>
      </c>
      <c r="B597" s="82"/>
      <c r="C597" s="63" t="s">
        <v>170</v>
      </c>
      <c r="D597" s="66">
        <f>(35.58+0.6*2.9+1.2*2.75)*10.764</f>
        <v>437.23367999999994</v>
      </c>
      <c r="E597" s="63">
        <v>0</v>
      </c>
      <c r="F597" s="63">
        <f t="shared" si="22"/>
        <v>655.85051999999996</v>
      </c>
      <c r="G597" s="85"/>
      <c r="H597" s="86"/>
    </row>
    <row r="598" spans="1:9" s="53" customFormat="1" x14ac:dyDescent="0.35">
      <c r="A598" s="82" t="s">
        <v>761</v>
      </c>
      <c r="B598" s="82"/>
      <c r="C598" s="63" t="s">
        <v>486</v>
      </c>
      <c r="D598" s="66">
        <f>(28.03+0.6*2.9+1.2*2.75)*10.764</f>
        <v>355.96547999999996</v>
      </c>
      <c r="E598" s="63">
        <v>0</v>
      </c>
      <c r="F598" s="63">
        <f t="shared" si="22"/>
        <v>533.94821999999999</v>
      </c>
      <c r="G598" s="85"/>
      <c r="H598" s="86"/>
      <c r="I598" s="54"/>
    </row>
    <row r="599" spans="1:9" s="53" customFormat="1" x14ac:dyDescent="0.35">
      <c r="A599" s="82" t="s">
        <v>762</v>
      </c>
      <c r="B599" s="82"/>
      <c r="C599" s="68" t="s">
        <v>1059</v>
      </c>
      <c r="D599" s="66">
        <f>(61.97+0.6*(2.9+2.45)+1.2*3)*10.764</f>
        <v>740.34791999999982</v>
      </c>
      <c r="E599" s="63">
        <v>0</v>
      </c>
      <c r="F599" s="63">
        <f t="shared" si="22"/>
        <v>1110.5218799999998</v>
      </c>
      <c r="G599" s="85"/>
      <c r="H599" s="86"/>
      <c r="I599" s="54"/>
    </row>
    <row r="600" spans="1:9" s="53" customFormat="1" x14ac:dyDescent="0.35">
      <c r="A600" s="82" t="s">
        <v>763</v>
      </c>
      <c r="B600" s="82"/>
      <c r="C600" s="63" t="s">
        <v>486</v>
      </c>
      <c r="D600" s="66">
        <f>(24.52+0.6*3+1.2*3)*10.764</f>
        <v>322.05887999999999</v>
      </c>
      <c r="E600" s="63">
        <v>0</v>
      </c>
      <c r="F600" s="63">
        <f t="shared" si="22"/>
        <v>483.08831999999995</v>
      </c>
      <c r="G600" s="85"/>
      <c r="H600" s="86"/>
      <c r="I600" s="54"/>
    </row>
    <row r="601" spans="1:9" s="53" customFormat="1" ht="15.65" customHeight="1" x14ac:dyDescent="0.35">
      <c r="A601" s="82" t="s">
        <v>764</v>
      </c>
      <c r="B601" s="82"/>
      <c r="C601" s="63" t="s">
        <v>170</v>
      </c>
      <c r="D601" s="66">
        <f>(36.82+0.6*2.9+1.2*2.5)*10.764</f>
        <v>447.35183999999998</v>
      </c>
      <c r="E601" s="63">
        <v>0</v>
      </c>
      <c r="F601" s="63">
        <f t="shared" si="22"/>
        <v>671.02775999999994</v>
      </c>
      <c r="G601" s="85"/>
      <c r="H601" s="86"/>
    </row>
    <row r="602" spans="1:9" s="53" customFormat="1" ht="15.65" customHeight="1" x14ac:dyDescent="0.35">
      <c r="A602" s="82" t="s">
        <v>765</v>
      </c>
      <c r="B602" s="82"/>
      <c r="C602" s="63" t="s">
        <v>486</v>
      </c>
      <c r="D602" s="66">
        <f>(24.41+0.6*2.9+1.2*2.75)*10.764</f>
        <v>316.99979999999999</v>
      </c>
      <c r="E602" s="63">
        <v>0</v>
      </c>
      <c r="F602" s="63">
        <f t="shared" si="22"/>
        <v>475.49969999999996</v>
      </c>
      <c r="G602" s="85"/>
      <c r="H602" s="86"/>
    </row>
    <row r="603" spans="1:9" s="53" customFormat="1" ht="15.65" customHeight="1" x14ac:dyDescent="0.35">
      <c r="A603" s="82" t="s">
        <v>766</v>
      </c>
      <c r="B603" s="82"/>
      <c r="C603" s="63" t="s">
        <v>170</v>
      </c>
      <c r="D603" s="66">
        <f>(35.41+0.6*2.9+1.2*2.78)*10.764</f>
        <v>435.79130399999997</v>
      </c>
      <c r="E603" s="63">
        <v>0</v>
      </c>
      <c r="F603" s="63">
        <f t="shared" si="22"/>
        <v>653.68695600000001</v>
      </c>
      <c r="G603" s="85"/>
      <c r="H603" s="86"/>
    </row>
    <row r="604" spans="1:9" s="53" customFormat="1" ht="15.65" customHeight="1" x14ac:dyDescent="0.35">
      <c r="A604" s="82" t="s">
        <v>767</v>
      </c>
      <c r="B604" s="82"/>
      <c r="C604" s="68" t="s">
        <v>1059</v>
      </c>
      <c r="D604" s="66">
        <f>(61.19+0.6*(2.45+2.9)+1.2*3)*10.764</f>
        <v>731.95199999999977</v>
      </c>
      <c r="E604" s="63">
        <v>0</v>
      </c>
      <c r="F604" s="63">
        <f t="shared" si="22"/>
        <v>1097.9279999999997</v>
      </c>
      <c r="G604" s="85"/>
      <c r="H604" s="86"/>
    </row>
    <row r="605" spans="1:9" s="53" customFormat="1" ht="15.65" customHeight="1" x14ac:dyDescent="0.35">
      <c r="A605" s="82" t="s">
        <v>768</v>
      </c>
      <c r="B605" s="82"/>
      <c r="C605" s="63" t="s">
        <v>1058</v>
      </c>
      <c r="D605" s="66">
        <f>(74.69)*10.764</f>
        <v>803.9631599999999</v>
      </c>
      <c r="E605" s="63">
        <v>0</v>
      </c>
      <c r="F605" s="63">
        <f t="shared" si="22"/>
        <v>1205.9447399999999</v>
      </c>
      <c r="G605" s="85"/>
      <c r="H605" s="86"/>
    </row>
    <row r="606" spans="1:9" s="53" customFormat="1" ht="15.65" customHeight="1" x14ac:dyDescent="0.35">
      <c r="A606" s="82" t="s">
        <v>769</v>
      </c>
      <c r="B606" s="82"/>
      <c r="C606" s="63" t="s">
        <v>170</v>
      </c>
      <c r="D606" s="66">
        <f>(28.68+0.6*3.05+1.2*2.9)*10.764</f>
        <v>365.86835999999994</v>
      </c>
      <c r="E606" s="63">
        <v>0</v>
      </c>
      <c r="F606" s="63">
        <f t="shared" si="22"/>
        <v>548.80253999999991</v>
      </c>
      <c r="G606" s="85"/>
      <c r="H606" s="86"/>
    </row>
    <row r="607" spans="1:9" s="53" customFormat="1" ht="15.65" customHeight="1" x14ac:dyDescent="0.35">
      <c r="A607" s="82" t="s">
        <v>770</v>
      </c>
      <c r="B607" s="82"/>
      <c r="C607" s="63" t="s">
        <v>486</v>
      </c>
      <c r="D607" s="66">
        <f>(25.47+0.6*(2.9+2.35))*10.764</f>
        <v>308.06567999999993</v>
      </c>
      <c r="E607" s="63">
        <v>0</v>
      </c>
      <c r="F607" s="63">
        <f t="shared" si="22"/>
        <v>462.09851999999989</v>
      </c>
      <c r="G607" s="87"/>
      <c r="H607" s="88"/>
    </row>
    <row r="608" spans="1:9" s="53" customFormat="1" ht="14.5" customHeight="1" x14ac:dyDescent="0.35">
      <c r="A608" s="89" t="s">
        <v>732</v>
      </c>
      <c r="B608" s="90"/>
      <c r="C608" s="90"/>
      <c r="D608" s="90"/>
      <c r="E608" s="90"/>
      <c r="F608" s="90"/>
      <c r="G608" s="90"/>
      <c r="H608" s="91"/>
    </row>
    <row r="609" spans="1:9" s="53" customFormat="1" x14ac:dyDescent="0.35">
      <c r="A609" s="82" t="s">
        <v>771</v>
      </c>
      <c r="B609" s="82"/>
      <c r="C609" s="63" t="s">
        <v>170</v>
      </c>
      <c r="D609" s="66">
        <f>(38.18+2.9*1.2+2.55*0.8+3*0.6)*10.764</f>
        <v>489.76199999999989</v>
      </c>
      <c r="E609" s="63">
        <v>0</v>
      </c>
      <c r="F609" s="63">
        <f t="shared" ref="F609:F624" si="23">D609*1.5+E609</f>
        <v>734.6429999999998</v>
      </c>
      <c r="G609" s="83" t="str">
        <f>A608</f>
        <v>14th Floor</v>
      </c>
      <c r="H609" s="84"/>
    </row>
    <row r="610" spans="1:9" s="53" customFormat="1" x14ac:dyDescent="0.35">
      <c r="A610" s="82" t="s">
        <v>772</v>
      </c>
      <c r="B610" s="82"/>
      <c r="C610" s="63" t="s">
        <v>170</v>
      </c>
      <c r="D610" s="66">
        <f>(37.42+2.9*1.2+2.55*0.8+2.75*0.6)*10.764</f>
        <v>479.96675999999991</v>
      </c>
      <c r="E610" s="63">
        <v>0</v>
      </c>
      <c r="F610" s="63">
        <f t="shared" si="23"/>
        <v>719.95013999999992</v>
      </c>
      <c r="G610" s="85"/>
      <c r="H610" s="86"/>
    </row>
    <row r="611" spans="1:9" s="53" customFormat="1" ht="15.65" customHeight="1" x14ac:dyDescent="0.35">
      <c r="A611" s="82" t="s">
        <v>773</v>
      </c>
      <c r="B611" s="82"/>
      <c r="C611" s="63" t="s">
        <v>170</v>
      </c>
      <c r="D611" s="66">
        <f>(36.45+0.6*2.55+0.5*2.75+1.2*2.9)*10.764</f>
        <v>461.07594</v>
      </c>
      <c r="E611" s="63">
        <v>0</v>
      </c>
      <c r="F611" s="63">
        <f t="shared" si="23"/>
        <v>691.61391000000003</v>
      </c>
      <c r="G611" s="85"/>
      <c r="H611" s="86"/>
    </row>
    <row r="612" spans="1:9" s="53" customFormat="1" ht="15.65" customHeight="1" x14ac:dyDescent="0.35">
      <c r="A612" s="82" t="s">
        <v>774</v>
      </c>
      <c r="B612" s="82"/>
      <c r="C612" s="63" t="s">
        <v>1059</v>
      </c>
      <c r="D612" s="66">
        <f>(61.55+0.6*(2.45+2.9)+1.2*3)*10.764</f>
        <v>735.82703999999978</v>
      </c>
      <c r="E612" s="63">
        <v>0</v>
      </c>
      <c r="F612" s="63">
        <f t="shared" si="23"/>
        <v>1103.7405599999997</v>
      </c>
      <c r="G612" s="85"/>
      <c r="H612" s="86"/>
      <c r="I612" s="54">
        <f>3.1*1.1+3*3.45+2.45*3.05+2.45*3.05+2.9*3.05+1.55*2.35+1.2*1.95+1.15*1.2+2.6*2.35+1.65*0.75+1.5*3</f>
        <v>56.76</v>
      </c>
    </row>
    <row r="613" spans="1:9" s="53" customFormat="1" ht="15.65" customHeight="1" x14ac:dyDescent="0.35">
      <c r="A613" s="82" t="s">
        <v>775</v>
      </c>
      <c r="B613" s="82"/>
      <c r="C613" s="68" t="s">
        <v>1059</v>
      </c>
      <c r="D613" s="66">
        <f>(61.56+0.6*(2.45+2.9)+1.2*3)*10.764</f>
        <v>735.93467999999984</v>
      </c>
      <c r="E613" s="63">
        <v>0</v>
      </c>
      <c r="F613" s="63">
        <f t="shared" si="23"/>
        <v>1103.9020199999998</v>
      </c>
      <c r="G613" s="85"/>
      <c r="H613" s="86"/>
    </row>
    <row r="614" spans="1:9" s="53" customFormat="1" ht="15.65" customHeight="1" x14ac:dyDescent="0.35">
      <c r="A614" s="82" t="s">
        <v>776</v>
      </c>
      <c r="B614" s="82"/>
      <c r="C614" s="63" t="s">
        <v>170</v>
      </c>
      <c r="D614" s="66">
        <f>(35.58+0.6*2.9+1.2*2.75)*10.764</f>
        <v>437.23367999999994</v>
      </c>
      <c r="E614" s="63">
        <v>0</v>
      </c>
      <c r="F614" s="63">
        <f t="shared" si="23"/>
        <v>655.85051999999996</v>
      </c>
      <c r="G614" s="85"/>
      <c r="H614" s="86"/>
    </row>
    <row r="615" spans="1:9" s="53" customFormat="1" x14ac:dyDescent="0.35">
      <c r="A615" s="82" t="s">
        <v>777</v>
      </c>
      <c r="B615" s="82"/>
      <c r="C615" s="63" t="s">
        <v>486</v>
      </c>
      <c r="D615" s="66">
        <f>(28.03+0.6*2.9+1.2*2.75)*10.764</f>
        <v>355.96547999999996</v>
      </c>
      <c r="E615" s="63">
        <v>0</v>
      </c>
      <c r="F615" s="63">
        <f t="shared" si="23"/>
        <v>533.94821999999999</v>
      </c>
      <c r="G615" s="85"/>
      <c r="H615" s="86"/>
      <c r="I615" s="54"/>
    </row>
    <row r="616" spans="1:9" s="53" customFormat="1" x14ac:dyDescent="0.35">
      <c r="A616" s="82" t="s">
        <v>778</v>
      </c>
      <c r="B616" s="82"/>
      <c r="C616" s="68" t="s">
        <v>1059</v>
      </c>
      <c r="D616" s="66">
        <f>(61.97+0.6*(2.9+2.45)+1.2*3)*10.764</f>
        <v>740.34791999999982</v>
      </c>
      <c r="E616" s="63">
        <v>0</v>
      </c>
      <c r="F616" s="63">
        <f t="shared" si="23"/>
        <v>1110.5218799999998</v>
      </c>
      <c r="G616" s="85"/>
      <c r="H616" s="86"/>
      <c r="I616" s="54"/>
    </row>
    <row r="617" spans="1:9" s="53" customFormat="1" x14ac:dyDescent="0.35">
      <c r="A617" s="82" t="s">
        <v>779</v>
      </c>
      <c r="B617" s="82"/>
      <c r="C617" s="63" t="s">
        <v>1058</v>
      </c>
      <c r="D617" s="66">
        <f>(75.06+0.6*(3+2.45+2.9)+1.2*3)*10.764</f>
        <v>900.62387999999999</v>
      </c>
      <c r="E617" s="63">
        <v>0</v>
      </c>
      <c r="F617" s="63">
        <f t="shared" si="23"/>
        <v>1350.9358199999999</v>
      </c>
      <c r="G617" s="85"/>
      <c r="H617" s="86"/>
      <c r="I617" s="54"/>
    </row>
    <row r="618" spans="1:9" s="53" customFormat="1" ht="15.65" customHeight="1" x14ac:dyDescent="0.35">
      <c r="A618" s="82" t="s">
        <v>780</v>
      </c>
      <c r="B618" s="82"/>
      <c r="C618" s="63" t="s">
        <v>486</v>
      </c>
      <c r="D618" s="66">
        <f>(24.41+0.6*2.9+1.2*2.75)*10.764</f>
        <v>316.99979999999999</v>
      </c>
      <c r="E618" s="63">
        <v>0</v>
      </c>
      <c r="F618" s="63">
        <f t="shared" si="23"/>
        <v>475.49969999999996</v>
      </c>
      <c r="G618" s="85"/>
      <c r="H618" s="86"/>
    </row>
    <row r="619" spans="1:9" s="53" customFormat="1" ht="15.65" customHeight="1" x14ac:dyDescent="0.35">
      <c r="A619" s="82" t="s">
        <v>781</v>
      </c>
      <c r="B619" s="82"/>
      <c r="C619" s="63" t="s">
        <v>170</v>
      </c>
      <c r="D619" s="66">
        <f>(35.41+0.6*2.9+1.2*2.78)*10.764</f>
        <v>435.79130399999997</v>
      </c>
      <c r="E619" s="63">
        <v>0</v>
      </c>
      <c r="F619" s="63">
        <f t="shared" si="23"/>
        <v>653.68695600000001</v>
      </c>
      <c r="G619" s="85"/>
      <c r="H619" s="86"/>
    </row>
    <row r="620" spans="1:9" s="53" customFormat="1" ht="15.65" customHeight="1" x14ac:dyDescent="0.35">
      <c r="A620" s="82" t="s">
        <v>782</v>
      </c>
      <c r="B620" s="82"/>
      <c r="C620" s="68" t="s">
        <v>1059</v>
      </c>
      <c r="D620" s="66">
        <f>(61.19+0.6*(2.45+2.9)+1.2*3)*10.764</f>
        <v>731.95199999999977</v>
      </c>
      <c r="E620" s="63">
        <v>0</v>
      </c>
      <c r="F620" s="63">
        <f t="shared" si="23"/>
        <v>1097.9279999999997</v>
      </c>
      <c r="G620" s="85"/>
      <c r="H620" s="86"/>
    </row>
    <row r="621" spans="1:9" s="53" customFormat="1" ht="15.65" customHeight="1" x14ac:dyDescent="0.35">
      <c r="A621" s="82" t="s">
        <v>783</v>
      </c>
      <c r="B621" s="82"/>
      <c r="C621" s="63" t="s">
        <v>170</v>
      </c>
      <c r="D621" s="66">
        <f>(39.34+0.6*(2.75+2.9))*10.764</f>
        <v>459.94571999999999</v>
      </c>
      <c r="E621" s="63">
        <v>0</v>
      </c>
      <c r="F621" s="63">
        <f t="shared" si="23"/>
        <v>689.91858000000002</v>
      </c>
      <c r="G621" s="85"/>
      <c r="H621" s="86"/>
    </row>
    <row r="622" spans="1:9" s="53" customFormat="1" ht="15.65" customHeight="1" x14ac:dyDescent="0.35">
      <c r="A622" s="82" t="s">
        <v>784</v>
      </c>
      <c r="B622" s="82"/>
      <c r="C622" s="63" t="s">
        <v>486</v>
      </c>
      <c r="D622" s="66">
        <f>(23.23+0.6*2.9+1.2*2.75)*10.764</f>
        <v>304.29827999999998</v>
      </c>
      <c r="E622" s="63">
        <v>0</v>
      </c>
      <c r="F622" s="63">
        <f t="shared" si="23"/>
        <v>456.44741999999997</v>
      </c>
      <c r="G622" s="85"/>
      <c r="H622" s="86"/>
    </row>
    <row r="623" spans="1:9" s="53" customFormat="1" ht="15.65" customHeight="1" x14ac:dyDescent="0.35">
      <c r="A623" s="82" t="s">
        <v>785</v>
      </c>
      <c r="B623" s="82"/>
      <c r="C623" s="63" t="s">
        <v>170</v>
      </c>
      <c r="D623" s="66">
        <f>(28.68+0.6*3.05+1.2*2.9)*10.764</f>
        <v>365.86835999999994</v>
      </c>
      <c r="E623" s="63">
        <v>0</v>
      </c>
      <c r="F623" s="63">
        <f t="shared" si="23"/>
        <v>548.80253999999991</v>
      </c>
      <c r="G623" s="85"/>
      <c r="H623" s="86"/>
    </row>
    <row r="624" spans="1:9" s="53" customFormat="1" ht="15.65" customHeight="1" x14ac:dyDescent="0.35">
      <c r="A624" s="82" t="s">
        <v>786</v>
      </c>
      <c r="B624" s="82"/>
      <c r="C624" s="63" t="s">
        <v>486</v>
      </c>
      <c r="D624" s="66">
        <f>(25.47+0.6*(2.9+2.35))*10.764</f>
        <v>308.06567999999993</v>
      </c>
      <c r="E624" s="63">
        <v>0</v>
      </c>
      <c r="F624" s="63">
        <f t="shared" si="23"/>
        <v>462.09851999999989</v>
      </c>
      <c r="G624" s="87"/>
      <c r="H624" s="88"/>
    </row>
    <row r="625" spans="1:9" s="53" customFormat="1" ht="14.5" customHeight="1" x14ac:dyDescent="0.35">
      <c r="A625" s="89" t="s">
        <v>734</v>
      </c>
      <c r="B625" s="90"/>
      <c r="C625" s="90"/>
      <c r="D625" s="90"/>
      <c r="E625" s="90"/>
      <c r="F625" s="90"/>
      <c r="G625" s="90"/>
      <c r="H625" s="91"/>
    </row>
    <row r="626" spans="1:9" s="53" customFormat="1" x14ac:dyDescent="0.35">
      <c r="A626" s="82" t="s">
        <v>787</v>
      </c>
      <c r="B626" s="82"/>
      <c r="C626" s="63" t="s">
        <v>170</v>
      </c>
      <c r="D626" s="66">
        <f>(38.18+2.9*1.2+2.55*0.8+3*0.6)*10.764</f>
        <v>489.76199999999989</v>
      </c>
      <c r="E626" s="63">
        <v>0</v>
      </c>
      <c r="F626" s="63">
        <f t="shared" ref="F626" si="24">D626*1.5+E626</f>
        <v>734.6429999999998</v>
      </c>
      <c r="G626" s="83" t="str">
        <f>A625</f>
        <v>15th Floor (Part Terrace Area)</v>
      </c>
      <c r="H626" s="84"/>
    </row>
    <row r="627" spans="1:9" s="53" customFormat="1" x14ac:dyDescent="0.35">
      <c r="A627" s="82" t="s">
        <v>788</v>
      </c>
      <c r="B627" s="82"/>
      <c r="C627" s="83" t="s">
        <v>643</v>
      </c>
      <c r="D627" s="92"/>
      <c r="E627" s="92"/>
      <c r="F627" s="84"/>
      <c r="G627" s="85"/>
      <c r="H627" s="86"/>
    </row>
    <row r="628" spans="1:9" s="53" customFormat="1" ht="15.65" customHeight="1" x14ac:dyDescent="0.35">
      <c r="A628" s="82" t="s">
        <v>789</v>
      </c>
      <c r="B628" s="82"/>
      <c r="C628" s="87"/>
      <c r="D628" s="93"/>
      <c r="E628" s="93"/>
      <c r="F628" s="88"/>
      <c r="G628" s="85"/>
      <c r="H628" s="86"/>
    </row>
    <row r="629" spans="1:9" s="53" customFormat="1" ht="15.65" customHeight="1" x14ac:dyDescent="0.35">
      <c r="A629" s="82" t="s">
        <v>790</v>
      </c>
      <c r="B629" s="82"/>
      <c r="C629" s="68" t="s">
        <v>1059</v>
      </c>
      <c r="D629" s="66">
        <f>(61.55+0.6*(2.45+2.9)+1.2*3)*10.764</f>
        <v>735.82703999999978</v>
      </c>
      <c r="E629" s="63">
        <v>0</v>
      </c>
      <c r="F629" s="63">
        <f t="shared" ref="F629:F642" si="25">D629*1.5+E629</f>
        <v>1103.7405599999997</v>
      </c>
      <c r="G629" s="85"/>
      <c r="H629" s="86"/>
      <c r="I629" s="54">
        <f>3.1*1.1+3*3.45+2.45*3.05+2.45*3.05+2.9*3.05+1.55*2.35+1.2*1.95+1.15*1.2+2.6*2.35+1.65*0.75+1.5*3</f>
        <v>56.76</v>
      </c>
    </row>
    <row r="630" spans="1:9" s="53" customFormat="1" ht="15.65" customHeight="1" x14ac:dyDescent="0.35">
      <c r="A630" s="82" t="s">
        <v>791</v>
      </c>
      <c r="B630" s="82"/>
      <c r="C630" s="68" t="s">
        <v>1059</v>
      </c>
      <c r="D630" s="66">
        <f>(61.56+0.6*(2.45+2.9)+1.2*3)*10.764</f>
        <v>735.93467999999984</v>
      </c>
      <c r="E630" s="63">
        <v>0</v>
      </c>
      <c r="F630" s="63">
        <f t="shared" si="25"/>
        <v>1103.9020199999998</v>
      </c>
      <c r="G630" s="85"/>
      <c r="H630" s="86"/>
    </row>
    <row r="631" spans="1:9" s="53" customFormat="1" ht="15.65" customHeight="1" x14ac:dyDescent="0.35">
      <c r="A631" s="82" t="s">
        <v>792</v>
      </c>
      <c r="B631" s="82"/>
      <c r="C631" s="63" t="s">
        <v>170</v>
      </c>
      <c r="D631" s="66">
        <f>(35.58+0.6*2.9+1.2*2.75)*10.764</f>
        <v>437.23367999999994</v>
      </c>
      <c r="E631" s="63">
        <v>0</v>
      </c>
      <c r="F631" s="63">
        <f t="shared" si="25"/>
        <v>655.85051999999996</v>
      </c>
      <c r="G631" s="85"/>
      <c r="H631" s="86"/>
    </row>
    <row r="632" spans="1:9" s="53" customFormat="1" x14ac:dyDescent="0.35">
      <c r="A632" s="82" t="s">
        <v>793</v>
      </c>
      <c r="B632" s="82"/>
      <c r="C632" s="63" t="s">
        <v>486</v>
      </c>
      <c r="D632" s="66">
        <f>(28.03+0.6*2.9+1.2*2.75)*10.764</f>
        <v>355.96547999999996</v>
      </c>
      <c r="E632" s="63">
        <v>0</v>
      </c>
      <c r="F632" s="63">
        <f t="shared" si="25"/>
        <v>533.94821999999999</v>
      </c>
      <c r="G632" s="85"/>
      <c r="H632" s="86"/>
      <c r="I632" s="54"/>
    </row>
    <row r="633" spans="1:9" s="53" customFormat="1" x14ac:dyDescent="0.35">
      <c r="A633" s="82" t="s">
        <v>794</v>
      </c>
      <c r="B633" s="82"/>
      <c r="C633" s="68" t="s">
        <v>1059</v>
      </c>
      <c r="D633" s="66">
        <f>(61.97+0.6*(2.9+2.45)+1.2*3)*10.764</f>
        <v>740.34791999999982</v>
      </c>
      <c r="E633" s="63">
        <v>0</v>
      </c>
      <c r="F633" s="63">
        <f t="shared" si="25"/>
        <v>1110.5218799999998</v>
      </c>
      <c r="G633" s="85"/>
      <c r="H633" s="86"/>
      <c r="I633" s="54"/>
    </row>
    <row r="634" spans="1:9" s="53" customFormat="1" x14ac:dyDescent="0.35">
      <c r="A634" s="82" t="s">
        <v>795</v>
      </c>
      <c r="B634" s="82"/>
      <c r="C634" s="63" t="s">
        <v>486</v>
      </c>
      <c r="D634" s="66">
        <f>(24.52+0.6*3+1.2*3)*10.764</f>
        <v>322.05887999999999</v>
      </c>
      <c r="E634" s="63">
        <v>0</v>
      </c>
      <c r="F634" s="63">
        <f t="shared" si="25"/>
        <v>483.08831999999995</v>
      </c>
      <c r="G634" s="85"/>
      <c r="H634" s="86"/>
      <c r="I634" s="54"/>
    </row>
    <row r="635" spans="1:9" s="53" customFormat="1" ht="15.65" customHeight="1" x14ac:dyDescent="0.35">
      <c r="A635" s="82" t="s">
        <v>796</v>
      </c>
      <c r="B635" s="82"/>
      <c r="C635" s="63" t="s">
        <v>170</v>
      </c>
      <c r="D635" s="66">
        <f>(36.82+0.6*2.9+1.2*2.5)*10.764</f>
        <v>447.35183999999998</v>
      </c>
      <c r="E635" s="63">
        <v>0</v>
      </c>
      <c r="F635" s="63">
        <f t="shared" si="25"/>
        <v>671.02775999999994</v>
      </c>
      <c r="G635" s="85"/>
      <c r="H635" s="86"/>
    </row>
    <row r="636" spans="1:9" s="53" customFormat="1" ht="15.65" customHeight="1" x14ac:dyDescent="0.35">
      <c r="A636" s="82" t="s">
        <v>797</v>
      </c>
      <c r="B636" s="82"/>
      <c r="C636" s="63" t="s">
        <v>486</v>
      </c>
      <c r="D636" s="66">
        <f>(24.41+0.6*2.9+1.2*2.75)*10.764</f>
        <v>316.99979999999999</v>
      </c>
      <c r="E636" s="63">
        <v>0</v>
      </c>
      <c r="F636" s="63">
        <f t="shared" si="25"/>
        <v>475.49969999999996</v>
      </c>
      <c r="G636" s="85"/>
      <c r="H636" s="86"/>
    </row>
    <row r="637" spans="1:9" s="53" customFormat="1" ht="15.65" customHeight="1" x14ac:dyDescent="0.35">
      <c r="A637" s="82" t="s">
        <v>798</v>
      </c>
      <c r="B637" s="82"/>
      <c r="C637" s="63" t="s">
        <v>170</v>
      </c>
      <c r="D637" s="66">
        <f>(35.41+0.6*2.9+1.2*2.78)*10.764</f>
        <v>435.79130399999997</v>
      </c>
      <c r="E637" s="63">
        <v>0</v>
      </c>
      <c r="F637" s="63">
        <f t="shared" si="25"/>
        <v>653.68695600000001</v>
      </c>
      <c r="G637" s="85"/>
      <c r="H637" s="86"/>
    </row>
    <row r="638" spans="1:9" s="53" customFormat="1" ht="15.65" customHeight="1" x14ac:dyDescent="0.35">
      <c r="A638" s="82" t="s">
        <v>799</v>
      </c>
      <c r="B638" s="82"/>
      <c r="C638" s="68" t="s">
        <v>1059</v>
      </c>
      <c r="D638" s="66">
        <f>(61.19+0.6*(2.45+2.9)+1.2*3)*10.764</f>
        <v>731.95199999999977</v>
      </c>
      <c r="E638" s="63">
        <v>0</v>
      </c>
      <c r="F638" s="63">
        <f t="shared" si="25"/>
        <v>1097.9279999999997</v>
      </c>
      <c r="G638" s="85"/>
      <c r="H638" s="86"/>
    </row>
    <row r="639" spans="1:9" s="53" customFormat="1" ht="15.65" customHeight="1" x14ac:dyDescent="0.35">
      <c r="A639" s="82" t="s">
        <v>800</v>
      </c>
      <c r="B639" s="82"/>
      <c r="C639" s="63" t="s">
        <v>170</v>
      </c>
      <c r="D639" s="66">
        <f>(39.34+0.6*(2.75+2.9))*10.764</f>
        <v>459.94571999999999</v>
      </c>
      <c r="E639" s="63">
        <v>0</v>
      </c>
      <c r="F639" s="63">
        <f t="shared" si="25"/>
        <v>689.91858000000002</v>
      </c>
      <c r="G639" s="85"/>
      <c r="H639" s="86"/>
    </row>
    <row r="640" spans="1:9" s="53" customFormat="1" ht="15.65" customHeight="1" x14ac:dyDescent="0.35">
      <c r="A640" s="82" t="s">
        <v>801</v>
      </c>
      <c r="B640" s="82"/>
      <c r="C640" s="63" t="s">
        <v>486</v>
      </c>
      <c r="D640" s="66">
        <f>(23.23+0.6*2.9+1.2*2.75)*10.764</f>
        <v>304.29827999999998</v>
      </c>
      <c r="E640" s="63">
        <v>0</v>
      </c>
      <c r="F640" s="63">
        <f t="shared" si="25"/>
        <v>456.44741999999997</v>
      </c>
      <c r="G640" s="85"/>
      <c r="H640" s="86"/>
    </row>
    <row r="641" spans="1:9" s="53" customFormat="1" ht="15.65" customHeight="1" x14ac:dyDescent="0.35">
      <c r="A641" s="82" t="s">
        <v>802</v>
      </c>
      <c r="B641" s="82"/>
      <c r="C641" s="63" t="s">
        <v>170</v>
      </c>
      <c r="D641" s="66">
        <f>(28.68+0.6*3.05+1.2*2.9)*10.764</f>
        <v>365.86835999999994</v>
      </c>
      <c r="E641" s="63">
        <v>0</v>
      </c>
      <c r="F641" s="63">
        <f t="shared" si="25"/>
        <v>548.80253999999991</v>
      </c>
      <c r="G641" s="85"/>
      <c r="H641" s="86"/>
    </row>
    <row r="642" spans="1:9" s="53" customFormat="1" ht="15.65" customHeight="1" x14ac:dyDescent="0.35">
      <c r="A642" s="82" t="s">
        <v>803</v>
      </c>
      <c r="B642" s="82"/>
      <c r="C642" s="63" t="s">
        <v>486</v>
      </c>
      <c r="D642" s="66">
        <f>(25.47+0.6*(2.9+2.35))*10.764</f>
        <v>308.06567999999993</v>
      </c>
      <c r="E642" s="63">
        <v>0</v>
      </c>
      <c r="F642" s="63">
        <f t="shared" si="25"/>
        <v>462.09851999999989</v>
      </c>
      <c r="G642" s="87"/>
      <c r="H642" s="88"/>
    </row>
    <row r="643" spans="1:9" s="53" customFormat="1" ht="14.5" customHeight="1" x14ac:dyDescent="0.35">
      <c r="A643" s="89" t="s">
        <v>735</v>
      </c>
      <c r="B643" s="90"/>
      <c r="C643" s="90"/>
      <c r="D643" s="90"/>
      <c r="E643" s="90"/>
      <c r="F643" s="90"/>
      <c r="G643" s="90"/>
      <c r="H643" s="91"/>
    </row>
    <row r="644" spans="1:9" s="53" customFormat="1" x14ac:dyDescent="0.35">
      <c r="A644" s="82" t="s">
        <v>804</v>
      </c>
      <c r="B644" s="82"/>
      <c r="C644" s="63" t="s">
        <v>170</v>
      </c>
      <c r="D644" s="66">
        <f>(38.18+2.9*1.2+2.55*0.8+3*0.6)*10.764</f>
        <v>489.76199999999989</v>
      </c>
      <c r="E644" s="63">
        <v>0</v>
      </c>
      <c r="F644" s="63">
        <f t="shared" ref="F644" si="26">D644*1.5+E644</f>
        <v>734.6429999999998</v>
      </c>
      <c r="G644" s="83" t="str">
        <f>A643</f>
        <v>16th Floor</v>
      </c>
      <c r="H644" s="84"/>
    </row>
    <row r="645" spans="1:9" s="53" customFormat="1" x14ac:dyDescent="0.35">
      <c r="A645" s="82" t="s">
        <v>805</v>
      </c>
      <c r="B645" s="82"/>
      <c r="C645" s="83" t="s">
        <v>669</v>
      </c>
      <c r="D645" s="92"/>
      <c r="E645" s="92"/>
      <c r="F645" s="84"/>
      <c r="G645" s="85"/>
      <c r="H645" s="86"/>
    </row>
    <row r="646" spans="1:9" s="53" customFormat="1" ht="15.65" customHeight="1" x14ac:dyDescent="0.35">
      <c r="A646" s="82" t="s">
        <v>806</v>
      </c>
      <c r="B646" s="82"/>
      <c r="C646" s="87"/>
      <c r="D646" s="93"/>
      <c r="E646" s="93"/>
      <c r="F646" s="88"/>
      <c r="G646" s="85"/>
      <c r="H646" s="86"/>
    </row>
    <row r="647" spans="1:9" s="53" customFormat="1" ht="15.65" customHeight="1" x14ac:dyDescent="0.35">
      <c r="A647" s="82" t="s">
        <v>807</v>
      </c>
      <c r="B647" s="82"/>
      <c r="C647" s="68" t="s">
        <v>1059</v>
      </c>
      <c r="D647" s="66">
        <f>(61.55+0.6*(2.45+2.9)+1.2*3)*10.764</f>
        <v>735.82703999999978</v>
      </c>
      <c r="E647" s="63">
        <v>0</v>
      </c>
      <c r="F647" s="63">
        <f t="shared" ref="F647:F660" si="27">D647*1.5+E647</f>
        <v>1103.7405599999997</v>
      </c>
      <c r="G647" s="85"/>
      <c r="H647" s="86"/>
      <c r="I647" s="54">
        <f>3.1*1.1+3*3.45+2.45*3.05+2.45*3.05+2.9*3.05+1.55*2.35+1.2*1.95+1.15*1.2+2.6*2.35+1.65*0.75+1.5*3</f>
        <v>56.76</v>
      </c>
    </row>
    <row r="648" spans="1:9" s="53" customFormat="1" ht="15.65" customHeight="1" x14ac:dyDescent="0.35">
      <c r="A648" s="82" t="s">
        <v>808</v>
      </c>
      <c r="B648" s="82"/>
      <c r="C648" s="68" t="s">
        <v>1059</v>
      </c>
      <c r="D648" s="66">
        <f>(61.56+0.6*(2.45+2.9)+1.2*3)*10.764</f>
        <v>735.93467999999984</v>
      </c>
      <c r="E648" s="63">
        <v>0</v>
      </c>
      <c r="F648" s="63">
        <f t="shared" si="27"/>
        <v>1103.9020199999998</v>
      </c>
      <c r="G648" s="85"/>
      <c r="H648" s="86"/>
    </row>
    <row r="649" spans="1:9" s="53" customFormat="1" ht="15.65" customHeight="1" x14ac:dyDescent="0.35">
      <c r="A649" s="82" t="s">
        <v>809</v>
      </c>
      <c r="B649" s="82"/>
      <c r="C649" s="63" t="s">
        <v>170</v>
      </c>
      <c r="D649" s="66">
        <f>(35.58+0.6*2.9+1.2*2.75)*10.764</f>
        <v>437.23367999999994</v>
      </c>
      <c r="E649" s="63">
        <v>0</v>
      </c>
      <c r="F649" s="63">
        <f t="shared" si="27"/>
        <v>655.85051999999996</v>
      </c>
      <c r="G649" s="85"/>
      <c r="H649" s="86"/>
    </row>
    <row r="650" spans="1:9" s="53" customFormat="1" x14ac:dyDescent="0.35">
      <c r="A650" s="82" t="s">
        <v>810</v>
      </c>
      <c r="B650" s="82"/>
      <c r="C650" s="63" t="s">
        <v>486</v>
      </c>
      <c r="D650" s="66">
        <f>(28.03+0.6*2.9+1.2*2.75)*10.764</f>
        <v>355.96547999999996</v>
      </c>
      <c r="E650" s="63">
        <v>0</v>
      </c>
      <c r="F650" s="63">
        <f t="shared" si="27"/>
        <v>533.94821999999999</v>
      </c>
      <c r="G650" s="85"/>
      <c r="H650" s="86"/>
      <c r="I650" s="54"/>
    </row>
    <row r="651" spans="1:9" s="53" customFormat="1" x14ac:dyDescent="0.35">
      <c r="A651" s="82" t="s">
        <v>811</v>
      </c>
      <c r="B651" s="82"/>
      <c r="C651" s="68" t="s">
        <v>1059</v>
      </c>
      <c r="D651" s="66">
        <f>(61.97+0.6*(2.9+2.45)+1.2*3)*10.764</f>
        <v>740.34791999999982</v>
      </c>
      <c r="E651" s="63">
        <v>0</v>
      </c>
      <c r="F651" s="63">
        <f t="shared" si="27"/>
        <v>1110.5218799999998</v>
      </c>
      <c r="G651" s="85"/>
      <c r="H651" s="86"/>
      <c r="I651" s="54"/>
    </row>
    <row r="652" spans="1:9" s="53" customFormat="1" x14ac:dyDescent="0.35">
      <c r="A652" s="82" t="s">
        <v>812</v>
      </c>
      <c r="B652" s="82"/>
      <c r="C652" s="63" t="s">
        <v>486</v>
      </c>
      <c r="D652" s="66">
        <f>(24.52+0.6*3+1.2*3)*10.764</f>
        <v>322.05887999999999</v>
      </c>
      <c r="E652" s="63">
        <v>0</v>
      </c>
      <c r="F652" s="63">
        <f t="shared" si="27"/>
        <v>483.08831999999995</v>
      </c>
      <c r="G652" s="85"/>
      <c r="H652" s="86"/>
      <c r="I652" s="54"/>
    </row>
    <row r="653" spans="1:9" s="53" customFormat="1" ht="15.65" customHeight="1" x14ac:dyDescent="0.35">
      <c r="A653" s="82" t="s">
        <v>813</v>
      </c>
      <c r="B653" s="82"/>
      <c r="C653" s="63" t="s">
        <v>170</v>
      </c>
      <c r="D653" s="66">
        <f>(36.82+0.6*2.9+1.2*2.5)*10.764</f>
        <v>447.35183999999998</v>
      </c>
      <c r="E653" s="63">
        <v>0</v>
      </c>
      <c r="F653" s="63">
        <f t="shared" si="27"/>
        <v>671.02775999999994</v>
      </c>
      <c r="G653" s="85"/>
      <c r="H653" s="86"/>
    </row>
    <row r="654" spans="1:9" s="53" customFormat="1" ht="15.65" customHeight="1" x14ac:dyDescent="0.35">
      <c r="A654" s="82" t="s">
        <v>814</v>
      </c>
      <c r="B654" s="82"/>
      <c r="C654" s="63" t="s">
        <v>486</v>
      </c>
      <c r="D654" s="66">
        <f>(24.41+0.6*2.9+1.2*2.75)*10.764</f>
        <v>316.99979999999999</v>
      </c>
      <c r="E654" s="63">
        <v>0</v>
      </c>
      <c r="F654" s="63">
        <f t="shared" si="27"/>
        <v>475.49969999999996</v>
      </c>
      <c r="G654" s="85"/>
      <c r="H654" s="86"/>
    </row>
    <row r="655" spans="1:9" s="53" customFormat="1" ht="15.65" customHeight="1" x14ac:dyDescent="0.35">
      <c r="A655" s="82" t="s">
        <v>815</v>
      </c>
      <c r="B655" s="82"/>
      <c r="C655" s="63" t="s">
        <v>170</v>
      </c>
      <c r="D655" s="66">
        <f>(35.41+0.6*2.9+1.2*2.78)*10.764</f>
        <v>435.79130399999997</v>
      </c>
      <c r="E655" s="63">
        <v>0</v>
      </c>
      <c r="F655" s="63">
        <f t="shared" si="27"/>
        <v>653.68695600000001</v>
      </c>
      <c r="G655" s="85"/>
      <c r="H655" s="86"/>
    </row>
    <row r="656" spans="1:9" s="53" customFormat="1" ht="15.65" customHeight="1" x14ac:dyDescent="0.35">
      <c r="A656" s="82" t="s">
        <v>816</v>
      </c>
      <c r="B656" s="82"/>
      <c r="C656" s="68" t="s">
        <v>1059</v>
      </c>
      <c r="D656" s="66">
        <f>(61.19+0.6*(2.45+2.9)+1.2*3)*10.764</f>
        <v>731.95199999999977</v>
      </c>
      <c r="E656" s="63">
        <v>0</v>
      </c>
      <c r="F656" s="63">
        <f t="shared" si="27"/>
        <v>1097.9279999999997</v>
      </c>
      <c r="G656" s="85"/>
      <c r="H656" s="86"/>
    </row>
    <row r="657" spans="1:9" s="53" customFormat="1" ht="15.65" customHeight="1" x14ac:dyDescent="0.35">
      <c r="A657" s="82" t="s">
        <v>817</v>
      </c>
      <c r="B657" s="82"/>
      <c r="C657" s="63" t="s">
        <v>170</v>
      </c>
      <c r="D657" s="66">
        <f>(39.34+0.6*(2.75+2.9))*10.764</f>
        <v>459.94571999999999</v>
      </c>
      <c r="E657" s="63">
        <v>0</v>
      </c>
      <c r="F657" s="63">
        <f t="shared" si="27"/>
        <v>689.91858000000002</v>
      </c>
      <c r="G657" s="85"/>
      <c r="H657" s="86"/>
    </row>
    <row r="658" spans="1:9" s="53" customFormat="1" ht="15.65" customHeight="1" x14ac:dyDescent="0.35">
      <c r="A658" s="82" t="s">
        <v>818</v>
      </c>
      <c r="B658" s="82"/>
      <c r="C658" s="63" t="s">
        <v>486</v>
      </c>
      <c r="D658" s="66">
        <f>(23.23+0.6*2.9+1.2*2.75)*10.764</f>
        <v>304.29827999999998</v>
      </c>
      <c r="E658" s="63">
        <v>0</v>
      </c>
      <c r="F658" s="63">
        <f t="shared" si="27"/>
        <v>456.44741999999997</v>
      </c>
      <c r="G658" s="85"/>
      <c r="H658" s="86"/>
    </row>
    <row r="659" spans="1:9" s="53" customFormat="1" ht="15.65" customHeight="1" x14ac:dyDescent="0.35">
      <c r="A659" s="82" t="s">
        <v>819</v>
      </c>
      <c r="B659" s="82"/>
      <c r="C659" s="63" t="s">
        <v>170</v>
      </c>
      <c r="D659" s="66">
        <f>(28.68+0.6*3.05+1.2*2.9)*10.764</f>
        <v>365.86835999999994</v>
      </c>
      <c r="E659" s="63">
        <v>0</v>
      </c>
      <c r="F659" s="63">
        <f t="shared" si="27"/>
        <v>548.80253999999991</v>
      </c>
      <c r="G659" s="85"/>
      <c r="H659" s="86"/>
    </row>
    <row r="660" spans="1:9" s="53" customFormat="1" ht="15.65" customHeight="1" x14ac:dyDescent="0.35">
      <c r="A660" s="82" t="s">
        <v>820</v>
      </c>
      <c r="B660" s="82"/>
      <c r="C660" s="63" t="s">
        <v>486</v>
      </c>
      <c r="D660" s="66">
        <f>(25.47+0.6*(2.9+2.35))*10.764</f>
        <v>308.06567999999993</v>
      </c>
      <c r="E660" s="63">
        <v>0</v>
      </c>
      <c r="F660" s="63">
        <f t="shared" si="27"/>
        <v>462.09851999999989</v>
      </c>
      <c r="G660" s="87"/>
      <c r="H660" s="88"/>
    </row>
    <row r="661" spans="1:9" s="53" customFormat="1" ht="14.5" customHeight="1" x14ac:dyDescent="0.35">
      <c r="A661" s="89" t="s">
        <v>736</v>
      </c>
      <c r="B661" s="90"/>
      <c r="C661" s="90"/>
      <c r="D661" s="90"/>
      <c r="E661" s="90"/>
      <c r="F661" s="90"/>
      <c r="G661" s="90"/>
      <c r="H661" s="91"/>
    </row>
    <row r="662" spans="1:9" s="53" customFormat="1" x14ac:dyDescent="0.35">
      <c r="A662" s="82" t="s">
        <v>821</v>
      </c>
      <c r="B662" s="82"/>
      <c r="C662" s="63" t="s">
        <v>170</v>
      </c>
      <c r="D662" s="66">
        <f>(38.18+2.9*1.2+2.55*0.8+3*0.6)*10.764</f>
        <v>489.76199999999989</v>
      </c>
      <c r="E662" s="63">
        <v>0</v>
      </c>
      <c r="F662" s="63">
        <f t="shared" ref="F662:F675" si="28">D662*1.5+E662</f>
        <v>734.6429999999998</v>
      </c>
      <c r="G662" s="83" t="str">
        <f>A661</f>
        <v>17th Floor</v>
      </c>
      <c r="H662" s="84"/>
    </row>
    <row r="663" spans="1:9" s="53" customFormat="1" ht="15.65" customHeight="1" x14ac:dyDescent="0.35">
      <c r="A663" s="82" t="s">
        <v>822</v>
      </c>
      <c r="B663" s="82"/>
      <c r="C663" s="68" t="s">
        <v>1059</v>
      </c>
      <c r="D663" s="66">
        <f>(61.55+0.6*(2.45+2.9)+1.2*3)*10.764</f>
        <v>735.82703999999978</v>
      </c>
      <c r="E663" s="63">
        <v>0</v>
      </c>
      <c r="F663" s="63">
        <f t="shared" si="28"/>
        <v>1103.7405599999997</v>
      </c>
      <c r="G663" s="85"/>
      <c r="H663" s="86"/>
      <c r="I663" s="54">
        <f>3.1*1.1+3*3.45+2.45*3.05+2.45*3.05+2.9*3.05+1.55*2.35+1.2*1.95+1.15*1.2+2.6*2.35+1.65*0.75+1.5*3</f>
        <v>56.76</v>
      </c>
    </row>
    <row r="664" spans="1:9" s="53" customFormat="1" ht="15.65" customHeight="1" x14ac:dyDescent="0.35">
      <c r="A664" s="82" t="s">
        <v>823</v>
      </c>
      <c r="B664" s="82"/>
      <c r="C664" s="68" t="s">
        <v>1059</v>
      </c>
      <c r="D664" s="66">
        <f>(61.56+0.6*(2.45+2.9)+1.2*3)*10.764</f>
        <v>735.93467999999984</v>
      </c>
      <c r="E664" s="63">
        <v>0</v>
      </c>
      <c r="F664" s="63">
        <f t="shared" si="28"/>
        <v>1103.9020199999998</v>
      </c>
      <c r="G664" s="85"/>
      <c r="H664" s="86"/>
    </row>
    <row r="665" spans="1:9" s="53" customFormat="1" ht="15.65" customHeight="1" x14ac:dyDescent="0.35">
      <c r="A665" s="82" t="s">
        <v>824</v>
      </c>
      <c r="B665" s="82"/>
      <c r="C665" s="63" t="s">
        <v>170</v>
      </c>
      <c r="D665" s="66">
        <f>(35.58+0.6*2.9+1.2*2.75)*10.764</f>
        <v>437.23367999999994</v>
      </c>
      <c r="E665" s="63">
        <v>0</v>
      </c>
      <c r="F665" s="63">
        <f t="shared" si="28"/>
        <v>655.85051999999996</v>
      </c>
      <c r="G665" s="85"/>
      <c r="H665" s="86"/>
    </row>
    <row r="666" spans="1:9" s="53" customFormat="1" x14ac:dyDescent="0.35">
      <c r="A666" s="82" t="s">
        <v>825</v>
      </c>
      <c r="B666" s="82"/>
      <c r="C666" s="63" t="s">
        <v>486</v>
      </c>
      <c r="D666" s="66">
        <f>(28.03+0.6*2.9+1.2*2.75)*10.764</f>
        <v>355.96547999999996</v>
      </c>
      <c r="E666" s="63">
        <v>0</v>
      </c>
      <c r="F666" s="63">
        <f t="shared" si="28"/>
        <v>533.94821999999999</v>
      </c>
      <c r="G666" s="85"/>
      <c r="H666" s="86"/>
      <c r="I666" s="54"/>
    </row>
    <row r="667" spans="1:9" s="53" customFormat="1" x14ac:dyDescent="0.35">
      <c r="A667" s="82" t="s">
        <v>826</v>
      </c>
      <c r="B667" s="82"/>
      <c r="C667" s="68" t="s">
        <v>1059</v>
      </c>
      <c r="D667" s="66">
        <f>(61.97+0.6*(2.9+2.45)+1.2*3)*10.764</f>
        <v>740.34791999999982</v>
      </c>
      <c r="E667" s="63">
        <v>0</v>
      </c>
      <c r="F667" s="63">
        <f t="shared" si="28"/>
        <v>1110.5218799999998</v>
      </c>
      <c r="G667" s="85"/>
      <c r="H667" s="86"/>
      <c r="I667" s="54"/>
    </row>
    <row r="668" spans="1:9" s="53" customFormat="1" x14ac:dyDescent="0.35">
      <c r="A668" s="82" t="s">
        <v>827</v>
      </c>
      <c r="B668" s="82"/>
      <c r="C668" s="63" t="s">
        <v>486</v>
      </c>
      <c r="D668" s="66">
        <f>(24.52+0.6*3+1.2*3)*10.764</f>
        <v>322.05887999999999</v>
      </c>
      <c r="E668" s="63">
        <v>0</v>
      </c>
      <c r="F668" s="63">
        <f t="shared" si="28"/>
        <v>483.08831999999995</v>
      </c>
      <c r="G668" s="85"/>
      <c r="H668" s="86"/>
      <c r="I668" s="54"/>
    </row>
    <row r="669" spans="1:9" s="53" customFormat="1" ht="15.65" customHeight="1" x14ac:dyDescent="0.35">
      <c r="A669" s="82" t="s">
        <v>828</v>
      </c>
      <c r="B669" s="82"/>
      <c r="C669" s="63" t="s">
        <v>170</v>
      </c>
      <c r="D669" s="66">
        <f>(36.82+0.6*2.9+1.2*2.5)*10.764</f>
        <v>447.35183999999998</v>
      </c>
      <c r="E669" s="63">
        <v>0</v>
      </c>
      <c r="F669" s="63">
        <f t="shared" si="28"/>
        <v>671.02775999999994</v>
      </c>
      <c r="G669" s="85"/>
      <c r="H669" s="86"/>
    </row>
    <row r="670" spans="1:9" s="53" customFormat="1" ht="15.65" customHeight="1" x14ac:dyDescent="0.35">
      <c r="A670" s="82" t="s">
        <v>829</v>
      </c>
      <c r="B670" s="82"/>
      <c r="C670" s="63" t="s">
        <v>486</v>
      </c>
      <c r="D670" s="66">
        <f>(24.41+0.6*2.9+1.2*2.75)*10.764</f>
        <v>316.99979999999999</v>
      </c>
      <c r="E670" s="63">
        <v>0</v>
      </c>
      <c r="F670" s="63">
        <f t="shared" si="28"/>
        <v>475.49969999999996</v>
      </c>
      <c r="G670" s="85"/>
      <c r="H670" s="86"/>
    </row>
    <row r="671" spans="1:9" s="53" customFormat="1" ht="15.65" customHeight="1" x14ac:dyDescent="0.35">
      <c r="A671" s="82" t="s">
        <v>830</v>
      </c>
      <c r="B671" s="82"/>
      <c r="C671" s="63" t="s">
        <v>170</v>
      </c>
      <c r="D671" s="66">
        <f>(35.41+0.6*2.9+1.2*2.78)*10.764</f>
        <v>435.79130399999997</v>
      </c>
      <c r="E671" s="63">
        <v>0</v>
      </c>
      <c r="F671" s="63">
        <f t="shared" si="28"/>
        <v>653.68695600000001</v>
      </c>
      <c r="G671" s="85"/>
      <c r="H671" s="86"/>
    </row>
    <row r="672" spans="1:9" s="53" customFormat="1" ht="15.65" customHeight="1" x14ac:dyDescent="0.35">
      <c r="A672" s="82" t="s">
        <v>831</v>
      </c>
      <c r="B672" s="82"/>
      <c r="C672" s="68" t="s">
        <v>1059</v>
      </c>
      <c r="D672" s="66">
        <f>(61.19+0.6*(2.45+2.9)+1.2*3)*10.764</f>
        <v>731.95199999999977</v>
      </c>
      <c r="E672" s="63">
        <v>0</v>
      </c>
      <c r="F672" s="63">
        <f t="shared" si="28"/>
        <v>1097.9279999999997</v>
      </c>
      <c r="G672" s="85"/>
      <c r="H672" s="86"/>
    </row>
    <row r="673" spans="1:9" s="53" customFormat="1" ht="15.65" customHeight="1" x14ac:dyDescent="0.35">
      <c r="A673" s="82" t="s">
        <v>832</v>
      </c>
      <c r="B673" s="82"/>
      <c r="C673" s="63" t="s">
        <v>170</v>
      </c>
      <c r="D673" s="66">
        <f>(39.34+0.6*(2.75+2.9))*10.764</f>
        <v>459.94571999999999</v>
      </c>
      <c r="E673" s="63">
        <v>0</v>
      </c>
      <c r="F673" s="63">
        <f t="shared" si="28"/>
        <v>689.91858000000002</v>
      </c>
      <c r="G673" s="85"/>
      <c r="H673" s="86"/>
    </row>
    <row r="674" spans="1:9" s="53" customFormat="1" ht="15.65" customHeight="1" x14ac:dyDescent="0.35">
      <c r="A674" s="82" t="s">
        <v>833</v>
      </c>
      <c r="B674" s="82"/>
      <c r="C674" s="63" t="s">
        <v>486</v>
      </c>
      <c r="D674" s="66">
        <f>(23.23+0.6*2.9+1.2*2.75)*10.764</f>
        <v>304.29827999999998</v>
      </c>
      <c r="E674" s="63">
        <v>0</v>
      </c>
      <c r="F674" s="63">
        <f t="shared" si="28"/>
        <v>456.44741999999997</v>
      </c>
      <c r="G674" s="85"/>
      <c r="H674" s="86"/>
    </row>
    <row r="675" spans="1:9" s="53" customFormat="1" ht="15.65" customHeight="1" x14ac:dyDescent="0.35">
      <c r="A675" s="82" t="s">
        <v>834</v>
      </c>
      <c r="B675" s="82"/>
      <c r="C675" s="63" t="s">
        <v>1058</v>
      </c>
      <c r="D675" s="66">
        <f>(68.75+0.6*(3.05+2.3+2.75)+1.2*2.9)*10.764</f>
        <v>829.79675999999995</v>
      </c>
      <c r="E675" s="63">
        <v>0</v>
      </c>
      <c r="F675" s="63">
        <f t="shared" si="28"/>
        <v>1244.6951399999998</v>
      </c>
      <c r="G675" s="85"/>
      <c r="H675" s="86"/>
    </row>
    <row r="676" spans="1:9" s="53" customFormat="1" ht="14.5" customHeight="1" x14ac:dyDescent="0.35">
      <c r="A676" s="89" t="s">
        <v>737</v>
      </c>
      <c r="B676" s="90"/>
      <c r="C676" s="90"/>
      <c r="D676" s="90"/>
      <c r="E676" s="90"/>
      <c r="F676" s="90"/>
      <c r="G676" s="90"/>
      <c r="H676" s="91"/>
    </row>
    <row r="677" spans="1:9" s="53" customFormat="1" x14ac:dyDescent="0.35">
      <c r="A677" s="82" t="s">
        <v>835</v>
      </c>
      <c r="B677" s="82"/>
      <c r="C677" s="63" t="s">
        <v>170</v>
      </c>
      <c r="D677" s="66">
        <f>(38.18+2.9*1.2+2.55*0.8+3*0.6)*10.764</f>
        <v>489.76199999999989</v>
      </c>
      <c r="E677" s="63">
        <v>0</v>
      </c>
      <c r="F677" s="63">
        <f t="shared" ref="F677:F691" si="29">D677*1.5+E677</f>
        <v>734.6429999999998</v>
      </c>
      <c r="G677" s="83" t="str">
        <f>A676</f>
        <v>18th Floor</v>
      </c>
      <c r="H677" s="84"/>
    </row>
    <row r="678" spans="1:9" s="53" customFormat="1" ht="15.65" customHeight="1" x14ac:dyDescent="0.35">
      <c r="A678" s="82" t="s">
        <v>836</v>
      </c>
      <c r="B678" s="82"/>
      <c r="C678" s="68" t="s">
        <v>1059</v>
      </c>
      <c r="D678" s="66">
        <f>(61.55+0.6*(2.45+2.9)+1.2*3)*10.764</f>
        <v>735.82703999999978</v>
      </c>
      <c r="E678" s="63">
        <v>0</v>
      </c>
      <c r="F678" s="63">
        <f t="shared" si="29"/>
        <v>1103.7405599999997</v>
      </c>
      <c r="G678" s="85"/>
      <c r="H678" s="86"/>
      <c r="I678" s="54">
        <f>3.1*1.1+3*3.45+2.45*3.05+2.45*3.05+2.9*3.05+1.55*2.35+1.2*1.95+1.15*1.2+2.6*2.35+1.65*0.75+1.5*3</f>
        <v>56.76</v>
      </c>
    </row>
    <row r="679" spans="1:9" s="53" customFormat="1" ht="15.65" customHeight="1" x14ac:dyDescent="0.35">
      <c r="A679" s="82" t="s">
        <v>837</v>
      </c>
      <c r="B679" s="82"/>
      <c r="C679" s="68" t="s">
        <v>1059</v>
      </c>
      <c r="D679" s="66">
        <f>(61.56+0.6*(2.45+2.9)+1.2*3)*10.764</f>
        <v>735.93467999999984</v>
      </c>
      <c r="E679" s="63">
        <v>0</v>
      </c>
      <c r="F679" s="63">
        <f t="shared" si="29"/>
        <v>1103.9020199999998</v>
      </c>
      <c r="G679" s="85"/>
      <c r="H679" s="86"/>
    </row>
    <row r="680" spans="1:9" s="53" customFormat="1" ht="15.65" customHeight="1" x14ac:dyDescent="0.35">
      <c r="A680" s="82" t="s">
        <v>838</v>
      </c>
      <c r="B680" s="82"/>
      <c r="C680" s="63" t="s">
        <v>170</v>
      </c>
      <c r="D680" s="66">
        <f>(35.58+0.6*2.9+1.2*2.75)*10.764</f>
        <v>437.23367999999994</v>
      </c>
      <c r="E680" s="63">
        <v>0</v>
      </c>
      <c r="F680" s="63">
        <f t="shared" si="29"/>
        <v>655.85051999999996</v>
      </c>
      <c r="G680" s="85"/>
      <c r="H680" s="86"/>
    </row>
    <row r="681" spans="1:9" s="53" customFormat="1" x14ac:dyDescent="0.35">
      <c r="A681" s="82" t="s">
        <v>839</v>
      </c>
      <c r="B681" s="82"/>
      <c r="C681" s="63" t="s">
        <v>486</v>
      </c>
      <c r="D681" s="66">
        <f>(28.03+0.6*2.9+1.2*2.75)*10.764</f>
        <v>355.96547999999996</v>
      </c>
      <c r="E681" s="63">
        <v>0</v>
      </c>
      <c r="F681" s="63">
        <f t="shared" si="29"/>
        <v>533.94821999999999</v>
      </c>
      <c r="G681" s="85"/>
      <c r="H681" s="86"/>
      <c r="I681" s="54"/>
    </row>
    <row r="682" spans="1:9" s="53" customFormat="1" x14ac:dyDescent="0.35">
      <c r="A682" s="82" t="s">
        <v>840</v>
      </c>
      <c r="B682" s="82"/>
      <c r="C682" s="68" t="s">
        <v>1059</v>
      </c>
      <c r="D682" s="66">
        <f>(61.97+0.6*(2.9+2.45)+1.2*3)*10.764</f>
        <v>740.34791999999982</v>
      </c>
      <c r="E682" s="63">
        <v>0</v>
      </c>
      <c r="F682" s="63">
        <f t="shared" si="29"/>
        <v>1110.5218799999998</v>
      </c>
      <c r="G682" s="85"/>
      <c r="H682" s="86"/>
      <c r="I682" s="54"/>
    </row>
    <row r="683" spans="1:9" s="53" customFormat="1" x14ac:dyDescent="0.35">
      <c r="A683" s="82" t="s">
        <v>841</v>
      </c>
      <c r="B683" s="82"/>
      <c r="C683" s="63" t="s">
        <v>486</v>
      </c>
      <c r="D683" s="66">
        <f>(24.52+0.6*3+1.2*3)*10.764</f>
        <v>322.05887999999999</v>
      </c>
      <c r="E683" s="63">
        <v>0</v>
      </c>
      <c r="F683" s="63">
        <f t="shared" si="29"/>
        <v>483.08831999999995</v>
      </c>
      <c r="G683" s="85"/>
      <c r="H683" s="86"/>
      <c r="I683" s="54"/>
    </row>
    <row r="684" spans="1:9" s="53" customFormat="1" ht="15.65" customHeight="1" x14ac:dyDescent="0.35">
      <c r="A684" s="82" t="s">
        <v>842</v>
      </c>
      <c r="B684" s="82"/>
      <c r="C684" s="63" t="s">
        <v>170</v>
      </c>
      <c r="D684" s="66">
        <f>(36.82+0.6*2.9+1.2*2.5)*10.764</f>
        <v>447.35183999999998</v>
      </c>
      <c r="E684" s="63">
        <v>0</v>
      </c>
      <c r="F684" s="63">
        <f t="shared" si="29"/>
        <v>671.02775999999994</v>
      </c>
      <c r="G684" s="85"/>
      <c r="H684" s="86"/>
    </row>
    <row r="685" spans="1:9" s="53" customFormat="1" ht="15.65" customHeight="1" x14ac:dyDescent="0.35">
      <c r="A685" s="82" t="s">
        <v>843</v>
      </c>
      <c r="B685" s="82"/>
      <c r="C685" s="63" t="s">
        <v>486</v>
      </c>
      <c r="D685" s="66">
        <f>(24.41+0.6*2.9+1.2*2.75)*10.764</f>
        <v>316.99979999999999</v>
      </c>
      <c r="E685" s="63">
        <v>0</v>
      </c>
      <c r="F685" s="63">
        <f t="shared" si="29"/>
        <v>475.49969999999996</v>
      </c>
      <c r="G685" s="85"/>
      <c r="H685" s="86"/>
    </row>
    <row r="686" spans="1:9" s="53" customFormat="1" ht="15.65" customHeight="1" x14ac:dyDescent="0.35">
      <c r="A686" s="82" t="s">
        <v>844</v>
      </c>
      <c r="B686" s="82"/>
      <c r="C686" s="63" t="s">
        <v>170</v>
      </c>
      <c r="D686" s="66">
        <f>(35.41+0.6*2.9+1.2*2.78)*10.764</f>
        <v>435.79130399999997</v>
      </c>
      <c r="E686" s="63">
        <v>0</v>
      </c>
      <c r="F686" s="63">
        <f t="shared" si="29"/>
        <v>653.68695600000001</v>
      </c>
      <c r="G686" s="85"/>
      <c r="H686" s="86"/>
    </row>
    <row r="687" spans="1:9" s="53" customFormat="1" ht="15.65" customHeight="1" x14ac:dyDescent="0.35">
      <c r="A687" s="82" t="s">
        <v>845</v>
      </c>
      <c r="B687" s="82"/>
      <c r="C687" s="68" t="s">
        <v>1059</v>
      </c>
      <c r="D687" s="66">
        <f>(61.19+0.6*(2.45+2.9)+1.2*3)*10.764</f>
        <v>731.95199999999977</v>
      </c>
      <c r="E687" s="63">
        <v>0</v>
      </c>
      <c r="F687" s="63">
        <f t="shared" si="29"/>
        <v>1097.9279999999997</v>
      </c>
      <c r="G687" s="85"/>
      <c r="H687" s="86"/>
    </row>
    <row r="688" spans="1:9" s="53" customFormat="1" ht="15.65" customHeight="1" x14ac:dyDescent="0.35">
      <c r="A688" s="82" t="s">
        <v>846</v>
      </c>
      <c r="B688" s="82"/>
      <c r="C688" s="63" t="s">
        <v>170</v>
      </c>
      <c r="D688" s="66">
        <f>(39.34+0.6*(2.75+2.9))*10.764</f>
        <v>459.94571999999999</v>
      </c>
      <c r="E688" s="63">
        <v>0</v>
      </c>
      <c r="F688" s="63">
        <f t="shared" si="29"/>
        <v>689.91858000000002</v>
      </c>
      <c r="G688" s="85"/>
      <c r="H688" s="86"/>
    </row>
    <row r="689" spans="1:8" s="53" customFormat="1" ht="15.65" customHeight="1" x14ac:dyDescent="0.35">
      <c r="A689" s="82" t="s">
        <v>847</v>
      </c>
      <c r="B689" s="82"/>
      <c r="C689" s="63" t="s">
        <v>486</v>
      </c>
      <c r="D689" s="66">
        <f>(23.23+0.6*2.9+1.2*2.75)*10.764</f>
        <v>304.29827999999998</v>
      </c>
      <c r="E689" s="63">
        <v>0</v>
      </c>
      <c r="F689" s="63">
        <f t="shared" si="29"/>
        <v>456.44741999999997</v>
      </c>
      <c r="G689" s="85"/>
      <c r="H689" s="86"/>
    </row>
    <row r="690" spans="1:8" s="53" customFormat="1" ht="15.65" customHeight="1" x14ac:dyDescent="0.35">
      <c r="A690" s="82" t="s">
        <v>848</v>
      </c>
      <c r="B690" s="82"/>
      <c r="C690" s="63" t="s">
        <v>170</v>
      </c>
      <c r="D690" s="66">
        <f>(28.68+0.6*3.05+1.2*2.9)*10.764</f>
        <v>365.86835999999994</v>
      </c>
      <c r="E690" s="63">
        <v>0</v>
      </c>
      <c r="F690" s="63">
        <f t="shared" si="29"/>
        <v>548.80253999999991</v>
      </c>
      <c r="G690" s="85"/>
      <c r="H690" s="86"/>
    </row>
    <row r="691" spans="1:8" s="53" customFormat="1" ht="15.65" customHeight="1" x14ac:dyDescent="0.35">
      <c r="A691" s="82" t="s">
        <v>849</v>
      </c>
      <c r="B691" s="82"/>
      <c r="C691" s="63" t="s">
        <v>486</v>
      </c>
      <c r="D691" s="66">
        <f>(25.47+0.6*(2.9+2.35))*10.764</f>
        <v>308.06567999999993</v>
      </c>
      <c r="E691" s="63">
        <v>0</v>
      </c>
      <c r="F691" s="63">
        <f t="shared" si="29"/>
        <v>462.09851999999989</v>
      </c>
      <c r="G691" s="87"/>
      <c r="H691" s="88"/>
    </row>
    <row r="692" spans="1:8" s="53" customFormat="1" x14ac:dyDescent="0.35">
      <c r="A692" s="130" t="s">
        <v>168</v>
      </c>
      <c r="B692" s="131"/>
      <c r="C692" s="131"/>
      <c r="D692" s="131"/>
      <c r="E692" s="131"/>
      <c r="F692" s="131"/>
      <c r="G692" s="131"/>
      <c r="H692" s="132"/>
    </row>
    <row r="693" spans="1:8" s="53" customFormat="1" ht="15.75" customHeight="1" x14ac:dyDescent="0.35">
      <c r="A693" s="78" t="s">
        <v>1054</v>
      </c>
      <c r="B693" s="79"/>
      <c r="C693" s="79"/>
      <c r="D693" s="79"/>
      <c r="E693" s="79"/>
      <c r="F693" s="79"/>
      <c r="G693" s="79"/>
      <c r="H693" s="80"/>
    </row>
    <row r="694" spans="1:8" s="53" customFormat="1" x14ac:dyDescent="0.35">
      <c r="A694" s="78" t="s">
        <v>1053</v>
      </c>
      <c r="B694" s="79"/>
      <c r="C694" s="79"/>
      <c r="D694" s="79"/>
      <c r="E694" s="79"/>
      <c r="F694" s="79"/>
      <c r="G694" s="79"/>
      <c r="H694" s="80"/>
    </row>
    <row r="695" spans="1:8" s="53" customFormat="1" x14ac:dyDescent="0.35">
      <c r="A695" s="78" t="s">
        <v>167</v>
      </c>
      <c r="B695" s="79"/>
      <c r="C695" s="79"/>
      <c r="D695" s="79"/>
      <c r="E695" s="79"/>
      <c r="F695" s="79"/>
      <c r="G695" s="79"/>
      <c r="H695" s="80"/>
    </row>
    <row r="696" spans="1:8" s="53" customFormat="1" x14ac:dyDescent="0.35">
      <c r="A696" s="82" t="s">
        <v>241</v>
      </c>
      <c r="B696" s="82"/>
      <c r="C696" s="26" t="s">
        <v>1059</v>
      </c>
      <c r="D696" s="66">
        <f>(59.56+0.6*(2.45+2.1)+1.2*(3+3.4))*10.764</f>
        <v>753.15707999999995</v>
      </c>
      <c r="E696" s="26">
        <v>0</v>
      </c>
      <c r="F696" s="63">
        <f t="shared" ref="F696:F697" si="30">D696*1.5+E696</f>
        <v>1129.7356199999999</v>
      </c>
      <c r="G696" s="82" t="str">
        <f>A695</f>
        <v>3rd Floor</v>
      </c>
      <c r="H696" s="82"/>
    </row>
    <row r="697" spans="1:8" s="53" customFormat="1" x14ac:dyDescent="0.35">
      <c r="A697" s="82" t="s">
        <v>242</v>
      </c>
      <c r="B697" s="82"/>
      <c r="C697" s="26" t="s">
        <v>1059</v>
      </c>
      <c r="D697" s="66">
        <f>(57.52+0.6*(2.45+2.9)+1.2*3)*10.764</f>
        <v>692.4481199999999</v>
      </c>
      <c r="E697" s="26">
        <v>0</v>
      </c>
      <c r="F697" s="63">
        <f t="shared" si="30"/>
        <v>1038.6721799999998</v>
      </c>
      <c r="G697" s="82" t="str">
        <f>G696</f>
        <v>3rd Floor</v>
      </c>
      <c r="H697" s="82"/>
    </row>
    <row r="698" spans="1:8" s="53" customFormat="1" ht="15.65" customHeight="1" x14ac:dyDescent="0.35">
      <c r="A698" s="82" t="s">
        <v>243</v>
      </c>
      <c r="B698" s="82"/>
      <c r="C698" s="83" t="s">
        <v>190</v>
      </c>
      <c r="D698" s="92"/>
      <c r="E698" s="92"/>
      <c r="F698" s="84"/>
      <c r="G698" s="82" t="str">
        <f t="shared" ref="G698:G704" si="31">G697</f>
        <v>3rd Floor</v>
      </c>
      <c r="H698" s="82"/>
    </row>
    <row r="699" spans="1:8" s="53" customFormat="1" ht="15.65" customHeight="1" x14ac:dyDescent="0.35">
      <c r="A699" s="82" t="s">
        <v>244</v>
      </c>
      <c r="B699" s="82"/>
      <c r="C699" s="85"/>
      <c r="D699" s="133"/>
      <c r="E699" s="133"/>
      <c r="F699" s="86"/>
      <c r="G699" s="82" t="str">
        <f t="shared" si="31"/>
        <v>3rd Floor</v>
      </c>
      <c r="H699" s="82"/>
    </row>
    <row r="700" spans="1:8" s="53" customFormat="1" ht="15.65" customHeight="1" x14ac:dyDescent="0.35">
      <c r="A700" s="82" t="s">
        <v>245</v>
      </c>
      <c r="B700" s="82"/>
      <c r="C700" s="85"/>
      <c r="D700" s="133"/>
      <c r="E700" s="133"/>
      <c r="F700" s="86"/>
      <c r="G700" s="82" t="str">
        <f t="shared" si="31"/>
        <v>3rd Floor</v>
      </c>
      <c r="H700" s="82"/>
    </row>
    <row r="701" spans="1:8" s="53" customFormat="1" ht="15.65" customHeight="1" x14ac:dyDescent="0.35">
      <c r="A701" s="82" t="s">
        <v>246</v>
      </c>
      <c r="B701" s="82"/>
      <c r="C701" s="85"/>
      <c r="D701" s="133"/>
      <c r="E701" s="133"/>
      <c r="F701" s="86"/>
      <c r="G701" s="82" t="str">
        <f t="shared" si="31"/>
        <v>3rd Floor</v>
      </c>
      <c r="H701" s="82"/>
    </row>
    <row r="702" spans="1:8" s="53" customFormat="1" ht="15.65" customHeight="1" x14ac:dyDescent="0.35">
      <c r="A702" s="82" t="s">
        <v>247</v>
      </c>
      <c r="B702" s="82"/>
      <c r="C702" s="87"/>
      <c r="D702" s="93"/>
      <c r="E702" s="93"/>
      <c r="F702" s="88"/>
      <c r="G702" s="82" t="str">
        <f t="shared" si="31"/>
        <v>3rd Floor</v>
      </c>
      <c r="H702" s="82"/>
    </row>
    <row r="703" spans="1:8" s="53" customFormat="1" x14ac:dyDescent="0.35">
      <c r="A703" s="82" t="s">
        <v>248</v>
      </c>
      <c r="B703" s="82"/>
      <c r="C703" s="67" t="s">
        <v>1059</v>
      </c>
      <c r="D703" s="66">
        <f>(57.52+0.6*(2.45+3)+1.2*3)*10.764</f>
        <v>693.09395999999992</v>
      </c>
      <c r="E703" s="26">
        <v>0</v>
      </c>
      <c r="F703" s="63">
        <f t="shared" ref="F703:F704" si="32">D703*1.5+E703</f>
        <v>1039.6409399999998</v>
      </c>
      <c r="G703" s="82" t="str">
        <f t="shared" si="31"/>
        <v>3rd Floor</v>
      </c>
      <c r="H703" s="82"/>
    </row>
    <row r="704" spans="1:8" s="53" customFormat="1" x14ac:dyDescent="0.35">
      <c r="A704" s="82" t="s">
        <v>249</v>
      </c>
      <c r="B704" s="82"/>
      <c r="C704" s="67" t="s">
        <v>1059</v>
      </c>
      <c r="D704" s="66">
        <f>(59.54+0.6*(2.45+2.1)+1.2*(3+3.4))*10.764</f>
        <v>752.94179999999983</v>
      </c>
      <c r="E704" s="26">
        <v>0</v>
      </c>
      <c r="F704" s="63">
        <f t="shared" si="32"/>
        <v>1129.4126999999999</v>
      </c>
      <c r="G704" s="82" t="str">
        <f t="shared" si="31"/>
        <v>3rd Floor</v>
      </c>
      <c r="H704" s="82"/>
    </row>
    <row r="705" spans="1:9" s="53" customFormat="1" x14ac:dyDescent="0.35">
      <c r="A705" s="94" t="s">
        <v>465</v>
      </c>
      <c r="B705" s="94"/>
      <c r="C705" s="94"/>
      <c r="D705" s="94"/>
      <c r="E705" s="94"/>
      <c r="F705" s="94"/>
      <c r="G705" s="94"/>
      <c r="H705" s="94"/>
    </row>
    <row r="706" spans="1:9" s="53" customFormat="1" x14ac:dyDescent="0.35">
      <c r="A706" s="82" t="s">
        <v>487</v>
      </c>
      <c r="B706" s="82"/>
      <c r="C706" s="68" t="s">
        <v>1059</v>
      </c>
      <c r="D706" s="66">
        <f>(62.96+0.6*2.45+0.7*2.1+1.2*(3.4+3))*10.764</f>
        <v>792.01512000000014</v>
      </c>
      <c r="E706" s="62">
        <v>0</v>
      </c>
      <c r="F706" s="63">
        <f t="shared" ref="F706:F714" si="33">D706*1.5+E706</f>
        <v>1188.0226800000003</v>
      </c>
      <c r="G706" s="83" t="str">
        <f>A705</f>
        <v>4th Floor</v>
      </c>
      <c r="H706" s="84"/>
      <c r="I706" s="65">
        <f>3*3.45+2.1*3.05+3.4*3.3+2.45*3.05+1.2*1.95+2.1*1.2+2.6*2.35+1.2*1+2.25*1+1.5*3</f>
        <v>54.367500000000014</v>
      </c>
    </row>
    <row r="707" spans="1:9" s="53" customFormat="1" x14ac:dyDescent="0.35">
      <c r="A707" s="82" t="s">
        <v>488</v>
      </c>
      <c r="B707" s="82"/>
      <c r="C707" s="68" t="s">
        <v>1059</v>
      </c>
      <c r="D707" s="66">
        <f>(62.21+0.6*(2.45+2.9)+1.2*3)*10.764</f>
        <v>742.9312799999999</v>
      </c>
      <c r="E707" s="62">
        <v>0</v>
      </c>
      <c r="F707" s="63">
        <f t="shared" si="33"/>
        <v>1114.3969199999999</v>
      </c>
      <c r="G707" s="85"/>
      <c r="H707" s="86"/>
    </row>
    <row r="708" spans="1:9" s="53" customFormat="1" ht="15.65" customHeight="1" x14ac:dyDescent="0.35">
      <c r="A708" s="82" t="s">
        <v>489</v>
      </c>
      <c r="B708" s="82"/>
      <c r="C708" s="68" t="s">
        <v>1059</v>
      </c>
      <c r="D708" s="66">
        <f>(62.84+0.6*(2.45+3)+1.2*3)*10.764</f>
        <v>750.35843999999986</v>
      </c>
      <c r="E708" s="62">
        <v>0</v>
      </c>
      <c r="F708" s="63">
        <f t="shared" si="33"/>
        <v>1125.5376599999997</v>
      </c>
      <c r="G708" s="85"/>
      <c r="H708" s="86"/>
    </row>
    <row r="709" spans="1:9" s="53" customFormat="1" ht="15.65" customHeight="1" x14ac:dyDescent="0.35">
      <c r="A709" s="82" t="s">
        <v>490</v>
      </c>
      <c r="B709" s="82"/>
      <c r="C709" s="68" t="s">
        <v>1059</v>
      </c>
      <c r="D709" s="66">
        <f>(62.14+0.6*(2.55+2.9)+1.2*3)*10.764</f>
        <v>742.82363999999984</v>
      </c>
      <c r="E709" s="62">
        <v>0</v>
      </c>
      <c r="F709" s="63">
        <f t="shared" si="33"/>
        <v>1114.2354599999999</v>
      </c>
      <c r="G709" s="85"/>
      <c r="H709" s="86"/>
    </row>
    <row r="710" spans="1:9" s="53" customFormat="1" ht="15.65" customHeight="1" x14ac:dyDescent="0.35">
      <c r="A710" s="82" t="s">
        <v>491</v>
      </c>
      <c r="B710" s="82"/>
      <c r="C710" s="68" t="s">
        <v>1059</v>
      </c>
      <c r="D710" s="66">
        <f>(61.56+0.6*(2.45+2.9)+1.2*3)*10.764</f>
        <v>735.93467999999984</v>
      </c>
      <c r="E710" s="62">
        <v>0</v>
      </c>
      <c r="F710" s="63">
        <f t="shared" si="33"/>
        <v>1103.9020199999998</v>
      </c>
      <c r="G710" s="85"/>
      <c r="H710" s="86"/>
    </row>
    <row r="711" spans="1:9" s="53" customFormat="1" ht="15.65" customHeight="1" x14ac:dyDescent="0.35">
      <c r="A711" s="82" t="s">
        <v>492</v>
      </c>
      <c r="B711" s="82"/>
      <c r="C711" s="68" t="s">
        <v>1059</v>
      </c>
      <c r="D711" s="66">
        <f>(61.56+0.6*(2.45+2.9)+1.2*3)*10.764</f>
        <v>735.93467999999984</v>
      </c>
      <c r="E711" s="62">
        <v>0</v>
      </c>
      <c r="F711" s="63">
        <f t="shared" si="33"/>
        <v>1103.9020199999998</v>
      </c>
      <c r="G711" s="85"/>
      <c r="H711" s="86"/>
    </row>
    <row r="712" spans="1:9" s="53" customFormat="1" ht="15.65" customHeight="1" x14ac:dyDescent="0.35">
      <c r="A712" s="82" t="s">
        <v>493</v>
      </c>
      <c r="B712" s="82"/>
      <c r="C712" s="68" t="s">
        <v>1059</v>
      </c>
      <c r="D712" s="66">
        <f>(61.84+0.6*(2.45+3)+1.2*3)*10.764</f>
        <v>739.59443999999985</v>
      </c>
      <c r="E712" s="62">
        <v>0</v>
      </c>
      <c r="F712" s="63">
        <f t="shared" si="33"/>
        <v>1109.3916599999998</v>
      </c>
      <c r="G712" s="85"/>
      <c r="H712" s="86"/>
    </row>
    <row r="713" spans="1:9" s="53" customFormat="1" ht="15.65" customHeight="1" x14ac:dyDescent="0.35">
      <c r="A713" s="82" t="s">
        <v>494</v>
      </c>
      <c r="B713" s="82"/>
      <c r="C713" s="68" t="s">
        <v>1059</v>
      </c>
      <c r="D713" s="66">
        <f>(62.21+0.6*(2.45+2.9)+1.2*3)*10.764</f>
        <v>742.9312799999999</v>
      </c>
      <c r="E713" s="62">
        <v>0</v>
      </c>
      <c r="F713" s="63">
        <f t="shared" si="33"/>
        <v>1114.3969199999999</v>
      </c>
      <c r="G713" s="85"/>
      <c r="H713" s="86"/>
    </row>
    <row r="714" spans="1:9" s="53" customFormat="1" ht="15.65" customHeight="1" x14ac:dyDescent="0.35">
      <c r="A714" s="82" t="s">
        <v>495</v>
      </c>
      <c r="B714" s="82"/>
      <c r="C714" s="68" t="s">
        <v>1059</v>
      </c>
      <c r="D714" s="66">
        <f>(63.12+0.6*2.45+0.7*2.1+1.2*(3.4+3))*10.764</f>
        <v>793.73736000000008</v>
      </c>
      <c r="E714" s="62">
        <v>0</v>
      </c>
      <c r="F714" s="63">
        <f t="shared" si="33"/>
        <v>1190.6060400000001</v>
      </c>
      <c r="G714" s="87"/>
      <c r="H714" s="88"/>
    </row>
    <row r="715" spans="1:9" s="53" customFormat="1" x14ac:dyDescent="0.35">
      <c r="A715" s="94" t="s">
        <v>516</v>
      </c>
      <c r="B715" s="94"/>
      <c r="C715" s="94"/>
      <c r="D715" s="94"/>
      <c r="E715" s="94"/>
      <c r="F715" s="94"/>
      <c r="G715" s="94"/>
      <c r="H715" s="94"/>
    </row>
    <row r="716" spans="1:9" s="53" customFormat="1" x14ac:dyDescent="0.35">
      <c r="A716" s="82" t="s">
        <v>531</v>
      </c>
      <c r="B716" s="82"/>
      <c r="C716" s="68" t="s">
        <v>1059</v>
      </c>
      <c r="D716" s="66">
        <f>(59.56+0.6*2.45+0.7*2.1+1.2*(3.4+3))*10.764</f>
        <v>755.41752000000008</v>
      </c>
      <c r="E716" s="62">
        <v>0</v>
      </c>
      <c r="F716" s="63">
        <f t="shared" ref="F716:F724" si="34">D716*1.5+E716</f>
        <v>1133.1262800000002</v>
      </c>
      <c r="G716" s="83" t="str">
        <f>A715</f>
        <v>5th Floor</v>
      </c>
      <c r="H716" s="84"/>
      <c r="I716" s="53">
        <f>3*3.45+2.1*3.05+3.4*3.3+2.45*3.05+1.2*1.95+2.1*1.2+2.6*2.35+1.2*1+2.25*1+1.5*3</f>
        <v>54.367500000000014</v>
      </c>
    </row>
    <row r="717" spans="1:9" s="53" customFormat="1" x14ac:dyDescent="0.35">
      <c r="A717" s="82" t="s">
        <v>532</v>
      </c>
      <c r="B717" s="82"/>
      <c r="C717" s="68" t="s">
        <v>1059</v>
      </c>
      <c r="D717" s="66">
        <f>(57.52+0.6*(2.45+2.9)+1.2*3)*10.764</f>
        <v>692.4481199999999</v>
      </c>
      <c r="E717" s="62">
        <v>0</v>
      </c>
      <c r="F717" s="63">
        <f t="shared" si="34"/>
        <v>1038.6721799999998</v>
      </c>
      <c r="G717" s="85"/>
      <c r="H717" s="86"/>
    </row>
    <row r="718" spans="1:9" s="53" customFormat="1" ht="15.65" customHeight="1" x14ac:dyDescent="0.35">
      <c r="A718" s="82" t="s">
        <v>533</v>
      </c>
      <c r="B718" s="82"/>
      <c r="C718" s="68" t="s">
        <v>1059</v>
      </c>
      <c r="D718" s="66">
        <f>(57.87+0.6*(2.45+3)+1.2*3)*10.764</f>
        <v>696.86135999999988</v>
      </c>
      <c r="E718" s="62">
        <v>0</v>
      </c>
      <c r="F718" s="63">
        <f t="shared" si="34"/>
        <v>1045.2920399999998</v>
      </c>
      <c r="G718" s="85"/>
      <c r="H718" s="86"/>
    </row>
    <row r="719" spans="1:9" s="53" customFormat="1" ht="15.65" customHeight="1" x14ac:dyDescent="0.35">
      <c r="A719" s="82" t="s">
        <v>534</v>
      </c>
      <c r="B719" s="82"/>
      <c r="C719" s="68" t="s">
        <v>1059</v>
      </c>
      <c r="D719" s="66">
        <f>(57.45+0.6*(2.55+2.9)+1.2*3)*10.764</f>
        <v>692.34047999999984</v>
      </c>
      <c r="E719" s="62">
        <v>0</v>
      </c>
      <c r="F719" s="63">
        <f t="shared" si="34"/>
        <v>1038.5107199999998</v>
      </c>
      <c r="G719" s="85"/>
      <c r="H719" s="86"/>
    </row>
    <row r="720" spans="1:9" s="53" customFormat="1" ht="15.65" customHeight="1" x14ac:dyDescent="0.35">
      <c r="A720" s="82" t="s">
        <v>535</v>
      </c>
      <c r="B720" s="82"/>
      <c r="C720" s="68" t="s">
        <v>1059</v>
      </c>
      <c r="D720" s="66">
        <f>(56.87+0.6*(2.45+2.9)+1.2*3)*10.764</f>
        <v>685.45151999999996</v>
      </c>
      <c r="E720" s="62">
        <v>0</v>
      </c>
      <c r="F720" s="63">
        <f t="shared" si="34"/>
        <v>1028.1772799999999</v>
      </c>
      <c r="G720" s="85"/>
      <c r="H720" s="86"/>
    </row>
    <row r="721" spans="1:9" s="53" customFormat="1" ht="15.65" customHeight="1" x14ac:dyDescent="0.35">
      <c r="A721" s="82" t="s">
        <v>536</v>
      </c>
      <c r="B721" s="82"/>
      <c r="C721" s="68" t="s">
        <v>1059</v>
      </c>
      <c r="D721" s="66">
        <f>(56.87+0.6*(2.45+2.9)+1.2*3)*10.764</f>
        <v>685.45151999999996</v>
      </c>
      <c r="E721" s="62">
        <v>0</v>
      </c>
      <c r="F721" s="63">
        <f t="shared" si="34"/>
        <v>1028.1772799999999</v>
      </c>
      <c r="G721" s="85"/>
      <c r="H721" s="86"/>
    </row>
    <row r="722" spans="1:9" s="53" customFormat="1" ht="15.65" customHeight="1" x14ac:dyDescent="0.35">
      <c r="A722" s="82" t="s">
        <v>537</v>
      </c>
      <c r="B722" s="82"/>
      <c r="C722" s="68" t="s">
        <v>1059</v>
      </c>
      <c r="D722" s="66">
        <f>(57.89+0.6*(2.45+3)+1.2*3)*10.764</f>
        <v>697.07664</v>
      </c>
      <c r="E722" s="62">
        <v>0</v>
      </c>
      <c r="F722" s="63">
        <f t="shared" si="34"/>
        <v>1045.6149599999999</v>
      </c>
      <c r="G722" s="85"/>
      <c r="H722" s="86"/>
    </row>
    <row r="723" spans="1:9" s="53" customFormat="1" ht="15.65" customHeight="1" x14ac:dyDescent="0.35">
      <c r="A723" s="82" t="s">
        <v>538</v>
      </c>
      <c r="B723" s="82"/>
      <c r="C723" s="68" t="s">
        <v>1059</v>
      </c>
      <c r="D723" s="66">
        <f>(57.52+0.6*(2.45+2.9)+1.2*3)*10.764</f>
        <v>692.4481199999999</v>
      </c>
      <c r="E723" s="62">
        <v>0</v>
      </c>
      <c r="F723" s="63">
        <f t="shared" si="34"/>
        <v>1038.6721799999998</v>
      </c>
      <c r="G723" s="85"/>
      <c r="H723" s="86"/>
    </row>
    <row r="724" spans="1:9" s="53" customFormat="1" ht="15.65" customHeight="1" x14ac:dyDescent="0.35">
      <c r="A724" s="82" t="s">
        <v>539</v>
      </c>
      <c r="B724" s="82"/>
      <c r="C724" s="68" t="s">
        <v>1059</v>
      </c>
      <c r="D724" s="66">
        <f>(59.54+0.6*2.45+0.7*2.1+1.2*(3.4+3))*10.764</f>
        <v>755.20223999999996</v>
      </c>
      <c r="E724" s="62">
        <v>0</v>
      </c>
      <c r="F724" s="63">
        <f t="shared" si="34"/>
        <v>1132.8033599999999</v>
      </c>
      <c r="G724" s="87"/>
      <c r="H724" s="88"/>
    </row>
    <row r="725" spans="1:9" s="53" customFormat="1" x14ac:dyDescent="0.35">
      <c r="A725" s="94" t="s">
        <v>554</v>
      </c>
      <c r="B725" s="94"/>
      <c r="C725" s="94"/>
      <c r="D725" s="94"/>
      <c r="E725" s="94"/>
      <c r="F725" s="94"/>
      <c r="G725" s="94"/>
      <c r="H725" s="94"/>
    </row>
    <row r="726" spans="1:9" s="53" customFormat="1" x14ac:dyDescent="0.35">
      <c r="A726" s="82" t="s">
        <v>574</v>
      </c>
      <c r="B726" s="82"/>
      <c r="C726" s="68" t="s">
        <v>1059</v>
      </c>
      <c r="D726" s="66">
        <f>(62.96+0.6*2.45+0.7*2.1+1.2*(3.4+3))*10.764</f>
        <v>792.01512000000014</v>
      </c>
      <c r="E726" s="63">
        <v>0</v>
      </c>
      <c r="F726" s="63">
        <f t="shared" ref="F726:F734" si="35">D726*1.5+E726</f>
        <v>1188.0226800000003</v>
      </c>
      <c r="G726" s="83" t="str">
        <f>A725</f>
        <v>6th Floor</v>
      </c>
      <c r="H726" s="84"/>
      <c r="I726" s="65"/>
    </row>
    <row r="727" spans="1:9" s="53" customFormat="1" x14ac:dyDescent="0.35">
      <c r="A727" s="82" t="s">
        <v>575</v>
      </c>
      <c r="B727" s="82"/>
      <c r="C727" s="68" t="s">
        <v>1059</v>
      </c>
      <c r="D727" s="66">
        <f>(62.21+0.6*(2.45+2.9)+1.2*3)*10.764</f>
        <v>742.9312799999999</v>
      </c>
      <c r="E727" s="63">
        <v>0</v>
      </c>
      <c r="F727" s="63">
        <f t="shared" si="35"/>
        <v>1114.3969199999999</v>
      </c>
      <c r="G727" s="85"/>
      <c r="H727" s="86"/>
    </row>
    <row r="728" spans="1:9" s="53" customFormat="1" ht="15.65" customHeight="1" x14ac:dyDescent="0.35">
      <c r="A728" s="82" t="s">
        <v>576</v>
      </c>
      <c r="B728" s="82"/>
      <c r="C728" s="68" t="s">
        <v>1059</v>
      </c>
      <c r="D728" s="66">
        <f>(62.84+0.6*(2.45+3)+1.2*3)*10.764</f>
        <v>750.35843999999986</v>
      </c>
      <c r="E728" s="63">
        <v>0</v>
      </c>
      <c r="F728" s="63">
        <f t="shared" si="35"/>
        <v>1125.5376599999997</v>
      </c>
      <c r="G728" s="85"/>
      <c r="H728" s="86"/>
    </row>
    <row r="729" spans="1:9" s="53" customFormat="1" ht="15.65" customHeight="1" x14ac:dyDescent="0.35">
      <c r="A729" s="82" t="s">
        <v>577</v>
      </c>
      <c r="B729" s="82"/>
      <c r="C729" s="68" t="s">
        <v>1059</v>
      </c>
      <c r="D729" s="66">
        <f>(62.14+0.6*(2.55+2.9)+1.2*3)*10.764</f>
        <v>742.82363999999984</v>
      </c>
      <c r="E729" s="63">
        <v>0</v>
      </c>
      <c r="F729" s="63">
        <f t="shared" si="35"/>
        <v>1114.2354599999999</v>
      </c>
      <c r="G729" s="85"/>
      <c r="H729" s="86"/>
    </row>
    <row r="730" spans="1:9" s="53" customFormat="1" ht="15.65" customHeight="1" x14ac:dyDescent="0.35">
      <c r="A730" s="82" t="s">
        <v>578</v>
      </c>
      <c r="B730" s="82"/>
      <c r="C730" s="68" t="s">
        <v>1059</v>
      </c>
      <c r="D730" s="66">
        <f>(61.56+0.6*(2.45+2.9)+1.2*3)*10.764</f>
        <v>735.93467999999984</v>
      </c>
      <c r="E730" s="63">
        <v>0</v>
      </c>
      <c r="F730" s="63">
        <f t="shared" si="35"/>
        <v>1103.9020199999998</v>
      </c>
      <c r="G730" s="85"/>
      <c r="H730" s="86"/>
    </row>
    <row r="731" spans="1:9" s="53" customFormat="1" ht="15.65" customHeight="1" x14ac:dyDescent="0.35">
      <c r="A731" s="82" t="s">
        <v>579</v>
      </c>
      <c r="B731" s="82"/>
      <c r="C731" s="68" t="s">
        <v>1059</v>
      </c>
      <c r="D731" s="66">
        <f>(61.56+0.6*(2.45+2.9)+1.2*3)*10.764</f>
        <v>735.93467999999984</v>
      </c>
      <c r="E731" s="63">
        <v>0</v>
      </c>
      <c r="F731" s="63">
        <f t="shared" si="35"/>
        <v>1103.9020199999998</v>
      </c>
      <c r="G731" s="85"/>
      <c r="H731" s="86"/>
    </row>
    <row r="732" spans="1:9" s="53" customFormat="1" ht="15.65" customHeight="1" x14ac:dyDescent="0.35">
      <c r="A732" s="82" t="s">
        <v>580</v>
      </c>
      <c r="B732" s="82"/>
      <c r="C732" s="68" t="s">
        <v>1059</v>
      </c>
      <c r="D732" s="66">
        <f>(61.84+0.6*(2.45+3)+1.2*3)*10.764</f>
        <v>739.59443999999985</v>
      </c>
      <c r="E732" s="63">
        <v>0</v>
      </c>
      <c r="F732" s="63">
        <f t="shared" si="35"/>
        <v>1109.3916599999998</v>
      </c>
      <c r="G732" s="85"/>
      <c r="H732" s="86"/>
    </row>
    <row r="733" spans="1:9" s="53" customFormat="1" ht="15.65" customHeight="1" x14ac:dyDescent="0.35">
      <c r="A733" s="82" t="s">
        <v>581</v>
      </c>
      <c r="B733" s="82"/>
      <c r="C733" s="68" t="s">
        <v>1059</v>
      </c>
      <c r="D733" s="66">
        <f>(62.21+0.6*(2.45+2.9)+1.2*3)*10.764</f>
        <v>742.9312799999999</v>
      </c>
      <c r="E733" s="63">
        <v>0</v>
      </c>
      <c r="F733" s="63">
        <f t="shared" si="35"/>
        <v>1114.3969199999999</v>
      </c>
      <c r="G733" s="85"/>
      <c r="H733" s="86"/>
    </row>
    <row r="734" spans="1:9" s="53" customFormat="1" ht="15.65" customHeight="1" x14ac:dyDescent="0.35">
      <c r="A734" s="82" t="s">
        <v>582</v>
      </c>
      <c r="B734" s="82"/>
      <c r="C734" s="68" t="s">
        <v>1059</v>
      </c>
      <c r="D734" s="66">
        <f>(63.12+0.6*2.45+0.7*2.1+1.2*(3.4+3))*10.764</f>
        <v>793.73736000000008</v>
      </c>
      <c r="E734" s="63">
        <v>0</v>
      </c>
      <c r="F734" s="63">
        <f t="shared" si="35"/>
        <v>1190.6060400000001</v>
      </c>
      <c r="G734" s="87"/>
      <c r="H734" s="88"/>
    </row>
    <row r="735" spans="1:9" s="53" customFormat="1" x14ac:dyDescent="0.35">
      <c r="A735" s="94" t="s">
        <v>602</v>
      </c>
      <c r="B735" s="94"/>
      <c r="C735" s="94"/>
      <c r="D735" s="94"/>
      <c r="E735" s="94"/>
      <c r="F735" s="94"/>
      <c r="G735" s="94"/>
      <c r="H735" s="94"/>
    </row>
    <row r="736" spans="1:9" s="53" customFormat="1" x14ac:dyDescent="0.35">
      <c r="A736" s="82" t="s">
        <v>619</v>
      </c>
      <c r="B736" s="82"/>
      <c r="C736" s="68" t="s">
        <v>1059</v>
      </c>
      <c r="D736" s="66">
        <f>(59.56+0.6*2.45+0.7*2.1+1.2*(3.4+3))*10.764</f>
        <v>755.41752000000008</v>
      </c>
      <c r="E736" s="63">
        <v>0</v>
      </c>
      <c r="F736" s="63">
        <f t="shared" ref="F736:F744" si="36">D736*1.5+E736</f>
        <v>1133.1262800000002</v>
      </c>
      <c r="G736" s="83" t="str">
        <f>A735</f>
        <v>7th Floor</v>
      </c>
      <c r="H736" s="84"/>
      <c r="I736" s="65"/>
    </row>
    <row r="737" spans="1:9" s="53" customFormat="1" x14ac:dyDescent="0.35">
      <c r="A737" s="82" t="s">
        <v>620</v>
      </c>
      <c r="B737" s="82"/>
      <c r="C737" s="68" t="s">
        <v>1059</v>
      </c>
      <c r="D737" s="66">
        <f>(57.52+0.6*(2.45+2.9)+1.2*3)*10.764</f>
        <v>692.4481199999999</v>
      </c>
      <c r="E737" s="63">
        <v>0</v>
      </c>
      <c r="F737" s="63">
        <f t="shared" si="36"/>
        <v>1038.6721799999998</v>
      </c>
      <c r="G737" s="85"/>
      <c r="H737" s="86"/>
    </row>
    <row r="738" spans="1:9" s="53" customFormat="1" ht="15.65" customHeight="1" x14ac:dyDescent="0.35">
      <c r="A738" s="82" t="s">
        <v>621</v>
      </c>
      <c r="B738" s="82"/>
      <c r="C738" s="68" t="s">
        <v>1059</v>
      </c>
      <c r="D738" s="66">
        <f>(57.87+0.6*(2.45+3)+1.2*3)*10.764</f>
        <v>696.86135999999988</v>
      </c>
      <c r="E738" s="63">
        <v>0</v>
      </c>
      <c r="F738" s="63">
        <f t="shared" si="36"/>
        <v>1045.2920399999998</v>
      </c>
      <c r="G738" s="85"/>
      <c r="H738" s="86"/>
    </row>
    <row r="739" spans="1:9" s="53" customFormat="1" ht="15.65" customHeight="1" x14ac:dyDescent="0.35">
      <c r="A739" s="82" t="s">
        <v>622</v>
      </c>
      <c r="B739" s="82"/>
      <c r="C739" s="68" t="s">
        <v>1059</v>
      </c>
      <c r="D739" s="66">
        <f>(57.45+0.6*(2.55+2.9)+1.2*3)*10.764</f>
        <v>692.34047999999984</v>
      </c>
      <c r="E739" s="63">
        <v>0</v>
      </c>
      <c r="F739" s="63">
        <f t="shared" si="36"/>
        <v>1038.5107199999998</v>
      </c>
      <c r="G739" s="85"/>
      <c r="H739" s="86"/>
    </row>
    <row r="740" spans="1:9" s="53" customFormat="1" ht="15.65" customHeight="1" x14ac:dyDescent="0.35">
      <c r="A740" s="82" t="s">
        <v>623</v>
      </c>
      <c r="B740" s="82"/>
      <c r="C740" s="68" t="s">
        <v>1059</v>
      </c>
      <c r="D740" s="66">
        <f>(56.87+0.6*(2.45+2.9)+1.2*3)*10.764</f>
        <v>685.45151999999996</v>
      </c>
      <c r="E740" s="63">
        <v>0</v>
      </c>
      <c r="F740" s="63">
        <f t="shared" si="36"/>
        <v>1028.1772799999999</v>
      </c>
      <c r="G740" s="85"/>
      <c r="H740" s="86"/>
    </row>
    <row r="741" spans="1:9" s="53" customFormat="1" ht="15.65" customHeight="1" x14ac:dyDescent="0.35">
      <c r="A741" s="82" t="s">
        <v>624</v>
      </c>
      <c r="B741" s="82"/>
      <c r="C741" s="68" t="s">
        <v>1059</v>
      </c>
      <c r="D741" s="66">
        <f>(56.87+0.6*(2.45+2.9)+1.2*3)*10.764</f>
        <v>685.45151999999996</v>
      </c>
      <c r="E741" s="63">
        <v>0</v>
      </c>
      <c r="F741" s="63">
        <f t="shared" si="36"/>
        <v>1028.1772799999999</v>
      </c>
      <c r="G741" s="85"/>
      <c r="H741" s="86"/>
    </row>
    <row r="742" spans="1:9" s="53" customFormat="1" ht="15.65" customHeight="1" x14ac:dyDescent="0.35">
      <c r="A742" s="82" t="s">
        <v>625</v>
      </c>
      <c r="B742" s="82"/>
      <c r="C742" s="68" t="s">
        <v>1059</v>
      </c>
      <c r="D742" s="66">
        <f>(57.89+0.6*(2.45+3)+1.2*3)*10.764</f>
        <v>697.07664</v>
      </c>
      <c r="E742" s="63">
        <v>0</v>
      </c>
      <c r="F742" s="63">
        <f t="shared" si="36"/>
        <v>1045.6149599999999</v>
      </c>
      <c r="G742" s="85"/>
      <c r="H742" s="86"/>
    </row>
    <row r="743" spans="1:9" s="53" customFormat="1" ht="15.65" customHeight="1" x14ac:dyDescent="0.35">
      <c r="A743" s="82" t="s">
        <v>626</v>
      </c>
      <c r="B743" s="82"/>
      <c r="C743" s="68" t="s">
        <v>1059</v>
      </c>
      <c r="D743" s="66">
        <f>(57.52+0.6*(2.45+2.9)+1.2*3)*10.764</f>
        <v>692.4481199999999</v>
      </c>
      <c r="E743" s="63">
        <v>0</v>
      </c>
      <c r="F743" s="63">
        <f t="shared" si="36"/>
        <v>1038.6721799999998</v>
      </c>
      <c r="G743" s="85"/>
      <c r="H743" s="86"/>
    </row>
    <row r="744" spans="1:9" s="53" customFormat="1" ht="15.65" customHeight="1" x14ac:dyDescent="0.35">
      <c r="A744" s="82" t="s">
        <v>627</v>
      </c>
      <c r="B744" s="82"/>
      <c r="C744" s="68" t="s">
        <v>1059</v>
      </c>
      <c r="D744" s="66">
        <f>(59.54+0.6*2.45+0.7*2.1+1.2*(3.4+3))*10.764</f>
        <v>755.20223999999996</v>
      </c>
      <c r="E744" s="63">
        <v>0</v>
      </c>
      <c r="F744" s="63">
        <f t="shared" si="36"/>
        <v>1132.8033599999999</v>
      </c>
      <c r="G744" s="87"/>
      <c r="H744" s="88"/>
    </row>
    <row r="745" spans="1:9" s="53" customFormat="1" x14ac:dyDescent="0.35">
      <c r="A745" s="94" t="s">
        <v>174</v>
      </c>
      <c r="B745" s="94"/>
      <c r="C745" s="94"/>
      <c r="D745" s="94"/>
      <c r="E745" s="94"/>
      <c r="F745" s="94"/>
      <c r="G745" s="94"/>
      <c r="H745" s="94"/>
    </row>
    <row r="746" spans="1:9" s="53" customFormat="1" x14ac:dyDescent="0.35">
      <c r="A746" s="82" t="s">
        <v>250</v>
      </c>
      <c r="B746" s="82"/>
      <c r="C746" s="68" t="s">
        <v>1059</v>
      </c>
      <c r="D746" s="66">
        <f>(62.96+0.6*2.45+0.7*2.1+1.2*(3.4+3))*10.764</f>
        <v>792.01512000000014</v>
      </c>
      <c r="E746" s="63">
        <v>0</v>
      </c>
      <c r="F746" s="63">
        <f t="shared" ref="F746:F754" si="37">D746*1.5+E746</f>
        <v>1188.0226800000003</v>
      </c>
      <c r="G746" s="83" t="str">
        <f>A745</f>
        <v>8th Floor</v>
      </c>
      <c r="H746" s="84"/>
      <c r="I746" s="65"/>
    </row>
    <row r="747" spans="1:9" s="53" customFormat="1" x14ac:dyDescent="0.35">
      <c r="A747" s="82" t="s">
        <v>251</v>
      </c>
      <c r="B747" s="82"/>
      <c r="C747" s="68" t="s">
        <v>1059</v>
      </c>
      <c r="D747" s="66">
        <f>(62.21+0.6*(2.45+2.9)+1.2*3)*10.764</f>
        <v>742.9312799999999</v>
      </c>
      <c r="E747" s="63">
        <v>0</v>
      </c>
      <c r="F747" s="63">
        <f t="shared" si="37"/>
        <v>1114.3969199999999</v>
      </c>
      <c r="G747" s="85"/>
      <c r="H747" s="86"/>
    </row>
    <row r="748" spans="1:9" s="53" customFormat="1" ht="15.65" customHeight="1" x14ac:dyDescent="0.35">
      <c r="A748" s="82" t="s">
        <v>252</v>
      </c>
      <c r="B748" s="82"/>
      <c r="C748" s="68" t="s">
        <v>1059</v>
      </c>
      <c r="D748" s="66">
        <f>(62.84+0.6*(2.45+3)+1.2*3)*10.764</f>
        <v>750.35843999999986</v>
      </c>
      <c r="E748" s="63">
        <v>0</v>
      </c>
      <c r="F748" s="63">
        <f t="shared" si="37"/>
        <v>1125.5376599999997</v>
      </c>
      <c r="G748" s="85"/>
      <c r="H748" s="86"/>
    </row>
    <row r="749" spans="1:9" s="53" customFormat="1" ht="15.65" customHeight="1" x14ac:dyDescent="0.35">
      <c r="A749" s="82" t="s">
        <v>253</v>
      </c>
      <c r="B749" s="82"/>
      <c r="C749" s="68" t="s">
        <v>1059</v>
      </c>
      <c r="D749" s="66">
        <f>(62.14+0.6*(2.55+2.9)+1.2*3)*10.764</f>
        <v>742.82363999999984</v>
      </c>
      <c r="E749" s="63">
        <v>0</v>
      </c>
      <c r="F749" s="63">
        <f t="shared" si="37"/>
        <v>1114.2354599999999</v>
      </c>
      <c r="G749" s="85"/>
      <c r="H749" s="86"/>
    </row>
    <row r="750" spans="1:9" s="53" customFormat="1" ht="15.65" customHeight="1" x14ac:dyDescent="0.35">
      <c r="A750" s="82" t="s">
        <v>254</v>
      </c>
      <c r="B750" s="82"/>
      <c r="C750" s="68" t="s">
        <v>1059</v>
      </c>
      <c r="D750" s="66">
        <f>(61.56+0.6*(2.45+2.9)+1.2*3)*10.764</f>
        <v>735.93467999999984</v>
      </c>
      <c r="E750" s="63">
        <v>0</v>
      </c>
      <c r="F750" s="63">
        <f t="shared" si="37"/>
        <v>1103.9020199999998</v>
      </c>
      <c r="G750" s="85"/>
      <c r="H750" s="86"/>
    </row>
    <row r="751" spans="1:9" s="53" customFormat="1" ht="15.65" customHeight="1" x14ac:dyDescent="0.35">
      <c r="A751" s="82" t="s">
        <v>255</v>
      </c>
      <c r="B751" s="82"/>
      <c r="C751" s="68" t="s">
        <v>1059</v>
      </c>
      <c r="D751" s="66">
        <f>(61.56+0.6*(2.45+2.9)+1.2*3)*10.764</f>
        <v>735.93467999999984</v>
      </c>
      <c r="E751" s="63">
        <v>0</v>
      </c>
      <c r="F751" s="63">
        <f t="shared" si="37"/>
        <v>1103.9020199999998</v>
      </c>
      <c r="G751" s="85"/>
      <c r="H751" s="86"/>
    </row>
    <row r="752" spans="1:9" s="53" customFormat="1" ht="15.65" customHeight="1" x14ac:dyDescent="0.35">
      <c r="A752" s="82" t="s">
        <v>256</v>
      </c>
      <c r="B752" s="82"/>
      <c r="C752" s="68" t="s">
        <v>1059</v>
      </c>
      <c r="D752" s="66">
        <f>(61.84+0.6*(2.45+3)+1.2*3)*10.764</f>
        <v>739.59443999999985</v>
      </c>
      <c r="E752" s="63">
        <v>0</v>
      </c>
      <c r="F752" s="63">
        <f t="shared" si="37"/>
        <v>1109.3916599999998</v>
      </c>
      <c r="G752" s="85"/>
      <c r="H752" s="86"/>
    </row>
    <row r="753" spans="1:9" s="53" customFormat="1" ht="15.65" customHeight="1" x14ac:dyDescent="0.35">
      <c r="A753" s="82" t="s">
        <v>257</v>
      </c>
      <c r="B753" s="82"/>
      <c r="C753" s="68" t="s">
        <v>1059</v>
      </c>
      <c r="D753" s="66">
        <f>(62.21+0.6*(2.45+2.9)+1.2*3)*10.764</f>
        <v>742.9312799999999</v>
      </c>
      <c r="E753" s="63">
        <v>0</v>
      </c>
      <c r="F753" s="63">
        <f t="shared" si="37"/>
        <v>1114.3969199999999</v>
      </c>
      <c r="G753" s="85"/>
      <c r="H753" s="86"/>
    </row>
    <row r="754" spans="1:9" s="53" customFormat="1" ht="15.65" customHeight="1" x14ac:dyDescent="0.35">
      <c r="A754" s="82" t="s">
        <v>258</v>
      </c>
      <c r="B754" s="82"/>
      <c r="C754" s="68" t="s">
        <v>1059</v>
      </c>
      <c r="D754" s="66">
        <f>(63.12+0.6*2.45+0.7*2.1+1.2*(3.4+3))*10.764</f>
        <v>793.73736000000008</v>
      </c>
      <c r="E754" s="63">
        <v>0</v>
      </c>
      <c r="F754" s="63">
        <f t="shared" si="37"/>
        <v>1190.6060400000001</v>
      </c>
      <c r="G754" s="87"/>
      <c r="H754" s="88"/>
    </row>
    <row r="755" spans="1:9" s="53" customFormat="1" x14ac:dyDescent="0.35">
      <c r="A755" s="94" t="s">
        <v>175</v>
      </c>
      <c r="B755" s="94"/>
      <c r="C755" s="94"/>
      <c r="D755" s="94"/>
      <c r="E755" s="94"/>
      <c r="F755" s="94"/>
      <c r="G755" s="94"/>
      <c r="H755" s="94"/>
    </row>
    <row r="756" spans="1:9" s="53" customFormat="1" x14ac:dyDescent="0.35">
      <c r="A756" s="82" t="s">
        <v>259</v>
      </c>
      <c r="B756" s="82"/>
      <c r="C756" s="68" t="s">
        <v>1059</v>
      </c>
      <c r="D756" s="66">
        <f>(59.56+0.6*2.45+0.7*2.1+1.2*(3.4+3))*10.764</f>
        <v>755.41752000000008</v>
      </c>
      <c r="E756" s="63">
        <v>0</v>
      </c>
      <c r="F756" s="63">
        <f t="shared" ref="F756:F764" si="38">D756*1.5+E756</f>
        <v>1133.1262800000002</v>
      </c>
      <c r="G756" s="83" t="str">
        <f>A755</f>
        <v>9th Floor</v>
      </c>
      <c r="H756" s="84"/>
      <c r="I756" s="65"/>
    </row>
    <row r="757" spans="1:9" s="53" customFormat="1" x14ac:dyDescent="0.35">
      <c r="A757" s="82" t="s">
        <v>260</v>
      </c>
      <c r="B757" s="82"/>
      <c r="C757" s="68" t="s">
        <v>1059</v>
      </c>
      <c r="D757" s="66">
        <f>(57.52+0.6*(2.45+2.9)+1.2*3)*10.764</f>
        <v>692.4481199999999</v>
      </c>
      <c r="E757" s="63">
        <v>0</v>
      </c>
      <c r="F757" s="63">
        <f t="shared" si="38"/>
        <v>1038.6721799999998</v>
      </c>
      <c r="G757" s="85"/>
      <c r="H757" s="86"/>
    </row>
    <row r="758" spans="1:9" s="53" customFormat="1" ht="15.65" customHeight="1" x14ac:dyDescent="0.35">
      <c r="A758" s="82" t="s">
        <v>261</v>
      </c>
      <c r="B758" s="82"/>
      <c r="C758" s="68" t="s">
        <v>1059</v>
      </c>
      <c r="D758" s="66">
        <f>(57.87+0.6*(2.45+3)+1.2*3)*10.764</f>
        <v>696.86135999999988</v>
      </c>
      <c r="E758" s="63">
        <v>0</v>
      </c>
      <c r="F758" s="63">
        <f t="shared" si="38"/>
        <v>1045.2920399999998</v>
      </c>
      <c r="G758" s="85"/>
      <c r="H758" s="86"/>
    </row>
    <row r="759" spans="1:9" s="53" customFormat="1" ht="15.65" customHeight="1" x14ac:dyDescent="0.35">
      <c r="A759" s="82" t="s">
        <v>262</v>
      </c>
      <c r="B759" s="82"/>
      <c r="C759" s="68" t="s">
        <v>1059</v>
      </c>
      <c r="D759" s="66">
        <f>(57.45+0.6*(2.55+2.9)+1.2*3)*10.764</f>
        <v>692.34047999999984</v>
      </c>
      <c r="E759" s="63">
        <v>0</v>
      </c>
      <c r="F759" s="63">
        <f t="shared" si="38"/>
        <v>1038.5107199999998</v>
      </c>
      <c r="G759" s="85"/>
      <c r="H759" s="86"/>
    </row>
    <row r="760" spans="1:9" s="53" customFormat="1" ht="15.65" customHeight="1" x14ac:dyDescent="0.35">
      <c r="A760" s="82" t="s">
        <v>263</v>
      </c>
      <c r="B760" s="82"/>
      <c r="C760" s="68" t="s">
        <v>1059</v>
      </c>
      <c r="D760" s="66">
        <f>(56.87+0.6*(2.45+2.9)+1.2*3)*10.764</f>
        <v>685.45151999999996</v>
      </c>
      <c r="E760" s="63">
        <v>0</v>
      </c>
      <c r="F760" s="63">
        <f t="shared" si="38"/>
        <v>1028.1772799999999</v>
      </c>
      <c r="G760" s="85"/>
      <c r="H760" s="86"/>
    </row>
    <row r="761" spans="1:9" s="53" customFormat="1" ht="15.65" customHeight="1" x14ac:dyDescent="0.35">
      <c r="A761" s="82" t="s">
        <v>264</v>
      </c>
      <c r="B761" s="82"/>
      <c r="C761" s="68" t="s">
        <v>1059</v>
      </c>
      <c r="D761" s="66">
        <f>(56.87+0.6*(2.45+2.9)+1.2*3)*10.764</f>
        <v>685.45151999999996</v>
      </c>
      <c r="E761" s="63">
        <v>0</v>
      </c>
      <c r="F761" s="63">
        <f t="shared" si="38"/>
        <v>1028.1772799999999</v>
      </c>
      <c r="G761" s="85"/>
      <c r="H761" s="86"/>
    </row>
    <row r="762" spans="1:9" s="53" customFormat="1" ht="15.65" customHeight="1" x14ac:dyDescent="0.35">
      <c r="A762" s="82" t="s">
        <v>265</v>
      </c>
      <c r="B762" s="82"/>
      <c r="C762" s="68" t="s">
        <v>1059</v>
      </c>
      <c r="D762" s="66">
        <f>(57.89+0.6*(2.45+3)+1.2*3)*10.764</f>
        <v>697.07664</v>
      </c>
      <c r="E762" s="63">
        <v>0</v>
      </c>
      <c r="F762" s="63">
        <f t="shared" si="38"/>
        <v>1045.6149599999999</v>
      </c>
      <c r="G762" s="85"/>
      <c r="H762" s="86"/>
    </row>
    <row r="763" spans="1:9" s="53" customFormat="1" ht="15.65" customHeight="1" x14ac:dyDescent="0.35">
      <c r="A763" s="82" t="s">
        <v>266</v>
      </c>
      <c r="B763" s="82"/>
      <c r="C763" s="68" t="s">
        <v>1059</v>
      </c>
      <c r="D763" s="66">
        <f>(57.52+0.6*(2.45+2.9)+1.2*3)*10.764</f>
        <v>692.4481199999999</v>
      </c>
      <c r="E763" s="63">
        <v>0</v>
      </c>
      <c r="F763" s="63">
        <f t="shared" si="38"/>
        <v>1038.6721799999998</v>
      </c>
      <c r="G763" s="85"/>
      <c r="H763" s="86"/>
    </row>
    <row r="764" spans="1:9" s="53" customFormat="1" ht="15.65" customHeight="1" x14ac:dyDescent="0.35">
      <c r="A764" s="82" t="s">
        <v>267</v>
      </c>
      <c r="B764" s="82"/>
      <c r="C764" s="68" t="s">
        <v>1059</v>
      </c>
      <c r="D764" s="66">
        <f>(59.54+0.6*2.45+0.7*2.1+1.2*(3.4+3))*10.764</f>
        <v>755.20223999999996</v>
      </c>
      <c r="E764" s="63">
        <v>0</v>
      </c>
      <c r="F764" s="63">
        <f t="shared" si="38"/>
        <v>1132.8033599999999</v>
      </c>
      <c r="G764" s="87"/>
      <c r="H764" s="88"/>
    </row>
    <row r="765" spans="1:9" s="53" customFormat="1" x14ac:dyDescent="0.35">
      <c r="A765" s="81" t="s">
        <v>176</v>
      </c>
      <c r="B765" s="81"/>
      <c r="C765" s="81"/>
      <c r="D765" s="81"/>
      <c r="E765" s="81"/>
      <c r="F765" s="81"/>
      <c r="G765" s="81"/>
      <c r="H765" s="81"/>
    </row>
    <row r="766" spans="1:9" s="53" customFormat="1" x14ac:dyDescent="0.35">
      <c r="A766" s="82" t="s">
        <v>268</v>
      </c>
      <c r="B766" s="82"/>
      <c r="C766" s="68" t="s">
        <v>1059</v>
      </c>
      <c r="D766" s="66">
        <f>(62.96+0.6*2.45+0.7*2.1+1.2*(3.4+3))*10.764</f>
        <v>792.01512000000014</v>
      </c>
      <c r="E766" s="63">
        <v>0</v>
      </c>
      <c r="F766" s="63">
        <f t="shared" ref="F766:F774" si="39">D766*1.5+E766</f>
        <v>1188.0226800000003</v>
      </c>
      <c r="G766" s="83" t="str">
        <f>A765</f>
        <v>10th Floor</v>
      </c>
      <c r="H766" s="84"/>
      <c r="I766" s="65"/>
    </row>
    <row r="767" spans="1:9" s="53" customFormat="1" x14ac:dyDescent="0.35">
      <c r="A767" s="82" t="s">
        <v>269</v>
      </c>
      <c r="B767" s="82"/>
      <c r="C767" s="68" t="s">
        <v>1059</v>
      </c>
      <c r="D767" s="66">
        <f>(62.21+0.6*(2.45+2.9)+1.2*3)*10.764</f>
        <v>742.9312799999999</v>
      </c>
      <c r="E767" s="63">
        <v>0</v>
      </c>
      <c r="F767" s="63">
        <f t="shared" si="39"/>
        <v>1114.3969199999999</v>
      </c>
      <c r="G767" s="85"/>
      <c r="H767" s="86"/>
    </row>
    <row r="768" spans="1:9" s="53" customFormat="1" ht="15.65" customHeight="1" x14ac:dyDescent="0.35">
      <c r="A768" s="82" t="s">
        <v>270</v>
      </c>
      <c r="B768" s="82"/>
      <c r="C768" s="68" t="s">
        <v>1059</v>
      </c>
      <c r="D768" s="66">
        <f>(62.84+0.6*(2.45+3)+1.2*3)*10.764</f>
        <v>750.35843999999986</v>
      </c>
      <c r="E768" s="63">
        <v>0</v>
      </c>
      <c r="F768" s="63">
        <f t="shared" si="39"/>
        <v>1125.5376599999997</v>
      </c>
      <c r="G768" s="85"/>
      <c r="H768" s="86"/>
    </row>
    <row r="769" spans="1:9" s="53" customFormat="1" ht="15.65" customHeight="1" x14ac:dyDescent="0.35">
      <c r="A769" s="82" t="s">
        <v>271</v>
      </c>
      <c r="B769" s="82"/>
      <c r="C769" s="68" t="s">
        <v>1059</v>
      </c>
      <c r="D769" s="66">
        <f>(62.14+0.6*(2.55+2.9)+1.2*3)*10.764</f>
        <v>742.82363999999984</v>
      </c>
      <c r="E769" s="63">
        <v>0</v>
      </c>
      <c r="F769" s="63">
        <f t="shared" si="39"/>
        <v>1114.2354599999999</v>
      </c>
      <c r="G769" s="85"/>
      <c r="H769" s="86"/>
    </row>
    <row r="770" spans="1:9" s="53" customFormat="1" ht="15.65" customHeight="1" x14ac:dyDescent="0.35">
      <c r="A770" s="82" t="s">
        <v>272</v>
      </c>
      <c r="B770" s="82"/>
      <c r="C770" s="68" t="s">
        <v>1059</v>
      </c>
      <c r="D770" s="66">
        <f>(61.56+0.6*(2.45+2.9)+1.2*3)*10.764</f>
        <v>735.93467999999984</v>
      </c>
      <c r="E770" s="63">
        <v>0</v>
      </c>
      <c r="F770" s="63">
        <f t="shared" si="39"/>
        <v>1103.9020199999998</v>
      </c>
      <c r="G770" s="85"/>
      <c r="H770" s="86"/>
    </row>
    <row r="771" spans="1:9" s="53" customFormat="1" ht="15.65" customHeight="1" x14ac:dyDescent="0.35">
      <c r="A771" s="82" t="s">
        <v>273</v>
      </c>
      <c r="B771" s="82"/>
      <c r="C771" s="68" t="s">
        <v>1059</v>
      </c>
      <c r="D771" s="66">
        <f>(61.56+0.6*(2.45+2.9)+1.2*3)*10.764</f>
        <v>735.93467999999984</v>
      </c>
      <c r="E771" s="63">
        <v>0</v>
      </c>
      <c r="F771" s="63">
        <f t="shared" si="39"/>
        <v>1103.9020199999998</v>
      </c>
      <c r="G771" s="85"/>
      <c r="H771" s="86"/>
    </row>
    <row r="772" spans="1:9" s="53" customFormat="1" ht="15.65" customHeight="1" x14ac:dyDescent="0.35">
      <c r="A772" s="82" t="s">
        <v>274</v>
      </c>
      <c r="B772" s="82"/>
      <c r="C772" s="68" t="s">
        <v>1059</v>
      </c>
      <c r="D772" s="66">
        <f>(61.84+0.6*(2.45+3)+1.2*3)*10.764</f>
        <v>739.59443999999985</v>
      </c>
      <c r="E772" s="63">
        <v>0</v>
      </c>
      <c r="F772" s="63">
        <f t="shared" si="39"/>
        <v>1109.3916599999998</v>
      </c>
      <c r="G772" s="85"/>
      <c r="H772" s="86"/>
    </row>
    <row r="773" spans="1:9" s="53" customFormat="1" ht="15.65" customHeight="1" x14ac:dyDescent="0.35">
      <c r="A773" s="82" t="s">
        <v>275</v>
      </c>
      <c r="B773" s="82"/>
      <c r="C773" s="68" t="s">
        <v>1059</v>
      </c>
      <c r="D773" s="66">
        <f>(62.21+0.6*(2.45+2.9)+1.2*3)*10.764</f>
        <v>742.9312799999999</v>
      </c>
      <c r="E773" s="63">
        <v>0</v>
      </c>
      <c r="F773" s="63">
        <f t="shared" si="39"/>
        <v>1114.3969199999999</v>
      </c>
      <c r="G773" s="85"/>
      <c r="H773" s="86"/>
    </row>
    <row r="774" spans="1:9" s="53" customFormat="1" ht="15.65" customHeight="1" x14ac:dyDescent="0.35">
      <c r="A774" s="82" t="s">
        <v>276</v>
      </c>
      <c r="B774" s="82"/>
      <c r="C774" s="68" t="s">
        <v>1059</v>
      </c>
      <c r="D774" s="66">
        <f>(63.12+0.6*2.45+0.7*2.1+1.2*(3.4+3))*10.764</f>
        <v>793.73736000000008</v>
      </c>
      <c r="E774" s="63">
        <v>0</v>
      </c>
      <c r="F774" s="63">
        <f t="shared" si="39"/>
        <v>1190.6060400000001</v>
      </c>
      <c r="G774" s="87"/>
      <c r="H774" s="88"/>
    </row>
    <row r="775" spans="1:9" s="53" customFormat="1" x14ac:dyDescent="0.35">
      <c r="A775" s="81" t="s">
        <v>177</v>
      </c>
      <c r="B775" s="81"/>
      <c r="C775" s="81"/>
      <c r="D775" s="81"/>
      <c r="E775" s="81"/>
      <c r="F775" s="81"/>
      <c r="G775" s="81"/>
      <c r="H775" s="81"/>
    </row>
    <row r="776" spans="1:9" s="53" customFormat="1" x14ac:dyDescent="0.35">
      <c r="A776" s="82" t="s">
        <v>277</v>
      </c>
      <c r="B776" s="82"/>
      <c r="C776" s="68" t="s">
        <v>1059</v>
      </c>
      <c r="D776" s="66">
        <f>(62.96+0.6*2.45+0.7*2.1+1.2*(3.4+3))*10.764</f>
        <v>792.01512000000014</v>
      </c>
      <c r="E776" s="63">
        <v>0</v>
      </c>
      <c r="F776" s="63">
        <f t="shared" ref="F776:F784" si="40">D776*1.5+E776</f>
        <v>1188.0226800000003</v>
      </c>
      <c r="G776" s="83" t="str">
        <f>A775</f>
        <v>11th Floor</v>
      </c>
      <c r="H776" s="84"/>
      <c r="I776" s="65"/>
    </row>
    <row r="777" spans="1:9" s="53" customFormat="1" x14ac:dyDescent="0.35">
      <c r="A777" s="82" t="s">
        <v>278</v>
      </c>
      <c r="B777" s="82"/>
      <c r="C777" s="68" t="s">
        <v>1059</v>
      </c>
      <c r="D777" s="66">
        <f>(62.21+0.6*(2.45+2.9)+1.2*3)*10.764</f>
        <v>742.9312799999999</v>
      </c>
      <c r="E777" s="63">
        <v>0</v>
      </c>
      <c r="F777" s="63">
        <f t="shared" si="40"/>
        <v>1114.3969199999999</v>
      </c>
      <c r="G777" s="85"/>
      <c r="H777" s="86"/>
    </row>
    <row r="778" spans="1:9" s="53" customFormat="1" ht="15.65" customHeight="1" x14ac:dyDescent="0.35">
      <c r="A778" s="82" t="s">
        <v>279</v>
      </c>
      <c r="B778" s="82"/>
      <c r="C778" s="68" t="s">
        <v>1059</v>
      </c>
      <c r="D778" s="66">
        <f>(62.84+0.6*(2.45+3)+1.2*3)*10.764</f>
        <v>750.35843999999986</v>
      </c>
      <c r="E778" s="63">
        <v>0</v>
      </c>
      <c r="F778" s="63">
        <f t="shared" si="40"/>
        <v>1125.5376599999997</v>
      </c>
      <c r="G778" s="85"/>
      <c r="H778" s="86"/>
    </row>
    <row r="779" spans="1:9" s="53" customFormat="1" ht="15.65" customHeight="1" x14ac:dyDescent="0.35">
      <c r="A779" s="82" t="s">
        <v>280</v>
      </c>
      <c r="B779" s="82"/>
      <c r="C779" s="68" t="s">
        <v>1059</v>
      </c>
      <c r="D779" s="66">
        <f>(62.14+0.6*(2.55+2.9)+1.2*3)*10.764</f>
        <v>742.82363999999984</v>
      </c>
      <c r="E779" s="63">
        <v>0</v>
      </c>
      <c r="F779" s="63">
        <f t="shared" si="40"/>
        <v>1114.2354599999999</v>
      </c>
      <c r="G779" s="85"/>
      <c r="H779" s="86"/>
    </row>
    <row r="780" spans="1:9" s="53" customFormat="1" ht="15.65" customHeight="1" x14ac:dyDescent="0.35">
      <c r="A780" s="82" t="s">
        <v>281</v>
      </c>
      <c r="B780" s="82"/>
      <c r="C780" s="68" t="s">
        <v>1059</v>
      </c>
      <c r="D780" s="66">
        <f>(61.56+0.6*(2.45+2.9)+1.2*3)*10.764</f>
        <v>735.93467999999984</v>
      </c>
      <c r="E780" s="63">
        <v>0</v>
      </c>
      <c r="F780" s="63">
        <f t="shared" si="40"/>
        <v>1103.9020199999998</v>
      </c>
      <c r="G780" s="85"/>
      <c r="H780" s="86"/>
    </row>
    <row r="781" spans="1:9" s="53" customFormat="1" ht="15.65" customHeight="1" x14ac:dyDescent="0.35">
      <c r="A781" s="82" t="s">
        <v>282</v>
      </c>
      <c r="B781" s="82"/>
      <c r="C781" s="68" t="s">
        <v>1059</v>
      </c>
      <c r="D781" s="66">
        <f>(61.56+0.6*(2.45+2.9)+1.2*3)*10.764</f>
        <v>735.93467999999984</v>
      </c>
      <c r="E781" s="63">
        <v>0</v>
      </c>
      <c r="F781" s="63">
        <f t="shared" si="40"/>
        <v>1103.9020199999998</v>
      </c>
      <c r="G781" s="85"/>
      <c r="H781" s="86"/>
    </row>
    <row r="782" spans="1:9" s="53" customFormat="1" ht="15.65" customHeight="1" x14ac:dyDescent="0.35">
      <c r="A782" s="82" t="s">
        <v>283</v>
      </c>
      <c r="B782" s="82"/>
      <c r="C782" s="68" t="s">
        <v>1059</v>
      </c>
      <c r="D782" s="66">
        <f>(61.84+0.6*(2.45+3)+1.2*3)*10.764</f>
        <v>739.59443999999985</v>
      </c>
      <c r="E782" s="63">
        <v>0</v>
      </c>
      <c r="F782" s="63">
        <f t="shared" si="40"/>
        <v>1109.3916599999998</v>
      </c>
      <c r="G782" s="85"/>
      <c r="H782" s="86"/>
    </row>
    <row r="783" spans="1:9" s="53" customFormat="1" ht="15.65" customHeight="1" x14ac:dyDescent="0.35">
      <c r="A783" s="82" t="s">
        <v>284</v>
      </c>
      <c r="B783" s="82"/>
      <c r="C783" s="68" t="s">
        <v>1059</v>
      </c>
      <c r="D783" s="66">
        <f>(62.21+0.6*(2.45+2.9)+1.2*3)*10.764</f>
        <v>742.9312799999999</v>
      </c>
      <c r="E783" s="63">
        <v>0</v>
      </c>
      <c r="F783" s="63">
        <f t="shared" si="40"/>
        <v>1114.3969199999999</v>
      </c>
      <c r="G783" s="85"/>
      <c r="H783" s="86"/>
    </row>
    <row r="784" spans="1:9" s="53" customFormat="1" ht="15.65" customHeight="1" x14ac:dyDescent="0.35">
      <c r="A784" s="82" t="s">
        <v>285</v>
      </c>
      <c r="B784" s="82"/>
      <c r="C784" s="68" t="s">
        <v>1059</v>
      </c>
      <c r="D784" s="66">
        <f>(63.12+0.6*2.45+0.7*2.1+1.2*(3.4+3))*10.764</f>
        <v>793.73736000000008</v>
      </c>
      <c r="E784" s="63">
        <v>0</v>
      </c>
      <c r="F784" s="63">
        <f t="shared" si="40"/>
        <v>1190.6060400000001</v>
      </c>
      <c r="G784" s="87"/>
      <c r="H784" s="88"/>
    </row>
    <row r="785" spans="1:9" s="53" customFormat="1" x14ac:dyDescent="0.35">
      <c r="A785" s="81" t="s">
        <v>730</v>
      </c>
      <c r="B785" s="81"/>
      <c r="C785" s="81"/>
      <c r="D785" s="81"/>
      <c r="E785" s="81"/>
      <c r="F785" s="81"/>
      <c r="G785" s="81"/>
      <c r="H785" s="81"/>
    </row>
    <row r="786" spans="1:9" s="53" customFormat="1" x14ac:dyDescent="0.35">
      <c r="A786" s="82" t="s">
        <v>850</v>
      </c>
      <c r="B786" s="82"/>
      <c r="C786" s="68" t="s">
        <v>1059</v>
      </c>
      <c r="D786" s="66">
        <f>(62.96+0.6*2.45+0.7*2.1+1.2*(3.4+3))*10.764</f>
        <v>792.01512000000014</v>
      </c>
      <c r="E786" s="63">
        <v>0</v>
      </c>
      <c r="F786" s="63">
        <f t="shared" ref="F786:F794" si="41">D786*1.5+E786</f>
        <v>1188.0226800000003</v>
      </c>
      <c r="G786" s="83" t="str">
        <f>A785</f>
        <v>12th Floor</v>
      </c>
      <c r="H786" s="84"/>
      <c r="I786" s="65"/>
    </row>
    <row r="787" spans="1:9" s="53" customFormat="1" x14ac:dyDescent="0.35">
      <c r="A787" s="82" t="s">
        <v>851</v>
      </c>
      <c r="B787" s="82"/>
      <c r="C787" s="68" t="s">
        <v>1059</v>
      </c>
      <c r="D787" s="66">
        <f>(62.21+0.6*(2.45+2.9)+1.2*3)*10.764</f>
        <v>742.9312799999999</v>
      </c>
      <c r="E787" s="63">
        <v>0</v>
      </c>
      <c r="F787" s="63">
        <f t="shared" si="41"/>
        <v>1114.3969199999999</v>
      </c>
      <c r="G787" s="85"/>
      <c r="H787" s="86"/>
    </row>
    <row r="788" spans="1:9" s="53" customFormat="1" ht="15.65" customHeight="1" x14ac:dyDescent="0.35">
      <c r="A788" s="82" t="s">
        <v>852</v>
      </c>
      <c r="B788" s="82"/>
      <c r="C788" s="68" t="s">
        <v>1059</v>
      </c>
      <c r="D788" s="66">
        <f>(62.84+0.6*(2.45+3)+1.2*3)*10.764</f>
        <v>750.35843999999986</v>
      </c>
      <c r="E788" s="63">
        <v>0</v>
      </c>
      <c r="F788" s="63">
        <f t="shared" si="41"/>
        <v>1125.5376599999997</v>
      </c>
      <c r="G788" s="85"/>
      <c r="H788" s="86"/>
    </row>
    <row r="789" spans="1:9" s="53" customFormat="1" ht="15.65" customHeight="1" x14ac:dyDescent="0.35">
      <c r="A789" s="82" t="s">
        <v>853</v>
      </c>
      <c r="B789" s="82"/>
      <c r="C789" s="68" t="s">
        <v>1059</v>
      </c>
      <c r="D789" s="66">
        <f>(62.14+0.6*(2.55+2.9)+1.2*3)*10.764</f>
        <v>742.82363999999984</v>
      </c>
      <c r="E789" s="63">
        <v>0</v>
      </c>
      <c r="F789" s="63">
        <f t="shared" si="41"/>
        <v>1114.2354599999999</v>
      </c>
      <c r="G789" s="85"/>
      <c r="H789" s="86"/>
    </row>
    <row r="790" spans="1:9" s="53" customFormat="1" ht="15.65" customHeight="1" x14ac:dyDescent="0.35">
      <c r="A790" s="82" t="s">
        <v>854</v>
      </c>
      <c r="B790" s="82"/>
      <c r="C790" s="68" t="s">
        <v>1059</v>
      </c>
      <c r="D790" s="66">
        <f>(61.56+0.6*(2.45+2.9)+1.2*3)*10.764</f>
        <v>735.93467999999984</v>
      </c>
      <c r="E790" s="63">
        <v>0</v>
      </c>
      <c r="F790" s="63">
        <f t="shared" si="41"/>
        <v>1103.9020199999998</v>
      </c>
      <c r="G790" s="85"/>
      <c r="H790" s="86"/>
    </row>
    <row r="791" spans="1:9" s="53" customFormat="1" ht="15.65" customHeight="1" x14ac:dyDescent="0.35">
      <c r="A791" s="82" t="s">
        <v>855</v>
      </c>
      <c r="B791" s="82"/>
      <c r="C791" s="68" t="s">
        <v>1059</v>
      </c>
      <c r="D791" s="66">
        <f>(61.56+0.6*(2.45+2.9)+1.2*3)*10.764</f>
        <v>735.93467999999984</v>
      </c>
      <c r="E791" s="63">
        <v>0</v>
      </c>
      <c r="F791" s="63">
        <f t="shared" si="41"/>
        <v>1103.9020199999998</v>
      </c>
      <c r="G791" s="85"/>
      <c r="H791" s="86"/>
    </row>
    <row r="792" spans="1:9" s="53" customFormat="1" ht="15.65" customHeight="1" x14ac:dyDescent="0.35">
      <c r="A792" s="82" t="s">
        <v>856</v>
      </c>
      <c r="B792" s="82"/>
      <c r="C792" s="68" t="s">
        <v>1059</v>
      </c>
      <c r="D792" s="66">
        <f>(61.84+0.6*(2.45+3)+1.2*3)*10.764</f>
        <v>739.59443999999985</v>
      </c>
      <c r="E792" s="63">
        <v>0</v>
      </c>
      <c r="F792" s="63">
        <f t="shared" si="41"/>
        <v>1109.3916599999998</v>
      </c>
      <c r="G792" s="85"/>
      <c r="H792" s="86"/>
    </row>
    <row r="793" spans="1:9" s="53" customFormat="1" ht="15.65" customHeight="1" x14ac:dyDescent="0.35">
      <c r="A793" s="82" t="s">
        <v>857</v>
      </c>
      <c r="B793" s="82"/>
      <c r="C793" s="68" t="s">
        <v>1059</v>
      </c>
      <c r="D793" s="66">
        <f>(62.21+0.6*(2.45+2.9)+1.2*3)*10.764</f>
        <v>742.9312799999999</v>
      </c>
      <c r="E793" s="63">
        <v>0</v>
      </c>
      <c r="F793" s="63">
        <f t="shared" si="41"/>
        <v>1114.3969199999999</v>
      </c>
      <c r="G793" s="85"/>
      <c r="H793" s="86"/>
    </row>
    <row r="794" spans="1:9" s="53" customFormat="1" ht="15.65" customHeight="1" x14ac:dyDescent="0.35">
      <c r="A794" s="82" t="s">
        <v>858</v>
      </c>
      <c r="B794" s="82"/>
      <c r="C794" s="68" t="s">
        <v>1059</v>
      </c>
      <c r="D794" s="66">
        <f>(63.12+0.6*2.45+0.7*2.1+1.2*(3.4+3))*10.764</f>
        <v>793.73736000000008</v>
      </c>
      <c r="E794" s="63">
        <v>0</v>
      </c>
      <c r="F794" s="63">
        <f t="shared" si="41"/>
        <v>1190.6060400000001</v>
      </c>
      <c r="G794" s="87"/>
      <c r="H794" s="88"/>
    </row>
    <row r="795" spans="1:9" s="53" customFormat="1" x14ac:dyDescent="0.35">
      <c r="A795" s="81" t="s">
        <v>731</v>
      </c>
      <c r="B795" s="81"/>
      <c r="C795" s="81"/>
      <c r="D795" s="81"/>
      <c r="E795" s="81"/>
      <c r="F795" s="81"/>
      <c r="G795" s="81"/>
      <c r="H795" s="81"/>
    </row>
    <row r="796" spans="1:9" s="53" customFormat="1" x14ac:dyDescent="0.35">
      <c r="A796" s="82" t="s">
        <v>859</v>
      </c>
      <c r="B796" s="82"/>
      <c r="C796" s="68" t="s">
        <v>1059</v>
      </c>
      <c r="D796" s="66">
        <f>(62.96+0.6*2.45+0.7*2.1+1.2*(3.4+3))*10.764</f>
        <v>792.01512000000014</v>
      </c>
      <c r="E796" s="63">
        <v>0</v>
      </c>
      <c r="F796" s="63">
        <f t="shared" ref="F796:F804" si="42">D796*1.5+E796</f>
        <v>1188.0226800000003</v>
      </c>
      <c r="G796" s="83" t="str">
        <f>A795</f>
        <v>13th Floor</v>
      </c>
      <c r="H796" s="84"/>
      <c r="I796" s="65"/>
    </row>
    <row r="797" spans="1:9" s="53" customFormat="1" x14ac:dyDescent="0.35">
      <c r="A797" s="82" t="s">
        <v>860</v>
      </c>
      <c r="B797" s="82"/>
      <c r="C797" s="68" t="s">
        <v>1059</v>
      </c>
      <c r="D797" s="66">
        <f>(62.21+0.6*(2.45+2.9)+1.2*3)*10.764</f>
        <v>742.9312799999999</v>
      </c>
      <c r="E797" s="63">
        <v>0</v>
      </c>
      <c r="F797" s="63">
        <f t="shared" si="42"/>
        <v>1114.3969199999999</v>
      </c>
      <c r="G797" s="85"/>
      <c r="H797" s="86"/>
    </row>
    <row r="798" spans="1:9" s="53" customFormat="1" ht="15.65" customHeight="1" x14ac:dyDescent="0.35">
      <c r="A798" s="82" t="s">
        <v>861</v>
      </c>
      <c r="B798" s="82"/>
      <c r="C798" s="68" t="s">
        <v>1059</v>
      </c>
      <c r="D798" s="66">
        <f>(62.84+0.6*(2.45+3)+1.2*3)*10.764</f>
        <v>750.35843999999986</v>
      </c>
      <c r="E798" s="63">
        <v>0</v>
      </c>
      <c r="F798" s="63">
        <f t="shared" si="42"/>
        <v>1125.5376599999997</v>
      </c>
      <c r="G798" s="85"/>
      <c r="H798" s="86"/>
    </row>
    <row r="799" spans="1:9" s="53" customFormat="1" ht="15.65" customHeight="1" x14ac:dyDescent="0.35">
      <c r="A799" s="82" t="s">
        <v>862</v>
      </c>
      <c r="B799" s="82"/>
      <c r="C799" s="68" t="s">
        <v>1059</v>
      </c>
      <c r="D799" s="66">
        <f>(62.14+0.6*(2.55+2.9)+1.2*3)*10.764</f>
        <v>742.82363999999984</v>
      </c>
      <c r="E799" s="63">
        <v>0</v>
      </c>
      <c r="F799" s="63">
        <f t="shared" si="42"/>
        <v>1114.2354599999999</v>
      </c>
      <c r="G799" s="85"/>
      <c r="H799" s="86"/>
    </row>
    <row r="800" spans="1:9" s="53" customFormat="1" ht="15.65" customHeight="1" x14ac:dyDescent="0.35">
      <c r="A800" s="82" t="s">
        <v>863</v>
      </c>
      <c r="B800" s="82"/>
      <c r="C800" s="68" t="s">
        <v>1059</v>
      </c>
      <c r="D800" s="66">
        <f>(61.56+0.6*(2.45+2.9)+1.2*3)*10.764</f>
        <v>735.93467999999984</v>
      </c>
      <c r="E800" s="63">
        <v>0</v>
      </c>
      <c r="F800" s="63">
        <f t="shared" si="42"/>
        <v>1103.9020199999998</v>
      </c>
      <c r="G800" s="85"/>
      <c r="H800" s="86"/>
    </row>
    <row r="801" spans="1:9" s="53" customFormat="1" ht="15.65" customHeight="1" x14ac:dyDescent="0.35">
      <c r="A801" s="82" t="s">
        <v>864</v>
      </c>
      <c r="B801" s="82"/>
      <c r="C801" s="68" t="s">
        <v>1059</v>
      </c>
      <c r="D801" s="66">
        <f>(61.56+0.6*(2.45+2.9)+1.2*3)*10.764</f>
        <v>735.93467999999984</v>
      </c>
      <c r="E801" s="63">
        <v>0</v>
      </c>
      <c r="F801" s="63">
        <f t="shared" si="42"/>
        <v>1103.9020199999998</v>
      </c>
      <c r="G801" s="85"/>
      <c r="H801" s="86"/>
    </row>
    <row r="802" spans="1:9" s="53" customFormat="1" ht="15.65" customHeight="1" x14ac:dyDescent="0.35">
      <c r="A802" s="82" t="s">
        <v>865</v>
      </c>
      <c r="B802" s="82"/>
      <c r="C802" s="68" t="s">
        <v>1059</v>
      </c>
      <c r="D802" s="66">
        <f>(61.84+0.6*(2.45+3)+1.2*3)*10.764</f>
        <v>739.59443999999985</v>
      </c>
      <c r="E802" s="63">
        <v>0</v>
      </c>
      <c r="F802" s="63">
        <f t="shared" si="42"/>
        <v>1109.3916599999998</v>
      </c>
      <c r="G802" s="85"/>
      <c r="H802" s="86"/>
    </row>
    <row r="803" spans="1:9" s="53" customFormat="1" ht="15.65" customHeight="1" x14ac:dyDescent="0.35">
      <c r="A803" s="82" t="s">
        <v>866</v>
      </c>
      <c r="B803" s="82"/>
      <c r="C803" s="68" t="s">
        <v>1059</v>
      </c>
      <c r="D803" s="66">
        <f>(62.21+0.6*(2.45+2.9)+1.2*3)*10.764</f>
        <v>742.9312799999999</v>
      </c>
      <c r="E803" s="63">
        <v>0</v>
      </c>
      <c r="F803" s="63">
        <f t="shared" si="42"/>
        <v>1114.3969199999999</v>
      </c>
      <c r="G803" s="85"/>
      <c r="H803" s="86"/>
    </row>
    <row r="804" spans="1:9" s="53" customFormat="1" ht="15.65" customHeight="1" x14ac:dyDescent="0.35">
      <c r="A804" s="82" t="s">
        <v>867</v>
      </c>
      <c r="B804" s="82"/>
      <c r="C804" s="68" t="s">
        <v>1059</v>
      </c>
      <c r="D804" s="66">
        <f>(63.12+0.6*2.45+0.7*2.1+1.2*(3.4+3))*10.764</f>
        <v>793.73736000000008</v>
      </c>
      <c r="E804" s="63">
        <v>0</v>
      </c>
      <c r="F804" s="63">
        <f t="shared" si="42"/>
        <v>1190.6060400000001</v>
      </c>
      <c r="G804" s="87"/>
      <c r="H804" s="88"/>
    </row>
    <row r="805" spans="1:9" s="53" customFormat="1" x14ac:dyDescent="0.35">
      <c r="A805" s="81" t="s">
        <v>732</v>
      </c>
      <c r="B805" s="81"/>
      <c r="C805" s="81"/>
      <c r="D805" s="81"/>
      <c r="E805" s="81"/>
      <c r="F805" s="81"/>
      <c r="G805" s="81"/>
      <c r="H805" s="81"/>
    </row>
    <row r="806" spans="1:9" s="53" customFormat="1" x14ac:dyDescent="0.35">
      <c r="A806" s="82" t="s">
        <v>868</v>
      </c>
      <c r="B806" s="82"/>
      <c r="C806" s="68" t="s">
        <v>1059</v>
      </c>
      <c r="D806" s="66">
        <f>(62.96+0.6*2.45+0.7*2.1+1.2*(3.4+3))*10.764</f>
        <v>792.01512000000014</v>
      </c>
      <c r="E806" s="63">
        <v>0</v>
      </c>
      <c r="F806" s="63">
        <f t="shared" ref="F806:F814" si="43">D806*1.5+E806</f>
        <v>1188.0226800000003</v>
      </c>
      <c r="G806" s="83" t="str">
        <f>A805</f>
        <v>14th Floor</v>
      </c>
      <c r="H806" s="84"/>
      <c r="I806" s="65"/>
    </row>
    <row r="807" spans="1:9" s="53" customFormat="1" x14ac:dyDescent="0.35">
      <c r="A807" s="82" t="s">
        <v>869</v>
      </c>
      <c r="B807" s="82"/>
      <c r="C807" s="68" t="s">
        <v>1059</v>
      </c>
      <c r="D807" s="66">
        <f>(62.21+0.6*(2.45+2.9)+1.2*3)*10.764</f>
        <v>742.9312799999999</v>
      </c>
      <c r="E807" s="63">
        <v>0</v>
      </c>
      <c r="F807" s="63">
        <f t="shared" si="43"/>
        <v>1114.3969199999999</v>
      </c>
      <c r="G807" s="85"/>
      <c r="H807" s="86"/>
    </row>
    <row r="808" spans="1:9" s="53" customFormat="1" ht="15.65" customHeight="1" x14ac:dyDescent="0.35">
      <c r="A808" s="82" t="s">
        <v>870</v>
      </c>
      <c r="B808" s="82"/>
      <c r="C808" s="68" t="s">
        <v>1059</v>
      </c>
      <c r="D808" s="66">
        <f>(62.84+0.6*(2.45+3)+1.2*3)*10.764</f>
        <v>750.35843999999986</v>
      </c>
      <c r="E808" s="63">
        <v>0</v>
      </c>
      <c r="F808" s="63">
        <f t="shared" si="43"/>
        <v>1125.5376599999997</v>
      </c>
      <c r="G808" s="85"/>
      <c r="H808" s="86"/>
    </row>
    <row r="809" spans="1:9" s="53" customFormat="1" ht="15.65" customHeight="1" x14ac:dyDescent="0.35">
      <c r="A809" s="82" t="s">
        <v>871</v>
      </c>
      <c r="B809" s="82"/>
      <c r="C809" s="68" t="s">
        <v>1059</v>
      </c>
      <c r="D809" s="66">
        <f>(62.14+0.6*(2.55+2.9)+1.2*3)*10.764</f>
        <v>742.82363999999984</v>
      </c>
      <c r="E809" s="63">
        <v>0</v>
      </c>
      <c r="F809" s="63">
        <f t="shared" si="43"/>
        <v>1114.2354599999999</v>
      </c>
      <c r="G809" s="85"/>
      <c r="H809" s="86"/>
    </row>
    <row r="810" spans="1:9" s="53" customFormat="1" ht="15.65" customHeight="1" x14ac:dyDescent="0.35">
      <c r="A810" s="82" t="s">
        <v>872</v>
      </c>
      <c r="B810" s="82"/>
      <c r="C810" s="68" t="s">
        <v>1059</v>
      </c>
      <c r="D810" s="66">
        <f>(61.56+0.6*(2.45+2.9)+1.2*3)*10.764</f>
        <v>735.93467999999984</v>
      </c>
      <c r="E810" s="63">
        <v>0</v>
      </c>
      <c r="F810" s="63">
        <f t="shared" si="43"/>
        <v>1103.9020199999998</v>
      </c>
      <c r="G810" s="85"/>
      <c r="H810" s="86"/>
    </row>
    <row r="811" spans="1:9" s="53" customFormat="1" ht="15.65" customHeight="1" x14ac:dyDescent="0.35">
      <c r="A811" s="82" t="s">
        <v>873</v>
      </c>
      <c r="B811" s="82"/>
      <c r="C811" s="68" t="s">
        <v>1059</v>
      </c>
      <c r="D811" s="66">
        <f>(61.56+0.6*(2.45+2.9)+1.2*3)*10.764</f>
        <v>735.93467999999984</v>
      </c>
      <c r="E811" s="63">
        <v>0</v>
      </c>
      <c r="F811" s="63">
        <f t="shared" si="43"/>
        <v>1103.9020199999998</v>
      </c>
      <c r="G811" s="85"/>
      <c r="H811" s="86"/>
    </row>
    <row r="812" spans="1:9" s="53" customFormat="1" ht="15.65" customHeight="1" x14ac:dyDescent="0.35">
      <c r="A812" s="82" t="s">
        <v>874</v>
      </c>
      <c r="B812" s="82"/>
      <c r="C812" s="68" t="s">
        <v>1059</v>
      </c>
      <c r="D812" s="66">
        <f>(61.84+0.6*(2.45+3)+1.2*3)*10.764</f>
        <v>739.59443999999985</v>
      </c>
      <c r="E812" s="63">
        <v>0</v>
      </c>
      <c r="F812" s="63">
        <f t="shared" si="43"/>
        <v>1109.3916599999998</v>
      </c>
      <c r="G812" s="85"/>
      <c r="H812" s="86"/>
    </row>
    <row r="813" spans="1:9" s="53" customFormat="1" ht="15.65" customHeight="1" x14ac:dyDescent="0.35">
      <c r="A813" s="82" t="s">
        <v>875</v>
      </c>
      <c r="B813" s="82"/>
      <c r="C813" s="68" t="s">
        <v>1059</v>
      </c>
      <c r="D813" s="66">
        <f>(62.21+0.6*(2.45+2.9)+1.2*3)*10.764</f>
        <v>742.9312799999999</v>
      </c>
      <c r="E813" s="63">
        <v>0</v>
      </c>
      <c r="F813" s="63">
        <f t="shared" si="43"/>
        <v>1114.3969199999999</v>
      </c>
      <c r="G813" s="85"/>
      <c r="H813" s="86"/>
    </row>
    <row r="814" spans="1:9" s="53" customFormat="1" ht="15.65" customHeight="1" x14ac:dyDescent="0.35">
      <c r="A814" s="82" t="s">
        <v>876</v>
      </c>
      <c r="B814" s="82"/>
      <c r="C814" s="68" t="s">
        <v>1059</v>
      </c>
      <c r="D814" s="66">
        <f>(63.12+0.6*2.45+0.7*2.1+1.2*(3.4+3))*10.764</f>
        <v>793.73736000000008</v>
      </c>
      <c r="E814" s="63">
        <v>0</v>
      </c>
      <c r="F814" s="63">
        <f t="shared" si="43"/>
        <v>1190.6060400000001</v>
      </c>
      <c r="G814" s="87"/>
      <c r="H814" s="88"/>
    </row>
    <row r="815" spans="1:9" s="53" customFormat="1" x14ac:dyDescent="0.35">
      <c r="A815" s="81" t="s">
        <v>733</v>
      </c>
      <c r="B815" s="81"/>
      <c r="C815" s="81"/>
      <c r="D815" s="81"/>
      <c r="E815" s="81"/>
      <c r="F815" s="81"/>
      <c r="G815" s="81"/>
      <c r="H815" s="81"/>
    </row>
    <row r="816" spans="1:9" s="53" customFormat="1" x14ac:dyDescent="0.35">
      <c r="A816" s="82" t="s">
        <v>877</v>
      </c>
      <c r="B816" s="82"/>
      <c r="C816" s="68" t="s">
        <v>1059</v>
      </c>
      <c r="D816" s="66">
        <f>(62.96+0.6*2.45+0.7*2.1+1.2*(3.4+3))*10.764</f>
        <v>792.01512000000014</v>
      </c>
      <c r="E816" s="63">
        <v>0</v>
      </c>
      <c r="F816" s="63">
        <f t="shared" ref="F816:F824" si="44">D816*1.5+E816</f>
        <v>1188.0226800000003</v>
      </c>
      <c r="G816" s="83" t="str">
        <f>A815</f>
        <v>15th Floor</v>
      </c>
      <c r="H816" s="84"/>
      <c r="I816" s="65"/>
    </row>
    <row r="817" spans="1:9" s="53" customFormat="1" x14ac:dyDescent="0.35">
      <c r="A817" s="82" t="s">
        <v>878</v>
      </c>
      <c r="B817" s="82"/>
      <c r="C817" s="68" t="s">
        <v>1059</v>
      </c>
      <c r="D817" s="66">
        <f>(62.21+0.6*(2.45+2.9)+1.2*3)*10.764</f>
        <v>742.9312799999999</v>
      </c>
      <c r="E817" s="63">
        <v>0</v>
      </c>
      <c r="F817" s="63">
        <f t="shared" si="44"/>
        <v>1114.3969199999999</v>
      </c>
      <c r="G817" s="85"/>
      <c r="H817" s="86"/>
    </row>
    <row r="818" spans="1:9" s="53" customFormat="1" ht="15.65" customHeight="1" x14ac:dyDescent="0.35">
      <c r="A818" s="82" t="s">
        <v>879</v>
      </c>
      <c r="B818" s="82"/>
      <c r="C818" s="68" t="s">
        <v>1059</v>
      </c>
      <c r="D818" s="66">
        <f>(62.84+0.6*(2.45+3)+1.2*3)*10.764</f>
        <v>750.35843999999986</v>
      </c>
      <c r="E818" s="63">
        <v>0</v>
      </c>
      <c r="F818" s="63">
        <f t="shared" si="44"/>
        <v>1125.5376599999997</v>
      </c>
      <c r="G818" s="85"/>
      <c r="H818" s="86"/>
    </row>
    <row r="819" spans="1:9" s="53" customFormat="1" ht="15.65" customHeight="1" x14ac:dyDescent="0.35">
      <c r="A819" s="82" t="s">
        <v>880</v>
      </c>
      <c r="B819" s="82"/>
      <c r="C819" s="68" t="s">
        <v>1059</v>
      </c>
      <c r="D819" s="66">
        <f>(62.14+0.6*(2.55+2.9)+1.2*3)*10.764</f>
        <v>742.82363999999984</v>
      </c>
      <c r="E819" s="63">
        <v>0</v>
      </c>
      <c r="F819" s="63">
        <f t="shared" si="44"/>
        <v>1114.2354599999999</v>
      </c>
      <c r="G819" s="85"/>
      <c r="H819" s="86"/>
    </row>
    <row r="820" spans="1:9" s="53" customFormat="1" ht="15.65" customHeight="1" x14ac:dyDescent="0.35">
      <c r="A820" s="82" t="s">
        <v>881</v>
      </c>
      <c r="B820" s="82"/>
      <c r="C820" s="68" t="s">
        <v>1059</v>
      </c>
      <c r="D820" s="66">
        <f>(61.56+0.6*(2.45+2.9)+1.2*3)*10.764</f>
        <v>735.93467999999984</v>
      </c>
      <c r="E820" s="63">
        <v>0</v>
      </c>
      <c r="F820" s="63">
        <f t="shared" si="44"/>
        <v>1103.9020199999998</v>
      </c>
      <c r="G820" s="85"/>
      <c r="H820" s="86"/>
    </row>
    <row r="821" spans="1:9" s="53" customFormat="1" ht="15.65" customHeight="1" x14ac:dyDescent="0.35">
      <c r="A821" s="82" t="s">
        <v>882</v>
      </c>
      <c r="B821" s="82"/>
      <c r="C821" s="68" t="s">
        <v>1059</v>
      </c>
      <c r="D821" s="66">
        <f>(61.56+0.6*(2.45+2.9)+1.2*3)*10.764</f>
        <v>735.93467999999984</v>
      </c>
      <c r="E821" s="63">
        <v>0</v>
      </c>
      <c r="F821" s="63">
        <f t="shared" si="44"/>
        <v>1103.9020199999998</v>
      </c>
      <c r="G821" s="85"/>
      <c r="H821" s="86"/>
    </row>
    <row r="822" spans="1:9" s="53" customFormat="1" ht="15.65" customHeight="1" x14ac:dyDescent="0.35">
      <c r="A822" s="82" t="s">
        <v>883</v>
      </c>
      <c r="B822" s="82"/>
      <c r="C822" s="68" t="s">
        <v>1059</v>
      </c>
      <c r="D822" s="66">
        <f>(61.84+0.6*(2.45+3)+1.2*3)*10.764</f>
        <v>739.59443999999985</v>
      </c>
      <c r="E822" s="63">
        <v>0</v>
      </c>
      <c r="F822" s="63">
        <f t="shared" si="44"/>
        <v>1109.3916599999998</v>
      </c>
      <c r="G822" s="85"/>
      <c r="H822" s="86"/>
    </row>
    <row r="823" spans="1:9" s="53" customFormat="1" ht="15.65" customHeight="1" x14ac:dyDescent="0.35">
      <c r="A823" s="82" t="s">
        <v>884</v>
      </c>
      <c r="B823" s="82"/>
      <c r="C823" s="68" t="s">
        <v>1059</v>
      </c>
      <c r="D823" s="66">
        <f>(62.21+0.6*(2.45+2.9)+1.2*3)*10.764</f>
        <v>742.9312799999999</v>
      </c>
      <c r="E823" s="63">
        <v>0</v>
      </c>
      <c r="F823" s="63">
        <f t="shared" si="44"/>
        <v>1114.3969199999999</v>
      </c>
      <c r="G823" s="85"/>
      <c r="H823" s="86"/>
    </row>
    <row r="824" spans="1:9" s="53" customFormat="1" ht="15.65" customHeight="1" x14ac:dyDescent="0.35">
      <c r="A824" s="82" t="s">
        <v>885</v>
      </c>
      <c r="B824" s="82"/>
      <c r="C824" s="68" t="s">
        <v>1059</v>
      </c>
      <c r="D824" s="66">
        <f>(63.12+0.6*2.45+0.7*2.1+1.2*(3.4+3))*10.764</f>
        <v>793.73736000000008</v>
      </c>
      <c r="E824" s="63">
        <v>0</v>
      </c>
      <c r="F824" s="63">
        <f t="shared" si="44"/>
        <v>1190.6060400000001</v>
      </c>
      <c r="G824" s="87"/>
      <c r="H824" s="88"/>
    </row>
    <row r="825" spans="1:9" s="53" customFormat="1" x14ac:dyDescent="0.35">
      <c r="A825" s="81" t="s">
        <v>735</v>
      </c>
      <c r="B825" s="81"/>
      <c r="C825" s="81"/>
      <c r="D825" s="81"/>
      <c r="E825" s="81"/>
      <c r="F825" s="81"/>
      <c r="G825" s="81"/>
      <c r="H825" s="81"/>
    </row>
    <row r="826" spans="1:9" s="53" customFormat="1" x14ac:dyDescent="0.35">
      <c r="A826" s="82" t="s">
        <v>886</v>
      </c>
      <c r="B826" s="82"/>
      <c r="C826" s="68" t="s">
        <v>1059</v>
      </c>
      <c r="D826" s="66">
        <f>(62.96+0.6*2.45+0.7*2.1+1.2*(3.4+3))*10.764</f>
        <v>792.01512000000014</v>
      </c>
      <c r="E826" s="63">
        <v>0</v>
      </c>
      <c r="F826" s="63">
        <f t="shared" ref="F826:F834" si="45">D826*1.5+E826</f>
        <v>1188.0226800000003</v>
      </c>
      <c r="G826" s="83" t="str">
        <f>A825</f>
        <v>16th Floor</v>
      </c>
      <c r="H826" s="84"/>
      <c r="I826" s="65"/>
    </row>
    <row r="827" spans="1:9" s="53" customFormat="1" x14ac:dyDescent="0.35">
      <c r="A827" s="82" t="s">
        <v>887</v>
      </c>
      <c r="B827" s="82"/>
      <c r="C827" s="68" t="s">
        <v>1059</v>
      </c>
      <c r="D827" s="66">
        <f>(62.21+0.6*(2.45+2.9)+1.2*3)*10.764</f>
        <v>742.9312799999999</v>
      </c>
      <c r="E827" s="63">
        <v>0</v>
      </c>
      <c r="F827" s="63">
        <f t="shared" si="45"/>
        <v>1114.3969199999999</v>
      </c>
      <c r="G827" s="85"/>
      <c r="H827" s="86"/>
    </row>
    <row r="828" spans="1:9" s="53" customFormat="1" ht="15.65" customHeight="1" x14ac:dyDescent="0.35">
      <c r="A828" s="82" t="s">
        <v>888</v>
      </c>
      <c r="B828" s="82"/>
      <c r="C828" s="68" t="s">
        <v>1059</v>
      </c>
      <c r="D828" s="66">
        <f>(62.84+0.6*(2.45+3)+1.2*3)*10.764</f>
        <v>750.35843999999986</v>
      </c>
      <c r="E828" s="63">
        <v>0</v>
      </c>
      <c r="F828" s="63">
        <f t="shared" si="45"/>
        <v>1125.5376599999997</v>
      </c>
      <c r="G828" s="85"/>
      <c r="H828" s="86"/>
    </row>
    <row r="829" spans="1:9" s="53" customFormat="1" ht="15.65" customHeight="1" x14ac:dyDescent="0.35">
      <c r="A829" s="82" t="s">
        <v>889</v>
      </c>
      <c r="B829" s="82"/>
      <c r="C829" s="68" t="s">
        <v>1059</v>
      </c>
      <c r="D829" s="66">
        <f>(62.14+0.6*(2.55+2.9)+1.2*3)*10.764</f>
        <v>742.82363999999984</v>
      </c>
      <c r="E829" s="63">
        <v>0</v>
      </c>
      <c r="F829" s="63">
        <f t="shared" si="45"/>
        <v>1114.2354599999999</v>
      </c>
      <c r="G829" s="85"/>
      <c r="H829" s="86"/>
    </row>
    <row r="830" spans="1:9" s="53" customFormat="1" ht="15.65" customHeight="1" x14ac:dyDescent="0.35">
      <c r="A830" s="82" t="s">
        <v>890</v>
      </c>
      <c r="B830" s="82"/>
      <c r="C830" s="68" t="s">
        <v>1059</v>
      </c>
      <c r="D830" s="66">
        <f>(61.56+0.6*(2.45+2.9)+1.2*3)*10.764</f>
        <v>735.93467999999984</v>
      </c>
      <c r="E830" s="63">
        <v>0</v>
      </c>
      <c r="F830" s="63">
        <f t="shared" si="45"/>
        <v>1103.9020199999998</v>
      </c>
      <c r="G830" s="85"/>
      <c r="H830" s="86"/>
    </row>
    <row r="831" spans="1:9" s="53" customFormat="1" ht="15.65" customHeight="1" x14ac:dyDescent="0.35">
      <c r="A831" s="82" t="s">
        <v>891</v>
      </c>
      <c r="B831" s="82"/>
      <c r="C831" s="68" t="s">
        <v>1059</v>
      </c>
      <c r="D831" s="66">
        <f>(61.56+0.6*(2.45+2.9)+1.2*3)*10.764</f>
        <v>735.93467999999984</v>
      </c>
      <c r="E831" s="63">
        <v>0</v>
      </c>
      <c r="F831" s="63">
        <f t="shared" si="45"/>
        <v>1103.9020199999998</v>
      </c>
      <c r="G831" s="85"/>
      <c r="H831" s="86"/>
    </row>
    <row r="832" spans="1:9" s="53" customFormat="1" ht="15.65" customHeight="1" x14ac:dyDescent="0.35">
      <c r="A832" s="82" t="s">
        <v>892</v>
      </c>
      <c r="B832" s="82"/>
      <c r="C832" s="68" t="s">
        <v>1059</v>
      </c>
      <c r="D832" s="66">
        <f>(61.84+0.6*(2.45+3)+1.2*3)*10.764</f>
        <v>739.59443999999985</v>
      </c>
      <c r="E832" s="63">
        <v>0</v>
      </c>
      <c r="F832" s="63">
        <f t="shared" si="45"/>
        <v>1109.3916599999998</v>
      </c>
      <c r="G832" s="85"/>
      <c r="H832" s="86"/>
    </row>
    <row r="833" spans="1:9" s="53" customFormat="1" ht="15.65" customHeight="1" x14ac:dyDescent="0.35">
      <c r="A833" s="82" t="s">
        <v>893</v>
      </c>
      <c r="B833" s="82"/>
      <c r="C833" s="68" t="s">
        <v>1059</v>
      </c>
      <c r="D833" s="66">
        <f>(62.21+0.6*(2.45+2.9)+1.2*3)*10.764</f>
        <v>742.9312799999999</v>
      </c>
      <c r="E833" s="63">
        <v>0</v>
      </c>
      <c r="F833" s="63">
        <f t="shared" si="45"/>
        <v>1114.3969199999999</v>
      </c>
      <c r="G833" s="85"/>
      <c r="H833" s="86"/>
    </row>
    <row r="834" spans="1:9" s="53" customFormat="1" ht="15.65" customHeight="1" x14ac:dyDescent="0.35">
      <c r="A834" s="82" t="s">
        <v>894</v>
      </c>
      <c r="B834" s="82"/>
      <c r="C834" s="68" t="s">
        <v>1059</v>
      </c>
      <c r="D834" s="66">
        <f>(63.12+0.6*2.45+0.7*2.1+1.2*(3.4+3))*10.764</f>
        <v>793.73736000000008</v>
      </c>
      <c r="E834" s="63">
        <v>0</v>
      </c>
      <c r="F834" s="63">
        <f t="shared" si="45"/>
        <v>1190.6060400000001</v>
      </c>
      <c r="G834" s="87"/>
      <c r="H834" s="88"/>
    </row>
    <row r="835" spans="1:9" s="53" customFormat="1" x14ac:dyDescent="0.35">
      <c r="A835" s="81" t="s">
        <v>736</v>
      </c>
      <c r="B835" s="81"/>
      <c r="C835" s="81"/>
      <c r="D835" s="81"/>
      <c r="E835" s="81"/>
      <c r="F835" s="81"/>
      <c r="G835" s="81"/>
      <c r="H835" s="81"/>
    </row>
    <row r="836" spans="1:9" s="53" customFormat="1" x14ac:dyDescent="0.35">
      <c r="A836" s="82" t="s">
        <v>895</v>
      </c>
      <c r="B836" s="82"/>
      <c r="C836" s="68" t="s">
        <v>1059</v>
      </c>
      <c r="D836" s="66">
        <f>(62.96+0.6*2.45+0.7*2.1+1.2*(3.4+3))*10.764</f>
        <v>792.01512000000014</v>
      </c>
      <c r="E836" s="63">
        <v>0</v>
      </c>
      <c r="F836" s="63">
        <f t="shared" ref="F836:F844" si="46">D836*1.5+E836</f>
        <v>1188.0226800000003</v>
      </c>
      <c r="G836" s="83" t="str">
        <f>A835</f>
        <v>17th Floor</v>
      </c>
      <c r="H836" s="84"/>
      <c r="I836" s="65"/>
    </row>
    <row r="837" spans="1:9" s="53" customFormat="1" x14ac:dyDescent="0.35">
      <c r="A837" s="82" t="s">
        <v>896</v>
      </c>
      <c r="B837" s="82"/>
      <c r="C837" s="68" t="s">
        <v>1059</v>
      </c>
      <c r="D837" s="66">
        <f>(62.21+0.6*(2.45+2.9)+1.2*3)*10.764</f>
        <v>742.9312799999999</v>
      </c>
      <c r="E837" s="63">
        <v>0</v>
      </c>
      <c r="F837" s="63">
        <f t="shared" si="46"/>
        <v>1114.3969199999999</v>
      </c>
      <c r="G837" s="85"/>
      <c r="H837" s="86"/>
    </row>
    <row r="838" spans="1:9" s="53" customFormat="1" ht="15.65" customHeight="1" x14ac:dyDescent="0.35">
      <c r="A838" s="82" t="s">
        <v>897</v>
      </c>
      <c r="B838" s="82"/>
      <c r="C838" s="68" t="s">
        <v>1059</v>
      </c>
      <c r="D838" s="66">
        <f>(62.84+0.6*(2.45+3)+1.2*3)*10.764</f>
        <v>750.35843999999986</v>
      </c>
      <c r="E838" s="63">
        <v>0</v>
      </c>
      <c r="F838" s="63">
        <f t="shared" si="46"/>
        <v>1125.5376599999997</v>
      </c>
      <c r="G838" s="85"/>
      <c r="H838" s="86"/>
    </row>
    <row r="839" spans="1:9" s="53" customFormat="1" ht="15.65" customHeight="1" x14ac:dyDescent="0.35">
      <c r="A839" s="82" t="s">
        <v>898</v>
      </c>
      <c r="B839" s="82"/>
      <c r="C839" s="68" t="s">
        <v>1059</v>
      </c>
      <c r="D839" s="66">
        <f>(62.14+0.6*(2.55+2.9)+1.2*3)*10.764</f>
        <v>742.82363999999984</v>
      </c>
      <c r="E839" s="63">
        <v>0</v>
      </c>
      <c r="F839" s="63">
        <f t="shared" si="46"/>
        <v>1114.2354599999999</v>
      </c>
      <c r="G839" s="85"/>
      <c r="H839" s="86"/>
    </row>
    <row r="840" spans="1:9" s="53" customFormat="1" ht="15.65" customHeight="1" x14ac:dyDescent="0.35">
      <c r="A840" s="82" t="s">
        <v>899</v>
      </c>
      <c r="B840" s="82"/>
      <c r="C840" s="68" t="s">
        <v>1059</v>
      </c>
      <c r="D840" s="66">
        <f>(61.56+0.6*(2.45+2.9)+1.2*3)*10.764</f>
        <v>735.93467999999984</v>
      </c>
      <c r="E840" s="63">
        <v>0</v>
      </c>
      <c r="F840" s="63">
        <f t="shared" si="46"/>
        <v>1103.9020199999998</v>
      </c>
      <c r="G840" s="85"/>
      <c r="H840" s="86"/>
    </row>
    <row r="841" spans="1:9" s="53" customFormat="1" ht="15.65" customHeight="1" x14ac:dyDescent="0.35">
      <c r="A841" s="82" t="s">
        <v>900</v>
      </c>
      <c r="B841" s="82"/>
      <c r="C841" s="68" t="s">
        <v>1059</v>
      </c>
      <c r="D841" s="66">
        <f>(61.56+0.6*(2.45+2.9)+1.2*3)*10.764</f>
        <v>735.93467999999984</v>
      </c>
      <c r="E841" s="63">
        <v>0</v>
      </c>
      <c r="F841" s="63">
        <f t="shared" si="46"/>
        <v>1103.9020199999998</v>
      </c>
      <c r="G841" s="85"/>
      <c r="H841" s="86"/>
    </row>
    <row r="842" spans="1:9" s="53" customFormat="1" ht="15.65" customHeight="1" x14ac:dyDescent="0.35">
      <c r="A842" s="82" t="s">
        <v>901</v>
      </c>
      <c r="B842" s="82"/>
      <c r="C842" s="68" t="s">
        <v>1059</v>
      </c>
      <c r="D842" s="66">
        <f>(61.84+0.6*(2.45+3)+1.2*3)*10.764</f>
        <v>739.59443999999985</v>
      </c>
      <c r="E842" s="63">
        <v>0</v>
      </c>
      <c r="F842" s="63">
        <f t="shared" si="46"/>
        <v>1109.3916599999998</v>
      </c>
      <c r="G842" s="85"/>
      <c r="H842" s="86"/>
    </row>
    <row r="843" spans="1:9" s="53" customFormat="1" ht="15.65" customHeight="1" x14ac:dyDescent="0.35">
      <c r="A843" s="82" t="s">
        <v>902</v>
      </c>
      <c r="B843" s="82"/>
      <c r="C843" s="68" t="s">
        <v>1059</v>
      </c>
      <c r="D843" s="66">
        <f>(62.21+0.6*(2.45+2.9)+1.2*3)*10.764</f>
        <v>742.9312799999999</v>
      </c>
      <c r="E843" s="63">
        <v>0</v>
      </c>
      <c r="F843" s="63">
        <f t="shared" si="46"/>
        <v>1114.3969199999999</v>
      </c>
      <c r="G843" s="85"/>
      <c r="H843" s="86"/>
    </row>
    <row r="844" spans="1:9" s="53" customFormat="1" ht="15.65" customHeight="1" x14ac:dyDescent="0.35">
      <c r="A844" s="82" t="s">
        <v>903</v>
      </c>
      <c r="B844" s="82"/>
      <c r="C844" s="68" t="s">
        <v>1059</v>
      </c>
      <c r="D844" s="66">
        <f>(63.12+0.6*2.45+0.7*2.1+1.2*(3.4+3))*10.764</f>
        <v>793.73736000000008</v>
      </c>
      <c r="E844" s="63">
        <v>0</v>
      </c>
      <c r="F844" s="63">
        <f t="shared" si="46"/>
        <v>1190.6060400000001</v>
      </c>
      <c r="G844" s="87"/>
      <c r="H844" s="88"/>
    </row>
    <row r="845" spans="1:9" s="53" customFormat="1" x14ac:dyDescent="0.35">
      <c r="A845" s="81" t="s">
        <v>737</v>
      </c>
      <c r="B845" s="81"/>
      <c r="C845" s="81"/>
      <c r="D845" s="81"/>
      <c r="E845" s="81"/>
      <c r="F845" s="81"/>
      <c r="G845" s="81"/>
      <c r="H845" s="81"/>
    </row>
    <row r="846" spans="1:9" s="53" customFormat="1" x14ac:dyDescent="0.35">
      <c r="A846" s="82" t="s">
        <v>904</v>
      </c>
      <c r="B846" s="82"/>
      <c r="C846" s="68" t="s">
        <v>1059</v>
      </c>
      <c r="D846" s="66">
        <f>(62.96+0.6*2.45+0.7*2.1+1.2*(3.4+3))*10.764</f>
        <v>792.01512000000014</v>
      </c>
      <c r="E846" s="63">
        <v>0</v>
      </c>
      <c r="F846" s="63">
        <f t="shared" ref="F846:F854" si="47">D846*1.5+E846</f>
        <v>1188.0226800000003</v>
      </c>
      <c r="G846" s="83" t="str">
        <f>A845</f>
        <v>18th Floor</v>
      </c>
      <c r="H846" s="84"/>
      <c r="I846" s="65"/>
    </row>
    <row r="847" spans="1:9" s="53" customFormat="1" x14ac:dyDescent="0.35">
      <c r="A847" s="82" t="s">
        <v>905</v>
      </c>
      <c r="B847" s="82"/>
      <c r="C847" s="68" t="s">
        <v>1059</v>
      </c>
      <c r="D847" s="66">
        <f>(62.21+0.6*(2.45+2.9)+1.2*3)*10.764</f>
        <v>742.9312799999999</v>
      </c>
      <c r="E847" s="63">
        <v>0</v>
      </c>
      <c r="F847" s="63">
        <f t="shared" si="47"/>
        <v>1114.3969199999999</v>
      </c>
      <c r="G847" s="85"/>
      <c r="H847" s="86"/>
    </row>
    <row r="848" spans="1:9" s="53" customFormat="1" ht="15.65" customHeight="1" x14ac:dyDescent="0.35">
      <c r="A848" s="82" t="s">
        <v>906</v>
      </c>
      <c r="B848" s="82"/>
      <c r="C848" s="68" t="s">
        <v>1059</v>
      </c>
      <c r="D848" s="66">
        <f>(62.84+0.6*(2.45+3)+1.2*3)*10.764</f>
        <v>750.35843999999986</v>
      </c>
      <c r="E848" s="63">
        <v>0</v>
      </c>
      <c r="F848" s="63">
        <f t="shared" si="47"/>
        <v>1125.5376599999997</v>
      </c>
      <c r="G848" s="85"/>
      <c r="H848" s="86"/>
    </row>
    <row r="849" spans="1:10" s="53" customFormat="1" ht="15.65" customHeight="1" x14ac:dyDescent="0.35">
      <c r="A849" s="82" t="s">
        <v>907</v>
      </c>
      <c r="B849" s="82"/>
      <c r="C849" s="68" t="s">
        <v>1059</v>
      </c>
      <c r="D849" s="66">
        <f>(62.14+0.6*(2.55+2.9)+1.2*3)*10.764</f>
        <v>742.82363999999984</v>
      </c>
      <c r="E849" s="63">
        <v>0</v>
      </c>
      <c r="F849" s="63">
        <f t="shared" si="47"/>
        <v>1114.2354599999999</v>
      </c>
      <c r="G849" s="85"/>
      <c r="H849" s="86"/>
    </row>
    <row r="850" spans="1:10" s="53" customFormat="1" ht="15.65" customHeight="1" x14ac:dyDescent="0.35">
      <c r="A850" s="82" t="s">
        <v>908</v>
      </c>
      <c r="B850" s="82"/>
      <c r="C850" s="68" t="s">
        <v>1059</v>
      </c>
      <c r="D850" s="66">
        <f>(61.56+0.6*(2.45+2.9)+1.2*3)*10.764</f>
        <v>735.93467999999984</v>
      </c>
      <c r="E850" s="63">
        <v>0</v>
      </c>
      <c r="F850" s="63">
        <f t="shared" si="47"/>
        <v>1103.9020199999998</v>
      </c>
      <c r="G850" s="85"/>
      <c r="H850" s="86"/>
    </row>
    <row r="851" spans="1:10" s="53" customFormat="1" ht="15.65" customHeight="1" x14ac:dyDescent="0.35">
      <c r="A851" s="82" t="s">
        <v>909</v>
      </c>
      <c r="B851" s="82"/>
      <c r="C851" s="68" t="s">
        <v>1059</v>
      </c>
      <c r="D851" s="66">
        <f>(61.56+0.6*(2.45+2.9)+1.2*3)*10.764</f>
        <v>735.93467999999984</v>
      </c>
      <c r="E851" s="63">
        <v>0</v>
      </c>
      <c r="F851" s="63">
        <f t="shared" si="47"/>
        <v>1103.9020199999998</v>
      </c>
      <c r="G851" s="85"/>
      <c r="H851" s="86"/>
    </row>
    <row r="852" spans="1:10" s="53" customFormat="1" ht="15.65" customHeight="1" x14ac:dyDescent="0.35">
      <c r="A852" s="82" t="s">
        <v>910</v>
      </c>
      <c r="B852" s="82"/>
      <c r="C852" s="68" t="s">
        <v>1059</v>
      </c>
      <c r="D852" s="66">
        <f>(61.84+0.6*(2.45+3)+1.2*3)*10.764</f>
        <v>739.59443999999985</v>
      </c>
      <c r="E852" s="63">
        <v>0</v>
      </c>
      <c r="F852" s="63">
        <f t="shared" si="47"/>
        <v>1109.3916599999998</v>
      </c>
      <c r="G852" s="85"/>
      <c r="H852" s="86"/>
    </row>
    <row r="853" spans="1:10" s="53" customFormat="1" ht="15.65" customHeight="1" x14ac:dyDescent="0.35">
      <c r="A853" s="82" t="s">
        <v>911</v>
      </c>
      <c r="B853" s="82"/>
      <c r="C853" s="68" t="s">
        <v>1059</v>
      </c>
      <c r="D853" s="66">
        <f>(62.21+0.6*(2.45+2.9)+1.2*3)*10.764</f>
        <v>742.9312799999999</v>
      </c>
      <c r="E853" s="63">
        <v>0</v>
      </c>
      <c r="F853" s="63">
        <f t="shared" si="47"/>
        <v>1114.3969199999999</v>
      </c>
      <c r="G853" s="85"/>
      <c r="H853" s="86"/>
    </row>
    <row r="854" spans="1:10" s="53" customFormat="1" ht="15.65" customHeight="1" x14ac:dyDescent="0.35">
      <c r="A854" s="82" t="s">
        <v>912</v>
      </c>
      <c r="B854" s="82"/>
      <c r="C854" s="68" t="s">
        <v>1059</v>
      </c>
      <c r="D854" s="66">
        <f>(63.12+0.6*2.45+0.7*2.1+1.2*(3.4+3))*10.764</f>
        <v>793.73736000000008</v>
      </c>
      <c r="E854" s="63">
        <v>0</v>
      </c>
      <c r="F854" s="63">
        <f t="shared" si="47"/>
        <v>1190.6060400000001</v>
      </c>
      <c r="G854" s="87"/>
      <c r="H854" s="88"/>
    </row>
    <row r="855" spans="1:10" s="53" customFormat="1" x14ac:dyDescent="0.35">
      <c r="A855" s="130" t="s">
        <v>169</v>
      </c>
      <c r="B855" s="131"/>
      <c r="C855" s="131"/>
      <c r="D855" s="131"/>
      <c r="E855" s="131"/>
      <c r="F855" s="131"/>
      <c r="G855" s="131"/>
      <c r="H855" s="132"/>
      <c r="J855" s="66">
        <v>10.763999999999999</v>
      </c>
    </row>
    <row r="856" spans="1:10" s="53" customFormat="1" x14ac:dyDescent="0.35">
      <c r="A856" s="78" t="s">
        <v>1053</v>
      </c>
      <c r="B856" s="79"/>
      <c r="C856" s="79"/>
      <c r="D856" s="79"/>
      <c r="E856" s="79"/>
      <c r="F856" s="79"/>
      <c r="G856" s="79"/>
      <c r="H856" s="80"/>
    </row>
    <row r="857" spans="1:10" s="53" customFormat="1" x14ac:dyDescent="0.35">
      <c r="A857" s="78" t="s">
        <v>167</v>
      </c>
      <c r="B857" s="79"/>
      <c r="C857" s="79"/>
      <c r="D857" s="79"/>
      <c r="E857" s="79"/>
      <c r="F857" s="79"/>
      <c r="G857" s="79"/>
      <c r="H857" s="80"/>
    </row>
    <row r="858" spans="1:10" s="53" customFormat="1" x14ac:dyDescent="0.35">
      <c r="A858" s="82" t="s">
        <v>286</v>
      </c>
      <c r="B858" s="82"/>
      <c r="C858" s="26" t="s">
        <v>1058</v>
      </c>
      <c r="D858" s="66">
        <f>(64.17+0.6*(2.75+2.3+3.05)+1.2*2.9)*10.764</f>
        <v>780.49764000000005</v>
      </c>
      <c r="E858" s="26">
        <v>0</v>
      </c>
      <c r="F858" s="63">
        <f t="shared" ref="F858:F862" si="48">D858*1.5+E858</f>
        <v>1170.7464600000001</v>
      </c>
      <c r="G858" s="83" t="str">
        <f>A857</f>
        <v>3rd Floor</v>
      </c>
      <c r="H858" s="84"/>
    </row>
    <row r="859" spans="1:10" s="53" customFormat="1" x14ac:dyDescent="0.35">
      <c r="A859" s="82" t="s">
        <v>287</v>
      </c>
      <c r="B859" s="82"/>
      <c r="C859" s="26" t="s">
        <v>1058</v>
      </c>
      <c r="D859" s="66">
        <f>(70.37+0.6*(2.9+2.45+2.9)+1.2*3)*10.764</f>
        <v>849.49487999999997</v>
      </c>
      <c r="E859" s="26">
        <v>0</v>
      </c>
      <c r="F859" s="63">
        <f t="shared" si="48"/>
        <v>1274.2423199999998</v>
      </c>
      <c r="G859" s="85"/>
      <c r="H859" s="86"/>
    </row>
    <row r="860" spans="1:10" s="53" customFormat="1" x14ac:dyDescent="0.35">
      <c r="A860" s="82" t="s">
        <v>288</v>
      </c>
      <c r="B860" s="82"/>
      <c r="C860" s="26" t="s">
        <v>1059</v>
      </c>
      <c r="D860" s="66">
        <f>(57.24+0.6*(2.45+2.9)+1.2*3)*10.764</f>
        <v>689.43419999999992</v>
      </c>
      <c r="E860" s="26">
        <v>0</v>
      </c>
      <c r="F860" s="63">
        <f t="shared" si="48"/>
        <v>1034.1513</v>
      </c>
      <c r="G860" s="85"/>
      <c r="H860" s="86"/>
    </row>
    <row r="861" spans="1:10" s="53" customFormat="1" x14ac:dyDescent="0.35">
      <c r="A861" s="82" t="s">
        <v>289</v>
      </c>
      <c r="B861" s="82"/>
      <c r="C861" s="67" t="s">
        <v>1058</v>
      </c>
      <c r="D861" s="66">
        <f>(68.6+0.6*(2.9+2.45+2.9)+1.2*3)*10.764</f>
        <v>830.44259999999986</v>
      </c>
      <c r="E861" s="26">
        <v>0</v>
      </c>
      <c r="F861" s="63">
        <f t="shared" si="48"/>
        <v>1245.6638999999998</v>
      </c>
      <c r="G861" s="85"/>
      <c r="H861" s="86"/>
    </row>
    <row r="862" spans="1:10" s="53" customFormat="1" x14ac:dyDescent="0.35">
      <c r="A862" s="82" t="s">
        <v>290</v>
      </c>
      <c r="B862" s="82"/>
      <c r="C862" s="67" t="s">
        <v>1058</v>
      </c>
      <c r="D862" s="66">
        <f>(71+0.6*(2.9+2.45+3)+1.2*3)*10.764</f>
        <v>856.92203999999992</v>
      </c>
      <c r="E862" s="26">
        <v>0</v>
      </c>
      <c r="F862" s="63">
        <f t="shared" si="48"/>
        <v>1285.3830599999999</v>
      </c>
      <c r="G862" s="85"/>
      <c r="H862" s="86"/>
    </row>
    <row r="863" spans="1:10" s="53" customFormat="1" ht="15.65" customHeight="1" x14ac:dyDescent="0.35">
      <c r="A863" s="82" t="s">
        <v>291</v>
      </c>
      <c r="B863" s="82"/>
      <c r="C863" s="83" t="s">
        <v>190</v>
      </c>
      <c r="D863" s="92"/>
      <c r="E863" s="92"/>
      <c r="F863" s="84"/>
      <c r="G863" s="85"/>
      <c r="H863" s="86"/>
    </row>
    <row r="864" spans="1:10" s="53" customFormat="1" ht="15.65" customHeight="1" x14ac:dyDescent="0.35">
      <c r="A864" s="82" t="s">
        <v>292</v>
      </c>
      <c r="B864" s="82"/>
      <c r="C864" s="85"/>
      <c r="D864" s="133"/>
      <c r="E864" s="133"/>
      <c r="F864" s="86"/>
      <c r="G864" s="85"/>
      <c r="H864" s="86"/>
    </row>
    <row r="865" spans="1:8" s="53" customFormat="1" ht="15.65" customHeight="1" x14ac:dyDescent="0.35">
      <c r="A865" s="82" t="s">
        <v>293</v>
      </c>
      <c r="B865" s="82"/>
      <c r="C865" s="85"/>
      <c r="D865" s="133"/>
      <c r="E865" s="133"/>
      <c r="F865" s="86"/>
      <c r="G865" s="85"/>
      <c r="H865" s="86"/>
    </row>
    <row r="866" spans="1:8" s="53" customFormat="1" ht="15.65" customHeight="1" x14ac:dyDescent="0.35">
      <c r="A866" s="82" t="s">
        <v>294</v>
      </c>
      <c r="B866" s="82"/>
      <c r="C866" s="85"/>
      <c r="D866" s="133"/>
      <c r="E866" s="133"/>
      <c r="F866" s="86"/>
      <c r="G866" s="85"/>
      <c r="H866" s="86"/>
    </row>
    <row r="867" spans="1:8" s="53" customFormat="1" ht="15.65" customHeight="1" x14ac:dyDescent="0.35">
      <c r="A867" s="82" t="s">
        <v>295</v>
      </c>
      <c r="B867" s="82"/>
      <c r="C867" s="85"/>
      <c r="D867" s="133"/>
      <c r="E867" s="133"/>
      <c r="F867" s="86"/>
      <c r="G867" s="85"/>
      <c r="H867" s="86"/>
    </row>
    <row r="868" spans="1:8" s="53" customFormat="1" ht="15.65" customHeight="1" x14ac:dyDescent="0.35">
      <c r="A868" s="82" t="s">
        <v>296</v>
      </c>
      <c r="B868" s="82"/>
      <c r="C868" s="87"/>
      <c r="D868" s="93"/>
      <c r="E868" s="93"/>
      <c r="F868" s="88"/>
      <c r="G868" s="85"/>
      <c r="H868" s="86"/>
    </row>
    <row r="869" spans="1:8" s="53" customFormat="1" x14ac:dyDescent="0.35">
      <c r="A869" s="82" t="s">
        <v>297</v>
      </c>
      <c r="B869" s="82"/>
      <c r="C869" s="26" t="s">
        <v>170</v>
      </c>
      <c r="D869" s="66">
        <f>(37.4+0.6*2.55+0.5*2.9+1.2*2.9)*10.764</f>
        <v>472.10903999999999</v>
      </c>
      <c r="E869" s="26">
        <v>0</v>
      </c>
      <c r="F869" s="63">
        <f t="shared" ref="F869:F871" si="49">D869*1.5+E869</f>
        <v>708.16355999999996</v>
      </c>
      <c r="G869" s="85"/>
      <c r="H869" s="86"/>
    </row>
    <row r="870" spans="1:8" s="53" customFormat="1" x14ac:dyDescent="0.35">
      <c r="A870" s="82" t="s">
        <v>298</v>
      </c>
      <c r="B870" s="82"/>
      <c r="C870" s="26" t="s">
        <v>170</v>
      </c>
      <c r="D870" s="66">
        <f>(37.42+0.6*(2.75+3)+1.2*2.9)*10.764</f>
        <v>477.38339999999999</v>
      </c>
      <c r="E870" s="26">
        <v>0</v>
      </c>
      <c r="F870" s="63">
        <f t="shared" si="49"/>
        <v>716.07510000000002</v>
      </c>
      <c r="G870" s="85"/>
      <c r="H870" s="86"/>
    </row>
    <row r="871" spans="1:8" s="53" customFormat="1" x14ac:dyDescent="0.35">
      <c r="A871" s="82" t="s">
        <v>299</v>
      </c>
      <c r="B871" s="82"/>
      <c r="C871" s="26" t="s">
        <v>170</v>
      </c>
      <c r="D871" s="66">
        <f>(38.18+0.6*2.55+0.5*3+1.2*2.9)*10.764</f>
        <v>481.04315999999994</v>
      </c>
      <c r="E871" s="26">
        <v>0</v>
      </c>
      <c r="F871" s="63">
        <f t="shared" si="49"/>
        <v>721.56473999999992</v>
      </c>
      <c r="G871" s="87"/>
      <c r="H871" s="88"/>
    </row>
    <row r="872" spans="1:8" s="53" customFormat="1" x14ac:dyDescent="0.35">
      <c r="A872" s="78" t="s">
        <v>465</v>
      </c>
      <c r="B872" s="79"/>
      <c r="C872" s="79"/>
      <c r="D872" s="79"/>
      <c r="E872" s="79"/>
      <c r="F872" s="79"/>
      <c r="G872" s="79"/>
      <c r="H872" s="80"/>
    </row>
    <row r="873" spans="1:8" s="53" customFormat="1" x14ac:dyDescent="0.35">
      <c r="A873" s="82" t="s">
        <v>496</v>
      </c>
      <c r="B873" s="82"/>
      <c r="C873" s="62" t="s">
        <v>486</v>
      </c>
      <c r="D873" s="66">
        <f>(25.47+0.6*(2.9+2.35))*10.764</f>
        <v>308.06567999999993</v>
      </c>
      <c r="E873" s="62">
        <v>0</v>
      </c>
      <c r="F873" s="63">
        <f t="shared" ref="F873:F892" si="50">D873*1.5+E873</f>
        <v>462.09851999999989</v>
      </c>
      <c r="G873" s="83" t="str">
        <f>A872</f>
        <v>4th Floor</v>
      </c>
      <c r="H873" s="84"/>
    </row>
    <row r="874" spans="1:8" s="53" customFormat="1" ht="15.65" customHeight="1" x14ac:dyDescent="0.35">
      <c r="A874" s="82" t="s">
        <v>497</v>
      </c>
      <c r="B874" s="82"/>
      <c r="C874" s="62" t="s">
        <v>170</v>
      </c>
      <c r="D874" s="66">
        <f>(28.68+0.6*3.05+1.2*2.9)*10.764</f>
        <v>365.86835999999994</v>
      </c>
      <c r="E874" s="62">
        <v>0</v>
      </c>
      <c r="F874" s="63">
        <f t="shared" si="50"/>
        <v>548.80253999999991</v>
      </c>
      <c r="G874" s="85"/>
      <c r="H874" s="86"/>
    </row>
    <row r="875" spans="1:8" s="53" customFormat="1" ht="15.65" customHeight="1" x14ac:dyDescent="0.35">
      <c r="A875" s="82" t="s">
        <v>498</v>
      </c>
      <c r="B875" s="82"/>
      <c r="C875" s="62" t="s">
        <v>486</v>
      </c>
      <c r="D875" s="66">
        <f>(23.23+0.6*2.9+1.2*3.1)*10.764</f>
        <v>308.81915999999995</v>
      </c>
      <c r="E875" s="62">
        <v>0</v>
      </c>
      <c r="F875" s="63">
        <f t="shared" si="50"/>
        <v>463.2287399999999</v>
      </c>
      <c r="G875" s="85"/>
      <c r="H875" s="86"/>
    </row>
    <row r="876" spans="1:8" s="53" customFormat="1" ht="15.65" customHeight="1" x14ac:dyDescent="0.35">
      <c r="A876" s="82" t="s">
        <v>499</v>
      </c>
      <c r="B876" s="82"/>
      <c r="C876" s="62" t="s">
        <v>170</v>
      </c>
      <c r="D876" s="66">
        <f>(37.6+0.6*2.9+1.2*2.5)*10.764</f>
        <v>455.74776000000003</v>
      </c>
      <c r="E876" s="62">
        <v>0</v>
      </c>
      <c r="F876" s="63">
        <f t="shared" si="50"/>
        <v>683.62164000000007</v>
      </c>
      <c r="G876" s="85"/>
      <c r="H876" s="86"/>
    </row>
    <row r="877" spans="1:8" s="53" customFormat="1" ht="15.65" customHeight="1" x14ac:dyDescent="0.35">
      <c r="A877" s="82" t="s">
        <v>500</v>
      </c>
      <c r="B877" s="82"/>
      <c r="C877" s="62" t="s">
        <v>1059</v>
      </c>
      <c r="D877" s="66">
        <f>(61.19+0.6*(2.45+2.9)+1.2*3)*10.764</f>
        <v>731.95199999999977</v>
      </c>
      <c r="E877" s="62">
        <v>0</v>
      </c>
      <c r="F877" s="63">
        <f t="shared" si="50"/>
        <v>1097.9279999999997</v>
      </c>
      <c r="G877" s="85"/>
      <c r="H877" s="86"/>
    </row>
    <row r="878" spans="1:8" s="53" customFormat="1" ht="15.65" customHeight="1" x14ac:dyDescent="0.35">
      <c r="A878" s="82" t="s">
        <v>501</v>
      </c>
      <c r="B878" s="82"/>
      <c r="C878" s="62" t="s">
        <v>170</v>
      </c>
      <c r="D878" s="66">
        <f>(35.41+0.6*2.9+1.2*2.75)*10.764</f>
        <v>435.40379999999993</v>
      </c>
      <c r="E878" s="62">
        <v>0</v>
      </c>
      <c r="F878" s="63">
        <f t="shared" si="50"/>
        <v>653.10569999999984</v>
      </c>
      <c r="G878" s="85"/>
      <c r="H878" s="86"/>
    </row>
    <row r="879" spans="1:8" s="53" customFormat="1" ht="15.65" customHeight="1" x14ac:dyDescent="0.35">
      <c r="A879" s="82" t="s">
        <v>502</v>
      </c>
      <c r="B879" s="82"/>
      <c r="C879" s="62" t="s">
        <v>486</v>
      </c>
      <c r="D879" s="66">
        <f>(22.77+0.6*2.9+1.2*2.75)*10.764</f>
        <v>299.34683999999999</v>
      </c>
      <c r="E879" s="62">
        <v>0</v>
      </c>
      <c r="F879" s="63">
        <f t="shared" si="50"/>
        <v>449.02026000000001</v>
      </c>
      <c r="G879" s="85"/>
      <c r="H879" s="86"/>
    </row>
    <row r="880" spans="1:8" s="53" customFormat="1" ht="15.65" customHeight="1" x14ac:dyDescent="0.35">
      <c r="A880" s="82" t="s">
        <v>503</v>
      </c>
      <c r="B880" s="82"/>
      <c r="C880" s="62" t="s">
        <v>170</v>
      </c>
      <c r="D880" s="66">
        <f>(36.89+0.6*2.9+1.2*2.5)*10.764</f>
        <v>448.10532000000001</v>
      </c>
      <c r="E880" s="62">
        <v>0</v>
      </c>
      <c r="F880" s="63">
        <f t="shared" si="50"/>
        <v>672.15797999999995</v>
      </c>
      <c r="G880" s="85"/>
      <c r="H880" s="86"/>
    </row>
    <row r="881" spans="1:9" s="53" customFormat="1" ht="15.65" customHeight="1" x14ac:dyDescent="0.35">
      <c r="A881" s="82" t="s">
        <v>504</v>
      </c>
      <c r="B881" s="82"/>
      <c r="C881" s="62" t="s">
        <v>486</v>
      </c>
      <c r="D881" s="66">
        <f>(24.52+0.6*3+1.2*3)*10.764</f>
        <v>322.05887999999999</v>
      </c>
      <c r="E881" s="62">
        <v>0</v>
      </c>
      <c r="F881" s="63">
        <f t="shared" si="50"/>
        <v>483.08831999999995</v>
      </c>
      <c r="G881" s="85"/>
      <c r="H881" s="86"/>
    </row>
    <row r="882" spans="1:9" s="53" customFormat="1" ht="15.65" customHeight="1" x14ac:dyDescent="0.35">
      <c r="A882" s="82" t="s">
        <v>505</v>
      </c>
      <c r="B882" s="82"/>
      <c r="C882" s="62" t="s">
        <v>486</v>
      </c>
      <c r="D882" s="66">
        <f>(24.52+0.6*3+1.2*3)*10.764</f>
        <v>322.05887999999999</v>
      </c>
      <c r="E882" s="62">
        <v>0</v>
      </c>
      <c r="F882" s="63">
        <f t="shared" si="50"/>
        <v>483.08831999999995</v>
      </c>
      <c r="G882" s="85"/>
      <c r="H882" s="86"/>
    </row>
    <row r="883" spans="1:9" s="53" customFormat="1" ht="15.65" customHeight="1" x14ac:dyDescent="0.35">
      <c r="A883" s="82" t="s">
        <v>506</v>
      </c>
      <c r="B883" s="82"/>
      <c r="C883" s="62" t="s">
        <v>170</v>
      </c>
      <c r="D883" s="66">
        <f>(36.89+0.6*2.9+1.2*2.5)*10.764</f>
        <v>448.10532000000001</v>
      </c>
      <c r="E883" s="62">
        <v>0</v>
      </c>
      <c r="F883" s="63">
        <f t="shared" si="50"/>
        <v>672.15797999999995</v>
      </c>
      <c r="G883" s="85"/>
      <c r="H883" s="86"/>
    </row>
    <row r="884" spans="1:9" s="53" customFormat="1" ht="15.65" customHeight="1" x14ac:dyDescent="0.35">
      <c r="A884" s="82" t="s">
        <v>507</v>
      </c>
      <c r="B884" s="82"/>
      <c r="C884" s="62" t="s">
        <v>486</v>
      </c>
      <c r="D884" s="66">
        <f>(27.1+0.6*2.9+1.2*2.75)*10.764</f>
        <v>345.95495999999997</v>
      </c>
      <c r="E884" s="62">
        <v>0</v>
      </c>
      <c r="F884" s="63">
        <f t="shared" si="50"/>
        <v>518.93243999999993</v>
      </c>
      <c r="G884" s="85"/>
      <c r="H884" s="86"/>
    </row>
    <row r="885" spans="1:9" s="53" customFormat="1" ht="15.65" customHeight="1" x14ac:dyDescent="0.35">
      <c r="A885" s="82" t="s">
        <v>508</v>
      </c>
      <c r="B885" s="82"/>
      <c r="C885" s="62" t="s">
        <v>170</v>
      </c>
      <c r="D885" s="66">
        <f>(35.41+0.6*2.9+1.2*2.75)*10.764</f>
        <v>435.40379999999993</v>
      </c>
      <c r="E885" s="62">
        <v>0</v>
      </c>
      <c r="F885" s="63">
        <f t="shared" si="50"/>
        <v>653.10569999999984</v>
      </c>
      <c r="G885" s="85"/>
      <c r="H885" s="86"/>
    </row>
    <row r="886" spans="1:9" s="53" customFormat="1" ht="15.65" customHeight="1" x14ac:dyDescent="0.35">
      <c r="A886" s="82" t="s">
        <v>509</v>
      </c>
      <c r="B886" s="82"/>
      <c r="C886" s="62" t="s">
        <v>1059</v>
      </c>
      <c r="D886" s="66">
        <f>(61.56+0.6*(2.45+2.9)+1.2*3)*10.764</f>
        <v>735.93467999999984</v>
      </c>
      <c r="E886" s="62">
        <v>0</v>
      </c>
      <c r="F886" s="63">
        <f t="shared" si="50"/>
        <v>1103.9020199999998</v>
      </c>
      <c r="G886" s="85"/>
      <c r="H886" s="86"/>
    </row>
    <row r="887" spans="1:9" s="53" customFormat="1" ht="15.65" customHeight="1" x14ac:dyDescent="0.35">
      <c r="A887" s="82" t="s">
        <v>510</v>
      </c>
      <c r="B887" s="82"/>
      <c r="C887" s="62" t="s">
        <v>1059</v>
      </c>
      <c r="D887" s="66">
        <f>(61.55+0.6*(2.45+2.9)+1.2*3)*10.764</f>
        <v>735.82703999999978</v>
      </c>
      <c r="E887" s="62">
        <v>0</v>
      </c>
      <c r="F887" s="63">
        <f t="shared" si="50"/>
        <v>1103.7405599999997</v>
      </c>
      <c r="G887" s="85"/>
      <c r="H887" s="86"/>
    </row>
    <row r="888" spans="1:9" s="53" customFormat="1" ht="15.65" customHeight="1" x14ac:dyDescent="0.35">
      <c r="A888" s="82" t="s">
        <v>511</v>
      </c>
      <c r="B888" s="82"/>
      <c r="C888" s="62" t="s">
        <v>170</v>
      </c>
      <c r="D888" s="66">
        <f>(36.45+0.6*2.55+0.5*2.75+1.2*2.9)*10.764</f>
        <v>461.07594</v>
      </c>
      <c r="E888" s="62">
        <v>0</v>
      </c>
      <c r="F888" s="63">
        <f t="shared" si="50"/>
        <v>691.61391000000003</v>
      </c>
      <c r="G888" s="85"/>
      <c r="H888" s="86"/>
    </row>
    <row r="889" spans="1:9" s="53" customFormat="1" ht="15.65" customHeight="1" x14ac:dyDescent="0.35">
      <c r="A889" s="82" t="s">
        <v>512</v>
      </c>
      <c r="B889" s="82"/>
      <c r="C889" s="62" t="s">
        <v>170</v>
      </c>
      <c r="D889" s="66">
        <f>(36.85+0.6*2.55+0.5*2.9+1.2*2.9)*10.764</f>
        <v>466.18883999999997</v>
      </c>
      <c r="E889" s="62">
        <v>0</v>
      </c>
      <c r="F889" s="63">
        <f t="shared" si="50"/>
        <v>699.28325999999993</v>
      </c>
      <c r="G889" s="85"/>
      <c r="H889" s="86"/>
    </row>
    <row r="890" spans="1:9" s="53" customFormat="1" ht="15.65" customHeight="1" x14ac:dyDescent="0.35">
      <c r="A890" s="82" t="s">
        <v>513</v>
      </c>
      <c r="B890" s="82"/>
      <c r="C890" s="62" t="s">
        <v>170</v>
      </c>
      <c r="D890" s="66">
        <f>(37.4+0.6*2.55+0.5*2.9+1.2*2.9)*10.764</f>
        <v>472.10903999999999</v>
      </c>
      <c r="E890" s="62">
        <v>0</v>
      </c>
      <c r="F890" s="63">
        <f t="shared" si="50"/>
        <v>708.16355999999996</v>
      </c>
      <c r="G890" s="85"/>
      <c r="H890" s="86"/>
    </row>
    <row r="891" spans="1:9" s="53" customFormat="1" ht="15.65" customHeight="1" x14ac:dyDescent="0.35">
      <c r="A891" s="82" t="s">
        <v>514</v>
      </c>
      <c r="B891" s="82"/>
      <c r="C891" s="62" t="s">
        <v>170</v>
      </c>
      <c r="D891" s="66">
        <f>(37.42+0.6*2.55+0.5*2.75+1.2*2.9)*10.764</f>
        <v>471.51701999999995</v>
      </c>
      <c r="E891" s="62">
        <v>0</v>
      </c>
      <c r="F891" s="63">
        <f t="shared" si="50"/>
        <v>707.27552999999989</v>
      </c>
      <c r="G891" s="85"/>
      <c r="H891" s="86"/>
    </row>
    <row r="892" spans="1:9" s="53" customFormat="1" ht="15.65" customHeight="1" x14ac:dyDescent="0.35">
      <c r="A892" s="82" t="s">
        <v>515</v>
      </c>
      <c r="B892" s="82"/>
      <c r="C892" s="62" t="s">
        <v>170</v>
      </c>
      <c r="D892" s="66">
        <f>(38.18+0.6*2.55+0.5*3+1.2*2)*10.764</f>
        <v>469.41803999999996</v>
      </c>
      <c r="E892" s="62">
        <v>0</v>
      </c>
      <c r="F892" s="63">
        <f t="shared" si="50"/>
        <v>704.12705999999991</v>
      </c>
      <c r="G892" s="87"/>
      <c r="H892" s="88"/>
    </row>
    <row r="893" spans="1:9" s="53" customFormat="1" x14ac:dyDescent="0.35">
      <c r="A893" s="78" t="s">
        <v>516</v>
      </c>
      <c r="B893" s="79"/>
      <c r="C893" s="79"/>
      <c r="D893" s="79"/>
      <c r="E893" s="79"/>
      <c r="F893" s="79"/>
      <c r="G893" s="79"/>
      <c r="H893" s="80"/>
    </row>
    <row r="894" spans="1:9" s="53" customFormat="1" x14ac:dyDescent="0.35">
      <c r="A894" s="82" t="s">
        <v>540</v>
      </c>
      <c r="B894" s="82"/>
      <c r="C894" s="62" t="s">
        <v>1058</v>
      </c>
      <c r="D894" s="66">
        <f>(64.17+0.6*(2.75+2.3+3.05)+1.2*2.9)*10.764</f>
        <v>780.49764000000005</v>
      </c>
      <c r="E894" s="62">
        <v>0</v>
      </c>
      <c r="F894" s="63">
        <f t="shared" ref="F894:F907" si="51">D894*1.5+E894</f>
        <v>1170.7464600000001</v>
      </c>
      <c r="G894" s="83" t="str">
        <f>A893</f>
        <v>5th Floor</v>
      </c>
      <c r="H894" s="84"/>
      <c r="I894" s="65">
        <f>2.9*3.45+1.5*2.9+1.2*2.4+1.95*0.9+1.2*2.35+2.2*1.45+3.05*2.9+2.9*2.25+2.3*1.55+2.75*3+2.15*1.05+1*2.3</f>
        <v>56.742499999999993</v>
      </c>
    </row>
    <row r="895" spans="1:9" s="53" customFormat="1" ht="15.65" customHeight="1" x14ac:dyDescent="0.35">
      <c r="A895" s="82" t="s">
        <v>541</v>
      </c>
      <c r="B895" s="82"/>
      <c r="C895" s="68" t="s">
        <v>1058</v>
      </c>
      <c r="D895" s="66">
        <f>(70.37+0.6*(2.9+2.45+2.9)+1.2*3)*10.764</f>
        <v>849.49487999999997</v>
      </c>
      <c r="E895" s="62">
        <v>0</v>
      </c>
      <c r="F895" s="63">
        <f t="shared" si="51"/>
        <v>1274.2423199999998</v>
      </c>
      <c r="G895" s="85"/>
      <c r="H895" s="86"/>
    </row>
    <row r="896" spans="1:9" s="53" customFormat="1" ht="15.65" customHeight="1" x14ac:dyDescent="0.35">
      <c r="A896" s="82" t="s">
        <v>542</v>
      </c>
      <c r="B896" s="82"/>
      <c r="C896" s="62" t="s">
        <v>1059</v>
      </c>
      <c r="D896" s="66">
        <f>(57.24+0.6*(2.45+2.9)+1.2*3)*10.764</f>
        <v>689.43419999999992</v>
      </c>
      <c r="E896" s="62">
        <v>0</v>
      </c>
      <c r="F896" s="63">
        <f t="shared" si="51"/>
        <v>1034.1513</v>
      </c>
      <c r="G896" s="85"/>
      <c r="H896" s="86"/>
      <c r="I896" s="53">
        <f>3*3.45+2.45*3.05+2.45*3.05+2.9*3.05+2.6*2.35+1.65*0.75+1.15*1.2+1.2*1.95+1.55*2.35+1.5*3</f>
        <v>53.349999999999994</v>
      </c>
    </row>
    <row r="897" spans="1:8" s="53" customFormat="1" ht="15.65" customHeight="1" x14ac:dyDescent="0.35">
      <c r="A897" s="82" t="s">
        <v>543</v>
      </c>
      <c r="B897" s="82"/>
      <c r="C897" s="68" t="s">
        <v>1058</v>
      </c>
      <c r="D897" s="66">
        <f>(68.6+0.6*(2.9+2.45+2.9)+1.2*3)*10.764</f>
        <v>830.44259999999986</v>
      </c>
      <c r="E897" s="62">
        <v>0</v>
      </c>
      <c r="F897" s="63">
        <f t="shared" si="51"/>
        <v>1245.6638999999998</v>
      </c>
      <c r="G897" s="85"/>
      <c r="H897" s="86"/>
    </row>
    <row r="898" spans="1:8" s="53" customFormat="1" ht="15.65" customHeight="1" x14ac:dyDescent="0.35">
      <c r="A898" s="82" t="s">
        <v>544</v>
      </c>
      <c r="B898" s="82"/>
      <c r="C898" s="68" t="s">
        <v>1058</v>
      </c>
      <c r="D898" s="66">
        <f>(71+0.6*(2.9+2.45+3)+1.2*3)*10.764</f>
        <v>856.92203999999992</v>
      </c>
      <c r="E898" s="62">
        <v>0</v>
      </c>
      <c r="F898" s="63">
        <f t="shared" si="51"/>
        <v>1285.3830599999999</v>
      </c>
      <c r="G898" s="85"/>
      <c r="H898" s="86"/>
    </row>
    <row r="899" spans="1:8" s="53" customFormat="1" ht="15.65" customHeight="1" x14ac:dyDescent="0.35">
      <c r="A899" s="82" t="s">
        <v>545</v>
      </c>
      <c r="B899" s="82"/>
      <c r="C899" s="68" t="s">
        <v>1058</v>
      </c>
      <c r="D899" s="66">
        <f>(70.74+0.6*(2.9+2.45+3)+1.2*3)*10.764</f>
        <v>854.12339999999983</v>
      </c>
      <c r="E899" s="62">
        <v>0</v>
      </c>
      <c r="F899" s="63">
        <f t="shared" si="51"/>
        <v>1281.1850999999997</v>
      </c>
      <c r="G899" s="85"/>
      <c r="H899" s="86"/>
    </row>
    <row r="900" spans="1:8" s="53" customFormat="1" ht="15.65" customHeight="1" x14ac:dyDescent="0.35">
      <c r="A900" s="82" t="s">
        <v>546</v>
      </c>
      <c r="B900" s="82"/>
      <c r="C900" s="68" t="s">
        <v>1058</v>
      </c>
      <c r="D900" s="66">
        <f>(72.17+0.6*(2.9+2.45+2.9)+1.2*3)*10.764</f>
        <v>868.87007999999992</v>
      </c>
      <c r="E900" s="62">
        <v>0</v>
      </c>
      <c r="F900" s="63">
        <f t="shared" si="51"/>
        <v>1303.30512</v>
      </c>
      <c r="G900" s="85"/>
      <c r="H900" s="86"/>
    </row>
    <row r="901" spans="1:8" s="53" customFormat="1" ht="15.65" customHeight="1" x14ac:dyDescent="0.35">
      <c r="A901" s="82" t="s">
        <v>547</v>
      </c>
      <c r="B901" s="82"/>
      <c r="C901" s="68" t="s">
        <v>1059</v>
      </c>
      <c r="D901" s="66">
        <f>(56.87+0.6*(2.45+2.9)+1.2*3)*10.764</f>
        <v>685.45151999999996</v>
      </c>
      <c r="E901" s="62">
        <v>0</v>
      </c>
      <c r="F901" s="63">
        <f t="shared" si="51"/>
        <v>1028.1772799999999</v>
      </c>
      <c r="G901" s="85"/>
      <c r="H901" s="86"/>
    </row>
    <row r="902" spans="1:8" s="53" customFormat="1" ht="15.65" customHeight="1" x14ac:dyDescent="0.35">
      <c r="A902" s="82" t="s">
        <v>548</v>
      </c>
      <c r="B902" s="82"/>
      <c r="C902" s="68" t="s">
        <v>1059</v>
      </c>
      <c r="D902" s="66">
        <f>(56.87+0.6*(2.45+2.9)+1.2*3)*10.764</f>
        <v>685.45151999999996</v>
      </c>
      <c r="E902" s="62">
        <v>0</v>
      </c>
      <c r="F902" s="63">
        <f t="shared" si="51"/>
        <v>1028.1772799999999</v>
      </c>
      <c r="G902" s="85"/>
      <c r="H902" s="86"/>
    </row>
    <row r="903" spans="1:8" s="53" customFormat="1" ht="15.65" customHeight="1" x14ac:dyDescent="0.35">
      <c r="A903" s="82" t="s">
        <v>549</v>
      </c>
      <c r="B903" s="82"/>
      <c r="C903" s="62" t="s">
        <v>170</v>
      </c>
      <c r="D903" s="66">
        <f>(36.45+0.6*2.55+0.5*2.75+1.2*2.9)*10.764</f>
        <v>461.07594</v>
      </c>
      <c r="E903" s="62">
        <v>0</v>
      </c>
      <c r="F903" s="63">
        <f t="shared" si="51"/>
        <v>691.61391000000003</v>
      </c>
      <c r="G903" s="85"/>
      <c r="H903" s="86"/>
    </row>
    <row r="904" spans="1:8" s="53" customFormat="1" ht="15.65" customHeight="1" x14ac:dyDescent="0.35">
      <c r="A904" s="82" t="s">
        <v>550</v>
      </c>
      <c r="B904" s="82"/>
      <c r="C904" s="62" t="s">
        <v>170</v>
      </c>
      <c r="D904" s="66">
        <f>(36.85+0.6*2.55+0.5*2.9+1.2*2.9)*10.764</f>
        <v>466.18883999999997</v>
      </c>
      <c r="E904" s="62">
        <v>0</v>
      </c>
      <c r="F904" s="63">
        <f t="shared" si="51"/>
        <v>699.28325999999993</v>
      </c>
      <c r="G904" s="85"/>
      <c r="H904" s="86"/>
    </row>
    <row r="905" spans="1:8" s="53" customFormat="1" ht="15.65" customHeight="1" x14ac:dyDescent="0.35">
      <c r="A905" s="82" t="s">
        <v>551</v>
      </c>
      <c r="B905" s="82"/>
      <c r="C905" s="62" t="s">
        <v>170</v>
      </c>
      <c r="D905" s="66">
        <f>(37.4+0.6*2.55+0.5*2.9+1.2*2.9)*10.764</f>
        <v>472.10903999999999</v>
      </c>
      <c r="E905" s="62">
        <v>0</v>
      </c>
      <c r="F905" s="63">
        <f t="shared" si="51"/>
        <v>708.16355999999996</v>
      </c>
      <c r="G905" s="85"/>
      <c r="H905" s="86"/>
    </row>
    <row r="906" spans="1:8" s="53" customFormat="1" ht="15.65" customHeight="1" x14ac:dyDescent="0.35">
      <c r="A906" s="82" t="s">
        <v>552</v>
      </c>
      <c r="B906" s="82"/>
      <c r="C906" s="62" t="s">
        <v>170</v>
      </c>
      <c r="D906" s="66">
        <f>(37.42+0.6*2.55+0.5*2.75+1.2*2.9)*10.764</f>
        <v>471.51701999999995</v>
      </c>
      <c r="E906" s="62">
        <v>0</v>
      </c>
      <c r="F906" s="63">
        <f t="shared" si="51"/>
        <v>707.27552999999989</v>
      </c>
      <c r="G906" s="85"/>
      <c r="H906" s="86"/>
    </row>
    <row r="907" spans="1:8" s="53" customFormat="1" ht="15.65" customHeight="1" x14ac:dyDescent="0.35">
      <c r="A907" s="82" t="s">
        <v>553</v>
      </c>
      <c r="B907" s="82"/>
      <c r="C907" s="62" t="s">
        <v>170</v>
      </c>
      <c r="D907" s="66">
        <f>(38.18+0.6*2.55+0.5*3+1.2*2)*10.764</f>
        <v>469.41803999999996</v>
      </c>
      <c r="E907" s="62">
        <v>0</v>
      </c>
      <c r="F907" s="63">
        <f t="shared" si="51"/>
        <v>704.12705999999991</v>
      </c>
      <c r="G907" s="85"/>
      <c r="H907" s="86"/>
    </row>
    <row r="908" spans="1:8" s="53" customFormat="1" x14ac:dyDescent="0.35">
      <c r="A908" s="78" t="s">
        <v>554</v>
      </c>
      <c r="B908" s="79"/>
      <c r="C908" s="79"/>
      <c r="D908" s="79"/>
      <c r="E908" s="79"/>
      <c r="F908" s="79"/>
      <c r="G908" s="79"/>
      <c r="H908" s="80"/>
    </row>
    <row r="909" spans="1:8" s="53" customFormat="1" x14ac:dyDescent="0.35">
      <c r="A909" s="82" t="s">
        <v>583</v>
      </c>
      <c r="B909" s="82"/>
      <c r="C909" s="63" t="s">
        <v>486</v>
      </c>
      <c r="D909" s="66">
        <f>(25.47+0.6*(2.9+2.35))*10.764</f>
        <v>308.06567999999993</v>
      </c>
      <c r="E909" s="63">
        <v>0</v>
      </c>
      <c r="F909" s="63">
        <f t="shared" ref="F909:F927" si="52">D909*1.5+E909</f>
        <v>462.09851999999989</v>
      </c>
      <c r="G909" s="83" t="str">
        <f>A908</f>
        <v>6th Floor</v>
      </c>
      <c r="H909" s="84"/>
    </row>
    <row r="910" spans="1:8" s="53" customFormat="1" ht="15.65" customHeight="1" x14ac:dyDescent="0.35">
      <c r="A910" s="82" t="s">
        <v>584</v>
      </c>
      <c r="B910" s="82"/>
      <c r="C910" s="63" t="s">
        <v>170</v>
      </c>
      <c r="D910" s="66">
        <f>(28.68+0.6*3.05+1.2*2.9)*10.764</f>
        <v>365.86835999999994</v>
      </c>
      <c r="E910" s="63">
        <v>0</v>
      </c>
      <c r="F910" s="63">
        <f t="shared" si="52"/>
        <v>548.80253999999991</v>
      </c>
      <c r="G910" s="85"/>
      <c r="H910" s="86"/>
    </row>
    <row r="911" spans="1:8" s="53" customFormat="1" ht="15.65" customHeight="1" x14ac:dyDescent="0.35">
      <c r="A911" s="82" t="s">
        <v>585</v>
      </c>
      <c r="B911" s="82"/>
      <c r="C911" s="63" t="s">
        <v>486</v>
      </c>
      <c r="D911" s="66">
        <f>(23.23+0.6*2.9+1.2*3.1)*10.764</f>
        <v>308.81915999999995</v>
      </c>
      <c r="E911" s="63">
        <v>0</v>
      </c>
      <c r="F911" s="63">
        <f t="shared" si="52"/>
        <v>463.2287399999999</v>
      </c>
      <c r="G911" s="85"/>
      <c r="H911" s="86"/>
    </row>
    <row r="912" spans="1:8" s="53" customFormat="1" ht="15.65" customHeight="1" x14ac:dyDescent="0.35">
      <c r="A912" s="82" t="s">
        <v>586</v>
      </c>
      <c r="B912" s="82"/>
      <c r="C912" s="63" t="s">
        <v>170</v>
      </c>
      <c r="D912" s="66">
        <f>(37.6+0.6*2.9+1.2*2.5)*10.764</f>
        <v>455.74776000000003</v>
      </c>
      <c r="E912" s="63">
        <v>0</v>
      </c>
      <c r="F912" s="63">
        <f t="shared" si="52"/>
        <v>683.62164000000007</v>
      </c>
      <c r="G912" s="85"/>
      <c r="H912" s="86"/>
    </row>
    <row r="913" spans="1:12" s="53" customFormat="1" ht="15.65" customHeight="1" x14ac:dyDescent="0.35">
      <c r="A913" s="82" t="s">
        <v>587</v>
      </c>
      <c r="B913" s="82"/>
      <c r="C913" s="63" t="s">
        <v>1059</v>
      </c>
      <c r="D913" s="66">
        <f>(61.19+0.6*(2.45+2.9)+1.2*3)*10.764</f>
        <v>731.95199999999977</v>
      </c>
      <c r="E913" s="63">
        <v>0</v>
      </c>
      <c r="F913" s="63">
        <f t="shared" si="52"/>
        <v>1097.9279999999997</v>
      </c>
      <c r="G913" s="85"/>
      <c r="H913" s="86"/>
    </row>
    <row r="914" spans="1:12" s="53" customFormat="1" ht="15.65" customHeight="1" x14ac:dyDescent="0.35">
      <c r="A914" s="82" t="s">
        <v>588</v>
      </c>
      <c r="B914" s="82"/>
      <c r="C914" s="63" t="s">
        <v>170</v>
      </c>
      <c r="D914" s="66">
        <f>(35.41+0.6*2.9+1.2*2.75)*10.764</f>
        <v>435.40379999999993</v>
      </c>
      <c r="E914" s="63">
        <v>0</v>
      </c>
      <c r="F914" s="63">
        <f t="shared" si="52"/>
        <v>653.10569999999984</v>
      </c>
      <c r="G914" s="85"/>
      <c r="H914" s="86"/>
      <c r="L914" s="53" t="s">
        <v>1060</v>
      </c>
    </row>
    <row r="915" spans="1:12" s="53" customFormat="1" ht="15.65" customHeight="1" x14ac:dyDescent="0.35">
      <c r="A915" s="82" t="s">
        <v>589</v>
      </c>
      <c r="B915" s="82"/>
      <c r="C915" s="63" t="s">
        <v>486</v>
      </c>
      <c r="D915" s="66">
        <f>(22.77+0.6*2.9+1.2*2.75)*10.764</f>
        <v>299.34683999999999</v>
      </c>
      <c r="E915" s="63">
        <v>0</v>
      </c>
      <c r="F915" s="63">
        <f t="shared" si="52"/>
        <v>449.02026000000001</v>
      </c>
      <c r="G915" s="85"/>
      <c r="H915" s="86"/>
    </row>
    <row r="916" spans="1:12" s="53" customFormat="1" ht="15.65" customHeight="1" x14ac:dyDescent="0.35">
      <c r="A916" s="82" t="s">
        <v>590</v>
      </c>
      <c r="B916" s="82"/>
      <c r="C916" s="63" t="s">
        <v>170</v>
      </c>
      <c r="D916" s="66">
        <f>(36.89+0.6*2.9+1.2*2.5)*10.764</f>
        <v>448.10532000000001</v>
      </c>
      <c r="E916" s="63">
        <v>0</v>
      </c>
      <c r="F916" s="63">
        <f t="shared" si="52"/>
        <v>672.15797999999995</v>
      </c>
      <c r="G916" s="85"/>
      <c r="H916" s="86"/>
    </row>
    <row r="917" spans="1:12" s="53" customFormat="1" ht="15.65" customHeight="1" x14ac:dyDescent="0.35">
      <c r="A917" s="82" t="s">
        <v>591</v>
      </c>
      <c r="B917" s="82"/>
      <c r="C917" s="63" t="s">
        <v>486</v>
      </c>
      <c r="D917" s="66">
        <f>(24.52+0.6*3+1.2*3)*10.764</f>
        <v>322.05887999999999</v>
      </c>
      <c r="E917" s="63">
        <v>0</v>
      </c>
      <c r="F917" s="63">
        <f t="shared" si="52"/>
        <v>483.08831999999995</v>
      </c>
      <c r="G917" s="85"/>
      <c r="H917" s="86"/>
    </row>
    <row r="918" spans="1:12" s="53" customFormat="1" ht="15.65" customHeight="1" x14ac:dyDescent="0.35">
      <c r="A918" s="82" t="s">
        <v>592</v>
      </c>
      <c r="B918" s="82"/>
      <c r="C918" s="68" t="s">
        <v>1059</v>
      </c>
      <c r="D918" s="66">
        <f>(61.98+0.6*(2.45+2.9)+1.2*3)*10.764</f>
        <v>740.45555999999988</v>
      </c>
      <c r="E918" s="63">
        <v>0</v>
      </c>
      <c r="F918" s="63">
        <f t="shared" si="52"/>
        <v>1110.6833399999998</v>
      </c>
      <c r="G918" s="85"/>
      <c r="H918" s="86"/>
    </row>
    <row r="919" spans="1:12" s="53" customFormat="1" ht="15.65" customHeight="1" x14ac:dyDescent="0.35">
      <c r="A919" s="82" t="s">
        <v>593</v>
      </c>
      <c r="B919" s="82"/>
      <c r="C919" s="63" t="s">
        <v>486</v>
      </c>
      <c r="D919" s="66">
        <f>(27.1+0.6*2.9+1.2*2.75)*10.764</f>
        <v>345.95495999999997</v>
      </c>
      <c r="E919" s="63">
        <v>0</v>
      </c>
      <c r="F919" s="63">
        <f t="shared" si="52"/>
        <v>518.93243999999993</v>
      </c>
      <c r="G919" s="85"/>
      <c r="H919" s="86"/>
    </row>
    <row r="920" spans="1:12" s="53" customFormat="1" ht="15.65" customHeight="1" x14ac:dyDescent="0.35">
      <c r="A920" s="82" t="s">
        <v>594</v>
      </c>
      <c r="B920" s="82"/>
      <c r="C920" s="63" t="s">
        <v>170</v>
      </c>
      <c r="D920" s="66">
        <f>(35.41+0.6*2.9+1.2*2.75)*10.764</f>
        <v>435.40379999999993</v>
      </c>
      <c r="E920" s="63">
        <v>0</v>
      </c>
      <c r="F920" s="63">
        <f t="shared" si="52"/>
        <v>653.10569999999984</v>
      </c>
      <c r="G920" s="85"/>
      <c r="H920" s="86"/>
    </row>
    <row r="921" spans="1:12" s="53" customFormat="1" ht="15.65" customHeight="1" x14ac:dyDescent="0.35">
      <c r="A921" s="82" t="s">
        <v>595</v>
      </c>
      <c r="B921" s="82"/>
      <c r="C921" s="68" t="s">
        <v>1059</v>
      </c>
      <c r="D921" s="66">
        <f>(61.56+0.6*(2.45+2.9)+1.2*3)*10.764</f>
        <v>735.93467999999984</v>
      </c>
      <c r="E921" s="63">
        <v>0</v>
      </c>
      <c r="F921" s="63">
        <f t="shared" si="52"/>
        <v>1103.9020199999998</v>
      </c>
      <c r="G921" s="85"/>
      <c r="H921" s="86"/>
    </row>
    <row r="922" spans="1:12" s="53" customFormat="1" ht="15.65" customHeight="1" x14ac:dyDescent="0.35">
      <c r="A922" s="82" t="s">
        <v>596</v>
      </c>
      <c r="B922" s="82"/>
      <c r="C922" s="68" t="s">
        <v>1059</v>
      </c>
      <c r="D922" s="66">
        <f>(61.55+0.6*(2.45+2.9)+1.2*3)*10.764</f>
        <v>735.82703999999978</v>
      </c>
      <c r="E922" s="63">
        <v>0</v>
      </c>
      <c r="F922" s="63">
        <f t="shared" si="52"/>
        <v>1103.7405599999997</v>
      </c>
      <c r="G922" s="85"/>
      <c r="H922" s="86"/>
    </row>
    <row r="923" spans="1:12" s="53" customFormat="1" ht="15.65" customHeight="1" x14ac:dyDescent="0.35">
      <c r="A923" s="82" t="s">
        <v>597</v>
      </c>
      <c r="B923" s="82"/>
      <c r="C923" s="63" t="s">
        <v>170</v>
      </c>
      <c r="D923" s="66">
        <f>(36.45+0.6*2.55+0.5*2.75+1.2*2.9)*10.764</f>
        <v>461.07594</v>
      </c>
      <c r="E923" s="63">
        <v>0</v>
      </c>
      <c r="F923" s="63">
        <f t="shared" si="52"/>
        <v>691.61391000000003</v>
      </c>
      <c r="G923" s="85"/>
      <c r="H923" s="86"/>
    </row>
    <row r="924" spans="1:12" s="53" customFormat="1" ht="15.65" customHeight="1" x14ac:dyDescent="0.35">
      <c r="A924" s="82" t="s">
        <v>598</v>
      </c>
      <c r="B924" s="82"/>
      <c r="C924" s="63" t="s">
        <v>170</v>
      </c>
      <c r="D924" s="66">
        <f>(36.85+0.6*2.55+0.5*2.9+1.2*2.9)*10.764</f>
        <v>466.18883999999997</v>
      </c>
      <c r="E924" s="63">
        <v>0</v>
      </c>
      <c r="F924" s="63">
        <f t="shared" si="52"/>
        <v>699.28325999999993</v>
      </c>
      <c r="G924" s="85"/>
      <c r="H924" s="86"/>
    </row>
    <row r="925" spans="1:12" s="53" customFormat="1" ht="15.65" customHeight="1" x14ac:dyDescent="0.35">
      <c r="A925" s="82" t="s">
        <v>599</v>
      </c>
      <c r="B925" s="82"/>
      <c r="C925" s="63" t="s">
        <v>170</v>
      </c>
      <c r="D925" s="66">
        <f>(37.4+0.6*2.55+0.5*2.9+1.2*2.9)*10.764</f>
        <v>472.10903999999999</v>
      </c>
      <c r="E925" s="63">
        <v>0</v>
      </c>
      <c r="F925" s="63">
        <f t="shared" si="52"/>
        <v>708.16355999999996</v>
      </c>
      <c r="G925" s="85"/>
      <c r="H925" s="86"/>
    </row>
    <row r="926" spans="1:12" s="53" customFormat="1" ht="15.65" customHeight="1" x14ac:dyDescent="0.35">
      <c r="A926" s="82" t="s">
        <v>600</v>
      </c>
      <c r="B926" s="82"/>
      <c r="C926" s="63" t="s">
        <v>170</v>
      </c>
      <c r="D926" s="66">
        <f>(37.42+0.6*2.55+0.5*2.75+1.2*2.9)*10.764</f>
        <v>471.51701999999995</v>
      </c>
      <c r="E926" s="63">
        <v>0</v>
      </c>
      <c r="F926" s="63">
        <f t="shared" si="52"/>
        <v>707.27552999999989</v>
      </c>
      <c r="G926" s="85"/>
      <c r="H926" s="86"/>
    </row>
    <row r="927" spans="1:12" s="53" customFormat="1" ht="15.65" customHeight="1" x14ac:dyDescent="0.35">
      <c r="A927" s="82" t="s">
        <v>601</v>
      </c>
      <c r="B927" s="82"/>
      <c r="C927" s="63" t="s">
        <v>170</v>
      </c>
      <c r="D927" s="66">
        <f>(38.18+0.6*2.55+0.5*3+1.2*2)*10.764</f>
        <v>469.41803999999996</v>
      </c>
      <c r="E927" s="63">
        <v>0</v>
      </c>
      <c r="F927" s="63">
        <f t="shared" si="52"/>
        <v>704.12705999999991</v>
      </c>
      <c r="G927" s="87"/>
      <c r="H927" s="88"/>
    </row>
    <row r="928" spans="1:12" s="53" customFormat="1" x14ac:dyDescent="0.35">
      <c r="A928" s="78" t="s">
        <v>602</v>
      </c>
      <c r="B928" s="79"/>
      <c r="C928" s="79"/>
      <c r="D928" s="79"/>
      <c r="E928" s="79"/>
      <c r="F928" s="79"/>
      <c r="G928" s="79"/>
      <c r="H928" s="80"/>
    </row>
    <row r="929" spans="1:9" s="53" customFormat="1" x14ac:dyDescent="0.35">
      <c r="A929" s="82" t="s">
        <v>628</v>
      </c>
      <c r="B929" s="82"/>
      <c r="C929" s="63" t="s">
        <v>1058</v>
      </c>
      <c r="D929" s="66">
        <f>(64.17+0.6*(2.75+2.3+3.05)+1.2*2.9)*10.764</f>
        <v>780.49764000000005</v>
      </c>
      <c r="E929" s="63">
        <v>0</v>
      </c>
      <c r="F929" s="63">
        <f t="shared" ref="F929:F942" si="53">D929*1.5+E929</f>
        <v>1170.7464600000001</v>
      </c>
      <c r="G929" s="83" t="str">
        <f>A928</f>
        <v>7th Floor</v>
      </c>
      <c r="H929" s="84"/>
      <c r="I929" s="65"/>
    </row>
    <row r="930" spans="1:9" s="53" customFormat="1" ht="15.65" customHeight="1" x14ac:dyDescent="0.35">
      <c r="A930" s="82" t="s">
        <v>629</v>
      </c>
      <c r="B930" s="82"/>
      <c r="C930" s="68" t="s">
        <v>1058</v>
      </c>
      <c r="D930" s="66">
        <f>(70.37+0.6*(2.9+2.45+2.9)+1.2*3)*10.764</f>
        <v>849.49487999999997</v>
      </c>
      <c r="E930" s="63">
        <v>0</v>
      </c>
      <c r="F930" s="63">
        <f t="shared" si="53"/>
        <v>1274.2423199999998</v>
      </c>
      <c r="G930" s="85"/>
      <c r="H930" s="86"/>
    </row>
    <row r="931" spans="1:9" s="53" customFormat="1" ht="15.65" customHeight="1" x14ac:dyDescent="0.35">
      <c r="A931" s="82" t="s">
        <v>630</v>
      </c>
      <c r="B931" s="82"/>
      <c r="C931" s="63" t="s">
        <v>1059</v>
      </c>
      <c r="D931" s="66">
        <f>(57.24+0.6*(2.45+2.9)+1.2*3)*10.764</f>
        <v>689.43419999999992</v>
      </c>
      <c r="E931" s="63">
        <v>0</v>
      </c>
      <c r="F931" s="63">
        <f t="shared" si="53"/>
        <v>1034.1513</v>
      </c>
      <c r="G931" s="85"/>
      <c r="H931" s="86"/>
    </row>
    <row r="932" spans="1:9" s="53" customFormat="1" ht="15.65" customHeight="1" x14ac:dyDescent="0.35">
      <c r="A932" s="82" t="s">
        <v>631</v>
      </c>
      <c r="B932" s="82"/>
      <c r="C932" s="68" t="s">
        <v>1058</v>
      </c>
      <c r="D932" s="66">
        <f>(68.6+0.6*(2.9+2.45+2.9)+1.2*3)*10.764</f>
        <v>830.44259999999986</v>
      </c>
      <c r="E932" s="63">
        <v>0</v>
      </c>
      <c r="F932" s="63">
        <f t="shared" si="53"/>
        <v>1245.6638999999998</v>
      </c>
      <c r="G932" s="85"/>
      <c r="H932" s="86"/>
    </row>
    <row r="933" spans="1:9" s="53" customFormat="1" ht="15.65" customHeight="1" x14ac:dyDescent="0.35">
      <c r="A933" s="82" t="s">
        <v>632</v>
      </c>
      <c r="B933" s="82"/>
      <c r="C933" s="68" t="s">
        <v>1058</v>
      </c>
      <c r="D933" s="66">
        <f>(71+0.6*(2.9+2.45+3)+1.2*3)*10.764</f>
        <v>856.92203999999992</v>
      </c>
      <c r="E933" s="63">
        <v>0</v>
      </c>
      <c r="F933" s="63">
        <f t="shared" si="53"/>
        <v>1285.3830599999999</v>
      </c>
      <c r="G933" s="85"/>
      <c r="H933" s="86"/>
    </row>
    <row r="934" spans="1:9" s="53" customFormat="1" ht="15.65" customHeight="1" x14ac:dyDescent="0.35">
      <c r="A934" s="82" t="s">
        <v>633</v>
      </c>
      <c r="B934" s="82"/>
      <c r="C934" s="68" t="s">
        <v>1059</v>
      </c>
      <c r="D934" s="66">
        <f>(57.24+0.6*(2.9+2.45)+1.2*3)*10.764</f>
        <v>689.43419999999992</v>
      </c>
      <c r="E934" s="63">
        <v>0</v>
      </c>
      <c r="F934" s="63">
        <f t="shared" si="53"/>
        <v>1034.1513</v>
      </c>
      <c r="G934" s="85"/>
      <c r="H934" s="86"/>
    </row>
    <row r="935" spans="1:9" s="53" customFormat="1" ht="15.65" customHeight="1" x14ac:dyDescent="0.35">
      <c r="A935" s="82" t="s">
        <v>634</v>
      </c>
      <c r="B935" s="82"/>
      <c r="C935" s="68" t="s">
        <v>1058</v>
      </c>
      <c r="D935" s="66">
        <f>(72.17+0.6*(2.9+2.45+2.9)+1.2*3)*10.764</f>
        <v>868.87007999999992</v>
      </c>
      <c r="E935" s="63">
        <v>0</v>
      </c>
      <c r="F935" s="63">
        <f t="shared" si="53"/>
        <v>1303.30512</v>
      </c>
      <c r="G935" s="85"/>
      <c r="H935" s="86"/>
    </row>
    <row r="936" spans="1:9" s="53" customFormat="1" ht="15.65" customHeight="1" x14ac:dyDescent="0.35">
      <c r="A936" s="82" t="s">
        <v>635</v>
      </c>
      <c r="B936" s="82"/>
      <c r="C936" s="63" t="s">
        <v>171</v>
      </c>
      <c r="D936" s="66">
        <f>(56.87+0.6*(2.45+2.9)+1.2*3)*10.764</f>
        <v>685.45151999999996</v>
      </c>
      <c r="E936" s="63">
        <v>0</v>
      </c>
      <c r="F936" s="63">
        <f t="shared" si="53"/>
        <v>1028.1772799999999</v>
      </c>
      <c r="G936" s="85"/>
      <c r="H936" s="86"/>
    </row>
    <row r="937" spans="1:9" s="53" customFormat="1" ht="15.65" customHeight="1" x14ac:dyDescent="0.35">
      <c r="A937" s="82" t="s">
        <v>636</v>
      </c>
      <c r="B937" s="82"/>
      <c r="C937" s="63" t="s">
        <v>171</v>
      </c>
      <c r="D937" s="66">
        <f>(56.87+0.6*(2.45+2.9)+1.2*3)*10.764</f>
        <v>685.45151999999996</v>
      </c>
      <c r="E937" s="63">
        <v>0</v>
      </c>
      <c r="F937" s="63">
        <f t="shared" si="53"/>
        <v>1028.1772799999999</v>
      </c>
      <c r="G937" s="85"/>
      <c r="H937" s="86"/>
    </row>
    <row r="938" spans="1:9" s="53" customFormat="1" ht="15.65" customHeight="1" x14ac:dyDescent="0.35">
      <c r="A938" s="82" t="s">
        <v>637</v>
      </c>
      <c r="B938" s="82"/>
      <c r="C938" s="63" t="s">
        <v>170</v>
      </c>
      <c r="D938" s="66">
        <f>(36.45+0.6*2.55+0.5*2.75+1.2*2.9)*10.764</f>
        <v>461.07594</v>
      </c>
      <c r="E938" s="63">
        <v>0</v>
      </c>
      <c r="F938" s="63">
        <f t="shared" si="53"/>
        <v>691.61391000000003</v>
      </c>
      <c r="G938" s="85"/>
      <c r="H938" s="86"/>
    </row>
    <row r="939" spans="1:9" s="53" customFormat="1" ht="15.65" customHeight="1" x14ac:dyDescent="0.35">
      <c r="A939" s="82" t="s">
        <v>638</v>
      </c>
      <c r="B939" s="82"/>
      <c r="C939" s="63" t="s">
        <v>170</v>
      </c>
      <c r="D939" s="66">
        <f>(36.85+0.6*2.55+0.5*2.9+1.2*2.9)*10.764</f>
        <v>466.18883999999997</v>
      </c>
      <c r="E939" s="63">
        <v>0</v>
      </c>
      <c r="F939" s="63">
        <f t="shared" si="53"/>
        <v>699.28325999999993</v>
      </c>
      <c r="G939" s="85"/>
      <c r="H939" s="86"/>
    </row>
    <row r="940" spans="1:9" s="53" customFormat="1" ht="15.65" customHeight="1" x14ac:dyDescent="0.35">
      <c r="A940" s="82" t="s">
        <v>639</v>
      </c>
      <c r="B940" s="82"/>
      <c r="C940" s="63" t="s">
        <v>170</v>
      </c>
      <c r="D940" s="66">
        <f>(37.4+0.6*2.55+0.5*2.9+1.2*2.9)*10.764</f>
        <v>472.10903999999999</v>
      </c>
      <c r="E940" s="63">
        <v>0</v>
      </c>
      <c r="F940" s="63">
        <f t="shared" si="53"/>
        <v>708.16355999999996</v>
      </c>
      <c r="G940" s="85"/>
      <c r="H940" s="86"/>
    </row>
    <row r="941" spans="1:9" s="53" customFormat="1" ht="15.65" customHeight="1" x14ac:dyDescent="0.35">
      <c r="A941" s="82" t="s">
        <v>640</v>
      </c>
      <c r="B941" s="82"/>
      <c r="C941" s="63" t="s">
        <v>170</v>
      </c>
      <c r="D941" s="66">
        <f>(37.42+0.6*2.55+0.5*2.75+1.2*2.9)*10.764</f>
        <v>471.51701999999995</v>
      </c>
      <c r="E941" s="63">
        <v>0</v>
      </c>
      <c r="F941" s="63">
        <f t="shared" si="53"/>
        <v>707.27552999999989</v>
      </c>
      <c r="G941" s="85"/>
      <c r="H941" s="86"/>
    </row>
    <row r="942" spans="1:9" s="53" customFormat="1" ht="15.65" customHeight="1" x14ac:dyDescent="0.35">
      <c r="A942" s="82" t="s">
        <v>641</v>
      </c>
      <c r="B942" s="82"/>
      <c r="C942" s="63" t="s">
        <v>170</v>
      </c>
      <c r="D942" s="66">
        <f>(38.18+0.6*2.55+0.5*3+1.2*2)*10.764</f>
        <v>469.41803999999996</v>
      </c>
      <c r="E942" s="63">
        <v>0</v>
      </c>
      <c r="F942" s="63">
        <f t="shared" si="53"/>
        <v>704.12705999999991</v>
      </c>
      <c r="G942" s="85"/>
      <c r="H942" s="86"/>
    </row>
    <row r="943" spans="1:9" s="53" customFormat="1" x14ac:dyDescent="0.35">
      <c r="A943" s="78" t="s">
        <v>174</v>
      </c>
      <c r="B943" s="79"/>
      <c r="C943" s="79"/>
      <c r="D943" s="79"/>
      <c r="E943" s="79"/>
      <c r="F943" s="79"/>
      <c r="G943" s="79"/>
      <c r="H943" s="80"/>
    </row>
    <row r="944" spans="1:9" s="53" customFormat="1" x14ac:dyDescent="0.35">
      <c r="A944" s="82" t="s">
        <v>650</v>
      </c>
      <c r="B944" s="82"/>
      <c r="C944" s="63" t="s">
        <v>486</v>
      </c>
      <c r="D944" s="66">
        <f>(25.47+0.6*(2.9+2.35))*10.764</f>
        <v>308.06567999999993</v>
      </c>
      <c r="E944" s="63">
        <v>0</v>
      </c>
      <c r="F944" s="63">
        <f t="shared" ref="F944:F963" si="54">D944*1.5+E944</f>
        <v>462.09851999999989</v>
      </c>
      <c r="G944" s="83" t="str">
        <f>A943</f>
        <v>8th Floor</v>
      </c>
      <c r="H944" s="84"/>
    </row>
    <row r="945" spans="1:8" s="53" customFormat="1" ht="15.65" customHeight="1" x14ac:dyDescent="0.35">
      <c r="A945" s="82" t="s">
        <v>651</v>
      </c>
      <c r="B945" s="82"/>
      <c r="C945" s="63" t="s">
        <v>170</v>
      </c>
      <c r="D945" s="66">
        <f>(28.68+0.6*3.05+1.2*2.9)*10.764</f>
        <v>365.86835999999994</v>
      </c>
      <c r="E945" s="63">
        <v>0</v>
      </c>
      <c r="F945" s="63">
        <f t="shared" si="54"/>
        <v>548.80253999999991</v>
      </c>
      <c r="G945" s="85"/>
      <c r="H945" s="86"/>
    </row>
    <row r="946" spans="1:8" s="53" customFormat="1" ht="15.65" customHeight="1" x14ac:dyDescent="0.35">
      <c r="A946" s="82" t="s">
        <v>654</v>
      </c>
      <c r="B946" s="82"/>
      <c r="C946" s="63" t="s">
        <v>486</v>
      </c>
      <c r="D946" s="66">
        <f>(23.23+0.6*2.9+1.2*3.1)*10.764</f>
        <v>308.81915999999995</v>
      </c>
      <c r="E946" s="63">
        <v>0</v>
      </c>
      <c r="F946" s="63">
        <f t="shared" si="54"/>
        <v>463.2287399999999</v>
      </c>
      <c r="G946" s="85"/>
      <c r="H946" s="86"/>
    </row>
    <row r="947" spans="1:8" s="53" customFormat="1" ht="15.65" customHeight="1" x14ac:dyDescent="0.35">
      <c r="A947" s="82" t="s">
        <v>655</v>
      </c>
      <c r="B947" s="82"/>
      <c r="C947" s="63" t="s">
        <v>170</v>
      </c>
      <c r="D947" s="66">
        <f>(37.6+0.6*2.9+1.2*2.5)*10.764</f>
        <v>455.74776000000003</v>
      </c>
      <c r="E947" s="63">
        <v>0</v>
      </c>
      <c r="F947" s="63">
        <f t="shared" si="54"/>
        <v>683.62164000000007</v>
      </c>
      <c r="G947" s="85"/>
      <c r="H947" s="86"/>
    </row>
    <row r="948" spans="1:8" s="53" customFormat="1" ht="15.65" customHeight="1" x14ac:dyDescent="0.35">
      <c r="A948" s="82" t="s">
        <v>656</v>
      </c>
      <c r="B948" s="82"/>
      <c r="C948" s="63" t="s">
        <v>1059</v>
      </c>
      <c r="D948" s="66">
        <f>(61.19+0.6*(2.45+2.9)+1.2*3)*10.764</f>
        <v>731.95199999999977</v>
      </c>
      <c r="E948" s="63">
        <v>0</v>
      </c>
      <c r="F948" s="63">
        <f t="shared" si="54"/>
        <v>1097.9279999999997</v>
      </c>
      <c r="G948" s="85"/>
      <c r="H948" s="86"/>
    </row>
    <row r="949" spans="1:8" s="53" customFormat="1" ht="15.65" customHeight="1" x14ac:dyDescent="0.35">
      <c r="A949" s="82" t="s">
        <v>657</v>
      </c>
      <c r="B949" s="82"/>
      <c r="C949" s="63" t="s">
        <v>170</v>
      </c>
      <c r="D949" s="66">
        <f>(35.41+0.6*2.9+1.2*2.75)*10.764</f>
        <v>435.40379999999993</v>
      </c>
      <c r="E949" s="63">
        <v>0</v>
      </c>
      <c r="F949" s="63">
        <f t="shared" si="54"/>
        <v>653.10569999999984</v>
      </c>
      <c r="G949" s="85"/>
      <c r="H949" s="86"/>
    </row>
    <row r="950" spans="1:8" s="53" customFormat="1" ht="15.65" customHeight="1" x14ac:dyDescent="0.35">
      <c r="A950" s="82" t="s">
        <v>658</v>
      </c>
      <c r="B950" s="82"/>
      <c r="C950" s="63" t="s">
        <v>486</v>
      </c>
      <c r="D950" s="66">
        <f>(22.77+0.6*2.9+1.2*2.75)*10.764</f>
        <v>299.34683999999999</v>
      </c>
      <c r="E950" s="63">
        <v>0</v>
      </c>
      <c r="F950" s="63">
        <f t="shared" si="54"/>
        <v>449.02026000000001</v>
      </c>
      <c r="G950" s="85"/>
      <c r="H950" s="86"/>
    </row>
    <row r="951" spans="1:8" s="53" customFormat="1" ht="15.65" customHeight="1" x14ac:dyDescent="0.35">
      <c r="A951" s="82" t="s">
        <v>659</v>
      </c>
      <c r="B951" s="82"/>
      <c r="C951" s="63" t="s">
        <v>170</v>
      </c>
      <c r="D951" s="66">
        <f>(36.89+0.6*2.9+1.2*2.5)*10.764</f>
        <v>448.10532000000001</v>
      </c>
      <c r="E951" s="63">
        <v>0</v>
      </c>
      <c r="F951" s="63">
        <f t="shared" si="54"/>
        <v>672.15797999999995</v>
      </c>
      <c r="G951" s="85"/>
      <c r="H951" s="86"/>
    </row>
    <row r="952" spans="1:8" s="53" customFormat="1" ht="15.65" customHeight="1" x14ac:dyDescent="0.35">
      <c r="A952" s="82" t="s">
        <v>660</v>
      </c>
      <c r="B952" s="82"/>
      <c r="C952" s="63" t="s">
        <v>486</v>
      </c>
      <c r="D952" s="66">
        <f>(24.52+0.6*3+1.2*3)*10.764</f>
        <v>322.05887999999999</v>
      </c>
      <c r="E952" s="63">
        <v>0</v>
      </c>
      <c r="F952" s="63">
        <f t="shared" si="54"/>
        <v>483.08831999999995</v>
      </c>
      <c r="G952" s="85"/>
      <c r="H952" s="86"/>
    </row>
    <row r="953" spans="1:8" s="53" customFormat="1" ht="15.65" customHeight="1" x14ac:dyDescent="0.35">
      <c r="A953" s="82" t="s">
        <v>652</v>
      </c>
      <c r="B953" s="82"/>
      <c r="C953" s="63" t="s">
        <v>486</v>
      </c>
      <c r="D953" s="66">
        <f>(24.52+0.6*3+1.2*3)*10.764</f>
        <v>322.05887999999999</v>
      </c>
      <c r="E953" s="63">
        <v>0</v>
      </c>
      <c r="F953" s="63">
        <f t="shared" si="54"/>
        <v>483.08831999999995</v>
      </c>
      <c r="G953" s="85"/>
      <c r="H953" s="86"/>
    </row>
    <row r="954" spans="1:8" s="53" customFormat="1" ht="15.65" customHeight="1" x14ac:dyDescent="0.35">
      <c r="A954" s="82" t="s">
        <v>653</v>
      </c>
      <c r="B954" s="82"/>
      <c r="C954" s="63" t="s">
        <v>170</v>
      </c>
      <c r="D954" s="66">
        <f>(36.89+0.6*2.9+1.2*2.5)*10.764</f>
        <v>448.10532000000001</v>
      </c>
      <c r="E954" s="63">
        <v>0</v>
      </c>
      <c r="F954" s="63">
        <f t="shared" si="54"/>
        <v>672.15797999999995</v>
      </c>
      <c r="G954" s="85"/>
      <c r="H954" s="86"/>
    </row>
    <row r="955" spans="1:8" s="53" customFormat="1" ht="15.65" customHeight="1" x14ac:dyDescent="0.35">
      <c r="A955" s="82" t="s">
        <v>593</v>
      </c>
      <c r="B955" s="82"/>
      <c r="C955" s="63" t="s">
        <v>486</v>
      </c>
      <c r="D955" s="66">
        <f>(27.1+0.6*2.9+1.2*2.75)*10.764</f>
        <v>345.95495999999997</v>
      </c>
      <c r="E955" s="63">
        <v>0</v>
      </c>
      <c r="F955" s="63">
        <f t="shared" si="54"/>
        <v>518.93243999999993</v>
      </c>
      <c r="G955" s="85"/>
      <c r="H955" s="86"/>
    </row>
    <row r="956" spans="1:8" s="53" customFormat="1" ht="15.65" customHeight="1" x14ac:dyDescent="0.35">
      <c r="A956" s="82" t="s">
        <v>661</v>
      </c>
      <c r="B956" s="82"/>
      <c r="C956" s="63" t="s">
        <v>170</v>
      </c>
      <c r="D956" s="66">
        <f>(35.41+0.6*2.9+1.2*2.75)*10.764</f>
        <v>435.40379999999993</v>
      </c>
      <c r="E956" s="63">
        <v>0</v>
      </c>
      <c r="F956" s="63">
        <f t="shared" si="54"/>
        <v>653.10569999999984</v>
      </c>
      <c r="G956" s="85"/>
      <c r="H956" s="86"/>
    </row>
    <row r="957" spans="1:8" s="53" customFormat="1" ht="15.65" customHeight="1" x14ac:dyDescent="0.35">
      <c r="A957" s="82" t="s">
        <v>662</v>
      </c>
      <c r="B957" s="82"/>
      <c r="C957" s="68" t="s">
        <v>1059</v>
      </c>
      <c r="D957" s="66">
        <f>(61.56+0.6*(2.45+2.9)+1.2*3)*10.764</f>
        <v>735.93467999999984</v>
      </c>
      <c r="E957" s="63">
        <v>0</v>
      </c>
      <c r="F957" s="63">
        <f t="shared" si="54"/>
        <v>1103.9020199999998</v>
      </c>
      <c r="G957" s="85"/>
      <c r="H957" s="86"/>
    </row>
    <row r="958" spans="1:8" s="53" customFormat="1" ht="15.65" customHeight="1" x14ac:dyDescent="0.35">
      <c r="A958" s="82" t="s">
        <v>663</v>
      </c>
      <c r="B958" s="82"/>
      <c r="C958" s="68" t="s">
        <v>1059</v>
      </c>
      <c r="D958" s="66">
        <f>(61.55+0.6*(2.45+2.9)+1.2*3)*10.764</f>
        <v>735.82703999999978</v>
      </c>
      <c r="E958" s="63">
        <v>0</v>
      </c>
      <c r="F958" s="63">
        <f t="shared" si="54"/>
        <v>1103.7405599999997</v>
      </c>
      <c r="G958" s="85"/>
      <c r="H958" s="86"/>
    </row>
    <row r="959" spans="1:8" s="53" customFormat="1" ht="15.65" customHeight="1" x14ac:dyDescent="0.35">
      <c r="A959" s="82" t="s">
        <v>664</v>
      </c>
      <c r="B959" s="82"/>
      <c r="C959" s="63" t="s">
        <v>170</v>
      </c>
      <c r="D959" s="66">
        <f>(36.45+0.6*2.55+0.5*2.75+1.2*2.9)*10.764</f>
        <v>461.07594</v>
      </c>
      <c r="E959" s="63">
        <v>0</v>
      </c>
      <c r="F959" s="63">
        <f t="shared" si="54"/>
        <v>691.61391000000003</v>
      </c>
      <c r="G959" s="85"/>
      <c r="H959" s="86"/>
    </row>
    <row r="960" spans="1:8" s="53" customFormat="1" ht="15.65" customHeight="1" x14ac:dyDescent="0.35">
      <c r="A960" s="82" t="s">
        <v>665</v>
      </c>
      <c r="B960" s="82"/>
      <c r="C960" s="63" t="s">
        <v>170</v>
      </c>
      <c r="D960" s="66">
        <f>(36.85+0.6*2.55+0.5*2.9+1.2*2.9)*10.764</f>
        <v>466.18883999999997</v>
      </c>
      <c r="E960" s="63">
        <v>0</v>
      </c>
      <c r="F960" s="63">
        <f t="shared" si="54"/>
        <v>699.28325999999993</v>
      </c>
      <c r="G960" s="85"/>
      <c r="H960" s="86"/>
    </row>
    <row r="961" spans="1:9" s="53" customFormat="1" ht="15.65" customHeight="1" x14ac:dyDescent="0.35">
      <c r="A961" s="82" t="s">
        <v>666</v>
      </c>
      <c r="B961" s="82"/>
      <c r="C961" s="63" t="s">
        <v>170</v>
      </c>
      <c r="D961" s="66">
        <f>(37.4+0.6*2.55+0.5*2.9+1.2*2.9)*10.764</f>
        <v>472.10903999999999</v>
      </c>
      <c r="E961" s="63">
        <v>0</v>
      </c>
      <c r="F961" s="63">
        <f t="shared" si="54"/>
        <v>708.16355999999996</v>
      </c>
      <c r="G961" s="85"/>
      <c r="H961" s="86"/>
    </row>
    <row r="962" spans="1:9" s="53" customFormat="1" ht="15.65" customHeight="1" x14ac:dyDescent="0.35">
      <c r="A962" s="82" t="s">
        <v>667</v>
      </c>
      <c r="B962" s="82"/>
      <c r="C962" s="63" t="s">
        <v>170</v>
      </c>
      <c r="D962" s="66">
        <f>(37.42+0.6*2.55+0.5*2.75+1.2*2.9)*10.764</f>
        <v>471.51701999999995</v>
      </c>
      <c r="E962" s="63">
        <v>0</v>
      </c>
      <c r="F962" s="63">
        <f t="shared" si="54"/>
        <v>707.27552999999989</v>
      </c>
      <c r="G962" s="85"/>
      <c r="H962" s="86"/>
    </row>
    <row r="963" spans="1:9" s="53" customFormat="1" ht="15.65" customHeight="1" x14ac:dyDescent="0.35">
      <c r="A963" s="82" t="s">
        <v>668</v>
      </c>
      <c r="B963" s="82"/>
      <c r="C963" s="63" t="s">
        <v>170</v>
      </c>
      <c r="D963" s="66">
        <f>(38.18+0.6*2.55+0.5*3+1.2*2)*10.764</f>
        <v>469.41803999999996</v>
      </c>
      <c r="E963" s="63">
        <v>0</v>
      </c>
      <c r="F963" s="63">
        <f t="shared" si="54"/>
        <v>704.12705999999991</v>
      </c>
      <c r="G963" s="87"/>
      <c r="H963" s="88"/>
    </row>
    <row r="964" spans="1:9" s="53" customFormat="1" x14ac:dyDescent="0.35">
      <c r="A964" s="78" t="s">
        <v>175</v>
      </c>
      <c r="B964" s="79"/>
      <c r="C964" s="79"/>
      <c r="D964" s="79"/>
      <c r="E964" s="79"/>
      <c r="F964" s="79"/>
      <c r="G964" s="79"/>
      <c r="H964" s="80"/>
    </row>
    <row r="965" spans="1:9" s="53" customFormat="1" x14ac:dyDescent="0.35">
      <c r="A965" s="82" t="s">
        <v>672</v>
      </c>
      <c r="B965" s="82"/>
      <c r="C965" s="63" t="s">
        <v>1058</v>
      </c>
      <c r="D965" s="66">
        <f>(64.17+0.6*(2.75+2.3+3.05)+1.2*2.9)*10.764</f>
        <v>780.49764000000005</v>
      </c>
      <c r="E965" s="63">
        <v>0</v>
      </c>
      <c r="F965" s="63">
        <f t="shared" ref="F965:F978" si="55">D965*1.5+E965</f>
        <v>1170.7464600000001</v>
      </c>
      <c r="G965" s="83" t="str">
        <f>A964</f>
        <v>9th Floor</v>
      </c>
      <c r="H965" s="84"/>
      <c r="I965" s="65"/>
    </row>
    <row r="966" spans="1:9" s="53" customFormat="1" ht="15.65" customHeight="1" x14ac:dyDescent="0.35">
      <c r="A966" s="82" t="s">
        <v>673</v>
      </c>
      <c r="B966" s="82"/>
      <c r="C966" s="68" t="s">
        <v>1058</v>
      </c>
      <c r="D966" s="66">
        <f>(70.37+0.6*(2.9+2.45+2.9)+1.2*3)*10.764</f>
        <v>849.49487999999997</v>
      </c>
      <c r="E966" s="63">
        <v>0</v>
      </c>
      <c r="F966" s="63">
        <f t="shared" si="55"/>
        <v>1274.2423199999998</v>
      </c>
      <c r="G966" s="85"/>
      <c r="H966" s="86"/>
    </row>
    <row r="967" spans="1:9" s="53" customFormat="1" ht="15.65" customHeight="1" x14ac:dyDescent="0.35">
      <c r="A967" s="82" t="s">
        <v>674</v>
      </c>
      <c r="B967" s="82"/>
      <c r="C967" s="63" t="s">
        <v>1059</v>
      </c>
      <c r="D967" s="66">
        <f>(57.24+0.6*(2.45+2.9)+1.2*3)*10.764</f>
        <v>689.43419999999992</v>
      </c>
      <c r="E967" s="63">
        <v>0</v>
      </c>
      <c r="F967" s="63">
        <f t="shared" si="55"/>
        <v>1034.1513</v>
      </c>
      <c r="G967" s="85"/>
      <c r="H967" s="86"/>
      <c r="I967" s="53">
        <f>3*3.45+2.45*3.05+2.45*3.05+2.9*3.05+2.6*2.35+1.65*0.75+1.15*1.2+1.2*1.95+1.55*2.35+1.5*3</f>
        <v>53.349999999999994</v>
      </c>
    </row>
    <row r="968" spans="1:9" s="53" customFormat="1" ht="15.65" customHeight="1" x14ac:dyDescent="0.35">
      <c r="A968" s="82" t="s">
        <v>675</v>
      </c>
      <c r="B968" s="82"/>
      <c r="C968" s="68" t="s">
        <v>1058</v>
      </c>
      <c r="D968" s="66">
        <f>(68.6+0.6*(2.9+2.45+2.9)+1.2*3)*10.764</f>
        <v>830.44259999999986</v>
      </c>
      <c r="E968" s="63">
        <v>0</v>
      </c>
      <c r="F968" s="63">
        <f t="shared" si="55"/>
        <v>1245.6638999999998</v>
      </c>
      <c r="G968" s="85"/>
      <c r="H968" s="86"/>
    </row>
    <row r="969" spans="1:9" s="53" customFormat="1" ht="15.65" customHeight="1" x14ac:dyDescent="0.35">
      <c r="A969" s="82" t="s">
        <v>676</v>
      </c>
      <c r="B969" s="82"/>
      <c r="C969" s="68" t="s">
        <v>1058</v>
      </c>
      <c r="D969" s="66">
        <f>(71+0.6*(2.9+2.45+3)+1.2*3)*10.764</f>
        <v>856.92203999999992</v>
      </c>
      <c r="E969" s="63">
        <v>0</v>
      </c>
      <c r="F969" s="63">
        <f t="shared" si="55"/>
        <v>1285.3830599999999</v>
      </c>
      <c r="G969" s="85"/>
      <c r="H969" s="86"/>
    </row>
    <row r="970" spans="1:9" s="53" customFormat="1" ht="15.65" customHeight="1" x14ac:dyDescent="0.35">
      <c r="A970" s="82" t="s">
        <v>677</v>
      </c>
      <c r="B970" s="82"/>
      <c r="C970" s="68" t="s">
        <v>1058</v>
      </c>
      <c r="D970" s="66">
        <f>(70.74+0.6*(2.9+2.45+3)+1.2*3)*10.764</f>
        <v>854.12339999999983</v>
      </c>
      <c r="E970" s="63">
        <v>0</v>
      </c>
      <c r="F970" s="63">
        <f t="shared" si="55"/>
        <v>1281.1850999999997</v>
      </c>
      <c r="G970" s="85"/>
      <c r="H970" s="86"/>
    </row>
    <row r="971" spans="1:9" s="53" customFormat="1" ht="15.65" customHeight="1" x14ac:dyDescent="0.35">
      <c r="A971" s="82" t="s">
        <v>678</v>
      </c>
      <c r="B971" s="82"/>
      <c r="C971" s="68" t="s">
        <v>1058</v>
      </c>
      <c r="D971" s="66">
        <f>(72.17+0.6*(2.9+2.45+2.9)+1.2*3)*10.764</f>
        <v>868.87007999999992</v>
      </c>
      <c r="E971" s="63">
        <v>0</v>
      </c>
      <c r="F971" s="63">
        <f t="shared" si="55"/>
        <v>1303.30512</v>
      </c>
      <c r="G971" s="85"/>
      <c r="H971" s="86"/>
    </row>
    <row r="972" spans="1:9" s="53" customFormat="1" ht="15.65" customHeight="1" x14ac:dyDescent="0.35">
      <c r="A972" s="82" t="s">
        <v>679</v>
      </c>
      <c r="B972" s="82"/>
      <c r="C972" s="68" t="s">
        <v>1059</v>
      </c>
      <c r="D972" s="66">
        <f>(56.87+0.6*(2.45+2.9)+1.2*3)*10.764</f>
        <v>685.45151999999996</v>
      </c>
      <c r="E972" s="63">
        <v>0</v>
      </c>
      <c r="F972" s="63">
        <f t="shared" si="55"/>
        <v>1028.1772799999999</v>
      </c>
      <c r="G972" s="85"/>
      <c r="H972" s="86"/>
    </row>
    <row r="973" spans="1:9" s="53" customFormat="1" ht="15.65" customHeight="1" x14ac:dyDescent="0.35">
      <c r="A973" s="82" t="s">
        <v>680</v>
      </c>
      <c r="B973" s="82"/>
      <c r="C973" s="68" t="s">
        <v>1059</v>
      </c>
      <c r="D973" s="66">
        <f>(56.87+0.6*(2.45+2.9)+1.2*3)*10.764</f>
        <v>685.45151999999996</v>
      </c>
      <c r="E973" s="63">
        <v>0</v>
      </c>
      <c r="F973" s="63">
        <f t="shared" si="55"/>
        <v>1028.1772799999999</v>
      </c>
      <c r="G973" s="85"/>
      <c r="H973" s="86"/>
    </row>
    <row r="974" spans="1:9" s="53" customFormat="1" ht="15.65" customHeight="1" x14ac:dyDescent="0.35">
      <c r="A974" s="82" t="s">
        <v>681</v>
      </c>
      <c r="B974" s="82"/>
      <c r="C974" s="63" t="s">
        <v>170</v>
      </c>
      <c r="D974" s="66">
        <f>(36.45+0.6*2.55+0.5*2.75+1.2*2.9)*10.764</f>
        <v>461.07594</v>
      </c>
      <c r="E974" s="63">
        <v>0</v>
      </c>
      <c r="F974" s="63">
        <f t="shared" si="55"/>
        <v>691.61391000000003</v>
      </c>
      <c r="G974" s="85"/>
      <c r="H974" s="86"/>
    </row>
    <row r="975" spans="1:9" s="53" customFormat="1" ht="15.65" customHeight="1" x14ac:dyDescent="0.35">
      <c r="A975" s="82" t="s">
        <v>682</v>
      </c>
      <c r="B975" s="82"/>
      <c r="C975" s="63" t="s">
        <v>170</v>
      </c>
      <c r="D975" s="66">
        <f>(36.85+0.6*2.55+0.5*2.9+1.2*2.9)*10.764</f>
        <v>466.18883999999997</v>
      </c>
      <c r="E975" s="63">
        <v>0</v>
      </c>
      <c r="F975" s="63">
        <f t="shared" si="55"/>
        <v>699.28325999999993</v>
      </c>
      <c r="G975" s="85"/>
      <c r="H975" s="86"/>
    </row>
    <row r="976" spans="1:9" s="53" customFormat="1" ht="15.65" customHeight="1" x14ac:dyDescent="0.35">
      <c r="A976" s="82" t="s">
        <v>683</v>
      </c>
      <c r="B976" s="82"/>
      <c r="C976" s="63" t="s">
        <v>170</v>
      </c>
      <c r="D976" s="66">
        <f>(37.4+0.6*2.55+0.5*2.9+1.2*2.9)*10.764</f>
        <v>472.10903999999999</v>
      </c>
      <c r="E976" s="63">
        <v>0</v>
      </c>
      <c r="F976" s="63">
        <f t="shared" si="55"/>
        <v>708.16355999999996</v>
      </c>
      <c r="G976" s="85"/>
      <c r="H976" s="86"/>
    </row>
    <row r="977" spans="1:8" s="53" customFormat="1" ht="15.65" customHeight="1" x14ac:dyDescent="0.35">
      <c r="A977" s="82" t="s">
        <v>684</v>
      </c>
      <c r="B977" s="82"/>
      <c r="C977" s="63" t="s">
        <v>170</v>
      </c>
      <c r="D977" s="66">
        <f>(37.42+0.6*2.55+0.5*2.75+1.2*2.9)*10.764</f>
        <v>471.51701999999995</v>
      </c>
      <c r="E977" s="63">
        <v>0</v>
      </c>
      <c r="F977" s="63">
        <f t="shared" si="55"/>
        <v>707.27552999999989</v>
      </c>
      <c r="G977" s="85"/>
      <c r="H977" s="86"/>
    </row>
    <row r="978" spans="1:8" s="53" customFormat="1" ht="15.65" customHeight="1" x14ac:dyDescent="0.35">
      <c r="A978" s="82" t="s">
        <v>685</v>
      </c>
      <c r="B978" s="82"/>
      <c r="C978" s="63" t="s">
        <v>170</v>
      </c>
      <c r="D978" s="66">
        <f>(38.18+0.6*2.55+0.5*3+1.2*2)*10.764</f>
        <v>469.41803999999996</v>
      </c>
      <c r="E978" s="63">
        <v>0</v>
      </c>
      <c r="F978" s="63">
        <f t="shared" si="55"/>
        <v>704.12705999999991</v>
      </c>
      <c r="G978" s="85"/>
      <c r="H978" s="86"/>
    </row>
    <row r="979" spans="1:8" s="53" customFormat="1" x14ac:dyDescent="0.35">
      <c r="A979" s="89" t="s">
        <v>176</v>
      </c>
      <c r="B979" s="90"/>
      <c r="C979" s="90"/>
      <c r="D979" s="90"/>
      <c r="E979" s="90"/>
      <c r="F979" s="90"/>
      <c r="G979" s="90"/>
      <c r="H979" s="91"/>
    </row>
    <row r="980" spans="1:8" s="53" customFormat="1" x14ac:dyDescent="0.35">
      <c r="A980" s="82" t="s">
        <v>696</v>
      </c>
      <c r="B980" s="82"/>
      <c r="C980" s="63" t="s">
        <v>486</v>
      </c>
      <c r="D980" s="66">
        <f>(25.47+0.6*(2.9+2.35))*10.764</f>
        <v>308.06567999999993</v>
      </c>
      <c r="E980" s="63">
        <v>0</v>
      </c>
      <c r="F980" s="63">
        <f t="shared" ref="F980:F998" si="56">D980*1.5+E980</f>
        <v>462.09851999999989</v>
      </c>
      <c r="G980" s="83" t="str">
        <f>A979</f>
        <v>10th Floor</v>
      </c>
      <c r="H980" s="84"/>
    </row>
    <row r="981" spans="1:8" s="53" customFormat="1" ht="15.65" customHeight="1" x14ac:dyDescent="0.35">
      <c r="A981" s="82" t="s">
        <v>697</v>
      </c>
      <c r="B981" s="82"/>
      <c r="C981" s="63" t="s">
        <v>170</v>
      </c>
      <c r="D981" s="66">
        <f>(28.68+0.6*3.05+1.2*2.9)*10.764</f>
        <v>365.86835999999994</v>
      </c>
      <c r="E981" s="63">
        <v>0</v>
      </c>
      <c r="F981" s="63">
        <f t="shared" si="56"/>
        <v>548.80253999999991</v>
      </c>
      <c r="G981" s="85"/>
      <c r="H981" s="86"/>
    </row>
    <row r="982" spans="1:8" s="53" customFormat="1" ht="15.65" customHeight="1" x14ac:dyDescent="0.35">
      <c r="A982" s="82" t="s">
        <v>698</v>
      </c>
      <c r="B982" s="82"/>
      <c r="C982" s="63" t="s">
        <v>486</v>
      </c>
      <c r="D982" s="66">
        <f>(23.23+0.6*2.9+1.2*3.1)*10.764</f>
        <v>308.81915999999995</v>
      </c>
      <c r="E982" s="63">
        <v>0</v>
      </c>
      <c r="F982" s="63">
        <f t="shared" si="56"/>
        <v>463.2287399999999</v>
      </c>
      <c r="G982" s="85"/>
      <c r="H982" s="86"/>
    </row>
    <row r="983" spans="1:8" s="53" customFormat="1" ht="15.65" customHeight="1" x14ac:dyDescent="0.35">
      <c r="A983" s="82" t="s">
        <v>699</v>
      </c>
      <c r="B983" s="82"/>
      <c r="C983" s="63" t="s">
        <v>170</v>
      </c>
      <c r="D983" s="66">
        <f>(37.6+0.6*2.9+1.2*2.5)*10.764</f>
        <v>455.74776000000003</v>
      </c>
      <c r="E983" s="63">
        <v>0</v>
      </c>
      <c r="F983" s="63">
        <f t="shared" si="56"/>
        <v>683.62164000000007</v>
      </c>
      <c r="G983" s="85"/>
      <c r="H983" s="86"/>
    </row>
    <row r="984" spans="1:8" s="53" customFormat="1" ht="15.65" customHeight="1" x14ac:dyDescent="0.35">
      <c r="A984" s="82" t="s">
        <v>700</v>
      </c>
      <c r="B984" s="82"/>
      <c r="C984" s="63" t="s">
        <v>1059</v>
      </c>
      <c r="D984" s="66">
        <f>(61.19+0.6*(2.45+2.9)+1.2*3)*10.764</f>
        <v>731.95199999999977</v>
      </c>
      <c r="E984" s="63">
        <v>0</v>
      </c>
      <c r="F984" s="63">
        <f t="shared" si="56"/>
        <v>1097.9279999999997</v>
      </c>
      <c r="G984" s="85"/>
      <c r="H984" s="86"/>
    </row>
    <row r="985" spans="1:8" s="53" customFormat="1" ht="15.65" customHeight="1" x14ac:dyDescent="0.35">
      <c r="A985" s="82" t="s">
        <v>701</v>
      </c>
      <c r="B985" s="82"/>
      <c r="C985" s="63" t="s">
        <v>170</v>
      </c>
      <c r="D985" s="66">
        <f>(35.41+0.6*2.9+1.2*2.75)*10.764</f>
        <v>435.40379999999993</v>
      </c>
      <c r="E985" s="63">
        <v>0</v>
      </c>
      <c r="F985" s="63">
        <f t="shared" si="56"/>
        <v>653.10569999999984</v>
      </c>
      <c r="G985" s="85"/>
      <c r="H985" s="86"/>
    </row>
    <row r="986" spans="1:8" s="53" customFormat="1" ht="15.65" customHeight="1" x14ac:dyDescent="0.35">
      <c r="A986" s="82" t="s">
        <v>702</v>
      </c>
      <c r="B986" s="82"/>
      <c r="C986" s="63" t="s">
        <v>486</v>
      </c>
      <c r="D986" s="66">
        <f>(22.77+0.6*2.9+1.2*2.75)*10.764</f>
        <v>299.34683999999999</v>
      </c>
      <c r="E986" s="63">
        <v>0</v>
      </c>
      <c r="F986" s="63">
        <f t="shared" si="56"/>
        <v>449.02026000000001</v>
      </c>
      <c r="G986" s="85"/>
      <c r="H986" s="86"/>
    </row>
    <row r="987" spans="1:8" s="53" customFormat="1" ht="15.65" customHeight="1" x14ac:dyDescent="0.35">
      <c r="A987" s="82" t="s">
        <v>703</v>
      </c>
      <c r="B987" s="82"/>
      <c r="C987" s="63" t="s">
        <v>170</v>
      </c>
      <c r="D987" s="66">
        <f>(36.89+0.6*2.9+1.2*2.5)*10.764</f>
        <v>448.10532000000001</v>
      </c>
      <c r="E987" s="63">
        <v>0</v>
      </c>
      <c r="F987" s="63">
        <f t="shared" si="56"/>
        <v>672.15797999999995</v>
      </c>
      <c r="G987" s="85"/>
      <c r="H987" s="86"/>
    </row>
    <row r="988" spans="1:8" s="53" customFormat="1" ht="15.65" customHeight="1" x14ac:dyDescent="0.35">
      <c r="A988" s="82" t="s">
        <v>704</v>
      </c>
      <c r="B988" s="82"/>
      <c r="C988" s="63" t="s">
        <v>486</v>
      </c>
      <c r="D988" s="66">
        <f>(24.52+0.6*3+1.2*3)*10.764</f>
        <v>322.05887999999999</v>
      </c>
      <c r="E988" s="63">
        <v>0</v>
      </c>
      <c r="F988" s="63">
        <f t="shared" si="56"/>
        <v>483.08831999999995</v>
      </c>
      <c r="G988" s="85"/>
      <c r="H988" s="86"/>
    </row>
    <row r="989" spans="1:8" s="53" customFormat="1" ht="15.65" customHeight="1" x14ac:dyDescent="0.35">
      <c r="A989" s="82" t="s">
        <v>705</v>
      </c>
      <c r="B989" s="82"/>
      <c r="C989" s="68" t="s">
        <v>1059</v>
      </c>
      <c r="D989" s="66">
        <f>(61.97+0.6*(2.45+2.9)+1.2*3)*10.764</f>
        <v>740.34791999999982</v>
      </c>
      <c r="E989" s="63">
        <v>0</v>
      </c>
      <c r="F989" s="63">
        <f t="shared" si="56"/>
        <v>1110.5218799999998</v>
      </c>
      <c r="G989" s="85"/>
      <c r="H989" s="86"/>
    </row>
    <row r="990" spans="1:8" s="53" customFormat="1" ht="15.65" customHeight="1" x14ac:dyDescent="0.35">
      <c r="A990" s="82" t="s">
        <v>706</v>
      </c>
      <c r="B990" s="82"/>
      <c r="C990" s="63" t="s">
        <v>486</v>
      </c>
      <c r="D990" s="66">
        <f>(27.1+0.6*2.9+1.2*2.75)*10.764</f>
        <v>345.95495999999997</v>
      </c>
      <c r="E990" s="63">
        <v>0</v>
      </c>
      <c r="F990" s="63">
        <f t="shared" si="56"/>
        <v>518.93243999999993</v>
      </c>
      <c r="G990" s="85"/>
      <c r="H990" s="86"/>
    </row>
    <row r="991" spans="1:8" s="53" customFormat="1" ht="15.65" customHeight="1" x14ac:dyDescent="0.35">
      <c r="A991" s="82" t="s">
        <v>707</v>
      </c>
      <c r="B991" s="82"/>
      <c r="C991" s="63" t="s">
        <v>170</v>
      </c>
      <c r="D991" s="66">
        <f>(35.41+0.6*2.9+1.2*2.75)*10.764</f>
        <v>435.40379999999993</v>
      </c>
      <c r="E991" s="63">
        <v>0</v>
      </c>
      <c r="F991" s="63">
        <f t="shared" si="56"/>
        <v>653.10569999999984</v>
      </c>
      <c r="G991" s="85"/>
      <c r="H991" s="86"/>
    </row>
    <row r="992" spans="1:8" s="53" customFormat="1" ht="15.65" customHeight="1" x14ac:dyDescent="0.35">
      <c r="A992" s="82" t="s">
        <v>708</v>
      </c>
      <c r="B992" s="82"/>
      <c r="C992" s="68" t="s">
        <v>1059</v>
      </c>
      <c r="D992" s="66">
        <f>(61.56+0.6*(2.45+2.9)+1.2*3)*10.764</f>
        <v>735.93467999999984</v>
      </c>
      <c r="E992" s="63">
        <v>0</v>
      </c>
      <c r="F992" s="63">
        <f t="shared" si="56"/>
        <v>1103.9020199999998</v>
      </c>
      <c r="G992" s="85"/>
      <c r="H992" s="86"/>
    </row>
    <row r="993" spans="1:8" s="53" customFormat="1" ht="15.65" customHeight="1" x14ac:dyDescent="0.35">
      <c r="A993" s="82" t="s">
        <v>709</v>
      </c>
      <c r="B993" s="82"/>
      <c r="C993" s="68" t="s">
        <v>1059</v>
      </c>
      <c r="D993" s="66">
        <f>(61.55+0.6*(2.45+2.9)+1.2*3)*10.764</f>
        <v>735.82703999999978</v>
      </c>
      <c r="E993" s="63">
        <v>0</v>
      </c>
      <c r="F993" s="63">
        <f t="shared" si="56"/>
        <v>1103.7405599999997</v>
      </c>
      <c r="G993" s="85"/>
      <c r="H993" s="86"/>
    </row>
    <row r="994" spans="1:8" s="53" customFormat="1" ht="15.65" customHeight="1" x14ac:dyDescent="0.35">
      <c r="A994" s="82" t="s">
        <v>710</v>
      </c>
      <c r="B994" s="82"/>
      <c r="C994" s="63" t="s">
        <v>170</v>
      </c>
      <c r="D994" s="66">
        <f>(36.45+0.6*2.55+0.5*2.75+1.2*2.9)*10.764</f>
        <v>461.07594</v>
      </c>
      <c r="E994" s="63">
        <v>0</v>
      </c>
      <c r="F994" s="63">
        <f t="shared" si="56"/>
        <v>691.61391000000003</v>
      </c>
      <c r="G994" s="85"/>
      <c r="H994" s="86"/>
    </row>
    <row r="995" spans="1:8" s="53" customFormat="1" ht="15.65" customHeight="1" x14ac:dyDescent="0.35">
      <c r="A995" s="82" t="s">
        <v>711</v>
      </c>
      <c r="B995" s="82"/>
      <c r="C995" s="63" t="s">
        <v>170</v>
      </c>
      <c r="D995" s="66">
        <f>(36.85+0.6*2.55+0.5*2.9+1.2*2.9)*10.764</f>
        <v>466.18883999999997</v>
      </c>
      <c r="E995" s="63">
        <v>0</v>
      </c>
      <c r="F995" s="63">
        <f t="shared" si="56"/>
        <v>699.28325999999993</v>
      </c>
      <c r="G995" s="85"/>
      <c r="H995" s="86"/>
    </row>
    <row r="996" spans="1:8" s="53" customFormat="1" ht="15.65" customHeight="1" x14ac:dyDescent="0.35">
      <c r="A996" s="82" t="s">
        <v>712</v>
      </c>
      <c r="B996" s="82"/>
      <c r="C996" s="63" t="s">
        <v>170</v>
      </c>
      <c r="D996" s="66">
        <f>(37.4+0.6*2.55+0.5*2.9+1.2*2.9)*10.764</f>
        <v>472.10903999999999</v>
      </c>
      <c r="E996" s="63">
        <v>0</v>
      </c>
      <c r="F996" s="63">
        <f t="shared" si="56"/>
        <v>708.16355999999996</v>
      </c>
      <c r="G996" s="85"/>
      <c r="H996" s="86"/>
    </row>
    <row r="997" spans="1:8" s="53" customFormat="1" ht="15.65" customHeight="1" x14ac:dyDescent="0.35">
      <c r="A997" s="82" t="s">
        <v>713</v>
      </c>
      <c r="B997" s="82"/>
      <c r="C997" s="63" t="s">
        <v>170</v>
      </c>
      <c r="D997" s="66">
        <f>(37.42+0.6*2.55+0.5*2.75+1.2*2.9)*10.764</f>
        <v>471.51701999999995</v>
      </c>
      <c r="E997" s="63">
        <v>0</v>
      </c>
      <c r="F997" s="63">
        <f t="shared" si="56"/>
        <v>707.27552999999989</v>
      </c>
      <c r="G997" s="85"/>
      <c r="H997" s="86"/>
    </row>
    <row r="998" spans="1:8" s="53" customFormat="1" ht="15.65" customHeight="1" x14ac:dyDescent="0.35">
      <c r="A998" s="82" t="s">
        <v>714</v>
      </c>
      <c r="B998" s="82"/>
      <c r="C998" s="63" t="s">
        <v>170</v>
      </c>
      <c r="D998" s="66">
        <f>(38.18+0.6*2.55+0.5*3+1.2*2)*10.764</f>
        <v>469.41803999999996</v>
      </c>
      <c r="E998" s="63">
        <v>0</v>
      </c>
      <c r="F998" s="63">
        <f t="shared" si="56"/>
        <v>704.12705999999991</v>
      </c>
      <c r="G998" s="87"/>
      <c r="H998" s="88"/>
    </row>
    <row r="999" spans="1:8" s="53" customFormat="1" x14ac:dyDescent="0.35">
      <c r="A999" s="89" t="s">
        <v>729</v>
      </c>
      <c r="B999" s="90"/>
      <c r="C999" s="90"/>
      <c r="D999" s="90"/>
      <c r="E999" s="90"/>
      <c r="F999" s="90"/>
      <c r="G999" s="90"/>
      <c r="H999" s="91"/>
    </row>
    <row r="1000" spans="1:8" s="53" customFormat="1" x14ac:dyDescent="0.35">
      <c r="A1000" s="82" t="s">
        <v>913</v>
      </c>
      <c r="B1000" s="82"/>
      <c r="C1000" s="63" t="s">
        <v>486</v>
      </c>
      <c r="D1000" s="66">
        <f>(25.47+0.6*(2.9+2.35))*10.764</f>
        <v>308.06567999999993</v>
      </c>
      <c r="E1000" s="63">
        <v>0</v>
      </c>
      <c r="F1000" s="63">
        <f t="shared" ref="F1000:F1014" si="57">D1000*1.5+E1000</f>
        <v>462.09851999999989</v>
      </c>
      <c r="G1000" s="83" t="str">
        <f>A999</f>
        <v>11th Floor (Part Terrace Area)</v>
      </c>
      <c r="H1000" s="84"/>
    </row>
    <row r="1001" spans="1:8" s="53" customFormat="1" ht="15.65" customHeight="1" x14ac:dyDescent="0.35">
      <c r="A1001" s="82" t="s">
        <v>914</v>
      </c>
      <c r="B1001" s="82"/>
      <c r="C1001" s="63" t="s">
        <v>170</v>
      </c>
      <c r="D1001" s="66">
        <f>(28.68+0.6*3.05+1.2*2.9)*10.764</f>
        <v>365.86835999999994</v>
      </c>
      <c r="E1001" s="63">
        <v>0</v>
      </c>
      <c r="F1001" s="63">
        <f t="shared" si="57"/>
        <v>548.80253999999991</v>
      </c>
      <c r="G1001" s="85"/>
      <c r="H1001" s="86"/>
    </row>
    <row r="1002" spans="1:8" s="53" customFormat="1" ht="15.65" customHeight="1" x14ac:dyDescent="0.35">
      <c r="A1002" s="82" t="s">
        <v>915</v>
      </c>
      <c r="B1002" s="82"/>
      <c r="C1002" s="63" t="s">
        <v>486</v>
      </c>
      <c r="D1002" s="66">
        <f>(23.23+0.6*2.9+1.2*3.1)*10.764</f>
        <v>308.81915999999995</v>
      </c>
      <c r="E1002" s="63">
        <v>0</v>
      </c>
      <c r="F1002" s="63">
        <f t="shared" si="57"/>
        <v>463.2287399999999</v>
      </c>
      <c r="G1002" s="85"/>
      <c r="H1002" s="86"/>
    </row>
    <row r="1003" spans="1:8" s="53" customFormat="1" ht="15.65" customHeight="1" x14ac:dyDescent="0.35">
      <c r="A1003" s="82" t="s">
        <v>916</v>
      </c>
      <c r="B1003" s="82"/>
      <c r="C1003" s="63" t="s">
        <v>170</v>
      </c>
      <c r="D1003" s="66">
        <f>(37.6+0.6*2.9+1.2*2.5)*10.764</f>
        <v>455.74776000000003</v>
      </c>
      <c r="E1003" s="63">
        <v>0</v>
      </c>
      <c r="F1003" s="63">
        <f t="shared" si="57"/>
        <v>683.62164000000007</v>
      </c>
      <c r="G1003" s="85"/>
      <c r="H1003" s="86"/>
    </row>
    <row r="1004" spans="1:8" s="53" customFormat="1" ht="15.65" customHeight="1" x14ac:dyDescent="0.35">
      <c r="A1004" s="82" t="s">
        <v>917</v>
      </c>
      <c r="B1004" s="82"/>
      <c r="C1004" s="68" t="s">
        <v>1059</v>
      </c>
      <c r="D1004" s="66">
        <f>(61.19+0.6*(2.45+2.9)+1.2*3)*10.764</f>
        <v>731.95199999999977</v>
      </c>
      <c r="E1004" s="63">
        <v>0</v>
      </c>
      <c r="F1004" s="63">
        <f t="shared" si="57"/>
        <v>1097.9279999999997</v>
      </c>
      <c r="G1004" s="85"/>
      <c r="H1004" s="86"/>
    </row>
    <row r="1005" spans="1:8" s="53" customFormat="1" ht="15.65" customHeight="1" x14ac:dyDescent="0.35">
      <c r="A1005" s="82" t="s">
        <v>918</v>
      </c>
      <c r="B1005" s="82"/>
      <c r="C1005" s="63" t="s">
        <v>170</v>
      </c>
      <c r="D1005" s="66">
        <f>(35.41+0.6*2.9+1.2*2.75)*10.764</f>
        <v>435.40379999999993</v>
      </c>
      <c r="E1005" s="63">
        <v>0</v>
      </c>
      <c r="F1005" s="63">
        <f t="shared" si="57"/>
        <v>653.10569999999984</v>
      </c>
      <c r="G1005" s="85"/>
      <c r="H1005" s="86"/>
    </row>
    <row r="1006" spans="1:8" s="53" customFormat="1" ht="15.65" customHeight="1" x14ac:dyDescent="0.35">
      <c r="A1006" s="82" t="s">
        <v>919</v>
      </c>
      <c r="B1006" s="82"/>
      <c r="C1006" s="63" t="s">
        <v>486</v>
      </c>
      <c r="D1006" s="66">
        <f>(22.77+0.6*2.9+1.2*2.75)*10.764</f>
        <v>299.34683999999999</v>
      </c>
      <c r="E1006" s="63">
        <v>0</v>
      </c>
      <c r="F1006" s="63">
        <f t="shared" si="57"/>
        <v>449.02026000000001</v>
      </c>
      <c r="G1006" s="85"/>
      <c r="H1006" s="86"/>
    </row>
    <row r="1007" spans="1:8" s="53" customFormat="1" ht="15.65" customHeight="1" x14ac:dyDescent="0.35">
      <c r="A1007" s="82" t="s">
        <v>920</v>
      </c>
      <c r="B1007" s="82"/>
      <c r="C1007" s="63" t="s">
        <v>170</v>
      </c>
      <c r="D1007" s="66">
        <f>(36.89+0.6*2.9+1.2*2.5)*10.764</f>
        <v>448.10532000000001</v>
      </c>
      <c r="E1007" s="63">
        <v>0</v>
      </c>
      <c r="F1007" s="63">
        <f t="shared" si="57"/>
        <v>672.15797999999995</v>
      </c>
      <c r="G1007" s="85"/>
      <c r="H1007" s="86"/>
    </row>
    <row r="1008" spans="1:8" s="53" customFormat="1" ht="15.65" customHeight="1" x14ac:dyDescent="0.35">
      <c r="A1008" s="82" t="s">
        <v>921</v>
      </c>
      <c r="B1008" s="82"/>
      <c r="C1008" s="63" t="s">
        <v>486</v>
      </c>
      <c r="D1008" s="66">
        <f>(24.52+0.6*3+1.2*3)*10.764</f>
        <v>322.05887999999999</v>
      </c>
      <c r="E1008" s="63">
        <v>0</v>
      </c>
      <c r="F1008" s="63">
        <f t="shared" si="57"/>
        <v>483.08831999999995</v>
      </c>
      <c r="G1008" s="85"/>
      <c r="H1008" s="86"/>
    </row>
    <row r="1009" spans="1:8" s="53" customFormat="1" ht="15.65" customHeight="1" x14ac:dyDescent="0.35">
      <c r="A1009" s="82" t="s">
        <v>922</v>
      </c>
      <c r="B1009" s="82"/>
      <c r="C1009" s="68" t="s">
        <v>1059</v>
      </c>
      <c r="D1009" s="66">
        <f>(61.97+0.6*(2.45+2.9)+1.2*3)*10.764</f>
        <v>740.34791999999982</v>
      </c>
      <c r="E1009" s="63">
        <v>0</v>
      </c>
      <c r="F1009" s="63">
        <f t="shared" si="57"/>
        <v>1110.5218799999998</v>
      </c>
      <c r="G1009" s="85"/>
      <c r="H1009" s="86"/>
    </row>
    <row r="1010" spans="1:8" s="53" customFormat="1" ht="15.65" customHeight="1" x14ac:dyDescent="0.35">
      <c r="A1010" s="82" t="s">
        <v>923</v>
      </c>
      <c r="B1010" s="82"/>
      <c r="C1010" s="63" t="s">
        <v>486</v>
      </c>
      <c r="D1010" s="66">
        <f>(27.1+0.6*2.9+1.2*2.75)*10.764</f>
        <v>345.95495999999997</v>
      </c>
      <c r="E1010" s="63">
        <v>0</v>
      </c>
      <c r="F1010" s="63">
        <f t="shared" si="57"/>
        <v>518.93243999999993</v>
      </c>
      <c r="G1010" s="85"/>
      <c r="H1010" s="86"/>
    </row>
    <row r="1011" spans="1:8" s="53" customFormat="1" ht="15.65" customHeight="1" x14ac:dyDescent="0.35">
      <c r="A1011" s="82" t="s">
        <v>924</v>
      </c>
      <c r="B1011" s="82"/>
      <c r="C1011" s="63" t="s">
        <v>170</v>
      </c>
      <c r="D1011" s="66">
        <f>(35.41+0.6*2.9+1.2*2.75)*10.764</f>
        <v>435.40379999999993</v>
      </c>
      <c r="E1011" s="63">
        <v>0</v>
      </c>
      <c r="F1011" s="63">
        <f t="shared" si="57"/>
        <v>653.10569999999984</v>
      </c>
      <c r="G1011" s="85"/>
      <c r="H1011" s="86"/>
    </row>
    <row r="1012" spans="1:8" s="53" customFormat="1" ht="15.65" customHeight="1" x14ac:dyDescent="0.35">
      <c r="A1012" s="82" t="s">
        <v>925</v>
      </c>
      <c r="B1012" s="82"/>
      <c r="C1012" s="68" t="s">
        <v>1059</v>
      </c>
      <c r="D1012" s="66">
        <f>(61.56+0.6*(2.45+2.9)+1.2*3)*10.764</f>
        <v>735.93467999999984</v>
      </c>
      <c r="E1012" s="63">
        <v>0</v>
      </c>
      <c r="F1012" s="63">
        <f t="shared" si="57"/>
        <v>1103.9020199999998</v>
      </c>
      <c r="G1012" s="85"/>
      <c r="H1012" s="86"/>
    </row>
    <row r="1013" spans="1:8" s="53" customFormat="1" ht="15.65" customHeight="1" x14ac:dyDescent="0.35">
      <c r="A1013" s="82" t="s">
        <v>926</v>
      </c>
      <c r="B1013" s="82"/>
      <c r="C1013" s="68" t="s">
        <v>1059</v>
      </c>
      <c r="D1013" s="66">
        <f>(61.55+0.6*(2.45+2.9)+1.2*3)*10.764</f>
        <v>735.82703999999978</v>
      </c>
      <c r="E1013" s="63">
        <v>0</v>
      </c>
      <c r="F1013" s="63">
        <f t="shared" si="57"/>
        <v>1103.7405599999997</v>
      </c>
      <c r="G1013" s="85"/>
      <c r="H1013" s="86"/>
    </row>
    <row r="1014" spans="1:8" s="53" customFormat="1" ht="15.65" customHeight="1" x14ac:dyDescent="0.35">
      <c r="A1014" s="82" t="s">
        <v>927</v>
      </c>
      <c r="B1014" s="82"/>
      <c r="C1014" s="63" t="s">
        <v>170</v>
      </c>
      <c r="D1014" s="66">
        <f>(36.45+0.6*2.55+0.5*2.75+1.2*2.9)*10.764</f>
        <v>461.07594</v>
      </c>
      <c r="E1014" s="63">
        <v>0</v>
      </c>
      <c r="F1014" s="63">
        <f t="shared" si="57"/>
        <v>691.61391000000003</v>
      </c>
      <c r="G1014" s="85"/>
      <c r="H1014" s="86"/>
    </row>
    <row r="1015" spans="1:8" s="53" customFormat="1" ht="15.65" customHeight="1" x14ac:dyDescent="0.35">
      <c r="A1015" s="82" t="s">
        <v>928</v>
      </c>
      <c r="B1015" s="82"/>
      <c r="C1015" s="83" t="s">
        <v>643</v>
      </c>
      <c r="D1015" s="92"/>
      <c r="E1015" s="92"/>
      <c r="F1015" s="84"/>
      <c r="G1015" s="85"/>
      <c r="H1015" s="86"/>
    </row>
    <row r="1016" spans="1:8" s="53" customFormat="1" ht="15.65" customHeight="1" x14ac:dyDescent="0.35">
      <c r="A1016" s="82" t="s">
        <v>929</v>
      </c>
      <c r="B1016" s="82"/>
      <c r="C1016" s="87"/>
      <c r="D1016" s="93"/>
      <c r="E1016" s="93"/>
      <c r="F1016" s="88"/>
      <c r="G1016" s="85"/>
      <c r="H1016" s="86"/>
    </row>
    <row r="1017" spans="1:8" s="53" customFormat="1" ht="15.65" customHeight="1" x14ac:dyDescent="0.35">
      <c r="A1017" s="82" t="s">
        <v>930</v>
      </c>
      <c r="B1017" s="82"/>
      <c r="C1017" s="63" t="s">
        <v>170</v>
      </c>
      <c r="D1017" s="66">
        <f>(37.42+0.6*2.55+0.5*2.75+1.2*2.9)*10.764</f>
        <v>471.51701999999995</v>
      </c>
      <c r="E1017" s="63">
        <v>0</v>
      </c>
      <c r="F1017" s="63">
        <f t="shared" ref="F1017:F1018" si="58">D1017*1.5+E1017</f>
        <v>707.27552999999989</v>
      </c>
      <c r="G1017" s="85"/>
      <c r="H1017" s="86"/>
    </row>
    <row r="1018" spans="1:8" s="53" customFormat="1" ht="15.65" customHeight="1" x14ac:dyDescent="0.35">
      <c r="A1018" s="82" t="s">
        <v>931</v>
      </c>
      <c r="B1018" s="82"/>
      <c r="C1018" s="63" t="s">
        <v>170</v>
      </c>
      <c r="D1018" s="66">
        <f>(38.18+0.6*2.55+0.5*3+1.2*2)*10.764</f>
        <v>469.41803999999996</v>
      </c>
      <c r="E1018" s="63">
        <v>0</v>
      </c>
      <c r="F1018" s="63">
        <f t="shared" si="58"/>
        <v>704.12705999999991</v>
      </c>
      <c r="G1018" s="87"/>
      <c r="H1018" s="88"/>
    </row>
    <row r="1019" spans="1:8" s="53" customFormat="1" x14ac:dyDescent="0.35">
      <c r="A1019" s="89" t="s">
        <v>730</v>
      </c>
      <c r="B1019" s="90"/>
      <c r="C1019" s="90"/>
      <c r="D1019" s="90"/>
      <c r="E1019" s="90"/>
      <c r="F1019" s="90"/>
      <c r="G1019" s="90"/>
      <c r="H1019" s="91"/>
    </row>
    <row r="1020" spans="1:8" s="53" customFormat="1" x14ac:dyDescent="0.35">
      <c r="A1020" s="82" t="s">
        <v>932</v>
      </c>
      <c r="B1020" s="82"/>
      <c r="C1020" s="63" t="s">
        <v>486</v>
      </c>
      <c r="D1020" s="66">
        <f>(25.47+0.6*(2.9+2.35))*10.764</f>
        <v>308.06567999999993</v>
      </c>
      <c r="E1020" s="63">
        <v>0</v>
      </c>
      <c r="F1020" s="63">
        <f t="shared" ref="F1020:F1033" si="59">D1020*1.5+E1020</f>
        <v>462.09851999999989</v>
      </c>
      <c r="G1020" s="83" t="str">
        <f>A1019</f>
        <v>12th Floor</v>
      </c>
      <c r="H1020" s="84"/>
    </row>
    <row r="1021" spans="1:8" s="53" customFormat="1" ht="15.65" customHeight="1" x14ac:dyDescent="0.35">
      <c r="A1021" s="82" t="s">
        <v>933</v>
      </c>
      <c r="B1021" s="82"/>
      <c r="C1021" s="63" t="s">
        <v>170</v>
      </c>
      <c r="D1021" s="66">
        <f>(28.68+0.6*3.05+1.2*2.9)*10.764</f>
        <v>365.86835999999994</v>
      </c>
      <c r="E1021" s="63">
        <v>0</v>
      </c>
      <c r="F1021" s="63">
        <f t="shared" si="59"/>
        <v>548.80253999999991</v>
      </c>
      <c r="G1021" s="85"/>
      <c r="H1021" s="86"/>
    </row>
    <row r="1022" spans="1:8" s="53" customFormat="1" ht="15.65" customHeight="1" x14ac:dyDescent="0.35">
      <c r="A1022" s="82" t="s">
        <v>934</v>
      </c>
      <c r="B1022" s="82"/>
      <c r="C1022" s="63" t="s">
        <v>486</v>
      </c>
      <c r="D1022" s="66">
        <f>(23.23+0.6*2.9+1.2*3.1)*10.764</f>
        <v>308.81915999999995</v>
      </c>
      <c r="E1022" s="63">
        <v>0</v>
      </c>
      <c r="F1022" s="63">
        <f t="shared" si="59"/>
        <v>463.2287399999999</v>
      </c>
      <c r="G1022" s="85"/>
      <c r="H1022" s="86"/>
    </row>
    <row r="1023" spans="1:8" s="53" customFormat="1" ht="15.65" customHeight="1" x14ac:dyDescent="0.35">
      <c r="A1023" s="82" t="s">
        <v>935</v>
      </c>
      <c r="B1023" s="82"/>
      <c r="C1023" s="63" t="s">
        <v>170</v>
      </c>
      <c r="D1023" s="66">
        <f>(37.6+0.6*2.9+1.2*2.5)*10.764</f>
        <v>455.74776000000003</v>
      </c>
      <c r="E1023" s="63">
        <v>0</v>
      </c>
      <c r="F1023" s="63">
        <f t="shared" si="59"/>
        <v>683.62164000000007</v>
      </c>
      <c r="G1023" s="85"/>
      <c r="H1023" s="86"/>
    </row>
    <row r="1024" spans="1:8" s="53" customFormat="1" ht="15.65" customHeight="1" x14ac:dyDescent="0.35">
      <c r="A1024" s="82" t="s">
        <v>936</v>
      </c>
      <c r="B1024" s="82"/>
      <c r="C1024" s="68" t="s">
        <v>1059</v>
      </c>
      <c r="D1024" s="66">
        <f>(61.19+0.6*(2.45+2.9)+1.2*3)*10.764</f>
        <v>731.95199999999977</v>
      </c>
      <c r="E1024" s="63">
        <v>0</v>
      </c>
      <c r="F1024" s="63">
        <f t="shared" si="59"/>
        <v>1097.9279999999997</v>
      </c>
      <c r="G1024" s="85"/>
      <c r="H1024" s="86"/>
    </row>
    <row r="1025" spans="1:8" s="53" customFormat="1" ht="15.65" customHeight="1" x14ac:dyDescent="0.35">
      <c r="A1025" s="82" t="s">
        <v>937</v>
      </c>
      <c r="B1025" s="82"/>
      <c r="C1025" s="63" t="s">
        <v>170</v>
      </c>
      <c r="D1025" s="66">
        <f>(35.41+0.6*2.9+1.2*2.75)*10.764</f>
        <v>435.40379999999993</v>
      </c>
      <c r="E1025" s="63">
        <v>0</v>
      </c>
      <c r="F1025" s="63">
        <f t="shared" si="59"/>
        <v>653.10569999999984</v>
      </c>
      <c r="G1025" s="85"/>
      <c r="H1025" s="86"/>
    </row>
    <row r="1026" spans="1:8" s="53" customFormat="1" ht="15.65" customHeight="1" x14ac:dyDescent="0.35">
      <c r="A1026" s="82" t="s">
        <v>938</v>
      </c>
      <c r="B1026" s="82"/>
      <c r="C1026" s="63" t="s">
        <v>486</v>
      </c>
      <c r="D1026" s="66">
        <f>(22.77+0.6*2.9+1.2*2.75)*10.764</f>
        <v>299.34683999999999</v>
      </c>
      <c r="E1026" s="63">
        <v>0</v>
      </c>
      <c r="F1026" s="63">
        <f t="shared" si="59"/>
        <v>449.02026000000001</v>
      </c>
      <c r="G1026" s="85"/>
      <c r="H1026" s="86"/>
    </row>
    <row r="1027" spans="1:8" s="53" customFormat="1" ht="15.65" customHeight="1" x14ac:dyDescent="0.35">
      <c r="A1027" s="82" t="s">
        <v>939</v>
      </c>
      <c r="B1027" s="82"/>
      <c r="C1027" s="63" t="s">
        <v>170</v>
      </c>
      <c r="D1027" s="66">
        <f>(36.89+0.6*2.9+1.2*2.5)*10.764</f>
        <v>448.10532000000001</v>
      </c>
      <c r="E1027" s="63">
        <v>0</v>
      </c>
      <c r="F1027" s="63">
        <f t="shared" si="59"/>
        <v>672.15797999999995</v>
      </c>
      <c r="G1027" s="85"/>
      <c r="H1027" s="86"/>
    </row>
    <row r="1028" spans="1:8" s="53" customFormat="1" ht="15.65" customHeight="1" x14ac:dyDescent="0.35">
      <c r="A1028" s="82" t="s">
        <v>940</v>
      </c>
      <c r="B1028" s="82"/>
      <c r="C1028" s="63" t="s">
        <v>486</v>
      </c>
      <c r="D1028" s="66">
        <f>(24.52+0.6*3+1.2*3)*10.764</f>
        <v>322.05887999999999</v>
      </c>
      <c r="E1028" s="63">
        <v>0</v>
      </c>
      <c r="F1028" s="63">
        <f t="shared" si="59"/>
        <v>483.08831999999995</v>
      </c>
      <c r="G1028" s="85"/>
      <c r="H1028" s="86"/>
    </row>
    <row r="1029" spans="1:8" s="53" customFormat="1" ht="15.65" customHeight="1" x14ac:dyDescent="0.35">
      <c r="A1029" s="82" t="s">
        <v>941</v>
      </c>
      <c r="B1029" s="82"/>
      <c r="C1029" s="68" t="s">
        <v>1059</v>
      </c>
      <c r="D1029" s="66">
        <f>(61.97+0.6*(2.45+2.9)+1.2*3)*10.764</f>
        <v>740.34791999999982</v>
      </c>
      <c r="E1029" s="63">
        <v>0</v>
      </c>
      <c r="F1029" s="63">
        <f t="shared" si="59"/>
        <v>1110.5218799999998</v>
      </c>
      <c r="G1029" s="85"/>
      <c r="H1029" s="86"/>
    </row>
    <row r="1030" spans="1:8" s="53" customFormat="1" ht="15.65" customHeight="1" x14ac:dyDescent="0.35">
      <c r="A1030" s="82" t="s">
        <v>942</v>
      </c>
      <c r="B1030" s="82"/>
      <c r="C1030" s="63" t="s">
        <v>1058</v>
      </c>
      <c r="D1030" s="66">
        <f>(76.32+0.6*(2.9+2.45+2.9)+1.2*3)*10.764</f>
        <v>913.54067999999984</v>
      </c>
      <c r="E1030" s="63">
        <v>0</v>
      </c>
      <c r="F1030" s="63">
        <f t="shared" si="59"/>
        <v>1370.3110199999996</v>
      </c>
      <c r="G1030" s="85"/>
      <c r="H1030" s="86"/>
    </row>
    <row r="1031" spans="1:8" s="53" customFormat="1" ht="15.65" customHeight="1" x14ac:dyDescent="0.35">
      <c r="A1031" s="82" t="s">
        <v>943</v>
      </c>
      <c r="B1031" s="82"/>
      <c r="C1031" s="68" t="s">
        <v>1059</v>
      </c>
      <c r="D1031" s="66">
        <f>(61.56+0.6*(2.45+2.9)+1.2*3)*10.764</f>
        <v>735.93467999999984</v>
      </c>
      <c r="E1031" s="63">
        <v>0</v>
      </c>
      <c r="F1031" s="63">
        <f t="shared" si="59"/>
        <v>1103.9020199999998</v>
      </c>
      <c r="G1031" s="85"/>
      <c r="H1031" s="86"/>
    </row>
    <row r="1032" spans="1:8" s="53" customFormat="1" ht="15.65" customHeight="1" x14ac:dyDescent="0.35">
      <c r="A1032" s="82" t="s">
        <v>944</v>
      </c>
      <c r="B1032" s="82"/>
      <c r="C1032" s="68" t="s">
        <v>1059</v>
      </c>
      <c r="D1032" s="66">
        <f>(61.55+0.6*(2.45+2.9)+1.2*3)*10.764</f>
        <v>735.82703999999978</v>
      </c>
      <c r="E1032" s="63">
        <v>0</v>
      </c>
      <c r="F1032" s="63">
        <f t="shared" si="59"/>
        <v>1103.7405599999997</v>
      </c>
      <c r="G1032" s="85"/>
      <c r="H1032" s="86"/>
    </row>
    <row r="1033" spans="1:8" s="53" customFormat="1" ht="15.65" customHeight="1" x14ac:dyDescent="0.35">
      <c r="A1033" s="82" t="s">
        <v>945</v>
      </c>
      <c r="B1033" s="82"/>
      <c r="C1033" s="63" t="s">
        <v>170</v>
      </c>
      <c r="D1033" s="66">
        <f>(36.45+0.6*2.55+0.5*2.75+1.2*2.9)*10.764</f>
        <v>461.07594</v>
      </c>
      <c r="E1033" s="63">
        <v>0</v>
      </c>
      <c r="F1033" s="63">
        <f t="shared" si="59"/>
        <v>691.61391000000003</v>
      </c>
      <c r="G1033" s="85"/>
      <c r="H1033" s="86"/>
    </row>
    <row r="1034" spans="1:8" s="53" customFormat="1" ht="15.65" customHeight="1" x14ac:dyDescent="0.35">
      <c r="A1034" s="82" t="s">
        <v>946</v>
      </c>
      <c r="B1034" s="82"/>
      <c r="C1034" s="83" t="s">
        <v>669</v>
      </c>
      <c r="D1034" s="92"/>
      <c r="E1034" s="92"/>
      <c r="F1034" s="84"/>
      <c r="G1034" s="85"/>
      <c r="H1034" s="86"/>
    </row>
    <row r="1035" spans="1:8" s="53" customFormat="1" ht="15.65" customHeight="1" x14ac:dyDescent="0.35">
      <c r="A1035" s="82" t="s">
        <v>947</v>
      </c>
      <c r="B1035" s="82"/>
      <c r="C1035" s="87"/>
      <c r="D1035" s="93"/>
      <c r="E1035" s="93"/>
      <c r="F1035" s="88"/>
      <c r="G1035" s="85"/>
      <c r="H1035" s="86"/>
    </row>
    <row r="1036" spans="1:8" s="53" customFormat="1" ht="15.65" customHeight="1" x14ac:dyDescent="0.35">
      <c r="A1036" s="82" t="s">
        <v>948</v>
      </c>
      <c r="B1036" s="82"/>
      <c r="C1036" s="63" t="s">
        <v>170</v>
      </c>
      <c r="D1036" s="66">
        <f>(37.42+0.6*2.55+0.5*2.75+1.2*2.9)*10.764</f>
        <v>471.51701999999995</v>
      </c>
      <c r="E1036" s="63">
        <v>0</v>
      </c>
      <c r="F1036" s="63">
        <f t="shared" ref="F1036:F1037" si="60">D1036*1.5+E1036</f>
        <v>707.27552999999989</v>
      </c>
      <c r="G1036" s="85"/>
      <c r="H1036" s="86"/>
    </row>
    <row r="1037" spans="1:8" s="53" customFormat="1" ht="15.65" customHeight="1" x14ac:dyDescent="0.35">
      <c r="A1037" s="82" t="s">
        <v>949</v>
      </c>
      <c r="B1037" s="82"/>
      <c r="C1037" s="63" t="s">
        <v>170</v>
      </c>
      <c r="D1037" s="66">
        <f>(38.18+0.6*2.55+0.5*3+1.2*2)*10.764</f>
        <v>469.41803999999996</v>
      </c>
      <c r="E1037" s="63">
        <v>0</v>
      </c>
      <c r="F1037" s="63">
        <f t="shared" si="60"/>
        <v>704.12705999999991</v>
      </c>
      <c r="G1037" s="87"/>
      <c r="H1037" s="88"/>
    </row>
    <row r="1038" spans="1:8" s="53" customFormat="1" x14ac:dyDescent="0.35">
      <c r="A1038" s="89" t="s">
        <v>731</v>
      </c>
      <c r="B1038" s="90"/>
      <c r="C1038" s="90"/>
      <c r="D1038" s="90"/>
      <c r="E1038" s="90"/>
      <c r="F1038" s="90"/>
      <c r="G1038" s="90"/>
      <c r="H1038" s="91"/>
    </row>
    <row r="1039" spans="1:8" s="53" customFormat="1" x14ac:dyDescent="0.35">
      <c r="A1039" s="82" t="s">
        <v>950</v>
      </c>
      <c r="B1039" s="82"/>
      <c r="C1039" s="63" t="s">
        <v>486</v>
      </c>
      <c r="D1039" s="66">
        <f>(25.47+0.6*(2.9+2.35))*10.764</f>
        <v>308.06567999999993</v>
      </c>
      <c r="E1039" s="63">
        <v>0</v>
      </c>
      <c r="F1039" s="63">
        <f t="shared" ref="F1039:F1055" si="61">D1039*1.5+E1039</f>
        <v>462.09851999999989</v>
      </c>
      <c r="G1039" s="83" t="str">
        <f>A1038</f>
        <v>13th Floor</v>
      </c>
      <c r="H1039" s="84"/>
    </row>
    <row r="1040" spans="1:8" s="53" customFormat="1" ht="15.65" customHeight="1" x14ac:dyDescent="0.35">
      <c r="A1040" s="82" t="s">
        <v>951</v>
      </c>
      <c r="B1040" s="82"/>
      <c r="C1040" s="63" t="s">
        <v>170</v>
      </c>
      <c r="D1040" s="66">
        <f>(28.68+0.6*3.05+1.2*2.9)*10.764</f>
        <v>365.86835999999994</v>
      </c>
      <c r="E1040" s="63">
        <v>0</v>
      </c>
      <c r="F1040" s="63">
        <f t="shared" si="61"/>
        <v>548.80253999999991</v>
      </c>
      <c r="G1040" s="85"/>
      <c r="H1040" s="86"/>
    </row>
    <row r="1041" spans="1:9" s="53" customFormat="1" ht="15.65" customHeight="1" x14ac:dyDescent="0.35">
      <c r="A1041" s="82" t="s">
        <v>952</v>
      </c>
      <c r="B1041" s="82"/>
      <c r="C1041" s="63" t="s">
        <v>486</v>
      </c>
      <c r="D1041" s="66">
        <f>(23.23+0.6*2.9+1.2*3.1)*10.764</f>
        <v>308.81915999999995</v>
      </c>
      <c r="E1041" s="63">
        <v>0</v>
      </c>
      <c r="F1041" s="63">
        <f t="shared" si="61"/>
        <v>463.2287399999999</v>
      </c>
      <c r="G1041" s="85"/>
      <c r="H1041" s="86"/>
    </row>
    <row r="1042" spans="1:9" s="53" customFormat="1" ht="15.65" customHeight="1" x14ac:dyDescent="0.35">
      <c r="A1042" s="82" t="s">
        <v>953</v>
      </c>
      <c r="B1042" s="82"/>
      <c r="C1042" s="63" t="s">
        <v>170</v>
      </c>
      <c r="D1042" s="66">
        <f>(37.6+0.6*2.9+1.2*2.5)*10.764</f>
        <v>455.74776000000003</v>
      </c>
      <c r="E1042" s="63">
        <v>0</v>
      </c>
      <c r="F1042" s="63">
        <f t="shared" si="61"/>
        <v>683.62164000000007</v>
      </c>
      <c r="G1042" s="85"/>
      <c r="H1042" s="86"/>
    </row>
    <row r="1043" spans="1:9" s="53" customFormat="1" ht="15.65" customHeight="1" x14ac:dyDescent="0.35">
      <c r="A1043" s="82" t="s">
        <v>954</v>
      </c>
      <c r="B1043" s="82"/>
      <c r="C1043" s="63" t="s">
        <v>1059</v>
      </c>
      <c r="D1043" s="66">
        <f>(61.19+0.6*(2.45+2.9)+1.2*3)*10.764</f>
        <v>731.95199999999977</v>
      </c>
      <c r="E1043" s="63">
        <v>0</v>
      </c>
      <c r="F1043" s="63">
        <f t="shared" si="61"/>
        <v>1097.9279999999997</v>
      </c>
      <c r="G1043" s="85"/>
      <c r="H1043" s="86"/>
    </row>
    <row r="1044" spans="1:9" s="53" customFormat="1" ht="15.65" customHeight="1" x14ac:dyDescent="0.35">
      <c r="A1044" s="82" t="s">
        <v>955</v>
      </c>
      <c r="B1044" s="82"/>
      <c r="C1044" s="63" t="s">
        <v>170</v>
      </c>
      <c r="D1044" s="66">
        <f>(35.41+0.6*2.9+1.2*2.75)*10.764</f>
        <v>435.40379999999993</v>
      </c>
      <c r="E1044" s="63">
        <v>0</v>
      </c>
      <c r="F1044" s="63">
        <f t="shared" si="61"/>
        <v>653.10569999999984</v>
      </c>
      <c r="G1044" s="85"/>
      <c r="H1044" s="86"/>
    </row>
    <row r="1045" spans="1:9" s="53" customFormat="1" ht="15.65" customHeight="1" x14ac:dyDescent="0.35">
      <c r="A1045" s="82" t="s">
        <v>956</v>
      </c>
      <c r="B1045" s="82"/>
      <c r="C1045" s="63" t="s">
        <v>486</v>
      </c>
      <c r="D1045" s="66">
        <f>(22.77+0.6*2.9+1.2*2.75)*10.764</f>
        <v>299.34683999999999</v>
      </c>
      <c r="E1045" s="63">
        <v>0</v>
      </c>
      <c r="F1045" s="63">
        <f t="shared" si="61"/>
        <v>449.02026000000001</v>
      </c>
      <c r="G1045" s="85"/>
      <c r="H1045" s="86"/>
    </row>
    <row r="1046" spans="1:9" s="53" customFormat="1" ht="15.65" customHeight="1" x14ac:dyDescent="0.35">
      <c r="A1046" s="82" t="s">
        <v>957</v>
      </c>
      <c r="B1046" s="82"/>
      <c r="C1046" s="63" t="s">
        <v>170</v>
      </c>
      <c r="D1046" s="66">
        <f>(36.89+0.6*2.9+1.2*2.5)*10.764</f>
        <v>448.10532000000001</v>
      </c>
      <c r="E1046" s="63">
        <v>0</v>
      </c>
      <c r="F1046" s="63">
        <f t="shared" si="61"/>
        <v>672.15797999999995</v>
      </c>
      <c r="G1046" s="85"/>
      <c r="H1046" s="86"/>
    </row>
    <row r="1047" spans="1:9" s="53" customFormat="1" ht="15.65" customHeight="1" x14ac:dyDescent="0.35">
      <c r="A1047" s="82" t="s">
        <v>958</v>
      </c>
      <c r="B1047" s="82"/>
      <c r="C1047" s="63" t="s">
        <v>486</v>
      </c>
      <c r="D1047" s="66">
        <f>(24.52+0.6*3+1.2*3)*10.764</f>
        <v>322.05887999999999</v>
      </c>
      <c r="E1047" s="63">
        <v>0</v>
      </c>
      <c r="F1047" s="63">
        <v>518</v>
      </c>
      <c r="G1047" s="85"/>
      <c r="H1047" s="86"/>
      <c r="I1047" s="198" t="s">
        <v>1072</v>
      </c>
    </row>
    <row r="1048" spans="1:9" s="53" customFormat="1" ht="15.65" customHeight="1" x14ac:dyDescent="0.35">
      <c r="A1048" s="82" t="s">
        <v>959</v>
      </c>
      <c r="B1048" s="82"/>
      <c r="C1048" s="68" t="s">
        <v>1059</v>
      </c>
      <c r="D1048" s="66">
        <f>(61.97+0.6*(2.45+2.9)+1.2*3)*10.764</f>
        <v>740.34791999999982</v>
      </c>
      <c r="E1048" s="63">
        <v>0</v>
      </c>
      <c r="F1048" s="63">
        <f t="shared" si="61"/>
        <v>1110.5218799999998</v>
      </c>
      <c r="G1048" s="85"/>
      <c r="H1048" s="86"/>
    </row>
    <row r="1049" spans="1:9" s="53" customFormat="1" ht="15.65" customHeight="1" x14ac:dyDescent="0.35">
      <c r="A1049" s="82" t="s">
        <v>960</v>
      </c>
      <c r="B1049" s="82"/>
      <c r="C1049" s="63" t="s">
        <v>486</v>
      </c>
      <c r="D1049" s="66">
        <f>(27.1+0.6*2.9+1.2*2.75)*10.764</f>
        <v>345.95495999999997</v>
      </c>
      <c r="E1049" s="63">
        <v>0</v>
      </c>
      <c r="F1049" s="63">
        <f t="shared" si="61"/>
        <v>518.93243999999993</v>
      </c>
      <c r="G1049" s="85"/>
      <c r="H1049" s="86"/>
    </row>
    <row r="1050" spans="1:9" s="53" customFormat="1" ht="15.65" customHeight="1" x14ac:dyDescent="0.35">
      <c r="A1050" s="82" t="s">
        <v>961</v>
      </c>
      <c r="B1050" s="82"/>
      <c r="C1050" s="63" t="s">
        <v>170</v>
      </c>
      <c r="D1050" s="66">
        <f>(35.41+0.6*2.9+1.2*2.75)*10.764</f>
        <v>435.40379999999993</v>
      </c>
      <c r="E1050" s="63">
        <v>0</v>
      </c>
      <c r="F1050" s="63">
        <f t="shared" si="61"/>
        <v>653.10569999999984</v>
      </c>
      <c r="G1050" s="85"/>
      <c r="H1050" s="86"/>
    </row>
    <row r="1051" spans="1:9" s="53" customFormat="1" ht="15.65" customHeight="1" x14ac:dyDescent="0.35">
      <c r="A1051" s="82" t="s">
        <v>962</v>
      </c>
      <c r="B1051" s="82"/>
      <c r="C1051" s="68" t="s">
        <v>1059</v>
      </c>
      <c r="D1051" s="66">
        <f>(61.56+0.6*(2.45+2.9)+1.2*3)*10.764</f>
        <v>735.93467999999984</v>
      </c>
      <c r="E1051" s="63">
        <v>0</v>
      </c>
      <c r="F1051" s="63">
        <f t="shared" si="61"/>
        <v>1103.9020199999998</v>
      </c>
      <c r="G1051" s="85"/>
      <c r="H1051" s="86"/>
    </row>
    <row r="1052" spans="1:9" s="53" customFormat="1" ht="15.65" customHeight="1" x14ac:dyDescent="0.35">
      <c r="A1052" s="82" t="s">
        <v>963</v>
      </c>
      <c r="B1052" s="82"/>
      <c r="C1052" s="68" t="s">
        <v>1059</v>
      </c>
      <c r="D1052" s="66">
        <f>(61.55+0.6*(2.45+2.9)+1.2*3)*10.764</f>
        <v>735.82703999999978</v>
      </c>
      <c r="E1052" s="63">
        <v>0</v>
      </c>
      <c r="F1052" s="63">
        <f t="shared" si="61"/>
        <v>1103.7405599999997</v>
      </c>
      <c r="G1052" s="85"/>
      <c r="H1052" s="86"/>
    </row>
    <row r="1053" spans="1:9" s="53" customFormat="1" ht="15.65" customHeight="1" x14ac:dyDescent="0.35">
      <c r="A1053" s="82" t="s">
        <v>964</v>
      </c>
      <c r="B1053" s="82"/>
      <c r="C1053" s="63" t="s">
        <v>170</v>
      </c>
      <c r="D1053" s="66">
        <f>(36.45+0.6*2.55+0.5*2.75+1.2*2.9)*10.764</f>
        <v>461.07594</v>
      </c>
      <c r="E1053" s="63">
        <v>0</v>
      </c>
      <c r="F1053" s="63">
        <f t="shared" si="61"/>
        <v>691.61391000000003</v>
      </c>
      <c r="G1053" s="85"/>
      <c r="H1053" s="86"/>
    </row>
    <row r="1054" spans="1:9" s="53" customFormat="1" ht="15.65" customHeight="1" x14ac:dyDescent="0.35">
      <c r="A1054" s="82" t="s">
        <v>965</v>
      </c>
      <c r="B1054" s="82"/>
      <c r="C1054" s="63" t="s">
        <v>170</v>
      </c>
      <c r="D1054" s="66">
        <f>(37.42+0.6*2.55+0.5*2.75+1.2*2.9)*10.764</f>
        <v>471.51701999999995</v>
      </c>
      <c r="E1054" s="63">
        <v>0</v>
      </c>
      <c r="F1054" s="63">
        <f t="shared" si="61"/>
        <v>707.27552999999989</v>
      </c>
      <c r="G1054" s="85"/>
      <c r="H1054" s="86"/>
    </row>
    <row r="1055" spans="1:9" s="53" customFormat="1" ht="15.65" customHeight="1" x14ac:dyDescent="0.35">
      <c r="A1055" s="82" t="s">
        <v>966</v>
      </c>
      <c r="B1055" s="82"/>
      <c r="C1055" s="63" t="s">
        <v>170</v>
      </c>
      <c r="D1055" s="66">
        <f>(38.18+0.6*2.55+0.5*3+1.2*2)*10.764</f>
        <v>469.41803999999996</v>
      </c>
      <c r="E1055" s="63">
        <v>0</v>
      </c>
      <c r="F1055" s="63">
        <f t="shared" si="61"/>
        <v>704.12705999999991</v>
      </c>
      <c r="G1055" s="87"/>
      <c r="H1055" s="88"/>
    </row>
    <row r="1056" spans="1:9" s="53" customFormat="1" x14ac:dyDescent="0.35">
      <c r="A1056" s="89" t="s">
        <v>732</v>
      </c>
      <c r="B1056" s="90"/>
      <c r="C1056" s="90"/>
      <c r="D1056" s="90"/>
      <c r="E1056" s="90"/>
      <c r="F1056" s="90"/>
      <c r="G1056" s="90"/>
      <c r="H1056" s="91"/>
    </row>
    <row r="1057" spans="1:8" s="53" customFormat="1" x14ac:dyDescent="0.35">
      <c r="A1057" s="82" t="s">
        <v>967</v>
      </c>
      <c r="B1057" s="82"/>
      <c r="C1057" s="63" t="s">
        <v>486</v>
      </c>
      <c r="D1057" s="66">
        <f>(25.47+0.6*(2.9+2.35))*10.764</f>
        <v>308.06567999999993</v>
      </c>
      <c r="E1057" s="63">
        <v>0</v>
      </c>
      <c r="F1057" s="63">
        <f t="shared" ref="F1057:F1073" si="62">D1057*1.5+E1057</f>
        <v>462.09851999999989</v>
      </c>
      <c r="G1057" s="83" t="str">
        <f>A1056</f>
        <v>14th Floor</v>
      </c>
      <c r="H1057" s="84"/>
    </row>
    <row r="1058" spans="1:8" s="53" customFormat="1" ht="15.65" customHeight="1" x14ac:dyDescent="0.35">
      <c r="A1058" s="82" t="s">
        <v>968</v>
      </c>
      <c r="B1058" s="82"/>
      <c r="C1058" s="63" t="s">
        <v>170</v>
      </c>
      <c r="D1058" s="66">
        <f>(28.68+0.6*3.05+1.2*2.9)*10.764</f>
        <v>365.86835999999994</v>
      </c>
      <c r="E1058" s="63">
        <v>0</v>
      </c>
      <c r="F1058" s="63">
        <f t="shared" si="62"/>
        <v>548.80253999999991</v>
      </c>
      <c r="G1058" s="85"/>
      <c r="H1058" s="86"/>
    </row>
    <row r="1059" spans="1:8" s="53" customFormat="1" ht="15.65" customHeight="1" x14ac:dyDescent="0.35">
      <c r="A1059" s="82" t="s">
        <v>969</v>
      </c>
      <c r="B1059" s="82"/>
      <c r="C1059" s="63" t="s">
        <v>486</v>
      </c>
      <c r="D1059" s="66">
        <f>(23.23+0.6*2.9+1.2*3.1)*10.764</f>
        <v>308.81915999999995</v>
      </c>
      <c r="E1059" s="63">
        <v>0</v>
      </c>
      <c r="F1059" s="63">
        <f t="shared" si="62"/>
        <v>463.2287399999999</v>
      </c>
      <c r="G1059" s="85"/>
      <c r="H1059" s="86"/>
    </row>
    <row r="1060" spans="1:8" s="53" customFormat="1" ht="15.65" customHeight="1" x14ac:dyDescent="0.35">
      <c r="A1060" s="82" t="s">
        <v>970</v>
      </c>
      <c r="B1060" s="82"/>
      <c r="C1060" s="63" t="s">
        <v>170</v>
      </c>
      <c r="D1060" s="66">
        <f>(37.6+0.6*2.9+1.2*2.5)*10.764</f>
        <v>455.74776000000003</v>
      </c>
      <c r="E1060" s="63">
        <v>0</v>
      </c>
      <c r="F1060" s="63">
        <f t="shared" si="62"/>
        <v>683.62164000000007</v>
      </c>
      <c r="G1060" s="85"/>
      <c r="H1060" s="86"/>
    </row>
    <row r="1061" spans="1:8" s="53" customFormat="1" ht="15.65" customHeight="1" x14ac:dyDescent="0.35">
      <c r="A1061" s="82" t="s">
        <v>971</v>
      </c>
      <c r="B1061" s="82"/>
      <c r="C1061" s="63" t="s">
        <v>1059</v>
      </c>
      <c r="D1061" s="66">
        <f>(61.19+0.6*(2.45+2.9)+1.2*3)*10.764</f>
        <v>731.95199999999977</v>
      </c>
      <c r="E1061" s="63">
        <v>0</v>
      </c>
      <c r="F1061" s="63">
        <f t="shared" si="62"/>
        <v>1097.9279999999997</v>
      </c>
      <c r="G1061" s="85"/>
      <c r="H1061" s="86"/>
    </row>
    <row r="1062" spans="1:8" s="53" customFormat="1" ht="15.65" customHeight="1" x14ac:dyDescent="0.35">
      <c r="A1062" s="82" t="s">
        <v>972</v>
      </c>
      <c r="B1062" s="82"/>
      <c r="C1062" s="63" t="s">
        <v>170</v>
      </c>
      <c r="D1062" s="66">
        <f>(35.41+0.6*2.9+1.2*2.75)*10.764</f>
        <v>435.40379999999993</v>
      </c>
      <c r="E1062" s="63">
        <v>0</v>
      </c>
      <c r="F1062" s="63">
        <f t="shared" si="62"/>
        <v>653.10569999999984</v>
      </c>
      <c r="G1062" s="85"/>
      <c r="H1062" s="86"/>
    </row>
    <row r="1063" spans="1:8" s="53" customFormat="1" ht="15.65" customHeight="1" x14ac:dyDescent="0.35">
      <c r="A1063" s="82" t="s">
        <v>973</v>
      </c>
      <c r="B1063" s="82"/>
      <c r="C1063" s="63" t="s">
        <v>486</v>
      </c>
      <c r="D1063" s="66">
        <f>(22.77+0.6*2.9+1.2*2.75)*10.764</f>
        <v>299.34683999999999</v>
      </c>
      <c r="E1063" s="63">
        <v>0</v>
      </c>
      <c r="F1063" s="63">
        <f t="shared" si="62"/>
        <v>449.02026000000001</v>
      </c>
      <c r="G1063" s="85"/>
      <c r="H1063" s="86"/>
    </row>
    <row r="1064" spans="1:8" s="53" customFormat="1" ht="15.65" customHeight="1" x14ac:dyDescent="0.35">
      <c r="A1064" s="82" t="s">
        <v>974</v>
      </c>
      <c r="B1064" s="82"/>
      <c r="C1064" s="63" t="s">
        <v>170</v>
      </c>
      <c r="D1064" s="66">
        <f>(36.89+0.6*2.9+1.2*2.5)*10.764</f>
        <v>448.10532000000001</v>
      </c>
      <c r="E1064" s="63">
        <v>0</v>
      </c>
      <c r="F1064" s="63">
        <f t="shared" si="62"/>
        <v>672.15797999999995</v>
      </c>
      <c r="G1064" s="85"/>
      <c r="H1064" s="86"/>
    </row>
    <row r="1065" spans="1:8" s="53" customFormat="1" ht="15.65" customHeight="1" x14ac:dyDescent="0.35">
      <c r="A1065" s="82" t="s">
        <v>975</v>
      </c>
      <c r="B1065" s="82"/>
      <c r="C1065" s="63" t="s">
        <v>486</v>
      </c>
      <c r="D1065" s="66">
        <f>(24.52+0.6*3+1.2*3)*10.764</f>
        <v>322.05887999999999</v>
      </c>
      <c r="E1065" s="63">
        <v>0</v>
      </c>
      <c r="F1065" s="63">
        <f t="shared" si="62"/>
        <v>483.08831999999995</v>
      </c>
      <c r="G1065" s="85"/>
      <c r="H1065" s="86"/>
    </row>
    <row r="1066" spans="1:8" s="53" customFormat="1" ht="15.65" customHeight="1" x14ac:dyDescent="0.35">
      <c r="A1066" s="82" t="s">
        <v>976</v>
      </c>
      <c r="B1066" s="82"/>
      <c r="C1066" s="68" t="s">
        <v>1059</v>
      </c>
      <c r="D1066" s="66">
        <f>(61.97+0.6*(2.45+2.9)+1.2*3)*10.764</f>
        <v>740.34791999999982</v>
      </c>
      <c r="E1066" s="63">
        <v>0</v>
      </c>
      <c r="F1066" s="63">
        <f t="shared" si="62"/>
        <v>1110.5218799999998</v>
      </c>
      <c r="G1066" s="85"/>
      <c r="H1066" s="86"/>
    </row>
    <row r="1067" spans="1:8" s="53" customFormat="1" ht="15.65" customHeight="1" x14ac:dyDescent="0.35">
      <c r="A1067" s="82" t="s">
        <v>977</v>
      </c>
      <c r="B1067" s="82"/>
      <c r="C1067" s="63" t="s">
        <v>486</v>
      </c>
      <c r="D1067" s="66">
        <f>(27.1+0.6*2.9+1.2*2.75)*10.764</f>
        <v>345.95495999999997</v>
      </c>
      <c r="E1067" s="63">
        <v>0</v>
      </c>
      <c r="F1067" s="63">
        <f t="shared" si="62"/>
        <v>518.93243999999993</v>
      </c>
      <c r="G1067" s="85"/>
      <c r="H1067" s="86"/>
    </row>
    <row r="1068" spans="1:8" s="53" customFormat="1" ht="15.65" customHeight="1" x14ac:dyDescent="0.35">
      <c r="A1068" s="82" t="s">
        <v>978</v>
      </c>
      <c r="B1068" s="82"/>
      <c r="C1068" s="63" t="s">
        <v>170</v>
      </c>
      <c r="D1068" s="66">
        <f>(35.41+0.6*2.9+1.2*2.75)*10.764</f>
        <v>435.40379999999993</v>
      </c>
      <c r="E1068" s="63">
        <v>0</v>
      </c>
      <c r="F1068" s="63">
        <f t="shared" si="62"/>
        <v>653.10569999999984</v>
      </c>
      <c r="G1068" s="85"/>
      <c r="H1068" s="86"/>
    </row>
    <row r="1069" spans="1:8" s="53" customFormat="1" ht="15.65" customHeight="1" x14ac:dyDescent="0.35">
      <c r="A1069" s="82" t="s">
        <v>979</v>
      </c>
      <c r="B1069" s="82"/>
      <c r="C1069" s="68" t="s">
        <v>1059</v>
      </c>
      <c r="D1069" s="66">
        <f>(61.56+0.6*(2.45+2.9)+1.2*3)*10.764</f>
        <v>735.93467999999984</v>
      </c>
      <c r="E1069" s="63">
        <v>0</v>
      </c>
      <c r="F1069" s="63">
        <f t="shared" si="62"/>
        <v>1103.9020199999998</v>
      </c>
      <c r="G1069" s="85"/>
      <c r="H1069" s="86"/>
    </row>
    <row r="1070" spans="1:8" s="53" customFormat="1" ht="15.65" customHeight="1" x14ac:dyDescent="0.35">
      <c r="A1070" s="82" t="s">
        <v>980</v>
      </c>
      <c r="B1070" s="82"/>
      <c r="C1070" s="68" t="s">
        <v>1059</v>
      </c>
      <c r="D1070" s="66">
        <f>(61.55+0.6*(2.45+2.9)+1.2*3)*10.764</f>
        <v>735.82703999999978</v>
      </c>
      <c r="E1070" s="63">
        <v>0</v>
      </c>
      <c r="F1070" s="63">
        <f t="shared" si="62"/>
        <v>1103.7405599999997</v>
      </c>
      <c r="G1070" s="85"/>
      <c r="H1070" s="86"/>
    </row>
    <row r="1071" spans="1:8" s="53" customFormat="1" ht="15.65" customHeight="1" x14ac:dyDescent="0.35">
      <c r="A1071" s="82" t="s">
        <v>981</v>
      </c>
      <c r="B1071" s="82"/>
      <c r="C1071" s="63" t="s">
        <v>170</v>
      </c>
      <c r="D1071" s="66">
        <f>(36.45+0.6*2.55+0.5*2.75+1.2*2.9)*10.764</f>
        <v>461.07594</v>
      </c>
      <c r="E1071" s="63">
        <v>0</v>
      </c>
      <c r="F1071" s="63">
        <f t="shared" si="62"/>
        <v>691.61391000000003</v>
      </c>
      <c r="G1071" s="85"/>
      <c r="H1071" s="86"/>
    </row>
    <row r="1072" spans="1:8" s="53" customFormat="1" ht="15.65" customHeight="1" x14ac:dyDescent="0.35">
      <c r="A1072" s="82" t="s">
        <v>982</v>
      </c>
      <c r="B1072" s="82"/>
      <c r="C1072" s="63" t="s">
        <v>170</v>
      </c>
      <c r="D1072" s="66">
        <f>(37.42+0.6*2.55+0.5*2.75+1.2*2.9)*10.764</f>
        <v>471.51701999999995</v>
      </c>
      <c r="E1072" s="63">
        <v>0</v>
      </c>
      <c r="F1072" s="63">
        <f t="shared" si="62"/>
        <v>707.27552999999989</v>
      </c>
      <c r="G1072" s="85"/>
      <c r="H1072" s="86"/>
    </row>
    <row r="1073" spans="1:8" s="53" customFormat="1" ht="15.65" customHeight="1" x14ac:dyDescent="0.35">
      <c r="A1073" s="82" t="s">
        <v>983</v>
      </c>
      <c r="B1073" s="82"/>
      <c r="C1073" s="63" t="s">
        <v>170</v>
      </c>
      <c r="D1073" s="66">
        <f>(38.18+0.6*2.55+0.5*3+1.2*2)*10.764</f>
        <v>469.41803999999996</v>
      </c>
      <c r="E1073" s="63">
        <v>0</v>
      </c>
      <c r="F1073" s="63">
        <f t="shared" si="62"/>
        <v>704.12705999999991</v>
      </c>
      <c r="G1073" s="87"/>
      <c r="H1073" s="88"/>
    </row>
    <row r="1074" spans="1:8" s="53" customFormat="1" x14ac:dyDescent="0.35">
      <c r="A1074" s="89" t="s">
        <v>733</v>
      </c>
      <c r="B1074" s="90"/>
      <c r="C1074" s="90"/>
      <c r="D1074" s="90"/>
      <c r="E1074" s="90"/>
      <c r="F1074" s="90"/>
      <c r="G1074" s="90"/>
      <c r="H1074" s="91"/>
    </row>
    <row r="1075" spans="1:8" s="53" customFormat="1" x14ac:dyDescent="0.35">
      <c r="A1075" s="82" t="s">
        <v>984</v>
      </c>
      <c r="B1075" s="82"/>
      <c r="C1075" s="63" t="s">
        <v>1058</v>
      </c>
      <c r="D1075" s="66">
        <f>(68.75)*10.764</f>
        <v>740.02499999999998</v>
      </c>
      <c r="E1075" s="63">
        <v>0</v>
      </c>
      <c r="F1075" s="63">
        <f t="shared" ref="F1075:F1090" si="63">D1075*1.5+E1075</f>
        <v>1110.0374999999999</v>
      </c>
      <c r="G1075" s="83" t="str">
        <f>A1074</f>
        <v>15th Floor</v>
      </c>
      <c r="H1075" s="84"/>
    </row>
    <row r="1076" spans="1:8" s="53" customFormat="1" ht="15.65" customHeight="1" x14ac:dyDescent="0.35">
      <c r="A1076" s="82" t="s">
        <v>985</v>
      </c>
      <c r="B1076" s="82"/>
      <c r="C1076" s="63" t="s">
        <v>486</v>
      </c>
      <c r="D1076" s="66">
        <f>(23.23+0.6*2.9+1.2*3.1)*10.764</f>
        <v>308.81915999999995</v>
      </c>
      <c r="E1076" s="63">
        <v>0</v>
      </c>
      <c r="F1076" s="63">
        <f t="shared" si="63"/>
        <v>463.2287399999999</v>
      </c>
      <c r="G1076" s="85"/>
      <c r="H1076" s="86"/>
    </row>
    <row r="1077" spans="1:8" s="53" customFormat="1" ht="15.65" customHeight="1" x14ac:dyDescent="0.35">
      <c r="A1077" s="82" t="s">
        <v>986</v>
      </c>
      <c r="B1077" s="82"/>
      <c r="C1077" s="63" t="s">
        <v>170</v>
      </c>
      <c r="D1077" s="66">
        <f>(37.6+0.6*2.9+1.2*2.5)*10.764</f>
        <v>455.74776000000003</v>
      </c>
      <c r="E1077" s="63">
        <v>0</v>
      </c>
      <c r="F1077" s="63">
        <f t="shared" si="63"/>
        <v>683.62164000000007</v>
      </c>
      <c r="G1077" s="85"/>
      <c r="H1077" s="86"/>
    </row>
    <row r="1078" spans="1:8" s="53" customFormat="1" ht="15.65" customHeight="1" x14ac:dyDescent="0.35">
      <c r="A1078" s="82" t="s">
        <v>987</v>
      </c>
      <c r="B1078" s="82"/>
      <c r="C1078" s="63" t="s">
        <v>1059</v>
      </c>
      <c r="D1078" s="66">
        <f>(61.19+0.6*(2.45+2.9)+1.2*3)*10.764</f>
        <v>731.95199999999977</v>
      </c>
      <c r="E1078" s="63">
        <v>0</v>
      </c>
      <c r="F1078" s="63">
        <f t="shared" si="63"/>
        <v>1097.9279999999997</v>
      </c>
      <c r="G1078" s="85"/>
      <c r="H1078" s="86"/>
    </row>
    <row r="1079" spans="1:8" s="53" customFormat="1" ht="15.65" customHeight="1" x14ac:dyDescent="0.35">
      <c r="A1079" s="82" t="s">
        <v>988</v>
      </c>
      <c r="B1079" s="82"/>
      <c r="C1079" s="63" t="s">
        <v>170</v>
      </c>
      <c r="D1079" s="66">
        <f>(35.41+0.6*2.9+1.2*2.75)*10.764</f>
        <v>435.40379999999993</v>
      </c>
      <c r="E1079" s="63">
        <v>0</v>
      </c>
      <c r="F1079" s="63">
        <f t="shared" si="63"/>
        <v>653.10569999999984</v>
      </c>
      <c r="G1079" s="85"/>
      <c r="H1079" s="86"/>
    </row>
    <row r="1080" spans="1:8" s="53" customFormat="1" ht="15.65" customHeight="1" x14ac:dyDescent="0.35">
      <c r="A1080" s="82" t="s">
        <v>989</v>
      </c>
      <c r="B1080" s="82"/>
      <c r="C1080" s="63" t="s">
        <v>486</v>
      </c>
      <c r="D1080" s="66">
        <f>(22.77+0.6*2.9+1.2*2.75)*10.764</f>
        <v>299.34683999999999</v>
      </c>
      <c r="E1080" s="63">
        <v>0</v>
      </c>
      <c r="F1080" s="63">
        <f t="shared" si="63"/>
        <v>449.02026000000001</v>
      </c>
      <c r="G1080" s="85"/>
      <c r="H1080" s="86"/>
    </row>
    <row r="1081" spans="1:8" s="53" customFormat="1" ht="15.65" customHeight="1" x14ac:dyDescent="0.35">
      <c r="A1081" s="82" t="s">
        <v>990</v>
      </c>
      <c r="B1081" s="82"/>
      <c r="C1081" s="63" t="s">
        <v>170</v>
      </c>
      <c r="D1081" s="66">
        <f>(36.89+0.6*2.9+1.2*2.5)*10.764</f>
        <v>448.10532000000001</v>
      </c>
      <c r="E1081" s="63">
        <v>0</v>
      </c>
      <c r="F1081" s="63">
        <f t="shared" si="63"/>
        <v>672.15797999999995</v>
      </c>
      <c r="G1081" s="85"/>
      <c r="H1081" s="86"/>
    </row>
    <row r="1082" spans="1:8" s="53" customFormat="1" ht="15.65" customHeight="1" x14ac:dyDescent="0.35">
      <c r="A1082" s="82" t="s">
        <v>991</v>
      </c>
      <c r="B1082" s="82"/>
      <c r="C1082" s="63" t="s">
        <v>486</v>
      </c>
      <c r="D1082" s="66">
        <f>(24.52+0.6*3+1.2*3)*10.764</f>
        <v>322.05887999999999</v>
      </c>
      <c r="E1082" s="63">
        <v>0</v>
      </c>
      <c r="F1082" s="63">
        <f t="shared" si="63"/>
        <v>483.08831999999995</v>
      </c>
      <c r="G1082" s="85"/>
      <c r="H1082" s="86"/>
    </row>
    <row r="1083" spans="1:8" s="53" customFormat="1" ht="15.65" customHeight="1" x14ac:dyDescent="0.35">
      <c r="A1083" s="82" t="s">
        <v>992</v>
      </c>
      <c r="B1083" s="82"/>
      <c r="C1083" s="68" t="s">
        <v>1059</v>
      </c>
      <c r="D1083" s="66">
        <f>(61.97+0.6*(2.45+2.9)+1.2*3)*10.764</f>
        <v>740.34791999999982</v>
      </c>
      <c r="E1083" s="63">
        <v>0</v>
      </c>
      <c r="F1083" s="63">
        <f t="shared" si="63"/>
        <v>1110.5218799999998</v>
      </c>
      <c r="G1083" s="85"/>
      <c r="H1083" s="86"/>
    </row>
    <row r="1084" spans="1:8" s="53" customFormat="1" ht="15.65" customHeight="1" x14ac:dyDescent="0.35">
      <c r="A1084" s="82" t="s">
        <v>993</v>
      </c>
      <c r="B1084" s="82"/>
      <c r="C1084" s="63" t="s">
        <v>486</v>
      </c>
      <c r="D1084" s="66">
        <f>(27.1+0.6*2.9+1.2*2.75)*10.764</f>
        <v>345.95495999999997</v>
      </c>
      <c r="E1084" s="63">
        <v>0</v>
      </c>
      <c r="F1084" s="63">
        <f t="shared" si="63"/>
        <v>518.93243999999993</v>
      </c>
      <c r="G1084" s="85"/>
      <c r="H1084" s="86"/>
    </row>
    <row r="1085" spans="1:8" s="53" customFormat="1" ht="15.65" customHeight="1" x14ac:dyDescent="0.35">
      <c r="A1085" s="82" t="s">
        <v>994</v>
      </c>
      <c r="B1085" s="82"/>
      <c r="C1085" s="63" t="s">
        <v>170</v>
      </c>
      <c r="D1085" s="66">
        <f>(35.41+0.6*2.9+1.2*2.75)*10.764</f>
        <v>435.40379999999993</v>
      </c>
      <c r="E1085" s="63">
        <v>0</v>
      </c>
      <c r="F1085" s="63">
        <f t="shared" si="63"/>
        <v>653.10569999999984</v>
      </c>
      <c r="G1085" s="85"/>
      <c r="H1085" s="86"/>
    </row>
    <row r="1086" spans="1:8" s="53" customFormat="1" ht="15.65" customHeight="1" x14ac:dyDescent="0.35">
      <c r="A1086" s="82" t="s">
        <v>995</v>
      </c>
      <c r="B1086" s="82"/>
      <c r="C1086" s="68" t="s">
        <v>1059</v>
      </c>
      <c r="D1086" s="66">
        <f>(61.56+0.6*(2.45+2.9)+1.2*3)*10.764</f>
        <v>735.93467999999984</v>
      </c>
      <c r="E1086" s="63">
        <v>0</v>
      </c>
      <c r="F1086" s="63">
        <f t="shared" si="63"/>
        <v>1103.9020199999998</v>
      </c>
      <c r="G1086" s="85"/>
      <c r="H1086" s="86"/>
    </row>
    <row r="1087" spans="1:8" s="53" customFormat="1" ht="15.65" customHeight="1" x14ac:dyDescent="0.35">
      <c r="A1087" s="82" t="s">
        <v>996</v>
      </c>
      <c r="B1087" s="82"/>
      <c r="C1087" s="68" t="s">
        <v>1059</v>
      </c>
      <c r="D1087" s="66">
        <f>(61.55+0.6*(2.45+2.9)+1.2*3)*10.764</f>
        <v>735.82703999999978</v>
      </c>
      <c r="E1087" s="63">
        <v>0</v>
      </c>
      <c r="F1087" s="63">
        <f t="shared" si="63"/>
        <v>1103.7405599999997</v>
      </c>
      <c r="G1087" s="85"/>
      <c r="H1087" s="86"/>
    </row>
    <row r="1088" spans="1:8" s="53" customFormat="1" ht="15.65" customHeight="1" x14ac:dyDescent="0.35">
      <c r="A1088" s="82" t="s">
        <v>997</v>
      </c>
      <c r="B1088" s="82"/>
      <c r="C1088" s="63" t="s">
        <v>170</v>
      </c>
      <c r="D1088" s="66">
        <f>(36.45+0.6*2.55+0.5*2.75+1.2*2.9)*10.764</f>
        <v>461.07594</v>
      </c>
      <c r="E1088" s="63">
        <v>0</v>
      </c>
      <c r="F1088" s="63">
        <f t="shared" si="63"/>
        <v>691.61391000000003</v>
      </c>
      <c r="G1088" s="85"/>
      <c r="H1088" s="86"/>
    </row>
    <row r="1089" spans="1:8" s="53" customFormat="1" ht="15.65" customHeight="1" x14ac:dyDescent="0.35">
      <c r="A1089" s="82" t="s">
        <v>998</v>
      </c>
      <c r="B1089" s="82"/>
      <c r="C1089" s="63" t="s">
        <v>170</v>
      </c>
      <c r="D1089" s="66">
        <f>(37.42+0.6*2.55+0.5*2.75+1.2*2.9)*10.764</f>
        <v>471.51701999999995</v>
      </c>
      <c r="E1089" s="63">
        <v>0</v>
      </c>
      <c r="F1089" s="63">
        <f t="shared" si="63"/>
        <v>707.27552999999989</v>
      </c>
      <c r="G1089" s="85"/>
      <c r="H1089" s="86"/>
    </row>
    <row r="1090" spans="1:8" s="53" customFormat="1" ht="15.65" customHeight="1" x14ac:dyDescent="0.35">
      <c r="A1090" s="82" t="s">
        <v>999</v>
      </c>
      <c r="B1090" s="82"/>
      <c r="C1090" s="63" t="s">
        <v>170</v>
      </c>
      <c r="D1090" s="66">
        <f>(38.18+0.6*2.55+0.5*3+1.2*2)*10.764</f>
        <v>469.41803999999996</v>
      </c>
      <c r="E1090" s="63">
        <v>0</v>
      </c>
      <c r="F1090" s="63">
        <f t="shared" si="63"/>
        <v>704.12705999999991</v>
      </c>
      <c r="G1090" s="87"/>
      <c r="H1090" s="88"/>
    </row>
    <row r="1091" spans="1:8" s="53" customFormat="1" x14ac:dyDescent="0.35">
      <c r="A1091" s="89" t="s">
        <v>735</v>
      </c>
      <c r="B1091" s="90"/>
      <c r="C1091" s="90"/>
      <c r="D1091" s="90"/>
      <c r="E1091" s="90"/>
      <c r="F1091" s="90"/>
      <c r="G1091" s="90"/>
      <c r="H1091" s="91"/>
    </row>
    <row r="1092" spans="1:8" s="53" customFormat="1" x14ac:dyDescent="0.35">
      <c r="A1092" s="82" t="s">
        <v>1000</v>
      </c>
      <c r="B1092" s="82"/>
      <c r="C1092" s="63" t="s">
        <v>486</v>
      </c>
      <c r="D1092" s="66">
        <f>(25.47+0.6*(2.9+2.35))*10.764</f>
        <v>308.06567999999993</v>
      </c>
      <c r="E1092" s="63">
        <v>0</v>
      </c>
      <c r="F1092" s="63">
        <f t="shared" ref="F1092:F1108" si="64">D1092*1.5+E1092</f>
        <v>462.09851999999989</v>
      </c>
      <c r="G1092" s="83" t="str">
        <f>A1091</f>
        <v>16th Floor</v>
      </c>
      <c r="H1092" s="84"/>
    </row>
    <row r="1093" spans="1:8" s="53" customFormat="1" ht="15.65" customHeight="1" x14ac:dyDescent="0.35">
      <c r="A1093" s="82" t="s">
        <v>1001</v>
      </c>
      <c r="B1093" s="82"/>
      <c r="C1093" s="63" t="s">
        <v>170</v>
      </c>
      <c r="D1093" s="66">
        <f>(28.68+0.6*3.05+1.2*2.9)*10.764</f>
        <v>365.86835999999994</v>
      </c>
      <c r="E1093" s="63">
        <v>0</v>
      </c>
      <c r="F1093" s="63">
        <f t="shared" si="64"/>
        <v>548.80253999999991</v>
      </c>
      <c r="G1093" s="85"/>
      <c r="H1093" s="86"/>
    </row>
    <row r="1094" spans="1:8" s="53" customFormat="1" ht="15.65" customHeight="1" x14ac:dyDescent="0.35">
      <c r="A1094" s="82" t="s">
        <v>1002</v>
      </c>
      <c r="B1094" s="82"/>
      <c r="C1094" s="63" t="s">
        <v>486</v>
      </c>
      <c r="D1094" s="66">
        <f>(23.23+0.6*2.9+1.2*3.1)*10.764</f>
        <v>308.81915999999995</v>
      </c>
      <c r="E1094" s="63">
        <v>0</v>
      </c>
      <c r="F1094" s="63">
        <f t="shared" si="64"/>
        <v>463.2287399999999</v>
      </c>
      <c r="G1094" s="85"/>
      <c r="H1094" s="86"/>
    </row>
    <row r="1095" spans="1:8" s="53" customFormat="1" ht="15.65" customHeight="1" x14ac:dyDescent="0.35">
      <c r="A1095" s="82" t="s">
        <v>1003</v>
      </c>
      <c r="B1095" s="82"/>
      <c r="C1095" s="63" t="s">
        <v>170</v>
      </c>
      <c r="D1095" s="66">
        <f>(37.6+0.6*2.9+1.2*2.5)*10.764</f>
        <v>455.74776000000003</v>
      </c>
      <c r="E1095" s="63">
        <v>0</v>
      </c>
      <c r="F1095" s="63">
        <f t="shared" si="64"/>
        <v>683.62164000000007</v>
      </c>
      <c r="G1095" s="85"/>
      <c r="H1095" s="86"/>
    </row>
    <row r="1096" spans="1:8" s="53" customFormat="1" ht="15.65" customHeight="1" x14ac:dyDescent="0.35">
      <c r="A1096" s="82" t="s">
        <v>1004</v>
      </c>
      <c r="B1096" s="82"/>
      <c r="C1096" s="63" t="s">
        <v>1059</v>
      </c>
      <c r="D1096" s="66">
        <f>(61.19+0.6*(2.45+2.9)+1.2*3)*10.764</f>
        <v>731.95199999999977</v>
      </c>
      <c r="E1096" s="63">
        <v>0</v>
      </c>
      <c r="F1096" s="63">
        <f t="shared" si="64"/>
        <v>1097.9279999999997</v>
      </c>
      <c r="G1096" s="85"/>
      <c r="H1096" s="86"/>
    </row>
    <row r="1097" spans="1:8" s="53" customFormat="1" ht="15.65" customHeight="1" x14ac:dyDescent="0.35">
      <c r="A1097" s="82" t="s">
        <v>1005</v>
      </c>
      <c r="B1097" s="82"/>
      <c r="C1097" s="63" t="s">
        <v>170</v>
      </c>
      <c r="D1097" s="66">
        <f>(35.41+0.6*2.9+1.2*2.75)*10.764</f>
        <v>435.40379999999993</v>
      </c>
      <c r="E1097" s="63">
        <v>0</v>
      </c>
      <c r="F1097" s="63">
        <f t="shared" si="64"/>
        <v>653.10569999999984</v>
      </c>
      <c r="G1097" s="85"/>
      <c r="H1097" s="86"/>
    </row>
    <row r="1098" spans="1:8" s="53" customFormat="1" ht="15.65" customHeight="1" x14ac:dyDescent="0.35">
      <c r="A1098" s="82" t="s">
        <v>1006</v>
      </c>
      <c r="B1098" s="82"/>
      <c r="C1098" s="63" t="s">
        <v>486</v>
      </c>
      <c r="D1098" s="66">
        <f>(22.77+0.6*2.9+1.2*2.75)*10.764</f>
        <v>299.34683999999999</v>
      </c>
      <c r="E1098" s="63">
        <v>0</v>
      </c>
      <c r="F1098" s="63">
        <f t="shared" si="64"/>
        <v>449.02026000000001</v>
      </c>
      <c r="G1098" s="85"/>
      <c r="H1098" s="86"/>
    </row>
    <row r="1099" spans="1:8" s="53" customFormat="1" ht="15.65" customHeight="1" x14ac:dyDescent="0.35">
      <c r="A1099" s="82" t="s">
        <v>1007</v>
      </c>
      <c r="B1099" s="82"/>
      <c r="C1099" s="63" t="s">
        <v>170</v>
      </c>
      <c r="D1099" s="66">
        <f>(36.89+0.6*2.9+1.2*2.5)*10.764</f>
        <v>448.10532000000001</v>
      </c>
      <c r="E1099" s="63">
        <v>0</v>
      </c>
      <c r="F1099" s="63">
        <f t="shared" si="64"/>
        <v>672.15797999999995</v>
      </c>
      <c r="G1099" s="85"/>
      <c r="H1099" s="86"/>
    </row>
    <row r="1100" spans="1:8" s="53" customFormat="1" ht="15.65" customHeight="1" x14ac:dyDescent="0.35">
      <c r="A1100" s="82" t="s">
        <v>1008</v>
      </c>
      <c r="B1100" s="82"/>
      <c r="C1100" s="63" t="s">
        <v>486</v>
      </c>
      <c r="D1100" s="66">
        <f>(24.52+0.6*3+1.2*3)*10.764</f>
        <v>322.05887999999999</v>
      </c>
      <c r="E1100" s="63">
        <v>0</v>
      </c>
      <c r="F1100" s="63">
        <f t="shared" si="64"/>
        <v>483.08831999999995</v>
      </c>
      <c r="G1100" s="85"/>
      <c r="H1100" s="86"/>
    </row>
    <row r="1101" spans="1:8" s="53" customFormat="1" ht="15.65" customHeight="1" x14ac:dyDescent="0.35">
      <c r="A1101" s="82" t="s">
        <v>1009</v>
      </c>
      <c r="B1101" s="82"/>
      <c r="C1101" s="68" t="s">
        <v>1059</v>
      </c>
      <c r="D1101" s="66">
        <f>(61.97+0.6*(2.45+2.9)+1.2*3)*10.764</f>
        <v>740.34791999999982</v>
      </c>
      <c r="E1101" s="63">
        <v>0</v>
      </c>
      <c r="F1101" s="63">
        <f t="shared" si="64"/>
        <v>1110.5218799999998</v>
      </c>
      <c r="G1101" s="85"/>
      <c r="H1101" s="86"/>
    </row>
    <row r="1102" spans="1:8" s="53" customFormat="1" ht="15.65" customHeight="1" x14ac:dyDescent="0.35">
      <c r="A1102" s="82" t="s">
        <v>1010</v>
      </c>
      <c r="B1102" s="82"/>
      <c r="C1102" s="63" t="s">
        <v>486</v>
      </c>
      <c r="D1102" s="66">
        <f>(27.1+0.6*2.9+1.2*2.75)*10.764</f>
        <v>345.95495999999997</v>
      </c>
      <c r="E1102" s="63">
        <v>0</v>
      </c>
      <c r="F1102" s="63">
        <f t="shared" si="64"/>
        <v>518.93243999999993</v>
      </c>
      <c r="G1102" s="85"/>
      <c r="H1102" s="86"/>
    </row>
    <row r="1103" spans="1:8" s="53" customFormat="1" ht="15.65" customHeight="1" x14ac:dyDescent="0.35">
      <c r="A1103" s="82" t="s">
        <v>1011</v>
      </c>
      <c r="B1103" s="82"/>
      <c r="C1103" s="63" t="s">
        <v>170</v>
      </c>
      <c r="D1103" s="66">
        <f>(35.41+0.6*2.9+1.2*2.75)*10.764</f>
        <v>435.40379999999993</v>
      </c>
      <c r="E1103" s="63">
        <v>0</v>
      </c>
      <c r="F1103" s="63">
        <f t="shared" si="64"/>
        <v>653.10569999999984</v>
      </c>
      <c r="G1103" s="85"/>
      <c r="H1103" s="86"/>
    </row>
    <row r="1104" spans="1:8" s="53" customFormat="1" ht="15.65" customHeight="1" x14ac:dyDescent="0.35">
      <c r="A1104" s="82" t="s">
        <v>1012</v>
      </c>
      <c r="B1104" s="82"/>
      <c r="C1104" s="68" t="s">
        <v>1059</v>
      </c>
      <c r="D1104" s="66">
        <f>(61.56+0.6*(2.45+2.9)+1.2*3)*10.764</f>
        <v>735.93467999999984</v>
      </c>
      <c r="E1104" s="63">
        <v>0</v>
      </c>
      <c r="F1104" s="63">
        <f t="shared" si="64"/>
        <v>1103.9020199999998</v>
      </c>
      <c r="G1104" s="85"/>
      <c r="H1104" s="86"/>
    </row>
    <row r="1105" spans="1:8" s="53" customFormat="1" ht="15.65" customHeight="1" x14ac:dyDescent="0.35">
      <c r="A1105" s="82" t="s">
        <v>1013</v>
      </c>
      <c r="B1105" s="82"/>
      <c r="C1105" s="68" t="s">
        <v>1059</v>
      </c>
      <c r="D1105" s="66">
        <f>(61.55+0.6*(2.45+2.9)+1.2*3)*10.764</f>
        <v>735.82703999999978</v>
      </c>
      <c r="E1105" s="63">
        <v>0</v>
      </c>
      <c r="F1105" s="63">
        <f t="shared" si="64"/>
        <v>1103.7405599999997</v>
      </c>
      <c r="G1105" s="85"/>
      <c r="H1105" s="86"/>
    </row>
    <row r="1106" spans="1:8" s="53" customFormat="1" ht="15.65" customHeight="1" x14ac:dyDescent="0.35">
      <c r="A1106" s="82" t="s">
        <v>1014</v>
      </c>
      <c r="B1106" s="82"/>
      <c r="C1106" s="63" t="s">
        <v>170</v>
      </c>
      <c r="D1106" s="66">
        <f>(36.45+0.6*2.55+0.5*2.75+1.2*2.9)*10.764</f>
        <v>461.07594</v>
      </c>
      <c r="E1106" s="63">
        <v>0</v>
      </c>
      <c r="F1106" s="63">
        <f t="shared" si="64"/>
        <v>691.61391000000003</v>
      </c>
      <c r="G1106" s="85"/>
      <c r="H1106" s="86"/>
    </row>
    <row r="1107" spans="1:8" s="53" customFormat="1" ht="15.65" customHeight="1" x14ac:dyDescent="0.35">
      <c r="A1107" s="82" t="s">
        <v>1015</v>
      </c>
      <c r="B1107" s="82"/>
      <c r="C1107" s="63" t="s">
        <v>170</v>
      </c>
      <c r="D1107" s="66">
        <f>(37.42+0.6*2.55+0.5*2.75+1.2*2.9)*10.764</f>
        <v>471.51701999999995</v>
      </c>
      <c r="E1107" s="63">
        <v>0</v>
      </c>
      <c r="F1107" s="63">
        <f t="shared" si="64"/>
        <v>707.27552999999989</v>
      </c>
      <c r="G1107" s="85"/>
      <c r="H1107" s="86"/>
    </row>
    <row r="1108" spans="1:8" s="53" customFormat="1" ht="15.65" customHeight="1" x14ac:dyDescent="0.35">
      <c r="A1108" s="82" t="s">
        <v>1016</v>
      </c>
      <c r="B1108" s="82"/>
      <c r="C1108" s="63" t="s">
        <v>170</v>
      </c>
      <c r="D1108" s="66">
        <f>(38.18+0.6*2.55+0.5*3+1.2*2)*10.764</f>
        <v>469.41803999999996</v>
      </c>
      <c r="E1108" s="63">
        <v>0</v>
      </c>
      <c r="F1108" s="63">
        <f t="shared" si="64"/>
        <v>704.12705999999991</v>
      </c>
      <c r="G1108" s="87"/>
      <c r="H1108" s="88"/>
    </row>
    <row r="1109" spans="1:8" s="53" customFormat="1" x14ac:dyDescent="0.35">
      <c r="A1109" s="89" t="s">
        <v>736</v>
      </c>
      <c r="B1109" s="90"/>
      <c r="C1109" s="90"/>
      <c r="D1109" s="90"/>
      <c r="E1109" s="90"/>
      <c r="F1109" s="90"/>
      <c r="G1109" s="90"/>
      <c r="H1109" s="91"/>
    </row>
    <row r="1110" spans="1:8" s="53" customFormat="1" x14ac:dyDescent="0.35">
      <c r="A1110" s="82" t="s">
        <v>1017</v>
      </c>
      <c r="B1110" s="82"/>
      <c r="C1110" s="63" t="s">
        <v>486</v>
      </c>
      <c r="D1110" s="66">
        <f>(25.47+0.6*(2.9+2.35))*10.764</f>
        <v>308.06567999999993</v>
      </c>
      <c r="E1110" s="63">
        <v>0</v>
      </c>
      <c r="F1110" s="63">
        <f t="shared" ref="F1110:F1123" si="65">D1110*1.5+E1110</f>
        <v>462.09851999999989</v>
      </c>
      <c r="G1110" s="83" t="str">
        <f>A1109</f>
        <v>17th Floor</v>
      </c>
      <c r="H1110" s="84"/>
    </row>
    <row r="1111" spans="1:8" s="53" customFormat="1" ht="15.65" customHeight="1" x14ac:dyDescent="0.35">
      <c r="A1111" s="82" t="s">
        <v>1018</v>
      </c>
      <c r="B1111" s="82"/>
      <c r="C1111" s="63" t="s">
        <v>170</v>
      </c>
      <c r="D1111" s="66">
        <f>(28.68+0.6*3.05+1.2*2.9)*10.764</f>
        <v>365.86835999999994</v>
      </c>
      <c r="E1111" s="63">
        <v>0</v>
      </c>
      <c r="F1111" s="63">
        <f t="shared" si="65"/>
        <v>548.80253999999991</v>
      </c>
      <c r="G1111" s="85"/>
      <c r="H1111" s="86"/>
    </row>
    <row r="1112" spans="1:8" s="53" customFormat="1" ht="15.65" customHeight="1" x14ac:dyDescent="0.35">
      <c r="A1112" s="82" t="s">
        <v>1019</v>
      </c>
      <c r="B1112" s="82"/>
      <c r="C1112" s="63" t="s">
        <v>486</v>
      </c>
      <c r="D1112" s="66">
        <f>(23.23+0.6*2.9+1.2*3.1)*10.764</f>
        <v>308.81915999999995</v>
      </c>
      <c r="E1112" s="63">
        <v>0</v>
      </c>
      <c r="F1112" s="63">
        <f t="shared" si="65"/>
        <v>463.2287399999999</v>
      </c>
      <c r="G1112" s="85"/>
      <c r="H1112" s="86"/>
    </row>
    <row r="1113" spans="1:8" s="53" customFormat="1" ht="15.65" customHeight="1" x14ac:dyDescent="0.35">
      <c r="A1113" s="82" t="s">
        <v>1020</v>
      </c>
      <c r="B1113" s="82"/>
      <c r="C1113" s="63" t="s">
        <v>170</v>
      </c>
      <c r="D1113" s="66">
        <f>(37.6+0.6*2.9+1.2*2.5)*10.764</f>
        <v>455.74776000000003</v>
      </c>
      <c r="E1113" s="63">
        <v>0</v>
      </c>
      <c r="F1113" s="63">
        <f t="shared" si="65"/>
        <v>683.62164000000007</v>
      </c>
      <c r="G1113" s="85"/>
      <c r="H1113" s="86"/>
    </row>
    <row r="1114" spans="1:8" s="53" customFormat="1" ht="15.65" customHeight="1" x14ac:dyDescent="0.35">
      <c r="A1114" s="82" t="s">
        <v>1021</v>
      </c>
      <c r="B1114" s="82"/>
      <c r="C1114" s="68" t="s">
        <v>1059</v>
      </c>
      <c r="D1114" s="66">
        <f>(61.19+0.6*(2.45+2.9)+1.2*3)*10.764</f>
        <v>731.95199999999977</v>
      </c>
      <c r="E1114" s="63">
        <v>0</v>
      </c>
      <c r="F1114" s="63">
        <f t="shared" si="65"/>
        <v>1097.9279999999997</v>
      </c>
      <c r="G1114" s="85"/>
      <c r="H1114" s="86"/>
    </row>
    <row r="1115" spans="1:8" s="53" customFormat="1" ht="15.65" customHeight="1" x14ac:dyDescent="0.35">
      <c r="A1115" s="82" t="s">
        <v>1022</v>
      </c>
      <c r="B1115" s="82"/>
      <c r="C1115" s="63" t="s">
        <v>170</v>
      </c>
      <c r="D1115" s="66">
        <f>(35.41+0.6*2.9+1.2*2.75)*10.764</f>
        <v>435.40379999999993</v>
      </c>
      <c r="E1115" s="63">
        <v>0</v>
      </c>
      <c r="F1115" s="63">
        <f t="shared" si="65"/>
        <v>653.10569999999984</v>
      </c>
      <c r="G1115" s="85"/>
      <c r="H1115" s="86"/>
    </row>
    <row r="1116" spans="1:8" s="53" customFormat="1" ht="15.65" customHeight="1" x14ac:dyDescent="0.35">
      <c r="A1116" s="82" t="s">
        <v>1023</v>
      </c>
      <c r="B1116" s="82"/>
      <c r="C1116" s="63" t="s">
        <v>486</v>
      </c>
      <c r="D1116" s="66">
        <f>(22.77+0.6*2.9+1.2*2.75)*10.764</f>
        <v>299.34683999999999</v>
      </c>
      <c r="E1116" s="63">
        <v>0</v>
      </c>
      <c r="F1116" s="63">
        <f t="shared" si="65"/>
        <v>449.02026000000001</v>
      </c>
      <c r="G1116" s="85"/>
      <c r="H1116" s="86"/>
    </row>
    <row r="1117" spans="1:8" s="53" customFormat="1" ht="15.65" customHeight="1" x14ac:dyDescent="0.35">
      <c r="A1117" s="82" t="s">
        <v>1024</v>
      </c>
      <c r="B1117" s="82"/>
      <c r="C1117" s="63" t="s">
        <v>170</v>
      </c>
      <c r="D1117" s="66">
        <f>(36.89+0.6*2.9+1.2*2.5)*10.764</f>
        <v>448.10532000000001</v>
      </c>
      <c r="E1117" s="63">
        <v>0</v>
      </c>
      <c r="F1117" s="63">
        <f t="shared" si="65"/>
        <v>672.15797999999995</v>
      </c>
      <c r="G1117" s="85"/>
      <c r="H1117" s="86"/>
    </row>
    <row r="1118" spans="1:8" s="53" customFormat="1" ht="15.65" customHeight="1" x14ac:dyDescent="0.35">
      <c r="A1118" s="82" t="s">
        <v>1025</v>
      </c>
      <c r="B1118" s="82"/>
      <c r="C1118" s="63" t="s">
        <v>486</v>
      </c>
      <c r="D1118" s="66">
        <f>(24.52+0.6*3+1.2*3)*10.764</f>
        <v>322.05887999999999</v>
      </c>
      <c r="E1118" s="63">
        <v>0</v>
      </c>
      <c r="F1118" s="63">
        <f t="shared" si="65"/>
        <v>483.08831999999995</v>
      </c>
      <c r="G1118" s="85"/>
      <c r="H1118" s="86"/>
    </row>
    <row r="1119" spans="1:8" s="53" customFormat="1" ht="15.65" customHeight="1" x14ac:dyDescent="0.35">
      <c r="A1119" s="82" t="s">
        <v>1026</v>
      </c>
      <c r="B1119" s="82"/>
      <c r="C1119" s="68" t="s">
        <v>1059</v>
      </c>
      <c r="D1119" s="66">
        <f>(61.97+0.6*(2.45+2.9)+1.2*3)*10.764</f>
        <v>740.34791999999982</v>
      </c>
      <c r="E1119" s="63">
        <v>0</v>
      </c>
      <c r="F1119" s="63">
        <f t="shared" si="65"/>
        <v>1110.5218799999998</v>
      </c>
      <c r="G1119" s="85"/>
      <c r="H1119" s="86"/>
    </row>
    <row r="1120" spans="1:8" s="53" customFormat="1" ht="15.65" customHeight="1" x14ac:dyDescent="0.35">
      <c r="A1120" s="82" t="s">
        <v>1027</v>
      </c>
      <c r="B1120" s="82"/>
      <c r="C1120" s="63" t="s">
        <v>486</v>
      </c>
      <c r="D1120" s="66">
        <f>(27.1+0.6*2.9+1.2*2.75)*10.764</f>
        <v>345.95495999999997</v>
      </c>
      <c r="E1120" s="63">
        <v>0</v>
      </c>
      <c r="F1120" s="63">
        <f t="shared" si="65"/>
        <v>518.93243999999993</v>
      </c>
      <c r="G1120" s="85"/>
      <c r="H1120" s="86"/>
    </row>
    <row r="1121" spans="1:8" s="53" customFormat="1" ht="15.65" customHeight="1" x14ac:dyDescent="0.35">
      <c r="A1121" s="82" t="s">
        <v>1028</v>
      </c>
      <c r="B1121" s="82"/>
      <c r="C1121" s="63" t="s">
        <v>170</v>
      </c>
      <c r="D1121" s="66">
        <f>(35.41+0.6*2.9+1.2*2.75)*10.764</f>
        <v>435.40379999999993</v>
      </c>
      <c r="E1121" s="63">
        <v>0</v>
      </c>
      <c r="F1121" s="63">
        <f t="shared" si="65"/>
        <v>653.10569999999984</v>
      </c>
      <c r="G1121" s="85"/>
      <c r="H1121" s="86"/>
    </row>
    <row r="1122" spans="1:8" s="53" customFormat="1" ht="15.65" customHeight="1" x14ac:dyDescent="0.35">
      <c r="A1122" s="82" t="s">
        <v>1029</v>
      </c>
      <c r="B1122" s="82"/>
      <c r="C1122" s="68" t="s">
        <v>1059</v>
      </c>
      <c r="D1122" s="66">
        <f>(61.56+0.6*(2.45+2.9)+1.2*3)*10.764</f>
        <v>735.93467999999984</v>
      </c>
      <c r="E1122" s="63">
        <v>0</v>
      </c>
      <c r="F1122" s="63">
        <f t="shared" si="65"/>
        <v>1103.9020199999998</v>
      </c>
      <c r="G1122" s="85"/>
      <c r="H1122" s="86"/>
    </row>
    <row r="1123" spans="1:8" s="53" customFormat="1" ht="15.65" customHeight="1" x14ac:dyDescent="0.35">
      <c r="A1123" s="82" t="s">
        <v>1030</v>
      </c>
      <c r="B1123" s="82"/>
      <c r="C1123" s="68" t="s">
        <v>1059</v>
      </c>
      <c r="D1123" s="66">
        <f>(61.55+0.6*(2.45+2.9)+1.2*3)*10.764</f>
        <v>735.82703999999978</v>
      </c>
      <c r="E1123" s="63">
        <v>0</v>
      </c>
      <c r="F1123" s="63">
        <f t="shared" si="65"/>
        <v>1103.7405599999997</v>
      </c>
      <c r="G1123" s="85"/>
      <c r="H1123" s="86"/>
    </row>
    <row r="1124" spans="1:8" s="53" customFormat="1" ht="15.65" customHeight="1" x14ac:dyDescent="0.35">
      <c r="A1124" s="82" t="s">
        <v>1031</v>
      </c>
      <c r="B1124" s="82"/>
      <c r="C1124" s="83" t="s">
        <v>643</v>
      </c>
      <c r="D1124" s="92"/>
      <c r="E1124" s="92"/>
      <c r="F1124" s="84"/>
      <c r="G1124" s="85"/>
      <c r="H1124" s="86"/>
    </row>
    <row r="1125" spans="1:8" s="53" customFormat="1" ht="15.65" customHeight="1" x14ac:dyDescent="0.35">
      <c r="A1125" s="82" t="s">
        <v>1032</v>
      </c>
      <c r="B1125" s="82"/>
      <c r="C1125" s="87"/>
      <c r="D1125" s="93"/>
      <c r="E1125" s="93"/>
      <c r="F1125" s="88"/>
      <c r="G1125" s="85"/>
      <c r="H1125" s="86"/>
    </row>
    <row r="1126" spans="1:8" s="53" customFormat="1" ht="15.65" customHeight="1" x14ac:dyDescent="0.35">
      <c r="A1126" s="82" t="s">
        <v>1033</v>
      </c>
      <c r="B1126" s="82"/>
      <c r="C1126" s="63" t="s">
        <v>170</v>
      </c>
      <c r="D1126" s="66">
        <f>(38.18+0.6*2.55+0.5*3+1.2*2)*10.764</f>
        <v>469.41803999999996</v>
      </c>
      <c r="E1126" s="63">
        <v>0</v>
      </c>
      <c r="F1126" s="63">
        <f t="shared" ref="F1126" si="66">D1126*1.5+E1126</f>
        <v>704.12705999999991</v>
      </c>
      <c r="G1126" s="87"/>
      <c r="H1126" s="88"/>
    </row>
    <row r="1127" spans="1:8" s="53" customFormat="1" x14ac:dyDescent="0.35">
      <c r="A1127" s="89" t="s">
        <v>737</v>
      </c>
      <c r="B1127" s="90"/>
      <c r="C1127" s="90"/>
      <c r="D1127" s="90"/>
      <c r="E1127" s="90"/>
      <c r="F1127" s="90"/>
      <c r="G1127" s="90"/>
      <c r="H1127" s="91"/>
    </row>
    <row r="1128" spans="1:8" s="53" customFormat="1" x14ac:dyDescent="0.35">
      <c r="A1128" s="82" t="s">
        <v>1034</v>
      </c>
      <c r="B1128" s="82"/>
      <c r="C1128" s="63" t="s">
        <v>486</v>
      </c>
      <c r="D1128" s="66">
        <f>(25.47+0.6*(2.9+2.35))*10.764</f>
        <v>308.06567999999993</v>
      </c>
      <c r="E1128" s="63">
        <v>0</v>
      </c>
      <c r="F1128" s="63">
        <f t="shared" ref="F1128:F1141" si="67">D1128*1.5+E1128</f>
        <v>462.09851999999989</v>
      </c>
      <c r="G1128" s="83" t="str">
        <f>A1127</f>
        <v>18th Floor</v>
      </c>
      <c r="H1128" s="84"/>
    </row>
    <row r="1129" spans="1:8" s="53" customFormat="1" ht="15.65" customHeight="1" x14ac:dyDescent="0.35">
      <c r="A1129" s="82" t="s">
        <v>1035</v>
      </c>
      <c r="B1129" s="82"/>
      <c r="C1129" s="63" t="s">
        <v>170</v>
      </c>
      <c r="D1129" s="66">
        <f>(28.68+0.6*3.05+1.2*2.9)*10.764</f>
        <v>365.86835999999994</v>
      </c>
      <c r="E1129" s="63">
        <v>0</v>
      </c>
      <c r="F1129" s="63">
        <f t="shared" si="67"/>
        <v>548.80253999999991</v>
      </c>
      <c r="G1129" s="85"/>
      <c r="H1129" s="86"/>
    </row>
    <row r="1130" spans="1:8" s="53" customFormat="1" ht="15.65" customHeight="1" x14ac:dyDescent="0.35">
      <c r="A1130" s="82" t="s">
        <v>1036</v>
      </c>
      <c r="B1130" s="82"/>
      <c r="C1130" s="63" t="s">
        <v>486</v>
      </c>
      <c r="D1130" s="66">
        <f>(23.23+0.6*2.9+1.2*3.1)*10.764</f>
        <v>308.81915999999995</v>
      </c>
      <c r="E1130" s="63">
        <v>0</v>
      </c>
      <c r="F1130" s="63">
        <f t="shared" si="67"/>
        <v>463.2287399999999</v>
      </c>
      <c r="G1130" s="85"/>
      <c r="H1130" s="86"/>
    </row>
    <row r="1131" spans="1:8" s="53" customFormat="1" ht="15.65" customHeight="1" x14ac:dyDescent="0.35">
      <c r="A1131" s="82" t="s">
        <v>1037</v>
      </c>
      <c r="B1131" s="82"/>
      <c r="C1131" s="63" t="s">
        <v>170</v>
      </c>
      <c r="D1131" s="66">
        <f>(37.6+0.6*2.9+1.2*2.5)*10.764</f>
        <v>455.74776000000003</v>
      </c>
      <c r="E1131" s="63">
        <v>0</v>
      </c>
      <c r="F1131" s="63">
        <f t="shared" si="67"/>
        <v>683.62164000000007</v>
      </c>
      <c r="G1131" s="85"/>
      <c r="H1131" s="86"/>
    </row>
    <row r="1132" spans="1:8" s="53" customFormat="1" ht="15.65" customHeight="1" x14ac:dyDescent="0.35">
      <c r="A1132" s="82" t="s">
        <v>1038</v>
      </c>
      <c r="B1132" s="82"/>
      <c r="C1132" s="68" t="s">
        <v>1059</v>
      </c>
      <c r="D1132" s="66">
        <f>(61.19+0.6*(2.45+2.9)+1.2*3)*10.764</f>
        <v>731.95199999999977</v>
      </c>
      <c r="E1132" s="63">
        <v>0</v>
      </c>
      <c r="F1132" s="63">
        <f t="shared" si="67"/>
        <v>1097.9279999999997</v>
      </c>
      <c r="G1132" s="85"/>
      <c r="H1132" s="86"/>
    </row>
    <row r="1133" spans="1:8" s="53" customFormat="1" ht="15.65" customHeight="1" x14ac:dyDescent="0.35">
      <c r="A1133" s="82" t="s">
        <v>1039</v>
      </c>
      <c r="B1133" s="82"/>
      <c r="C1133" s="63" t="s">
        <v>170</v>
      </c>
      <c r="D1133" s="66">
        <f>(35.41+0.6*2.9+1.2*2.75)*10.764</f>
        <v>435.40379999999993</v>
      </c>
      <c r="E1133" s="63">
        <v>0</v>
      </c>
      <c r="F1133" s="63">
        <f t="shared" si="67"/>
        <v>653.10569999999984</v>
      </c>
      <c r="G1133" s="85"/>
      <c r="H1133" s="86"/>
    </row>
    <row r="1134" spans="1:8" s="53" customFormat="1" ht="15.65" customHeight="1" x14ac:dyDescent="0.35">
      <c r="A1134" s="82" t="s">
        <v>1040</v>
      </c>
      <c r="B1134" s="82"/>
      <c r="C1134" s="63" t="s">
        <v>486</v>
      </c>
      <c r="D1134" s="66">
        <f>(22.77+0.6*2.9+1.2*2.75)*10.764</f>
        <v>299.34683999999999</v>
      </c>
      <c r="E1134" s="63">
        <v>0</v>
      </c>
      <c r="F1134" s="63">
        <f t="shared" si="67"/>
        <v>449.02026000000001</v>
      </c>
      <c r="G1134" s="85"/>
      <c r="H1134" s="86"/>
    </row>
    <row r="1135" spans="1:8" s="53" customFormat="1" ht="15.65" customHeight="1" x14ac:dyDescent="0.35">
      <c r="A1135" s="82" t="s">
        <v>1041</v>
      </c>
      <c r="B1135" s="82"/>
      <c r="C1135" s="63" t="s">
        <v>170</v>
      </c>
      <c r="D1135" s="66">
        <f>(36.89+0.6*2.9+1.2*2.5)*10.764</f>
        <v>448.10532000000001</v>
      </c>
      <c r="E1135" s="63">
        <v>0</v>
      </c>
      <c r="F1135" s="63">
        <f t="shared" si="67"/>
        <v>672.15797999999995</v>
      </c>
      <c r="G1135" s="85"/>
      <c r="H1135" s="86"/>
    </row>
    <row r="1136" spans="1:8" s="53" customFormat="1" ht="15.65" customHeight="1" x14ac:dyDescent="0.35">
      <c r="A1136" s="82" t="s">
        <v>1042</v>
      </c>
      <c r="B1136" s="82"/>
      <c r="C1136" s="63" t="s">
        <v>486</v>
      </c>
      <c r="D1136" s="66">
        <f>(24.52+0.6*3+1.2*3)*10.764</f>
        <v>322.05887999999999</v>
      </c>
      <c r="E1136" s="63">
        <v>0</v>
      </c>
      <c r="F1136" s="63">
        <f t="shared" si="67"/>
        <v>483.08831999999995</v>
      </c>
      <c r="G1136" s="85"/>
      <c r="H1136" s="86"/>
    </row>
    <row r="1137" spans="1:8" s="53" customFormat="1" ht="15.65" customHeight="1" x14ac:dyDescent="0.35">
      <c r="A1137" s="82" t="s">
        <v>1043</v>
      </c>
      <c r="B1137" s="82"/>
      <c r="C1137" s="68" t="s">
        <v>1059</v>
      </c>
      <c r="D1137" s="66">
        <f>(61.97+0.6*(2.45+2.9)+1.2*3)*10.764</f>
        <v>740.34791999999982</v>
      </c>
      <c r="E1137" s="63">
        <v>0</v>
      </c>
      <c r="F1137" s="63">
        <f t="shared" si="67"/>
        <v>1110.5218799999998</v>
      </c>
      <c r="G1137" s="85"/>
      <c r="H1137" s="86"/>
    </row>
    <row r="1138" spans="1:8" s="53" customFormat="1" ht="15.65" customHeight="1" x14ac:dyDescent="0.35">
      <c r="A1138" s="82" t="s">
        <v>1044</v>
      </c>
      <c r="B1138" s="82"/>
      <c r="C1138" s="63" t="s">
        <v>486</v>
      </c>
      <c r="D1138" s="66">
        <f>(27.1+0.6*2.9+1.2*2.75)*10.764</f>
        <v>345.95495999999997</v>
      </c>
      <c r="E1138" s="63">
        <v>0</v>
      </c>
      <c r="F1138" s="63">
        <f t="shared" si="67"/>
        <v>518.93243999999993</v>
      </c>
      <c r="G1138" s="85"/>
      <c r="H1138" s="86"/>
    </row>
    <row r="1139" spans="1:8" s="53" customFormat="1" ht="15.65" customHeight="1" x14ac:dyDescent="0.35">
      <c r="A1139" s="82" t="s">
        <v>1045</v>
      </c>
      <c r="B1139" s="82"/>
      <c r="C1139" s="63" t="s">
        <v>170</v>
      </c>
      <c r="D1139" s="66">
        <f>(35.41+0.6*2.9+1.2*2.75)*10.764</f>
        <v>435.40379999999993</v>
      </c>
      <c r="E1139" s="63">
        <v>0</v>
      </c>
      <c r="F1139" s="63">
        <f t="shared" si="67"/>
        <v>653.10569999999984</v>
      </c>
      <c r="G1139" s="85"/>
      <c r="H1139" s="86"/>
    </row>
    <row r="1140" spans="1:8" s="53" customFormat="1" ht="15.65" customHeight="1" x14ac:dyDescent="0.35">
      <c r="A1140" s="82" t="s">
        <v>1046</v>
      </c>
      <c r="B1140" s="82"/>
      <c r="C1140" s="68" t="s">
        <v>1059</v>
      </c>
      <c r="D1140" s="66">
        <f>(61.56+0.6*(2.45+2.9)+1.2*3)*10.764</f>
        <v>735.93467999999984</v>
      </c>
      <c r="E1140" s="63">
        <v>0</v>
      </c>
      <c r="F1140" s="63">
        <f t="shared" si="67"/>
        <v>1103.9020199999998</v>
      </c>
      <c r="G1140" s="85"/>
      <c r="H1140" s="86"/>
    </row>
    <row r="1141" spans="1:8" s="53" customFormat="1" ht="15.65" customHeight="1" x14ac:dyDescent="0.35">
      <c r="A1141" s="82" t="s">
        <v>1047</v>
      </c>
      <c r="B1141" s="82"/>
      <c r="C1141" s="68" t="s">
        <v>1059</v>
      </c>
      <c r="D1141" s="66">
        <f>(61.55+0.6*(2.45+2.9)+1.2*3)*10.764</f>
        <v>735.82703999999978</v>
      </c>
      <c r="E1141" s="63">
        <v>0</v>
      </c>
      <c r="F1141" s="63">
        <f t="shared" si="67"/>
        <v>1103.7405599999997</v>
      </c>
      <c r="G1141" s="85"/>
      <c r="H1141" s="86"/>
    </row>
    <row r="1142" spans="1:8" s="53" customFormat="1" ht="15.65" customHeight="1" x14ac:dyDescent="0.35">
      <c r="A1142" s="82" t="s">
        <v>1048</v>
      </c>
      <c r="B1142" s="82"/>
      <c r="C1142" s="83" t="s">
        <v>669</v>
      </c>
      <c r="D1142" s="92"/>
      <c r="E1142" s="92"/>
      <c r="F1142" s="84"/>
      <c r="G1142" s="85"/>
      <c r="H1142" s="86"/>
    </row>
    <row r="1143" spans="1:8" s="53" customFormat="1" ht="15.65" customHeight="1" x14ac:dyDescent="0.35">
      <c r="A1143" s="82" t="s">
        <v>1049</v>
      </c>
      <c r="B1143" s="82"/>
      <c r="C1143" s="87"/>
      <c r="D1143" s="93"/>
      <c r="E1143" s="93"/>
      <c r="F1143" s="88"/>
      <c r="G1143" s="85"/>
      <c r="H1143" s="86"/>
    </row>
    <row r="1144" spans="1:8" s="53" customFormat="1" ht="15.65" customHeight="1" x14ac:dyDescent="0.35">
      <c r="A1144" s="82" t="s">
        <v>1050</v>
      </c>
      <c r="B1144" s="82"/>
      <c r="C1144" s="63" t="s">
        <v>170</v>
      </c>
      <c r="D1144" s="66">
        <f>(38.18+0.6*2.55+0.5*3+1.2*2)*10.764</f>
        <v>469.41803999999996</v>
      </c>
      <c r="E1144" s="63">
        <v>0</v>
      </c>
      <c r="F1144" s="63">
        <f t="shared" ref="F1144" si="68">D1144*1.5+E1144</f>
        <v>704.12705999999991</v>
      </c>
      <c r="G1144" s="87"/>
      <c r="H1144" s="88"/>
    </row>
    <row r="1145" spans="1:8" s="53" customFormat="1" x14ac:dyDescent="0.35">
      <c r="A1145" s="136" t="s">
        <v>172</v>
      </c>
      <c r="B1145" s="136"/>
      <c r="C1145" s="136"/>
      <c r="D1145" s="136"/>
      <c r="E1145" s="136"/>
      <c r="F1145" s="136"/>
      <c r="G1145" s="136"/>
      <c r="H1145" s="136"/>
    </row>
    <row r="1146" spans="1:8" s="53" customFormat="1" ht="185" customHeight="1" x14ac:dyDescent="0.35">
      <c r="A1146" s="134" t="s">
        <v>1073</v>
      </c>
      <c r="B1146" s="134"/>
      <c r="C1146" s="134"/>
      <c r="D1146" s="134"/>
      <c r="E1146" s="134"/>
      <c r="F1146" s="134"/>
      <c r="G1146" s="134"/>
      <c r="H1146" s="134"/>
    </row>
    <row r="1147" spans="1:8" s="53" customFormat="1" x14ac:dyDescent="0.35">
      <c r="A1147" s="135" t="s">
        <v>173</v>
      </c>
      <c r="B1147" s="135"/>
      <c r="C1147" s="135"/>
      <c r="D1147" s="135"/>
      <c r="E1147" s="135"/>
      <c r="F1147" s="135"/>
      <c r="G1147" s="135"/>
      <c r="H1147" s="135"/>
    </row>
    <row r="1148" spans="1:8" s="53" customFormat="1" x14ac:dyDescent="0.35">
      <c r="A1148" s="98" t="s">
        <v>66</v>
      </c>
      <c r="B1148" s="98"/>
      <c r="C1148" s="98"/>
      <c r="D1148" s="98"/>
      <c r="E1148" s="98"/>
      <c r="F1148" s="98"/>
      <c r="G1148" s="98"/>
      <c r="H1148" s="98"/>
    </row>
    <row r="1149" spans="1:8" s="49" customFormat="1" x14ac:dyDescent="0.35">
      <c r="A1149" s="135" t="s">
        <v>67</v>
      </c>
      <c r="B1149" s="135"/>
      <c r="C1149" s="135"/>
      <c r="D1149" s="135"/>
      <c r="E1149" s="135"/>
      <c r="F1149" s="135"/>
      <c r="G1149" s="135"/>
      <c r="H1149" s="135"/>
    </row>
    <row r="1150" spans="1:8" s="55" customFormat="1" x14ac:dyDescent="0.35">
      <c r="A1150" s="98" t="s">
        <v>68</v>
      </c>
      <c r="B1150" s="98"/>
      <c r="C1150" s="98"/>
      <c r="D1150" s="98"/>
      <c r="E1150" s="98"/>
      <c r="F1150" s="98"/>
      <c r="G1150" s="98"/>
      <c r="H1150" s="98"/>
    </row>
    <row r="1151" spans="1:8" x14ac:dyDescent="0.35">
      <c r="A1151" s="98" t="s">
        <v>69</v>
      </c>
      <c r="B1151" s="98"/>
      <c r="C1151" s="98"/>
      <c r="D1151" s="98"/>
      <c r="E1151" s="98"/>
      <c r="F1151" s="98"/>
      <c r="G1151" s="98"/>
      <c r="H1151" s="98"/>
    </row>
    <row r="1152" spans="1:8" x14ac:dyDescent="0.35">
      <c r="A1152" s="98" t="s">
        <v>321</v>
      </c>
      <c r="B1152" s="98"/>
      <c r="C1152" s="98"/>
      <c r="D1152" s="98"/>
      <c r="E1152" s="98"/>
      <c r="F1152" s="98"/>
      <c r="G1152" s="98"/>
      <c r="H1152" s="98"/>
    </row>
    <row r="1153" spans="1:8" ht="36" customHeight="1" x14ac:dyDescent="0.35">
      <c r="A1153" s="148" t="s">
        <v>70</v>
      </c>
      <c r="B1153" s="148"/>
      <c r="C1153" s="148"/>
      <c r="D1153" s="148"/>
      <c r="E1153" s="148"/>
      <c r="F1153" s="148"/>
      <c r="G1153" s="148"/>
      <c r="H1153" s="148"/>
    </row>
    <row r="1154" spans="1:8" x14ac:dyDescent="0.35">
      <c r="A1154" s="170" t="s">
        <v>107</v>
      </c>
      <c r="B1154" s="170"/>
      <c r="C1154" s="170" t="s">
        <v>333</v>
      </c>
      <c r="D1154" s="170"/>
      <c r="E1154" s="170" t="s">
        <v>145</v>
      </c>
      <c r="F1154" s="170"/>
      <c r="G1154" s="170" t="s">
        <v>336</v>
      </c>
      <c r="H1154" s="170"/>
    </row>
    <row r="1155" spans="1:8" x14ac:dyDescent="0.35">
      <c r="A1155" s="169" t="s">
        <v>109</v>
      </c>
      <c r="B1155" s="169"/>
      <c r="C1155" s="169"/>
      <c r="D1155" s="169"/>
      <c r="E1155" s="169"/>
      <c r="F1155" s="169"/>
      <c r="G1155" s="169"/>
      <c r="H1155" s="169"/>
    </row>
    <row r="1156" spans="1:8" x14ac:dyDescent="0.35">
      <c r="A1156" s="169"/>
      <c r="B1156" s="169"/>
      <c r="C1156" s="169"/>
      <c r="D1156" s="169"/>
      <c r="E1156" s="169"/>
      <c r="F1156" s="169"/>
      <c r="G1156" s="169"/>
      <c r="H1156" s="169"/>
    </row>
    <row r="1157" spans="1:8" ht="35.25" customHeight="1" x14ac:dyDescent="0.35">
      <c r="A1157" s="169"/>
      <c r="B1157" s="169"/>
      <c r="C1157" s="169"/>
      <c r="D1157" s="169"/>
      <c r="E1157" s="169"/>
      <c r="F1157" s="169"/>
      <c r="G1157" s="169"/>
      <c r="H1157" s="169"/>
    </row>
    <row r="1158" spans="1:8" x14ac:dyDescent="0.35">
      <c r="A1158" s="169"/>
      <c r="B1158" s="169"/>
      <c r="C1158" s="169"/>
      <c r="D1158" s="169"/>
      <c r="E1158" s="169"/>
      <c r="F1158" s="169"/>
      <c r="G1158" s="169"/>
      <c r="H1158" s="169"/>
    </row>
    <row r="1159" spans="1:8" x14ac:dyDescent="0.35">
      <c r="A1159" s="56" t="s">
        <v>71</v>
      </c>
      <c r="B1159" s="57"/>
      <c r="C1159" s="57"/>
      <c r="D1159" s="56" t="str">
        <f>E8</f>
        <v>MLDC Yashwant Orchid</v>
      </c>
      <c r="F1159" s="57"/>
      <c r="G1159" s="57"/>
      <c r="H1159" s="57"/>
    </row>
    <row r="1160" spans="1:8" x14ac:dyDescent="0.35">
      <c r="A1160" s="57"/>
      <c r="B1160" s="57"/>
      <c r="C1160" s="57"/>
      <c r="D1160" s="57"/>
      <c r="E1160" s="57"/>
      <c r="F1160" s="57"/>
      <c r="G1160" s="57"/>
      <c r="H1160" s="57"/>
    </row>
    <row r="1161" spans="1:8" x14ac:dyDescent="0.35">
      <c r="A1161" s="57"/>
      <c r="B1161" s="57"/>
      <c r="C1161" s="57"/>
      <c r="D1161" s="57"/>
      <c r="E1161" s="57"/>
      <c r="F1161" s="57"/>
      <c r="G1161" s="57"/>
      <c r="H1161" s="57"/>
    </row>
    <row r="1166" spans="1:8" ht="15" customHeight="1" x14ac:dyDescent="0.35"/>
    <row r="1198" spans="1:7" ht="23.5" x14ac:dyDescent="0.35">
      <c r="G1198" s="59"/>
    </row>
    <row r="1199" spans="1:7" x14ac:dyDescent="0.35">
      <c r="A1199" s="60" t="s">
        <v>1055</v>
      </c>
    </row>
    <row r="1200" spans="1:7" x14ac:dyDescent="0.35">
      <c r="A1200" s="60"/>
    </row>
    <row r="1201" spans="1:1" x14ac:dyDescent="0.35">
      <c r="A1201" s="60"/>
    </row>
    <row r="1202" spans="1:1" x14ac:dyDescent="0.35">
      <c r="A1202" s="60"/>
    </row>
    <row r="1203" spans="1:1" x14ac:dyDescent="0.35">
      <c r="A1203" s="60"/>
    </row>
    <row r="1204" spans="1:1" x14ac:dyDescent="0.35">
      <c r="A1204" s="60"/>
    </row>
    <row r="1205" spans="1:1" x14ac:dyDescent="0.35">
      <c r="A1205" s="60"/>
    </row>
    <row r="1206" spans="1:1" x14ac:dyDescent="0.35">
      <c r="A1206" s="60"/>
    </row>
    <row r="1207" spans="1:1" x14ac:dyDescent="0.35">
      <c r="A1207" s="60"/>
    </row>
    <row r="1208" spans="1:1" x14ac:dyDescent="0.35">
      <c r="A1208" s="60"/>
    </row>
    <row r="1209" spans="1:1" x14ac:dyDescent="0.35">
      <c r="A1209" s="60"/>
    </row>
    <row r="1210" spans="1:1" x14ac:dyDescent="0.35">
      <c r="A1210" s="60"/>
    </row>
    <row r="1211" spans="1:1" x14ac:dyDescent="0.35">
      <c r="A1211" s="60"/>
    </row>
    <row r="1212" spans="1:1" x14ac:dyDescent="0.35">
      <c r="A1212" s="60"/>
    </row>
    <row r="1213" spans="1:1" x14ac:dyDescent="0.35">
      <c r="A1213" s="60"/>
    </row>
    <row r="1214" spans="1:1" x14ac:dyDescent="0.35">
      <c r="A1214" s="60"/>
    </row>
    <row r="1215" spans="1:1" x14ac:dyDescent="0.35">
      <c r="A1215" s="60"/>
    </row>
    <row r="1216" spans="1:1" x14ac:dyDescent="0.35">
      <c r="A1216" s="60"/>
    </row>
    <row r="1217" spans="1:1" x14ac:dyDescent="0.35">
      <c r="A1217" s="60"/>
    </row>
    <row r="1218" spans="1:1" x14ac:dyDescent="0.35">
      <c r="A1218" s="60"/>
    </row>
    <row r="1219" spans="1:1" x14ac:dyDescent="0.35">
      <c r="A1219" s="60"/>
    </row>
    <row r="1220" spans="1:1" x14ac:dyDescent="0.35">
      <c r="A1220" s="60"/>
    </row>
    <row r="1221" spans="1:1" x14ac:dyDescent="0.35">
      <c r="A1221" s="60"/>
    </row>
    <row r="1222" spans="1:1" x14ac:dyDescent="0.35">
      <c r="A1222" s="60"/>
    </row>
    <row r="1223" spans="1:1" x14ac:dyDescent="0.35">
      <c r="A1223" s="60"/>
    </row>
    <row r="1224" spans="1:1" x14ac:dyDescent="0.35">
      <c r="A1224" s="60"/>
    </row>
    <row r="1225" spans="1:1" x14ac:dyDescent="0.35">
      <c r="A1225" s="60"/>
    </row>
    <row r="1226" spans="1:1" x14ac:dyDescent="0.35">
      <c r="A1226" s="60"/>
    </row>
    <row r="1227" spans="1:1" x14ac:dyDescent="0.35">
      <c r="A1227" s="60"/>
    </row>
    <row r="1228" spans="1:1" x14ac:dyDescent="0.35">
      <c r="A1228" s="60"/>
    </row>
    <row r="1229" spans="1:1" x14ac:dyDescent="0.35">
      <c r="A1229" s="60"/>
    </row>
    <row r="1230" spans="1:1" x14ac:dyDescent="0.35">
      <c r="A1230" s="60"/>
    </row>
    <row r="1231" spans="1:1" x14ac:dyDescent="0.35">
      <c r="A1231" s="60"/>
    </row>
    <row r="1232" spans="1:1" x14ac:dyDescent="0.35">
      <c r="A1232" s="60"/>
    </row>
    <row r="1233" spans="1:1" x14ac:dyDescent="0.35">
      <c r="A1233" s="60"/>
    </row>
    <row r="1234" spans="1:1" x14ac:dyDescent="0.35">
      <c r="A1234" s="60"/>
    </row>
    <row r="1235" spans="1:1" x14ac:dyDescent="0.35">
      <c r="A1235" s="60"/>
    </row>
    <row r="1237" spans="1:1" x14ac:dyDescent="0.35">
      <c r="A1237" s="60" t="s">
        <v>72</v>
      </c>
    </row>
    <row r="1238" spans="1:1" x14ac:dyDescent="0.35">
      <c r="A1238" s="60"/>
    </row>
    <row r="1239" spans="1:1" x14ac:dyDescent="0.35">
      <c r="A1239" s="60"/>
    </row>
    <row r="1240" spans="1:1" x14ac:dyDescent="0.35">
      <c r="A1240" s="60"/>
    </row>
    <row r="1241" spans="1:1" x14ac:dyDescent="0.35">
      <c r="A1241" s="60"/>
    </row>
    <row r="1242" spans="1:1" x14ac:dyDescent="0.35">
      <c r="A1242" s="60"/>
    </row>
    <row r="1243" spans="1:1" x14ac:dyDescent="0.35">
      <c r="A1243" s="60"/>
    </row>
    <row r="1244" spans="1:1" x14ac:dyDescent="0.35">
      <c r="A1244" s="60"/>
    </row>
    <row r="1245" spans="1:1" x14ac:dyDescent="0.35">
      <c r="A1245" s="60"/>
    </row>
    <row r="1246" spans="1:1" x14ac:dyDescent="0.35">
      <c r="A1246" s="60"/>
    </row>
    <row r="1247" spans="1:1" x14ac:dyDescent="0.35">
      <c r="A1247" s="60"/>
    </row>
    <row r="1248" spans="1:1" x14ac:dyDescent="0.35">
      <c r="A1248" s="60"/>
    </row>
    <row r="1249" spans="1:1" x14ac:dyDescent="0.35">
      <c r="A1249" s="60"/>
    </row>
    <row r="1250" spans="1:1" x14ac:dyDescent="0.35">
      <c r="A1250" s="60"/>
    </row>
    <row r="1251" spans="1:1" x14ac:dyDescent="0.35">
      <c r="A1251" s="60"/>
    </row>
    <row r="1252" spans="1:1" x14ac:dyDescent="0.35">
      <c r="A1252" s="60"/>
    </row>
    <row r="1253" spans="1:1" x14ac:dyDescent="0.35">
      <c r="A1253" s="60"/>
    </row>
    <row r="1254" spans="1:1" x14ac:dyDescent="0.35">
      <c r="A1254" s="60"/>
    </row>
    <row r="1255" spans="1:1" x14ac:dyDescent="0.35">
      <c r="A1255" s="60"/>
    </row>
    <row r="1256" spans="1:1" x14ac:dyDescent="0.35">
      <c r="A1256" s="60"/>
    </row>
    <row r="1257" spans="1:1" x14ac:dyDescent="0.35">
      <c r="A1257" s="60"/>
    </row>
    <row r="1258" spans="1:1" x14ac:dyDescent="0.35">
      <c r="A1258" s="60"/>
    </row>
    <row r="1259" spans="1:1" x14ac:dyDescent="0.35">
      <c r="A1259" s="60"/>
    </row>
    <row r="1260" spans="1:1" x14ac:dyDescent="0.35">
      <c r="A1260" s="60"/>
    </row>
    <row r="1261" spans="1:1" x14ac:dyDescent="0.35">
      <c r="A1261" s="60"/>
    </row>
    <row r="1262" spans="1:1" x14ac:dyDescent="0.35">
      <c r="A1262" s="60"/>
    </row>
    <row r="1263" spans="1:1" x14ac:dyDescent="0.35">
      <c r="A1263" s="60"/>
    </row>
    <row r="1264" spans="1:1" x14ac:dyDescent="0.35">
      <c r="A1264" s="60"/>
    </row>
    <row r="1265" spans="1:1" x14ac:dyDescent="0.35">
      <c r="A1265" s="60"/>
    </row>
    <row r="1266" spans="1:1" x14ac:dyDescent="0.35">
      <c r="A1266" s="60"/>
    </row>
    <row r="1267" spans="1:1" x14ac:dyDescent="0.35">
      <c r="A1267" s="60"/>
    </row>
    <row r="1268" spans="1:1" x14ac:dyDescent="0.35">
      <c r="A1268" s="60"/>
    </row>
    <row r="1269" spans="1:1" x14ac:dyDescent="0.35">
      <c r="A1269" s="60"/>
    </row>
    <row r="1270" spans="1:1" x14ac:dyDescent="0.35">
      <c r="A1270" s="60"/>
    </row>
    <row r="1271" spans="1:1" x14ac:dyDescent="0.35">
      <c r="A1271" s="60"/>
    </row>
    <row r="1272" spans="1:1" x14ac:dyDescent="0.35">
      <c r="A1272" s="60"/>
    </row>
    <row r="1273" spans="1:1" x14ac:dyDescent="0.35">
      <c r="A1273" s="60"/>
    </row>
    <row r="1274" spans="1:1" x14ac:dyDescent="0.35">
      <c r="A1274" s="60"/>
    </row>
    <row r="1275" spans="1:1" x14ac:dyDescent="0.35">
      <c r="A1275" s="60"/>
    </row>
    <row r="1276" spans="1:1" x14ac:dyDescent="0.35">
      <c r="A1276" s="60"/>
    </row>
    <row r="1277" spans="1:1" x14ac:dyDescent="0.35">
      <c r="A1277" s="60"/>
    </row>
    <row r="1278" spans="1:1" x14ac:dyDescent="0.35">
      <c r="A1278" s="60"/>
    </row>
    <row r="1279" spans="1:1" x14ac:dyDescent="0.35">
      <c r="A1279" s="60"/>
    </row>
    <row r="1280" spans="1:1" x14ac:dyDescent="0.35">
      <c r="A1280" s="60"/>
    </row>
  </sheetData>
  <mergeCells count="1347">
    <mergeCell ref="A110:A112"/>
    <mergeCell ref="A894:B894"/>
    <mergeCell ref="G894:H907"/>
    <mergeCell ref="A895:B895"/>
    <mergeCell ref="A896:B896"/>
    <mergeCell ref="A897:B897"/>
    <mergeCell ref="A898:B898"/>
    <mergeCell ref="A899:B899"/>
    <mergeCell ref="A900:B900"/>
    <mergeCell ref="A901:B901"/>
    <mergeCell ref="A902:B902"/>
    <mergeCell ref="A903:B903"/>
    <mergeCell ref="A904:B904"/>
    <mergeCell ref="A905:B905"/>
    <mergeCell ref="A906:B906"/>
    <mergeCell ref="A907:B907"/>
    <mergeCell ref="A884:B884"/>
    <mergeCell ref="A885:B885"/>
    <mergeCell ref="A886:B886"/>
    <mergeCell ref="A887:B887"/>
    <mergeCell ref="A888:B888"/>
    <mergeCell ref="A889:B889"/>
    <mergeCell ref="A890:B890"/>
    <mergeCell ref="A891:B891"/>
    <mergeCell ref="A892:B892"/>
    <mergeCell ref="A430:B430"/>
    <mergeCell ref="A431:B431"/>
    <mergeCell ref="A433:B433"/>
    <mergeCell ref="G429:H448"/>
    <mergeCell ref="A705:H705"/>
    <mergeCell ref="G706:H714"/>
    <mergeCell ref="A872:H872"/>
    <mergeCell ref="A881:B881"/>
    <mergeCell ref="A882:B882"/>
    <mergeCell ref="A883:B883"/>
    <mergeCell ref="A389:H389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G390:H398"/>
    <mergeCell ref="A792:B792"/>
    <mergeCell ref="A794:B794"/>
    <mergeCell ref="A674:B674"/>
    <mergeCell ref="A548:B548"/>
    <mergeCell ref="G873:H892"/>
    <mergeCell ref="A449:H449"/>
    <mergeCell ref="A450:B450"/>
    <mergeCell ref="G450:H463"/>
    <mergeCell ref="A451:B451"/>
    <mergeCell ref="A715:H715"/>
    <mergeCell ref="G716:H724"/>
    <mergeCell ref="A714:B714"/>
    <mergeCell ref="A706:B706"/>
    <mergeCell ref="A707:B707"/>
    <mergeCell ref="A541:B541"/>
    <mergeCell ref="A542:B542"/>
    <mergeCell ref="A760:B760"/>
    <mergeCell ref="A670:B670"/>
    <mergeCell ref="A388:H388"/>
    <mergeCell ref="A399:H399"/>
    <mergeCell ref="G400:H408"/>
    <mergeCell ref="G414:H427"/>
    <mergeCell ref="C417:F422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408:B408"/>
    <mergeCell ref="A383:B383"/>
    <mergeCell ref="A384:B384"/>
    <mergeCell ref="A385:B385"/>
    <mergeCell ref="A386:B386"/>
    <mergeCell ref="A387:B387"/>
    <mergeCell ref="A410:B410"/>
    <mergeCell ref="G410:H410"/>
    <mergeCell ref="A409:H409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82:B382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H348"/>
    <mergeCell ref="A349:B349"/>
    <mergeCell ref="G349:H387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63:B363"/>
    <mergeCell ref="A364:B364"/>
    <mergeCell ref="A365:B365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272:B272"/>
    <mergeCell ref="A273:B273"/>
    <mergeCell ref="A274:B274"/>
    <mergeCell ref="A275:B275"/>
    <mergeCell ref="G199:H275"/>
    <mergeCell ref="A229:B229"/>
    <mergeCell ref="A276:H276"/>
    <mergeCell ref="A277:B277"/>
    <mergeCell ref="G277:H34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183:B183"/>
    <mergeCell ref="G127:H197"/>
    <mergeCell ref="A198:H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179:B179"/>
    <mergeCell ref="A180:B180"/>
    <mergeCell ref="A181:B181"/>
    <mergeCell ref="A182:B182"/>
    <mergeCell ref="A184:B184"/>
    <mergeCell ref="A185:B185"/>
    <mergeCell ref="A186:B186"/>
    <mergeCell ref="A187:B187"/>
    <mergeCell ref="A188:B188"/>
    <mergeCell ref="A170:B170"/>
    <mergeCell ref="A171:B171"/>
    <mergeCell ref="A172:B172"/>
    <mergeCell ref="A173:B173"/>
    <mergeCell ref="A174:B174"/>
    <mergeCell ref="A175:B175"/>
    <mergeCell ref="A127:B127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540:B540"/>
    <mergeCell ref="A144:B144"/>
    <mergeCell ref="A145:B145"/>
    <mergeCell ref="A146:B146"/>
    <mergeCell ref="A147:B147"/>
    <mergeCell ref="A148:B148"/>
    <mergeCell ref="A149:B149"/>
    <mergeCell ref="A454:B454"/>
    <mergeCell ref="A438:B438"/>
    <mergeCell ref="A441:B441"/>
    <mergeCell ref="A446:B446"/>
    <mergeCell ref="A447:B447"/>
    <mergeCell ref="A128:B128"/>
    <mergeCell ref="A129:B129"/>
    <mergeCell ref="A141:B141"/>
    <mergeCell ref="A142:B142"/>
    <mergeCell ref="A143:B143"/>
    <mergeCell ref="A176:B176"/>
    <mergeCell ref="A177:B177"/>
    <mergeCell ref="A178:B178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52:B152"/>
    <mergeCell ref="A153:B153"/>
    <mergeCell ref="A154:B154"/>
    <mergeCell ref="A139:B139"/>
    <mergeCell ref="A140:B140"/>
    <mergeCell ref="A534:B534"/>
    <mergeCell ref="A150:B150"/>
    <mergeCell ref="A151:B151"/>
    <mergeCell ref="A482:B482"/>
    <mergeCell ref="A483:B483"/>
    <mergeCell ref="A475:B475"/>
    <mergeCell ref="A476:B476"/>
    <mergeCell ref="A477:B477"/>
    <mergeCell ref="C13:H13"/>
    <mergeCell ref="A13:B13"/>
    <mergeCell ref="A412:H412"/>
    <mergeCell ref="A416:B416"/>
    <mergeCell ref="A427:B427"/>
    <mergeCell ref="A522:H522"/>
    <mergeCell ref="A523:B523"/>
    <mergeCell ref="A524:B524"/>
    <mergeCell ref="A525:B525"/>
    <mergeCell ref="A526:B526"/>
    <mergeCell ref="A527:B527"/>
    <mergeCell ref="A528:B528"/>
    <mergeCell ref="A529:B529"/>
    <mergeCell ref="A414:B414"/>
    <mergeCell ref="A415:B415"/>
    <mergeCell ref="A155:B155"/>
    <mergeCell ref="A156:B156"/>
    <mergeCell ref="A157:B157"/>
    <mergeCell ref="A158:B158"/>
    <mergeCell ref="A159:B159"/>
    <mergeCell ref="A160:B160"/>
    <mergeCell ref="A138:B138"/>
    <mergeCell ref="A101:E101"/>
    <mergeCell ref="F101:H101"/>
    <mergeCell ref="A102:E102"/>
    <mergeCell ref="F104:H104"/>
    <mergeCell ref="A96:E96"/>
    <mergeCell ref="F96:H96"/>
    <mergeCell ref="A98:E98"/>
    <mergeCell ref="F98:H98"/>
    <mergeCell ref="A99:E99"/>
    <mergeCell ref="F99:H99"/>
    <mergeCell ref="A121:H121"/>
    <mergeCell ref="A432:B432"/>
    <mergeCell ref="A436:B436"/>
    <mergeCell ref="A437:B437"/>
    <mergeCell ref="A434:B434"/>
    <mergeCell ref="A435:B435"/>
    <mergeCell ref="A536:B536"/>
    <mergeCell ref="A417:B417"/>
    <mergeCell ref="A418:B418"/>
    <mergeCell ref="A419:B419"/>
    <mergeCell ref="A420:B420"/>
    <mergeCell ref="A421:B421"/>
    <mergeCell ref="A422:B422"/>
    <mergeCell ref="A423:B423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F109:H109"/>
    <mergeCell ref="A113:B113"/>
    <mergeCell ref="D113:E113"/>
    <mergeCell ref="F113:H113"/>
    <mergeCell ref="A60:C60"/>
    <mergeCell ref="D60:H60"/>
    <mergeCell ref="C49:H49"/>
    <mergeCell ref="F102:H102"/>
    <mergeCell ref="A59:C59"/>
    <mergeCell ref="D59:H59"/>
    <mergeCell ref="A105:E105"/>
    <mergeCell ref="F105:H105"/>
    <mergeCell ref="A56:C56"/>
    <mergeCell ref="A57:C57"/>
    <mergeCell ref="D57:H57"/>
    <mergeCell ref="A55:C55"/>
    <mergeCell ref="D55:H55"/>
    <mergeCell ref="D54:H54"/>
    <mergeCell ref="A61:C61"/>
    <mergeCell ref="A103:E103"/>
    <mergeCell ref="F103:H103"/>
    <mergeCell ref="A104:E104"/>
    <mergeCell ref="A90:H90"/>
    <mergeCell ref="A97:E97"/>
    <mergeCell ref="A93:H93"/>
    <mergeCell ref="C92:H92"/>
    <mergeCell ref="F95:H95"/>
    <mergeCell ref="A95:E95"/>
    <mergeCell ref="F97:H97"/>
    <mergeCell ref="A109:B109"/>
    <mergeCell ref="A100:E100"/>
    <mergeCell ref="F100:H100"/>
    <mergeCell ref="A15:B15"/>
    <mergeCell ref="A12:D12"/>
    <mergeCell ref="E12:H12"/>
    <mergeCell ref="A14:B14"/>
    <mergeCell ref="C14:H14"/>
    <mergeCell ref="C15:H15"/>
    <mergeCell ref="A16:B16"/>
    <mergeCell ref="C16:D16"/>
    <mergeCell ref="E16:F16"/>
    <mergeCell ref="G16:H16"/>
    <mergeCell ref="A17:B17"/>
    <mergeCell ref="G19:H19"/>
    <mergeCell ref="A20:D21"/>
    <mergeCell ref="E20:H21"/>
    <mergeCell ref="A22:D22"/>
    <mergeCell ref="E22:H2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C17:D17"/>
    <mergeCell ref="E17:F17"/>
    <mergeCell ref="G17:H17"/>
    <mergeCell ref="A27:D27"/>
    <mergeCell ref="E27:H27"/>
    <mergeCell ref="A40:D40"/>
    <mergeCell ref="E40:H40"/>
    <mergeCell ref="A28:D28"/>
    <mergeCell ref="E28:H28"/>
    <mergeCell ref="A35:H35"/>
    <mergeCell ref="A34:B34"/>
    <mergeCell ref="A29:D29"/>
    <mergeCell ref="E29:H29"/>
    <mergeCell ref="A38:H38"/>
    <mergeCell ref="A39:D39"/>
    <mergeCell ref="E39:H39"/>
    <mergeCell ref="A24:D24"/>
    <mergeCell ref="A25:D25"/>
    <mergeCell ref="E25:H25"/>
    <mergeCell ref="E24:H24"/>
    <mergeCell ref="A26:D26"/>
    <mergeCell ref="E26:H26"/>
    <mergeCell ref="A23:D23"/>
    <mergeCell ref="E23:H23"/>
    <mergeCell ref="A18:B18"/>
    <mergeCell ref="C18:D18"/>
    <mergeCell ref="E18:F18"/>
    <mergeCell ref="G18:H18"/>
    <mergeCell ref="A19:B19"/>
    <mergeCell ref="C19:D19"/>
    <mergeCell ref="E19:F19"/>
    <mergeCell ref="A1155:H1158"/>
    <mergeCell ref="A1154:B1154"/>
    <mergeCell ref="E1154:F1154"/>
    <mergeCell ref="C1154:D1154"/>
    <mergeCell ref="G1154:H1154"/>
    <mergeCell ref="A108:H108"/>
    <mergeCell ref="A106:E106"/>
    <mergeCell ref="F106:H106"/>
    <mergeCell ref="A107:E107"/>
    <mergeCell ref="F107:H107"/>
    <mergeCell ref="D119:E119"/>
    <mergeCell ref="F119:H119"/>
    <mergeCell ref="A123:B123"/>
    <mergeCell ref="A124:H124"/>
    <mergeCell ref="A119:B119"/>
    <mergeCell ref="A115:B115"/>
    <mergeCell ref="D115:E115"/>
    <mergeCell ref="G123:H123"/>
    <mergeCell ref="F115:H115"/>
    <mergeCell ref="A1149:H1149"/>
    <mergeCell ref="A1150:H1150"/>
    <mergeCell ref="A1151:H1151"/>
    <mergeCell ref="A1152:H1152"/>
    <mergeCell ref="A1153:H1153"/>
    <mergeCell ref="A1148:H1148"/>
    <mergeCell ref="A444:B444"/>
    <mergeCell ref="A445:B445"/>
    <mergeCell ref="A122:H122"/>
    <mergeCell ref="F31:H31"/>
    <mergeCell ref="F32:H32"/>
    <mergeCell ref="C30:E30"/>
    <mergeCell ref="F30:H30"/>
    <mergeCell ref="A31:B31"/>
    <mergeCell ref="C31:E31"/>
    <mergeCell ref="A32:B32"/>
    <mergeCell ref="C32:E32"/>
    <mergeCell ref="A33:B33"/>
    <mergeCell ref="C33:E33"/>
    <mergeCell ref="C34:E34"/>
    <mergeCell ref="A30:B30"/>
    <mergeCell ref="A52:B52"/>
    <mergeCell ref="C52:E52"/>
    <mergeCell ref="A58:C58"/>
    <mergeCell ref="D58:H58"/>
    <mergeCell ref="G46:H46"/>
    <mergeCell ref="G47:H47"/>
    <mergeCell ref="G52:H52"/>
    <mergeCell ref="C47:E47"/>
    <mergeCell ref="C48:E48"/>
    <mergeCell ref="A46:B46"/>
    <mergeCell ref="C46:E46"/>
    <mergeCell ref="A36:B36"/>
    <mergeCell ref="A48:B49"/>
    <mergeCell ref="G48:H48"/>
    <mergeCell ref="D56:H56"/>
    <mergeCell ref="A41:D41"/>
    <mergeCell ref="E41:H41"/>
    <mergeCell ref="E42:H42"/>
    <mergeCell ref="E43:H43"/>
    <mergeCell ref="E44:H44"/>
    <mergeCell ref="A42:D42"/>
    <mergeCell ref="A43:D43"/>
    <mergeCell ref="A44:D44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F33:H33"/>
    <mergeCell ref="F34:H34"/>
    <mergeCell ref="A45:H45"/>
    <mergeCell ref="A47:B47"/>
    <mergeCell ref="A53:H53"/>
    <mergeCell ref="A54:C54"/>
    <mergeCell ref="A50:B51"/>
    <mergeCell ref="C50:E50"/>
    <mergeCell ref="G50:H50"/>
    <mergeCell ref="C51:H51"/>
    <mergeCell ref="C36:H36"/>
    <mergeCell ref="A37:B37"/>
    <mergeCell ref="C37:H37"/>
    <mergeCell ref="A459:B459"/>
    <mergeCell ref="A455:B455"/>
    <mergeCell ref="A76:B76"/>
    <mergeCell ref="C76:H76"/>
    <mergeCell ref="A125:H125"/>
    <mergeCell ref="A411:H411"/>
    <mergeCell ref="A413:H413"/>
    <mergeCell ref="A701:B701"/>
    <mergeCell ref="G701:H701"/>
    <mergeCell ref="A535:B535"/>
    <mergeCell ref="A424:B424"/>
    <mergeCell ref="A425:B425"/>
    <mergeCell ref="A426:B426"/>
    <mergeCell ref="A700:B700"/>
    <mergeCell ref="G700:H700"/>
    <mergeCell ref="A531:B531"/>
    <mergeCell ref="A532:B532"/>
    <mergeCell ref="A533:B533"/>
    <mergeCell ref="A695:H695"/>
    <mergeCell ref="A696:B696"/>
    <mergeCell ref="G696:H696"/>
    <mergeCell ref="A697:B697"/>
    <mergeCell ref="G697:H697"/>
    <mergeCell ref="A698:B698"/>
    <mergeCell ref="G698:H698"/>
    <mergeCell ref="A699:B699"/>
    <mergeCell ref="G699:H699"/>
    <mergeCell ref="A94:E94"/>
    <mergeCell ref="F94:H94"/>
    <mergeCell ref="A91:H91"/>
    <mergeCell ref="A92:B92"/>
    <mergeCell ref="D109:E109"/>
    <mergeCell ref="A1146:H1146"/>
    <mergeCell ref="A1147:H1147"/>
    <mergeCell ref="A869:B869"/>
    <mergeCell ref="A870:B870"/>
    <mergeCell ref="A871:B871"/>
    <mergeCell ref="A547:B547"/>
    <mergeCell ref="A530:B530"/>
    <mergeCell ref="A545:B545"/>
    <mergeCell ref="A428:H428"/>
    <mergeCell ref="A429:B429"/>
    <mergeCell ref="F116:H116"/>
    <mergeCell ref="A439:B439"/>
    <mergeCell ref="A440:B440"/>
    <mergeCell ref="A442:B442"/>
    <mergeCell ref="A443:B443"/>
    <mergeCell ref="A456:B456"/>
    <mergeCell ref="A860:B860"/>
    <mergeCell ref="A1145:H1145"/>
    <mergeCell ref="A865:B865"/>
    <mergeCell ref="A691:B691"/>
    <mergeCell ref="A858:B858"/>
    <mergeCell ref="A708:B708"/>
    <mergeCell ref="C698:F702"/>
    <mergeCell ref="A452:B452"/>
    <mergeCell ref="A448:B448"/>
    <mergeCell ref="A457:B457"/>
    <mergeCell ref="A458:B458"/>
    <mergeCell ref="A463:B463"/>
    <mergeCell ref="A460:B460"/>
    <mergeCell ref="A461:B461"/>
    <mergeCell ref="A462:B462"/>
    <mergeCell ref="A453:B453"/>
    <mergeCell ref="A976:B976"/>
    <mergeCell ref="A855:H855"/>
    <mergeCell ref="A857:H857"/>
    <mergeCell ref="A546:B546"/>
    <mergeCell ref="A675:B675"/>
    <mergeCell ref="A553:B553"/>
    <mergeCell ref="A704:B704"/>
    <mergeCell ref="G704:H704"/>
    <mergeCell ref="A681:B681"/>
    <mergeCell ref="A554:B554"/>
    <mergeCell ref="A555:B555"/>
    <mergeCell ref="A559:B559"/>
    <mergeCell ref="A692:H692"/>
    <mergeCell ref="A564:B564"/>
    <mergeCell ref="A565:B565"/>
    <mergeCell ref="A859:B859"/>
    <mergeCell ref="G557:H572"/>
    <mergeCell ref="A558:B558"/>
    <mergeCell ref="A971:B971"/>
    <mergeCell ref="A866:B866"/>
    <mergeCell ref="A867:B867"/>
    <mergeCell ref="A693:H693"/>
    <mergeCell ref="A873:B873"/>
    <mergeCell ref="A879:B879"/>
    <mergeCell ref="A880:B880"/>
    <mergeCell ref="A874:B874"/>
    <mergeCell ref="A875:B875"/>
    <mergeCell ref="A876:B876"/>
    <mergeCell ref="A877:B877"/>
    <mergeCell ref="A878:B878"/>
    <mergeCell ref="C863:F868"/>
    <mergeCell ref="G858:H871"/>
    <mergeCell ref="A543:B543"/>
    <mergeCell ref="A544:B544"/>
    <mergeCell ref="A550:B550"/>
    <mergeCell ref="A551:B551"/>
    <mergeCell ref="A552:B552"/>
    <mergeCell ref="G523:H537"/>
    <mergeCell ref="C525:F526"/>
    <mergeCell ref="A537:B537"/>
    <mergeCell ref="A538:H538"/>
    <mergeCell ref="G539:H555"/>
    <mergeCell ref="A549:B549"/>
    <mergeCell ref="A556:H556"/>
    <mergeCell ref="A557:B557"/>
    <mergeCell ref="A975:B975"/>
    <mergeCell ref="A539:B539"/>
    <mergeCell ref="A716:B716"/>
    <mergeCell ref="A717:B717"/>
    <mergeCell ref="A718:B718"/>
    <mergeCell ref="A719:B719"/>
    <mergeCell ref="A720:B720"/>
    <mergeCell ref="A721:B721"/>
    <mergeCell ref="A722:B722"/>
    <mergeCell ref="A723:B723"/>
    <mergeCell ref="A724:B724"/>
    <mergeCell ref="A709:B709"/>
    <mergeCell ref="A710:B710"/>
    <mergeCell ref="A711:B711"/>
    <mergeCell ref="A712:B712"/>
    <mergeCell ref="A713:B713"/>
    <mergeCell ref="A730:B730"/>
    <mergeCell ref="A560:B560"/>
    <mergeCell ref="A702:B702"/>
    <mergeCell ref="A977:B977"/>
    <mergeCell ref="A970:B970"/>
    <mergeCell ref="A972:B972"/>
    <mergeCell ref="A600:B600"/>
    <mergeCell ref="A687:B687"/>
    <mergeCell ref="A969:B969"/>
    <mergeCell ref="A725:H725"/>
    <mergeCell ref="A726:B726"/>
    <mergeCell ref="G726:H734"/>
    <mergeCell ref="A727:B727"/>
    <mergeCell ref="A728:B728"/>
    <mergeCell ref="A729:B729"/>
    <mergeCell ref="A594:B594"/>
    <mergeCell ref="A757:B757"/>
    <mergeCell ref="A758:B758"/>
    <mergeCell ref="A759:B759"/>
    <mergeCell ref="A566:B566"/>
    <mergeCell ref="A573:H573"/>
    <mergeCell ref="G574:H590"/>
    <mergeCell ref="A582:B582"/>
    <mergeCell ref="A800:B800"/>
    <mergeCell ref="A801:B801"/>
    <mergeCell ref="A796:B796"/>
    <mergeCell ref="A797:B797"/>
    <mergeCell ref="A805:H805"/>
    <mergeCell ref="A572:B572"/>
    <mergeCell ref="A574:B574"/>
    <mergeCell ref="A575:B575"/>
    <mergeCell ref="A576:B576"/>
    <mergeCell ref="A577:B577"/>
    <mergeCell ref="A568:B568"/>
    <mergeCell ref="A569:B569"/>
    <mergeCell ref="A562:B562"/>
    <mergeCell ref="A563:B563"/>
    <mergeCell ref="A571:B571"/>
    <mergeCell ref="A567:B567"/>
    <mergeCell ref="A588:B588"/>
    <mergeCell ref="A589:B589"/>
    <mergeCell ref="A578:B578"/>
    <mergeCell ref="A579:B579"/>
    <mergeCell ref="A580:B580"/>
    <mergeCell ref="A581:B581"/>
    <mergeCell ref="A601:B601"/>
    <mergeCell ref="A756:B756"/>
    <mergeCell ref="A596:B596"/>
    <mergeCell ref="A597:B597"/>
    <mergeCell ref="A570:B570"/>
    <mergeCell ref="A682:B682"/>
    <mergeCell ref="A685:B685"/>
    <mergeCell ref="A686:B686"/>
    <mergeCell ref="A678:B678"/>
    <mergeCell ref="A583:B583"/>
    <mergeCell ref="A584:B584"/>
    <mergeCell ref="A585:B585"/>
    <mergeCell ref="A586:B586"/>
    <mergeCell ref="A587:B587"/>
    <mergeCell ref="A590:B590"/>
    <mergeCell ref="A592:B592"/>
    <mergeCell ref="A593:B593"/>
    <mergeCell ref="A598:B598"/>
    <mergeCell ref="A599:B599"/>
    <mergeCell ref="A631:B631"/>
    <mergeCell ref="A632:B632"/>
    <mergeCell ref="A703:B703"/>
    <mergeCell ref="A862:B862"/>
    <mergeCell ref="A863:B863"/>
    <mergeCell ref="A968:B968"/>
    <mergeCell ref="A688:B688"/>
    <mergeCell ref="A964:H964"/>
    <mergeCell ref="A806:B806"/>
    <mergeCell ref="D61:H61"/>
    <mergeCell ref="D110:E110"/>
    <mergeCell ref="D111:E111"/>
    <mergeCell ref="D112:E112"/>
    <mergeCell ref="A116:B116"/>
    <mergeCell ref="D116:E116"/>
    <mergeCell ref="A117:B117"/>
    <mergeCell ref="D117:E117"/>
    <mergeCell ref="A118:B118"/>
    <mergeCell ref="D118:E118"/>
    <mergeCell ref="F110:H110"/>
    <mergeCell ref="F111:H111"/>
    <mergeCell ref="F112:H112"/>
    <mergeCell ref="A478:B478"/>
    <mergeCell ref="A479:B479"/>
    <mergeCell ref="A480:B480"/>
    <mergeCell ref="A481:B481"/>
    <mergeCell ref="A89:B89"/>
    <mergeCell ref="F117:H117"/>
    <mergeCell ref="F118:H118"/>
    <mergeCell ref="A743:B743"/>
    <mergeCell ref="A909:B909"/>
    <mergeCell ref="G909:H927"/>
    <mergeCell ref="A910:B910"/>
    <mergeCell ref="A911:B911"/>
    <mergeCell ref="A561:B561"/>
    <mergeCell ref="A990:B990"/>
    <mergeCell ref="A982:B982"/>
    <mergeCell ref="A984:B984"/>
    <mergeCell ref="A985:B985"/>
    <mergeCell ref="A986:B986"/>
    <mergeCell ref="A980:B980"/>
    <mergeCell ref="A981:B981"/>
    <mergeCell ref="A978:B978"/>
    <mergeCell ref="A973:B973"/>
    <mergeCell ref="A965:B965"/>
    <mergeCell ref="A966:B966"/>
    <mergeCell ref="A967:B967"/>
    <mergeCell ref="A974:B974"/>
    <mergeCell ref="G965:H978"/>
    <mergeCell ref="G806:H814"/>
    <mergeCell ref="A807:B807"/>
    <mergeCell ref="A126:H126"/>
    <mergeCell ref="A464:H464"/>
    <mergeCell ref="A465:B465"/>
    <mergeCell ref="G465:H483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737:B737"/>
    <mergeCell ref="A738:B738"/>
    <mergeCell ref="A808:B808"/>
    <mergeCell ref="A120:B120"/>
    <mergeCell ref="D120:E120"/>
    <mergeCell ref="F120:H120"/>
    <mergeCell ref="A10:D10"/>
    <mergeCell ref="E10:H10"/>
    <mergeCell ref="A78:B78"/>
    <mergeCell ref="C78:H78"/>
    <mergeCell ref="A79:B79"/>
    <mergeCell ref="E79:F79"/>
    <mergeCell ref="G79:H79"/>
    <mergeCell ref="A80:B80"/>
    <mergeCell ref="E80:F89"/>
    <mergeCell ref="G80:H89"/>
    <mergeCell ref="A81:B81"/>
    <mergeCell ref="A82:B82"/>
    <mergeCell ref="A83:B83"/>
    <mergeCell ref="A84:B84"/>
    <mergeCell ref="A85:B85"/>
    <mergeCell ref="A86:B86"/>
    <mergeCell ref="A87:B87"/>
    <mergeCell ref="A88:B88"/>
    <mergeCell ref="A114:H114"/>
    <mergeCell ref="A62:B62"/>
    <mergeCell ref="C62:H62"/>
    <mergeCell ref="A64:B64"/>
    <mergeCell ref="C64:H64"/>
    <mergeCell ref="A65:B65"/>
    <mergeCell ref="E65:F65"/>
    <mergeCell ref="G65:H65"/>
    <mergeCell ref="A66:B66"/>
    <mergeCell ref="E66:F75"/>
    <mergeCell ref="G66:H75"/>
    <mergeCell ref="A912:B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21:B921"/>
    <mergeCell ref="A922:B922"/>
    <mergeCell ref="A923:B923"/>
    <mergeCell ref="A924:B924"/>
    <mergeCell ref="A925:B925"/>
    <mergeCell ref="A926:B926"/>
    <mergeCell ref="A927:B927"/>
    <mergeCell ref="A484:H484"/>
    <mergeCell ref="A485:B485"/>
    <mergeCell ref="G485:H500"/>
    <mergeCell ref="A486:B486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98:B498"/>
    <mergeCell ref="A499:B499"/>
    <mergeCell ref="A500:B500"/>
    <mergeCell ref="A928:H928"/>
    <mergeCell ref="A929:B929"/>
    <mergeCell ref="G929:H942"/>
    <mergeCell ref="A930:B930"/>
    <mergeCell ref="A931:B931"/>
    <mergeCell ref="A932:B932"/>
    <mergeCell ref="A933:B933"/>
    <mergeCell ref="A934:B934"/>
    <mergeCell ref="A935:B935"/>
    <mergeCell ref="A936:B936"/>
    <mergeCell ref="A937:B937"/>
    <mergeCell ref="A938:B938"/>
    <mergeCell ref="A939:B939"/>
    <mergeCell ref="A940:B940"/>
    <mergeCell ref="A941:B941"/>
    <mergeCell ref="A942:B942"/>
    <mergeCell ref="A745:H745"/>
    <mergeCell ref="A746:B746"/>
    <mergeCell ref="G746:H754"/>
    <mergeCell ref="A747:B747"/>
    <mergeCell ref="A748:B748"/>
    <mergeCell ref="A749:B749"/>
    <mergeCell ref="A750:B750"/>
    <mergeCell ref="A751:B751"/>
    <mergeCell ref="A752:B752"/>
    <mergeCell ref="A753:B753"/>
    <mergeCell ref="A809:B809"/>
    <mergeCell ref="A811:B811"/>
    <mergeCell ref="A812:B812"/>
    <mergeCell ref="A813:B813"/>
    <mergeCell ref="A908:H908"/>
    <mergeCell ref="A501:H501"/>
    <mergeCell ref="A502:B502"/>
    <mergeCell ref="G502:H521"/>
    <mergeCell ref="A503:B503"/>
    <mergeCell ref="A504:B504"/>
    <mergeCell ref="A505:B505"/>
    <mergeCell ref="A506:B506"/>
    <mergeCell ref="A507:B507"/>
    <mergeCell ref="A508:B508"/>
    <mergeCell ref="A509:B509"/>
    <mergeCell ref="A510:B510"/>
    <mergeCell ref="A511:B511"/>
    <mergeCell ref="A513:B513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C504:F505"/>
    <mergeCell ref="A512:B512"/>
    <mergeCell ref="A625:H625"/>
    <mergeCell ref="A626:B626"/>
    <mergeCell ref="G626:H642"/>
    <mergeCell ref="A627:B627"/>
    <mergeCell ref="A628:B628"/>
    <mergeCell ref="A629:B629"/>
    <mergeCell ref="A630:B630"/>
    <mergeCell ref="A861:B861"/>
    <mergeCell ref="A949:B949"/>
    <mergeCell ref="A950:B950"/>
    <mergeCell ref="A951:B951"/>
    <mergeCell ref="A952:B952"/>
    <mergeCell ref="A953:B953"/>
    <mergeCell ref="A955:B955"/>
    <mergeCell ref="A956:B956"/>
    <mergeCell ref="A957:B957"/>
    <mergeCell ref="A958:B958"/>
    <mergeCell ref="A959:B959"/>
    <mergeCell ref="A960:B960"/>
    <mergeCell ref="A961:B961"/>
    <mergeCell ref="A962:B962"/>
    <mergeCell ref="A963:B963"/>
    <mergeCell ref="A954:B954"/>
    <mergeCell ref="A755:H755"/>
    <mergeCell ref="G756:H764"/>
    <mergeCell ref="A762:B762"/>
    <mergeCell ref="A763:B763"/>
    <mergeCell ref="A764:B764"/>
    <mergeCell ref="A765:H765"/>
    <mergeCell ref="A766:B766"/>
    <mergeCell ref="G766:H774"/>
    <mergeCell ref="A767:B767"/>
    <mergeCell ref="A799:B799"/>
    <mergeCell ref="A868:B868"/>
    <mergeCell ref="A802:B802"/>
    <mergeCell ref="A803:B803"/>
    <mergeCell ref="A804:B804"/>
    <mergeCell ref="A864:B864"/>
    <mergeCell ref="A810:B810"/>
    <mergeCell ref="A893:H893"/>
    <mergeCell ref="A979:H979"/>
    <mergeCell ref="G980:H998"/>
    <mergeCell ref="A983:B983"/>
    <mergeCell ref="A987:B987"/>
    <mergeCell ref="A988:B988"/>
    <mergeCell ref="A989:B989"/>
    <mergeCell ref="A824:B824"/>
    <mergeCell ref="A991:B991"/>
    <mergeCell ref="A992:B992"/>
    <mergeCell ref="A993:B993"/>
    <mergeCell ref="A994:B994"/>
    <mergeCell ref="A995:B995"/>
    <mergeCell ref="A996:B996"/>
    <mergeCell ref="A997:B997"/>
    <mergeCell ref="A998:B998"/>
    <mergeCell ref="A775:H775"/>
    <mergeCell ref="A776:B776"/>
    <mergeCell ref="G776:H784"/>
    <mergeCell ref="A777:B777"/>
    <mergeCell ref="A778:B778"/>
    <mergeCell ref="A779:B779"/>
    <mergeCell ref="A780:B780"/>
    <mergeCell ref="A781:B781"/>
    <mergeCell ref="A782:B782"/>
    <mergeCell ref="A783:B783"/>
    <mergeCell ref="A943:H943"/>
    <mergeCell ref="A944:B944"/>
    <mergeCell ref="G944:H963"/>
    <mergeCell ref="A945:B945"/>
    <mergeCell ref="A946:B946"/>
    <mergeCell ref="A947:B947"/>
    <mergeCell ref="A948:B948"/>
    <mergeCell ref="A1037:B1037"/>
    <mergeCell ref="A784:B784"/>
    <mergeCell ref="A999:H999"/>
    <mergeCell ref="A1000:B1000"/>
    <mergeCell ref="G1000:H1018"/>
    <mergeCell ref="A1001:B1001"/>
    <mergeCell ref="A1002:B1002"/>
    <mergeCell ref="A1003:B1003"/>
    <mergeCell ref="A1004:B1004"/>
    <mergeCell ref="A1005:B1005"/>
    <mergeCell ref="A1006:B1006"/>
    <mergeCell ref="A1007:B1007"/>
    <mergeCell ref="A1008:B1008"/>
    <mergeCell ref="A1009:B1009"/>
    <mergeCell ref="A1010:B1010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C1015:F1016"/>
    <mergeCell ref="A785:H785"/>
    <mergeCell ref="A786:B786"/>
    <mergeCell ref="G786:H794"/>
    <mergeCell ref="A787:B787"/>
    <mergeCell ref="A788:B788"/>
    <mergeCell ref="A789:B789"/>
    <mergeCell ref="A790:B790"/>
    <mergeCell ref="A791:B791"/>
    <mergeCell ref="A1021:B1021"/>
    <mergeCell ref="A1022:B1022"/>
    <mergeCell ref="A1023:B1023"/>
    <mergeCell ref="A1024:B1024"/>
    <mergeCell ref="A1025:B1025"/>
    <mergeCell ref="A1026:B1026"/>
    <mergeCell ref="A1027:B1027"/>
    <mergeCell ref="A1028:B1028"/>
    <mergeCell ref="A1029:B1029"/>
    <mergeCell ref="A1030:B1030"/>
    <mergeCell ref="A1031:B1031"/>
    <mergeCell ref="A1032:B1032"/>
    <mergeCell ref="A1033:B1033"/>
    <mergeCell ref="A1034:B1034"/>
    <mergeCell ref="C1034:F1035"/>
    <mergeCell ref="A1035:B1035"/>
    <mergeCell ref="A1036:B1036"/>
    <mergeCell ref="A1072:B1072"/>
    <mergeCell ref="A1073:B1073"/>
    <mergeCell ref="A591:H591"/>
    <mergeCell ref="G592:H607"/>
    <mergeCell ref="A595:B595"/>
    <mergeCell ref="A602:B602"/>
    <mergeCell ref="A603:B603"/>
    <mergeCell ref="A604:B604"/>
    <mergeCell ref="A605:B605"/>
    <mergeCell ref="A606:B606"/>
    <mergeCell ref="A607:B607"/>
    <mergeCell ref="A795:H795"/>
    <mergeCell ref="G796:H804"/>
    <mergeCell ref="A798:B798"/>
    <mergeCell ref="A1038:H1038"/>
    <mergeCell ref="A1039:B1039"/>
    <mergeCell ref="G1039:H1055"/>
    <mergeCell ref="A1040:B1040"/>
    <mergeCell ref="A1041:B1041"/>
    <mergeCell ref="A1042:B1042"/>
    <mergeCell ref="A1043:B1043"/>
    <mergeCell ref="A1044:B1044"/>
    <mergeCell ref="A1045:B1045"/>
    <mergeCell ref="A1046:B1046"/>
    <mergeCell ref="A1047:B1047"/>
    <mergeCell ref="A1048:B1048"/>
    <mergeCell ref="A1051:B1051"/>
    <mergeCell ref="A1052:B1052"/>
    <mergeCell ref="A1053:B1053"/>
    <mergeCell ref="A1019:H1019"/>
    <mergeCell ref="A1020:B1020"/>
    <mergeCell ref="G1020:H1037"/>
    <mergeCell ref="A633:B633"/>
    <mergeCell ref="A634:B634"/>
    <mergeCell ref="A1054:B1054"/>
    <mergeCell ref="A1055:B1055"/>
    <mergeCell ref="A1049:B1049"/>
    <mergeCell ref="A1050:B1050"/>
    <mergeCell ref="A1056:H1056"/>
    <mergeCell ref="A1057:B1057"/>
    <mergeCell ref="G1057:H1073"/>
    <mergeCell ref="A1058:B1058"/>
    <mergeCell ref="A1059:B1059"/>
    <mergeCell ref="A1060:B1060"/>
    <mergeCell ref="A1061:B1061"/>
    <mergeCell ref="A1062:B1062"/>
    <mergeCell ref="A1063:B1063"/>
    <mergeCell ref="A1064:B1064"/>
    <mergeCell ref="A1065:B1065"/>
    <mergeCell ref="A1066:B1066"/>
    <mergeCell ref="A1067:B1067"/>
    <mergeCell ref="A1068:B1068"/>
    <mergeCell ref="A1069:B1069"/>
    <mergeCell ref="A1070:B1070"/>
    <mergeCell ref="A1071:B1071"/>
    <mergeCell ref="A635:B635"/>
    <mergeCell ref="A636:B636"/>
    <mergeCell ref="A637:B637"/>
    <mergeCell ref="A638:B638"/>
    <mergeCell ref="A641:B641"/>
    <mergeCell ref="A642:B642"/>
    <mergeCell ref="A647:B647"/>
    <mergeCell ref="A648:B648"/>
    <mergeCell ref="A649:B649"/>
    <mergeCell ref="A608:H608"/>
    <mergeCell ref="A609:B609"/>
    <mergeCell ref="G609:H624"/>
    <mergeCell ref="A610:B610"/>
    <mergeCell ref="A611:B611"/>
    <mergeCell ref="A612:B612"/>
    <mergeCell ref="A613:B613"/>
    <mergeCell ref="A614:B614"/>
    <mergeCell ref="A615:B615"/>
    <mergeCell ref="A616:B616"/>
    <mergeCell ref="A617:B617"/>
    <mergeCell ref="A618:B618"/>
    <mergeCell ref="A619:B619"/>
    <mergeCell ref="A620:B620"/>
    <mergeCell ref="A623:B623"/>
    <mergeCell ref="A624:B624"/>
    <mergeCell ref="A621:B621"/>
    <mergeCell ref="A622:B622"/>
    <mergeCell ref="C627:F628"/>
    <mergeCell ref="A639:B639"/>
    <mergeCell ref="A640:B640"/>
    <mergeCell ref="A815:H815"/>
    <mergeCell ref="A816:B816"/>
    <mergeCell ref="G816:H824"/>
    <mergeCell ref="A817:B817"/>
    <mergeCell ref="A818:B818"/>
    <mergeCell ref="A819:B819"/>
    <mergeCell ref="A820:B820"/>
    <mergeCell ref="A821:B821"/>
    <mergeCell ref="A822:B822"/>
    <mergeCell ref="A823:B823"/>
    <mergeCell ref="A662:B662"/>
    <mergeCell ref="G662:H675"/>
    <mergeCell ref="A663:B663"/>
    <mergeCell ref="A664:B664"/>
    <mergeCell ref="A665:B665"/>
    <mergeCell ref="A666:B666"/>
    <mergeCell ref="A667:B667"/>
    <mergeCell ref="A668:B668"/>
    <mergeCell ref="A669:B669"/>
    <mergeCell ref="A814:B814"/>
    <mergeCell ref="A793:B793"/>
    <mergeCell ref="A768:B768"/>
    <mergeCell ref="A769:B769"/>
    <mergeCell ref="A643:H643"/>
    <mergeCell ref="A644:B644"/>
    <mergeCell ref="G644:H660"/>
    <mergeCell ref="A645:B645"/>
    <mergeCell ref="C645:F646"/>
    <mergeCell ref="A646:B646"/>
    <mergeCell ref="A1074:H1074"/>
    <mergeCell ref="A1075:B1075"/>
    <mergeCell ref="G1075:H1090"/>
    <mergeCell ref="A1076:B1076"/>
    <mergeCell ref="A1077:B1077"/>
    <mergeCell ref="A1078:B1078"/>
    <mergeCell ref="A1079:B1079"/>
    <mergeCell ref="A1080:B1080"/>
    <mergeCell ref="A1081:B1081"/>
    <mergeCell ref="A1082:B1082"/>
    <mergeCell ref="A1083:B1083"/>
    <mergeCell ref="A1084:B1084"/>
    <mergeCell ref="A1085:B1085"/>
    <mergeCell ref="A1086:B1086"/>
    <mergeCell ref="A1087:B1087"/>
    <mergeCell ref="A1088:B1088"/>
    <mergeCell ref="A1089:B1089"/>
    <mergeCell ref="A1090:B1090"/>
    <mergeCell ref="A1091:H1091"/>
    <mergeCell ref="A1092:B1092"/>
    <mergeCell ref="G1092:H1108"/>
    <mergeCell ref="A1093:B1093"/>
    <mergeCell ref="A1094:B1094"/>
    <mergeCell ref="A1095:B1095"/>
    <mergeCell ref="A1096:B1096"/>
    <mergeCell ref="A1097:B1097"/>
    <mergeCell ref="A1098:B1098"/>
    <mergeCell ref="A1099:B1099"/>
    <mergeCell ref="A1100:B1100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650:B650"/>
    <mergeCell ref="A651:B651"/>
    <mergeCell ref="A652:B652"/>
    <mergeCell ref="A653:B653"/>
    <mergeCell ref="A654:B654"/>
    <mergeCell ref="A655:B655"/>
    <mergeCell ref="A656:B656"/>
    <mergeCell ref="A657:B657"/>
    <mergeCell ref="A658:B658"/>
    <mergeCell ref="A659:B659"/>
    <mergeCell ref="A660:B660"/>
    <mergeCell ref="A661:H661"/>
    <mergeCell ref="A770:B770"/>
    <mergeCell ref="A771:B771"/>
    <mergeCell ref="A772:B772"/>
    <mergeCell ref="A773:B773"/>
    <mergeCell ref="A774:B774"/>
    <mergeCell ref="A754:B754"/>
    <mergeCell ref="A739:B739"/>
    <mergeCell ref="A740:B740"/>
    <mergeCell ref="A741:B741"/>
    <mergeCell ref="A742:B742"/>
    <mergeCell ref="A671:B671"/>
    <mergeCell ref="A673:B673"/>
    <mergeCell ref="A761:B761"/>
    <mergeCell ref="G702:H702"/>
    <mergeCell ref="G703:H703"/>
    <mergeCell ref="A672:B672"/>
    <mergeCell ref="A835:H835"/>
    <mergeCell ref="A836:B836"/>
    <mergeCell ref="G836:H844"/>
    <mergeCell ref="A837:B837"/>
    <mergeCell ref="A838:B838"/>
    <mergeCell ref="A839:B839"/>
    <mergeCell ref="A840:B840"/>
    <mergeCell ref="A841:B841"/>
    <mergeCell ref="A842:B842"/>
    <mergeCell ref="A843:B843"/>
    <mergeCell ref="A844:B844"/>
    <mergeCell ref="A744:B744"/>
    <mergeCell ref="A731:B731"/>
    <mergeCell ref="A732:B732"/>
    <mergeCell ref="A733:B733"/>
    <mergeCell ref="A734:B734"/>
    <mergeCell ref="A735:H735"/>
    <mergeCell ref="A736:B736"/>
    <mergeCell ref="G736:H744"/>
    <mergeCell ref="A834:B834"/>
    <mergeCell ref="A1109:H1109"/>
    <mergeCell ref="A1110:B1110"/>
    <mergeCell ref="G1110:H1126"/>
    <mergeCell ref="A1111:B1111"/>
    <mergeCell ref="A1112:B1112"/>
    <mergeCell ref="A1113:B1113"/>
    <mergeCell ref="A1114:B1114"/>
    <mergeCell ref="A1115:B1115"/>
    <mergeCell ref="A1116:B1116"/>
    <mergeCell ref="A1117:B1117"/>
    <mergeCell ref="A1118:B1118"/>
    <mergeCell ref="A1119:B1119"/>
    <mergeCell ref="A1120:B1120"/>
    <mergeCell ref="A1121:B1121"/>
    <mergeCell ref="A1122:B1122"/>
    <mergeCell ref="A1123:B1123"/>
    <mergeCell ref="A1124:B1124"/>
    <mergeCell ref="A1125:B1125"/>
    <mergeCell ref="A1126:B1126"/>
    <mergeCell ref="C1124:F1125"/>
    <mergeCell ref="A1127:H1127"/>
    <mergeCell ref="A1128:B1128"/>
    <mergeCell ref="G1128:H1144"/>
    <mergeCell ref="A1129:B1129"/>
    <mergeCell ref="A1130:B1130"/>
    <mergeCell ref="A1131:B1131"/>
    <mergeCell ref="A1132:B1132"/>
    <mergeCell ref="A1133:B1133"/>
    <mergeCell ref="A1134:B1134"/>
    <mergeCell ref="A1135:B1135"/>
    <mergeCell ref="A1136:B1136"/>
    <mergeCell ref="A1137:B1137"/>
    <mergeCell ref="A1138:B1138"/>
    <mergeCell ref="A1139:B1139"/>
    <mergeCell ref="A1140:B1140"/>
    <mergeCell ref="A1141:B1141"/>
    <mergeCell ref="A1142:B1142"/>
    <mergeCell ref="C1142:F1143"/>
    <mergeCell ref="A1143:B1143"/>
    <mergeCell ref="A1144:B1144"/>
    <mergeCell ref="A856:H856"/>
    <mergeCell ref="A845:H845"/>
    <mergeCell ref="A846:B846"/>
    <mergeCell ref="G846:H854"/>
    <mergeCell ref="A847:B847"/>
    <mergeCell ref="A848:B848"/>
    <mergeCell ref="A849:B849"/>
    <mergeCell ref="A850:B850"/>
    <mergeCell ref="A851:B851"/>
    <mergeCell ref="A852:B852"/>
    <mergeCell ref="A853:B853"/>
    <mergeCell ref="A854:B854"/>
    <mergeCell ref="A676:H676"/>
    <mergeCell ref="A677:B677"/>
    <mergeCell ref="G677:H691"/>
    <mergeCell ref="A679:B679"/>
    <mergeCell ref="A680:B680"/>
    <mergeCell ref="A689:B689"/>
    <mergeCell ref="A690:B690"/>
    <mergeCell ref="A683:B683"/>
    <mergeCell ref="A684:B684"/>
    <mergeCell ref="A694:H694"/>
    <mergeCell ref="A825:H825"/>
    <mergeCell ref="A826:B826"/>
    <mergeCell ref="G826:H834"/>
    <mergeCell ref="A827:B827"/>
    <mergeCell ref="A828:B828"/>
    <mergeCell ref="A829:B829"/>
    <mergeCell ref="A830:B830"/>
    <mergeCell ref="A831:B831"/>
    <mergeCell ref="A832:B832"/>
    <mergeCell ref="A833:B833"/>
  </mergeCells>
  <hyperlinks>
    <hyperlink ref="C37" r:id="rId1"/>
  </hyperlinks>
  <printOptions horizontalCentered="1"/>
  <pageMargins left="0.39370078740157483" right="0.39370078740157483" top="0.86614173228346458" bottom="0.78740157480314965" header="0.19685039370078741" footer="0.19685039370078741"/>
  <pageSetup scale="97" fitToHeight="0" orientation="portrait" r:id="rId2"/>
  <headerFooter>
    <oddHeader>&amp;C&amp;G</oddHeader>
    <oddFooter>&amp;L&amp;"Times New Roman,Bold"&amp;12Ref No: &amp;F&amp;C&amp;G&amp;R&amp;"Times New Roman,Bold"&amp;12                                    &amp;P</oddFooter>
  </headerFooter>
  <rowBreaks count="4" manualBreakCount="4">
    <brk id="61" max="16383" man="1"/>
    <brk id="1158" max="16383" man="1"/>
    <brk id="1198" max="16383" man="1"/>
    <brk id="123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M197" sqref="M197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73</v>
      </c>
      <c r="C2" s="194"/>
      <c r="D2" s="194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74</v>
      </c>
      <c r="B4" s="3" t="s">
        <v>75</v>
      </c>
      <c r="C4" s="195" t="s">
        <v>76</v>
      </c>
      <c r="D4" s="195"/>
      <c r="E4" s="195"/>
      <c r="F4" s="4"/>
      <c r="G4" s="195" t="s">
        <v>77</v>
      </c>
      <c r="H4" s="195"/>
      <c r="I4" s="195"/>
      <c r="J4" s="195" t="s">
        <v>78</v>
      </c>
      <c r="K4" s="195"/>
      <c r="L4" s="195"/>
    </row>
    <row r="5" spans="1:12" x14ac:dyDescent="0.35">
      <c r="A5" s="1">
        <v>202</v>
      </c>
      <c r="B5" s="3"/>
      <c r="C5" s="3" t="s">
        <v>79</v>
      </c>
      <c r="D5" s="3" t="s">
        <v>80</v>
      </c>
      <c r="E5" s="3" t="s">
        <v>59</v>
      </c>
      <c r="F5" s="3"/>
      <c r="G5" s="3" t="s">
        <v>79</v>
      </c>
      <c r="H5" s="3" t="s">
        <v>80</v>
      </c>
      <c r="I5" s="3" t="s">
        <v>59</v>
      </c>
      <c r="J5" s="3" t="s">
        <v>79</v>
      </c>
      <c r="K5" s="3" t="s">
        <v>80</v>
      </c>
      <c r="L5" s="3" t="s">
        <v>59</v>
      </c>
    </row>
    <row r="6" spans="1:12" x14ac:dyDescent="0.35">
      <c r="B6" s="5" t="s">
        <v>81</v>
      </c>
      <c r="C6" s="5">
        <v>4.5</v>
      </c>
      <c r="D6" s="5">
        <v>2.9</v>
      </c>
      <c r="E6" s="5">
        <f>C6*D6</f>
        <v>13.049999999999999</v>
      </c>
      <c r="F6" s="5" t="s">
        <v>82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83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84</v>
      </c>
      <c r="C9" s="5">
        <v>1.88</v>
      </c>
      <c r="D9" s="5">
        <v>2.13</v>
      </c>
      <c r="E9" s="5">
        <f t="shared" si="0"/>
        <v>4.0043999999999995</v>
      </c>
      <c r="F9" s="5" t="s">
        <v>82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83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85</v>
      </c>
      <c r="C13" s="5"/>
      <c r="D13" s="5"/>
      <c r="E13" s="5">
        <f t="shared" si="0"/>
        <v>0</v>
      </c>
      <c r="F13" s="5" t="s">
        <v>82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83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86</v>
      </c>
      <c r="C17" s="5"/>
      <c r="D17" s="5"/>
      <c r="E17" s="5">
        <f t="shared" si="0"/>
        <v>0</v>
      </c>
      <c r="F17" s="5" t="s">
        <v>82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83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86</v>
      </c>
      <c r="C20" s="5"/>
      <c r="D20" s="5"/>
      <c r="E20" s="5">
        <f t="shared" si="0"/>
        <v>0</v>
      </c>
      <c r="F20" s="5" t="s">
        <v>82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83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87</v>
      </c>
      <c r="C23" s="5">
        <v>1.9</v>
      </c>
      <c r="D23" s="5">
        <v>1.07</v>
      </c>
      <c r="E23" s="5">
        <f t="shared" si="0"/>
        <v>2.0329999999999999</v>
      </c>
      <c r="F23" s="5" t="s">
        <v>88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89</v>
      </c>
      <c r="C24" s="5"/>
      <c r="D24" s="5"/>
      <c r="E24" s="5">
        <f t="shared" si="0"/>
        <v>0</v>
      </c>
      <c r="F24" s="5" t="s">
        <v>88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90</v>
      </c>
      <c r="C25" s="5"/>
      <c r="D25" s="5"/>
      <c r="E25" s="5">
        <f t="shared" si="0"/>
        <v>0</v>
      </c>
      <c r="F25" s="5" t="s">
        <v>88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91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92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93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94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60</v>
      </c>
      <c r="C34" s="5"/>
      <c r="D34" s="5">
        <f>E34*10.764</f>
        <v>205.45677359999996</v>
      </c>
      <c r="E34" s="5">
        <f>SUM(E6:E33)</f>
        <v>19.087399999999999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6" sqref="C16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15" zoomScaleNormal="115" workbookViewId="0">
      <selection activeCell="D5" sqref="D5:D11"/>
    </sheetView>
  </sheetViews>
  <sheetFormatPr defaultColWidth="8.7265625" defaultRowHeight="14.5" x14ac:dyDescent="0.35"/>
  <cols>
    <col min="1" max="1" width="8.7265625" style="8"/>
    <col min="2" max="2" width="22.1796875" style="8" customWidth="1"/>
    <col min="3" max="3" width="37" style="8" customWidth="1"/>
    <col min="4" max="5" width="11.453125" style="8" customWidth="1"/>
    <col min="6" max="6" width="14" style="8" customWidth="1"/>
    <col min="7" max="7" width="20" style="8" customWidth="1"/>
    <col min="8" max="8" width="16.453125" style="8" customWidth="1"/>
    <col min="9" max="16384" width="8.7265625" style="8"/>
  </cols>
  <sheetData>
    <row r="1" spans="1:9" ht="15" customHeight="1" x14ac:dyDescent="0.35"/>
    <row r="2" spans="1:9" ht="15" customHeight="1" x14ac:dyDescent="0.35">
      <c r="A2" s="9"/>
      <c r="B2" s="9"/>
      <c r="C2" s="9"/>
      <c r="D2" s="9"/>
      <c r="E2" s="9"/>
      <c r="F2" s="9"/>
      <c r="G2" s="9"/>
      <c r="H2" s="9"/>
    </row>
    <row r="3" spans="1:9" ht="15.75" customHeight="1" x14ac:dyDescent="0.35">
      <c r="A3" s="9"/>
      <c r="B3" s="196" t="s">
        <v>146</v>
      </c>
      <c r="C3" s="196"/>
      <c r="D3" s="196"/>
      <c r="E3" s="196"/>
      <c r="F3" s="196"/>
      <c r="G3" s="196"/>
      <c r="H3" s="196"/>
    </row>
    <row r="4" spans="1:9" x14ac:dyDescent="0.35">
      <c r="A4" s="9"/>
      <c r="B4" s="10" t="s">
        <v>147</v>
      </c>
      <c r="C4" s="10" t="s">
        <v>148</v>
      </c>
      <c r="D4" s="10" t="s">
        <v>74</v>
      </c>
      <c r="E4" s="10" t="s">
        <v>149</v>
      </c>
      <c r="F4" s="10" t="s">
        <v>154</v>
      </c>
      <c r="G4" s="10" t="s">
        <v>155</v>
      </c>
      <c r="H4" s="10" t="s">
        <v>150</v>
      </c>
    </row>
    <row r="5" spans="1:9" ht="15" customHeight="1" x14ac:dyDescent="0.35">
      <c r="A5" s="9"/>
      <c r="B5" s="21" t="s">
        <v>301</v>
      </c>
      <c r="C5" s="13"/>
      <c r="D5" s="21" t="s">
        <v>151</v>
      </c>
      <c r="E5" s="12"/>
      <c r="F5" s="14"/>
      <c r="G5" s="14"/>
      <c r="H5" s="15"/>
    </row>
    <row r="6" spans="1:9" x14ac:dyDescent="0.35">
      <c r="A6" s="9"/>
      <c r="B6" s="21" t="s">
        <v>301</v>
      </c>
      <c r="C6" s="16"/>
      <c r="D6" s="21" t="s">
        <v>151</v>
      </c>
      <c r="E6" s="12"/>
      <c r="F6" s="14"/>
      <c r="G6" s="14"/>
      <c r="H6" s="15"/>
    </row>
    <row r="7" spans="1:9" ht="15" customHeight="1" x14ac:dyDescent="0.35">
      <c r="A7" s="9"/>
      <c r="B7" s="21" t="s">
        <v>301</v>
      </c>
      <c r="C7" s="13"/>
      <c r="D7" s="21" t="s">
        <v>151</v>
      </c>
      <c r="E7" s="12"/>
      <c r="F7" s="14"/>
      <c r="G7" s="14"/>
      <c r="H7" s="15"/>
    </row>
    <row r="8" spans="1:9" x14ac:dyDescent="0.35">
      <c r="A8" s="9"/>
      <c r="B8" s="21" t="s">
        <v>301</v>
      </c>
      <c r="C8" s="16"/>
      <c r="D8" s="21" t="s">
        <v>151</v>
      </c>
      <c r="E8" s="12"/>
      <c r="F8" s="14"/>
      <c r="G8" s="14"/>
      <c r="H8" s="15"/>
    </row>
    <row r="9" spans="1:9" ht="15" customHeight="1" x14ac:dyDescent="0.35">
      <c r="A9" s="9"/>
      <c r="B9" s="21" t="s">
        <v>301</v>
      </c>
      <c r="C9" s="16"/>
      <c r="D9" s="21" t="s">
        <v>151</v>
      </c>
      <c r="E9" s="12"/>
      <c r="F9" s="14"/>
      <c r="G9" s="14"/>
      <c r="H9" s="15"/>
    </row>
    <row r="10" spans="1:9" ht="15" customHeight="1" x14ac:dyDescent="0.35">
      <c r="A10" s="9"/>
      <c r="B10" s="21" t="s">
        <v>301</v>
      </c>
      <c r="C10" s="13"/>
      <c r="D10" s="21" t="s">
        <v>151</v>
      </c>
      <c r="E10" s="12"/>
      <c r="F10" s="14"/>
      <c r="G10" s="14"/>
      <c r="H10" s="15"/>
    </row>
    <row r="11" spans="1:9" ht="15" customHeight="1" x14ac:dyDescent="0.35">
      <c r="A11" s="9"/>
      <c r="B11" s="21" t="s">
        <v>301</v>
      </c>
      <c r="C11" s="13"/>
      <c r="D11" s="21" t="s">
        <v>151</v>
      </c>
      <c r="E11" s="12"/>
      <c r="F11" s="14"/>
      <c r="G11" s="14"/>
      <c r="H11" s="15"/>
    </row>
    <row r="12" spans="1:9" ht="15" customHeight="1" x14ac:dyDescent="0.35">
      <c r="A12" s="9"/>
      <c r="B12" s="17" t="s">
        <v>152</v>
      </c>
      <c r="C12" s="12"/>
      <c r="D12" s="12"/>
      <c r="E12" s="12"/>
      <c r="F12" s="12"/>
      <c r="G12" s="18"/>
      <c r="H12" s="12"/>
    </row>
    <row r="13" spans="1:9" ht="15" customHeight="1" x14ac:dyDescent="0.35">
      <c r="B13" s="17" t="s">
        <v>153</v>
      </c>
      <c r="C13" s="12"/>
      <c r="D13" s="12"/>
      <c r="E13" s="12"/>
      <c r="F13" s="19"/>
      <c r="G13" s="17"/>
      <c r="H13" s="17"/>
      <c r="I13" s="11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2025-08-28T04:36:48Z</cp:lastPrinted>
  <dcterms:created xsi:type="dcterms:W3CDTF">2019-07-16T09:29:46Z</dcterms:created>
  <dcterms:modified xsi:type="dcterms:W3CDTF">2025-09-10T09:34:31Z</dcterms:modified>
</cp:coreProperties>
</file>