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August 2025\16-08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Report!$A$1:$H$587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1" i="1" l="1"/>
  <c r="C123" i="1" l="1"/>
  <c r="J134" i="1"/>
  <c r="J133" i="1"/>
  <c r="J132" i="1"/>
  <c r="J131" i="1"/>
  <c r="C95" i="1" l="1"/>
  <c r="J92" i="1" l="1"/>
  <c r="J91" i="1"/>
  <c r="J90" i="1"/>
  <c r="J89" i="1"/>
  <c r="D402" i="1" l="1"/>
  <c r="F402" i="1" s="1"/>
  <c r="D400" i="1"/>
  <c r="F400" i="1" s="1"/>
  <c r="G399" i="1"/>
  <c r="G400" i="1" s="1"/>
  <c r="G401" i="1" s="1"/>
  <c r="G402" i="1" s="1"/>
  <c r="D399" i="1"/>
  <c r="F399" i="1" s="1"/>
  <c r="E371" i="1"/>
  <c r="D371" i="1"/>
  <c r="D372" i="1"/>
  <c r="F372" i="1" s="1"/>
  <c r="D369" i="1"/>
  <c r="F369" i="1" s="1"/>
  <c r="D368" i="1"/>
  <c r="F368" i="1" s="1"/>
  <c r="D367" i="1"/>
  <c r="F367" i="1" s="1"/>
  <c r="D366" i="1"/>
  <c r="F366" i="1" s="1"/>
  <c r="G365" i="1"/>
  <c r="G366" i="1" s="1"/>
  <c r="G367" i="1" s="1"/>
  <c r="G368" i="1" s="1"/>
  <c r="G369" i="1" s="1"/>
  <c r="G370" i="1" s="1"/>
  <c r="G371" i="1" s="1"/>
  <c r="G372" i="1" s="1"/>
  <c r="D365" i="1"/>
  <c r="F365" i="1" s="1"/>
  <c r="D397" i="1"/>
  <c r="F397" i="1" s="1"/>
  <c r="D396" i="1"/>
  <c r="F396" i="1" s="1"/>
  <c r="D395" i="1"/>
  <c r="F395" i="1" s="1"/>
  <c r="G394" i="1"/>
  <c r="G395" i="1" s="1"/>
  <c r="G396" i="1" s="1"/>
  <c r="G397" i="1" s="1"/>
  <c r="D394" i="1"/>
  <c r="F394" i="1" s="1"/>
  <c r="D363" i="1"/>
  <c r="F363" i="1" s="1"/>
  <c r="D362" i="1"/>
  <c r="F362" i="1" s="1"/>
  <c r="D361" i="1"/>
  <c r="F361" i="1" s="1"/>
  <c r="D360" i="1"/>
  <c r="F360" i="1" s="1"/>
  <c r="D359" i="1"/>
  <c r="F359" i="1" s="1"/>
  <c r="D358" i="1"/>
  <c r="F358" i="1" s="1"/>
  <c r="D357" i="1"/>
  <c r="F357" i="1" s="1"/>
  <c r="G356" i="1"/>
  <c r="G357" i="1" s="1"/>
  <c r="G358" i="1" s="1"/>
  <c r="G359" i="1" s="1"/>
  <c r="G360" i="1" s="1"/>
  <c r="G361" i="1" s="1"/>
  <c r="G362" i="1" s="1"/>
  <c r="G363" i="1" s="1"/>
  <c r="D356" i="1"/>
  <c r="F356" i="1" s="1"/>
  <c r="D392" i="1"/>
  <c r="F392" i="1" s="1"/>
  <c r="D391" i="1"/>
  <c r="F391" i="1" s="1"/>
  <c r="D390" i="1"/>
  <c r="F390" i="1" s="1"/>
  <c r="G389" i="1"/>
  <c r="G390" i="1" s="1"/>
  <c r="G391" i="1" s="1"/>
  <c r="G392" i="1" s="1"/>
  <c r="N354" i="1"/>
  <c r="D354" i="1"/>
  <c r="F354" i="1" s="1"/>
  <c r="N353" i="1"/>
  <c r="D353" i="1"/>
  <c r="F353" i="1" s="1"/>
  <c r="N352" i="1"/>
  <c r="D352" i="1"/>
  <c r="F352" i="1" s="1"/>
  <c r="N351" i="1"/>
  <c r="D351" i="1"/>
  <c r="F351" i="1" s="1"/>
  <c r="N350" i="1"/>
  <c r="D350" i="1"/>
  <c r="F350" i="1" s="1"/>
  <c r="N349" i="1"/>
  <c r="D349" i="1"/>
  <c r="F349" i="1" s="1"/>
  <c r="N348" i="1"/>
  <c r="D348" i="1"/>
  <c r="F348" i="1" s="1"/>
  <c r="N347" i="1"/>
  <c r="G347" i="1"/>
  <c r="G348" i="1" s="1"/>
  <c r="G349" i="1" s="1"/>
  <c r="G350" i="1" s="1"/>
  <c r="G351" i="1" s="1"/>
  <c r="G352" i="1" s="1"/>
  <c r="G353" i="1" s="1"/>
  <c r="G354" i="1" s="1"/>
  <c r="D387" i="1"/>
  <c r="F387" i="1" s="1"/>
  <c r="D386" i="1"/>
  <c r="F386" i="1" s="1"/>
  <c r="D385" i="1"/>
  <c r="F385" i="1" s="1"/>
  <c r="N339" i="1"/>
  <c r="A339" i="1" s="1"/>
  <c r="N340" i="1"/>
  <c r="A340" i="1" s="1"/>
  <c r="N341" i="1"/>
  <c r="A341" i="1" s="1"/>
  <c r="N342" i="1"/>
  <c r="A342" i="1" s="1"/>
  <c r="N343" i="1"/>
  <c r="A343" i="1" s="1"/>
  <c r="N344" i="1"/>
  <c r="A344" i="1" s="1"/>
  <c r="N345" i="1"/>
  <c r="A345" i="1" s="1"/>
  <c r="N338" i="1"/>
  <c r="A338" i="1" s="1"/>
  <c r="G384" i="1"/>
  <c r="G385" i="1" s="1"/>
  <c r="G386" i="1" s="1"/>
  <c r="G387" i="1" s="1"/>
  <c r="D345" i="1"/>
  <c r="F345" i="1" s="1"/>
  <c r="D344" i="1"/>
  <c r="F344" i="1" s="1"/>
  <c r="D343" i="1"/>
  <c r="F343" i="1" s="1"/>
  <c r="D342" i="1"/>
  <c r="F342" i="1" s="1"/>
  <c r="D341" i="1"/>
  <c r="F341" i="1" s="1"/>
  <c r="D340" i="1"/>
  <c r="F340" i="1" s="1"/>
  <c r="D339" i="1"/>
  <c r="F339" i="1" s="1"/>
  <c r="G338" i="1"/>
  <c r="G339" i="1" s="1"/>
  <c r="G340" i="1" s="1"/>
  <c r="G341" i="1" s="1"/>
  <c r="G342" i="1" s="1"/>
  <c r="G343" i="1" s="1"/>
  <c r="G344" i="1" s="1"/>
  <c r="G345" i="1" s="1"/>
  <c r="D382" i="1"/>
  <c r="D381" i="1"/>
  <c r="D380" i="1"/>
  <c r="D379" i="1"/>
  <c r="D336" i="1"/>
  <c r="F336" i="1" s="1"/>
  <c r="D335" i="1"/>
  <c r="F335" i="1" s="1"/>
  <c r="D334" i="1"/>
  <c r="F334" i="1" s="1"/>
  <c r="D333" i="1"/>
  <c r="F333" i="1" s="1"/>
  <c r="D332" i="1"/>
  <c r="F332" i="1" s="1"/>
  <c r="D331" i="1"/>
  <c r="F331" i="1" s="1"/>
  <c r="D330" i="1"/>
  <c r="F330" i="1" s="1"/>
  <c r="D329" i="1"/>
  <c r="F329" i="1" s="1"/>
  <c r="G329" i="1"/>
  <c r="G330" i="1" s="1"/>
  <c r="G331" i="1" s="1"/>
  <c r="G332" i="1" s="1"/>
  <c r="G333" i="1" s="1"/>
  <c r="G334" i="1" s="1"/>
  <c r="G335" i="1" s="1"/>
  <c r="G336" i="1" s="1"/>
  <c r="D312" i="1"/>
  <c r="F312" i="1" s="1"/>
  <c r="D311" i="1"/>
  <c r="F311" i="1" s="1"/>
  <c r="D309" i="1"/>
  <c r="F309" i="1" s="1"/>
  <c r="D308" i="1"/>
  <c r="F308" i="1" s="1"/>
  <c r="D307" i="1"/>
  <c r="F307" i="1" s="1"/>
  <c r="D306" i="1"/>
  <c r="F306" i="1" s="1"/>
  <c r="D305" i="1"/>
  <c r="F305" i="1" s="1"/>
  <c r="G305" i="1"/>
  <c r="G306" i="1" s="1"/>
  <c r="G307" i="1" s="1"/>
  <c r="G308" i="1" s="1"/>
  <c r="G309" i="1" s="1"/>
  <c r="G310" i="1" s="1"/>
  <c r="G311" i="1" s="1"/>
  <c r="G312" i="1" s="1"/>
  <c r="D263" i="1"/>
  <c r="F263" i="1" s="1"/>
  <c r="D262" i="1"/>
  <c r="F262" i="1" s="1"/>
  <c r="D261" i="1"/>
  <c r="F261" i="1" s="1"/>
  <c r="D260" i="1"/>
  <c r="F260" i="1" s="1"/>
  <c r="D259" i="1"/>
  <c r="F259" i="1" s="1"/>
  <c r="D257" i="1"/>
  <c r="F257" i="1" s="1"/>
  <c r="D256" i="1"/>
  <c r="F256" i="1" s="1"/>
  <c r="G256" i="1"/>
  <c r="G257" i="1" s="1"/>
  <c r="G258" i="1" s="1"/>
  <c r="G259" i="1" s="1"/>
  <c r="G260" i="1" s="1"/>
  <c r="G261" i="1" s="1"/>
  <c r="G262" i="1" s="1"/>
  <c r="G263" i="1" s="1"/>
  <c r="D321" i="1"/>
  <c r="F321" i="1" s="1"/>
  <c r="D320" i="1"/>
  <c r="F320" i="1" s="1"/>
  <c r="D319" i="1"/>
  <c r="F319" i="1" s="1"/>
  <c r="D318" i="1"/>
  <c r="F318" i="1" s="1"/>
  <c r="D317" i="1"/>
  <c r="F317" i="1" s="1"/>
  <c r="D316" i="1"/>
  <c r="F316" i="1" s="1"/>
  <c r="D315" i="1"/>
  <c r="F315" i="1" s="1"/>
  <c r="D314" i="1"/>
  <c r="F314" i="1" s="1"/>
  <c r="N321" i="1"/>
  <c r="A321" i="1" s="1"/>
  <c r="N320" i="1"/>
  <c r="A320" i="1" s="1"/>
  <c r="N319" i="1"/>
  <c r="A319" i="1" s="1"/>
  <c r="N318" i="1"/>
  <c r="A318" i="1" s="1"/>
  <c r="N317" i="1"/>
  <c r="A317" i="1" s="1"/>
  <c r="N316" i="1"/>
  <c r="A316" i="1" s="1"/>
  <c r="N315" i="1"/>
  <c r="A315" i="1" s="1"/>
  <c r="N314" i="1"/>
  <c r="A314" i="1" s="1"/>
  <c r="G314" i="1"/>
  <c r="G315" i="1" s="1"/>
  <c r="G316" i="1" s="1"/>
  <c r="G317" i="1" s="1"/>
  <c r="G318" i="1" s="1"/>
  <c r="G319" i="1" s="1"/>
  <c r="G320" i="1" s="1"/>
  <c r="G321" i="1" s="1"/>
  <c r="D272" i="1"/>
  <c r="F272" i="1" s="1"/>
  <c r="D271" i="1"/>
  <c r="F271" i="1" s="1"/>
  <c r="D270" i="1"/>
  <c r="F270" i="1" s="1"/>
  <c r="D269" i="1"/>
  <c r="F269" i="1" s="1"/>
  <c r="D268" i="1"/>
  <c r="F268" i="1" s="1"/>
  <c r="D267" i="1"/>
  <c r="F267" i="1" s="1"/>
  <c r="D265" i="1"/>
  <c r="F265" i="1" s="1"/>
  <c r="D266" i="1"/>
  <c r="F266" i="1" s="1"/>
  <c r="N272" i="1"/>
  <c r="A272" i="1" s="1"/>
  <c r="N271" i="1"/>
  <c r="A271" i="1" s="1"/>
  <c r="N270" i="1"/>
  <c r="A270" i="1" s="1"/>
  <c r="N269" i="1"/>
  <c r="A269" i="1" s="1"/>
  <c r="N268" i="1"/>
  <c r="A268" i="1" s="1"/>
  <c r="N267" i="1"/>
  <c r="A267" i="1" s="1"/>
  <c r="N266" i="1"/>
  <c r="A266" i="1" s="1"/>
  <c r="N265" i="1"/>
  <c r="A265" i="1" s="1"/>
  <c r="G265" i="1"/>
  <c r="G266" i="1" s="1"/>
  <c r="G267" i="1" s="1"/>
  <c r="G268" i="1" s="1"/>
  <c r="G269" i="1" s="1"/>
  <c r="G270" i="1" s="1"/>
  <c r="G271" i="1" s="1"/>
  <c r="G272" i="1" s="1"/>
  <c r="D303" i="1"/>
  <c r="F303" i="1" s="1"/>
  <c r="J303" i="1" s="1"/>
  <c r="D302" i="1"/>
  <c r="F302" i="1" s="1"/>
  <c r="I302" i="1" s="1"/>
  <c r="D301" i="1"/>
  <c r="F301" i="1" s="1"/>
  <c r="D300" i="1"/>
  <c r="F300" i="1" s="1"/>
  <c r="D299" i="1"/>
  <c r="F299" i="1" s="1"/>
  <c r="D298" i="1"/>
  <c r="F298" i="1" s="1"/>
  <c r="D297" i="1"/>
  <c r="F297" i="1" s="1"/>
  <c r="D296" i="1"/>
  <c r="F296" i="1" s="1"/>
  <c r="I303" i="1"/>
  <c r="I296" i="1"/>
  <c r="G296" i="1"/>
  <c r="G297" i="1" s="1"/>
  <c r="G298" i="1" s="1"/>
  <c r="G299" i="1" s="1"/>
  <c r="G300" i="1" s="1"/>
  <c r="G301" i="1" s="1"/>
  <c r="G302" i="1" s="1"/>
  <c r="G303" i="1" s="1"/>
  <c r="A296" i="1"/>
  <c r="A297" i="1" s="1"/>
  <c r="A298" i="1" s="1"/>
  <c r="A299" i="1" s="1"/>
  <c r="A300" i="1" s="1"/>
  <c r="A301" i="1" s="1"/>
  <c r="A302" i="1" s="1"/>
  <c r="A303" i="1" s="1"/>
  <c r="D254" i="1"/>
  <c r="F254" i="1" s="1"/>
  <c r="D253" i="1"/>
  <c r="F253" i="1" s="1"/>
  <c r="D252" i="1"/>
  <c r="F252" i="1" s="1"/>
  <c r="D251" i="1"/>
  <c r="F251" i="1" s="1"/>
  <c r="D250" i="1"/>
  <c r="F250" i="1" s="1"/>
  <c r="D249" i="1"/>
  <c r="F249" i="1" s="1"/>
  <c r="D248" i="1"/>
  <c r="F248" i="1" s="1"/>
  <c r="D247" i="1"/>
  <c r="F247" i="1" s="1"/>
  <c r="I254" i="1"/>
  <c r="I247" i="1"/>
  <c r="G247" i="1"/>
  <c r="G248" i="1" s="1"/>
  <c r="G249" i="1" s="1"/>
  <c r="G250" i="1" s="1"/>
  <c r="G251" i="1" s="1"/>
  <c r="G252" i="1" s="1"/>
  <c r="G253" i="1" s="1"/>
  <c r="G254" i="1" s="1"/>
  <c r="A247" i="1"/>
  <c r="A248" i="1" s="1"/>
  <c r="A249" i="1" s="1"/>
  <c r="A250" i="1" s="1"/>
  <c r="A251" i="1" s="1"/>
  <c r="A252" i="1" s="1"/>
  <c r="A253" i="1" s="1"/>
  <c r="A254" i="1" s="1"/>
  <c r="D294" i="1"/>
  <c r="F294" i="1" s="1"/>
  <c r="D293" i="1"/>
  <c r="F293" i="1" s="1"/>
  <c r="D292" i="1"/>
  <c r="F292" i="1" s="1"/>
  <c r="D291" i="1"/>
  <c r="F291" i="1" s="1"/>
  <c r="D290" i="1"/>
  <c r="F290" i="1" s="1"/>
  <c r="D289" i="1"/>
  <c r="F289" i="1" s="1"/>
  <c r="D288" i="1"/>
  <c r="F288" i="1" s="1"/>
  <c r="I288" i="1" s="1"/>
  <c r="D287" i="1"/>
  <c r="F287" i="1" s="1"/>
  <c r="N294" i="1"/>
  <c r="A294" i="1" s="1"/>
  <c r="N293" i="1"/>
  <c r="A293" i="1" s="1"/>
  <c r="N292" i="1"/>
  <c r="A292" i="1" s="1"/>
  <c r="N291" i="1"/>
  <c r="A291" i="1" s="1"/>
  <c r="N290" i="1"/>
  <c r="A290" i="1" s="1"/>
  <c r="N289" i="1"/>
  <c r="A289" i="1" s="1"/>
  <c r="N288" i="1"/>
  <c r="A288" i="1" s="1"/>
  <c r="N287" i="1"/>
  <c r="A287" i="1" s="1"/>
  <c r="G287" i="1"/>
  <c r="G288" i="1" s="1"/>
  <c r="G289" i="1" s="1"/>
  <c r="G290" i="1" s="1"/>
  <c r="G291" i="1" s="1"/>
  <c r="G292" i="1" s="1"/>
  <c r="G293" i="1" s="1"/>
  <c r="G294" i="1" s="1"/>
  <c r="D241" i="1"/>
  <c r="F241" i="1" s="1"/>
  <c r="D240" i="1"/>
  <c r="F240" i="1" s="1"/>
  <c r="D231" i="1"/>
  <c r="D245" i="1"/>
  <c r="F245" i="1" s="1"/>
  <c r="D244" i="1"/>
  <c r="F244" i="1" s="1"/>
  <c r="D236" i="1"/>
  <c r="D235" i="1"/>
  <c r="D242" i="1"/>
  <c r="F242" i="1" s="1"/>
  <c r="D243" i="1"/>
  <c r="F243" i="1" s="1"/>
  <c r="D239" i="1"/>
  <c r="F239" i="1" s="1"/>
  <c r="D238" i="1"/>
  <c r="F238" i="1" s="1"/>
  <c r="D285" i="1"/>
  <c r="D284" i="1"/>
  <c r="D283" i="1"/>
  <c r="F283" i="1" s="1"/>
  <c r="D282" i="1"/>
  <c r="D281" i="1"/>
  <c r="D280" i="1"/>
  <c r="D279" i="1"/>
  <c r="D278" i="1"/>
  <c r="D234" i="1"/>
  <c r="D233" i="1"/>
  <c r="D232" i="1"/>
  <c r="D230" i="1"/>
  <c r="D229" i="1"/>
  <c r="N239" i="1"/>
  <c r="A239" i="1" s="1"/>
  <c r="N240" i="1"/>
  <c r="A240" i="1" s="1"/>
  <c r="N241" i="1"/>
  <c r="A241" i="1" s="1"/>
  <c r="N242" i="1"/>
  <c r="A242" i="1" s="1"/>
  <c r="N243" i="1"/>
  <c r="A243" i="1" s="1"/>
  <c r="N244" i="1"/>
  <c r="A244" i="1" s="1"/>
  <c r="N245" i="1"/>
  <c r="A245" i="1" s="1"/>
  <c r="N238" i="1"/>
  <c r="A238" i="1" s="1"/>
  <c r="G238" i="1"/>
  <c r="G239" i="1" s="1"/>
  <c r="G240" i="1" s="1"/>
  <c r="G241" i="1" s="1"/>
  <c r="G242" i="1" s="1"/>
  <c r="G243" i="1" s="1"/>
  <c r="G244" i="1" s="1"/>
  <c r="G245" i="1" s="1"/>
  <c r="A256" i="1"/>
  <c r="A305" i="1"/>
  <c r="A384" i="1"/>
  <c r="A329" i="1"/>
  <c r="E161" i="1" l="1"/>
  <c r="E159" i="1"/>
  <c r="E158" i="1"/>
  <c r="C158" i="1"/>
  <c r="C159" i="1"/>
  <c r="C160" i="1"/>
  <c r="C161" i="1"/>
  <c r="F371" i="1"/>
  <c r="G160" i="1" s="1"/>
  <c r="E160" i="1"/>
  <c r="F279" i="1"/>
  <c r="F285" i="1"/>
  <c r="F282" i="1"/>
  <c r="F281" i="1"/>
  <c r="F280" i="1"/>
  <c r="F278" i="1"/>
  <c r="J278" i="1" s="1"/>
  <c r="I285" i="1"/>
  <c r="F284" i="1"/>
  <c r="I278" i="1"/>
  <c r="G278" i="1"/>
  <c r="G279" i="1" s="1"/>
  <c r="G280" i="1" s="1"/>
  <c r="G281" i="1" s="1"/>
  <c r="G282" i="1" s="1"/>
  <c r="G283" i="1" s="1"/>
  <c r="G284" i="1" s="1"/>
  <c r="G285" i="1" s="1"/>
  <c r="A278" i="1"/>
  <c r="A279" i="1" s="1"/>
  <c r="A280" i="1" s="1"/>
  <c r="A281" i="1" s="1"/>
  <c r="A282" i="1" s="1"/>
  <c r="A283" i="1" s="1"/>
  <c r="A284" i="1" s="1"/>
  <c r="A285" i="1" s="1"/>
  <c r="E233" i="1"/>
  <c r="E232" i="1"/>
  <c r="E231" i="1"/>
  <c r="E230" i="1"/>
  <c r="I236" i="1"/>
  <c r="I229" i="1"/>
  <c r="A306" i="1"/>
  <c r="A385" i="1"/>
  <c r="A257" i="1"/>
  <c r="A330" i="1"/>
  <c r="E162" i="1" l="1"/>
  <c r="C162" i="1"/>
  <c r="G159" i="1"/>
  <c r="F230" i="1"/>
  <c r="F236" i="1"/>
  <c r="F235" i="1"/>
  <c r="F234" i="1"/>
  <c r="F233" i="1"/>
  <c r="F232" i="1"/>
  <c r="F231" i="1"/>
  <c r="G229" i="1"/>
  <c r="G230" i="1" s="1"/>
  <c r="G231" i="1" s="1"/>
  <c r="G232" i="1" s="1"/>
  <c r="G233" i="1" s="1"/>
  <c r="G234" i="1" s="1"/>
  <c r="G235" i="1" s="1"/>
  <c r="G236" i="1" s="1"/>
  <c r="F229" i="1"/>
  <c r="A229" i="1"/>
  <c r="A230" i="1" s="1"/>
  <c r="A231" i="1" s="1"/>
  <c r="A232" i="1" s="1"/>
  <c r="A233" i="1" s="1"/>
  <c r="A234" i="1" s="1"/>
  <c r="A235" i="1" s="1"/>
  <c r="A236" i="1" s="1"/>
  <c r="F382" i="1"/>
  <c r="F381" i="1"/>
  <c r="F380" i="1"/>
  <c r="G379" i="1"/>
  <c r="G380" i="1" s="1"/>
  <c r="G381" i="1" s="1"/>
  <c r="G382" i="1" s="1"/>
  <c r="F379" i="1"/>
  <c r="D204" i="1"/>
  <c r="E204" i="1"/>
  <c r="E203" i="1"/>
  <c r="D203" i="1"/>
  <c r="E202" i="1"/>
  <c r="D202" i="1"/>
  <c r="E201" i="1"/>
  <c r="D201" i="1"/>
  <c r="D200" i="1"/>
  <c r="F200" i="1" s="1"/>
  <c r="E199" i="1"/>
  <c r="D199" i="1"/>
  <c r="E198" i="1"/>
  <c r="D198" i="1"/>
  <c r="D197" i="1"/>
  <c r="E196" i="1"/>
  <c r="D196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D189" i="1"/>
  <c r="F189" i="1" s="1"/>
  <c r="F197" i="1"/>
  <c r="E188" i="1"/>
  <c r="D188" i="1"/>
  <c r="E187" i="1"/>
  <c r="D187" i="1"/>
  <c r="E186" i="1"/>
  <c r="D186" i="1"/>
  <c r="E185" i="1"/>
  <c r="D185" i="1"/>
  <c r="E184" i="1"/>
  <c r="D184" i="1"/>
  <c r="E183" i="1"/>
  <c r="D183" i="1"/>
  <c r="E182" i="1"/>
  <c r="D182" i="1"/>
  <c r="E181" i="1"/>
  <c r="D181" i="1"/>
  <c r="E180" i="1"/>
  <c r="D180" i="1"/>
  <c r="E179" i="1"/>
  <c r="D179" i="1"/>
  <c r="E178" i="1"/>
  <c r="D178" i="1"/>
  <c r="E177" i="1"/>
  <c r="D177" i="1"/>
  <c r="E176" i="1"/>
  <c r="D176" i="1"/>
  <c r="E175" i="1"/>
  <c r="D175" i="1"/>
  <c r="E174" i="1"/>
  <c r="D174" i="1"/>
  <c r="E173" i="1"/>
  <c r="D173" i="1"/>
  <c r="E172" i="1"/>
  <c r="D172" i="1"/>
  <c r="E171" i="1"/>
  <c r="D171" i="1"/>
  <c r="A172" i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G171" i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A386" i="1"/>
  <c r="A379" i="1"/>
  <c r="A258" i="1"/>
  <c r="A331" i="1"/>
  <c r="A307" i="1"/>
  <c r="F199" i="1" l="1"/>
  <c r="F193" i="1"/>
  <c r="F181" i="1"/>
  <c r="G161" i="1"/>
  <c r="G158" i="1"/>
  <c r="F202" i="1"/>
  <c r="F195" i="1"/>
  <c r="F204" i="1"/>
  <c r="F188" i="1"/>
  <c r="F171" i="1"/>
  <c r="F173" i="1"/>
  <c r="F192" i="1"/>
  <c r="F196" i="1"/>
  <c r="F201" i="1"/>
  <c r="F185" i="1"/>
  <c r="F179" i="1"/>
  <c r="F183" i="1"/>
  <c r="F187" i="1"/>
  <c r="F198" i="1"/>
  <c r="F203" i="1"/>
  <c r="F175" i="1"/>
  <c r="F190" i="1"/>
  <c r="F194" i="1"/>
  <c r="F172" i="1"/>
  <c r="F178" i="1"/>
  <c r="F180" i="1"/>
  <c r="F186" i="1"/>
  <c r="F191" i="1"/>
  <c r="F176" i="1"/>
  <c r="G196" i="1"/>
  <c r="G197" i="1" s="1"/>
  <c r="G198" i="1" s="1"/>
  <c r="G199" i="1" s="1"/>
  <c r="G200" i="1" s="1"/>
  <c r="G201" i="1" s="1"/>
  <c r="G202" i="1" s="1"/>
  <c r="G203" i="1" s="1"/>
  <c r="G204" i="1" s="1"/>
  <c r="A196" i="1"/>
  <c r="A197" i="1" s="1"/>
  <c r="A198" i="1" s="1"/>
  <c r="A199" i="1" s="1"/>
  <c r="A200" i="1" s="1"/>
  <c r="A201" i="1" s="1"/>
  <c r="A202" i="1" s="1"/>
  <c r="A203" i="1" s="1"/>
  <c r="A204" i="1" s="1"/>
  <c r="F184" i="1"/>
  <c r="F182" i="1"/>
  <c r="F177" i="1"/>
  <c r="F174" i="1"/>
  <c r="J39" i="1"/>
  <c r="E41" i="1"/>
  <c r="E42" i="1" s="1"/>
  <c r="A380" i="1"/>
  <c r="A332" i="1"/>
  <c r="A308" i="1"/>
  <c r="A259" i="1"/>
  <c r="A387" i="1"/>
  <c r="G162" i="1" l="1"/>
  <c r="C48" i="1"/>
  <c r="G48" i="1"/>
  <c r="A333" i="1"/>
  <c r="A309" i="1"/>
  <c r="A260" i="1"/>
  <c r="A381" i="1"/>
  <c r="F405" i="1" l="1"/>
  <c r="F210" i="1"/>
  <c r="A382" i="1"/>
  <c r="A334" i="1"/>
  <c r="A310" i="1"/>
  <c r="A261" i="1"/>
  <c r="F404" i="1" l="1"/>
  <c r="A311" i="1"/>
  <c r="A335" i="1"/>
  <c r="A262" i="1"/>
  <c r="F409" i="1" l="1"/>
  <c r="F408" i="1"/>
  <c r="F221" i="1"/>
  <c r="F220" i="1"/>
  <c r="F219" i="1"/>
  <c r="F218" i="1"/>
  <c r="F217" i="1"/>
  <c r="F216" i="1"/>
  <c r="F215" i="1"/>
  <c r="F214" i="1"/>
  <c r="A263" i="1"/>
  <c r="A336" i="1"/>
  <c r="A312" i="1"/>
  <c r="B437" i="1" l="1"/>
  <c r="C13" i="1" l="1"/>
  <c r="F406" i="1" l="1"/>
  <c r="F407" i="1"/>
  <c r="A405" i="1"/>
  <c r="A406" i="1" s="1"/>
  <c r="A407" i="1" s="1"/>
  <c r="A408" i="1" s="1"/>
  <c r="A409" i="1" s="1"/>
  <c r="G404" i="1"/>
  <c r="G405" i="1" s="1"/>
  <c r="G406" i="1" s="1"/>
  <c r="G407" i="1" s="1"/>
  <c r="G408" i="1" s="1"/>
  <c r="G409" i="1" s="1"/>
  <c r="F150" i="1" l="1"/>
  <c r="F211" i="1" l="1"/>
  <c r="F212" i="1"/>
  <c r="F213" i="1"/>
  <c r="B436" i="1" l="1"/>
  <c r="A429" i="1"/>
  <c r="A423" i="1"/>
  <c r="A417" i="1"/>
  <c r="F433" i="1" l="1"/>
  <c r="F432" i="1"/>
  <c r="F431" i="1"/>
  <c r="F430" i="1"/>
  <c r="F429" i="1"/>
  <c r="F427" i="1"/>
  <c r="F426" i="1"/>
  <c r="F425" i="1"/>
  <c r="F424" i="1"/>
  <c r="F423" i="1"/>
  <c r="F421" i="1"/>
  <c r="F420" i="1"/>
  <c r="F419" i="1"/>
  <c r="F418" i="1"/>
  <c r="F417" i="1"/>
  <c r="F415" i="1"/>
  <c r="F414" i="1"/>
  <c r="F412" i="1"/>
  <c r="F411" i="1"/>
  <c r="F413" i="1"/>
  <c r="A418" i="1"/>
  <c r="A430" i="1"/>
  <c r="A424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462" i="1"/>
  <c r="G429" i="1"/>
  <c r="G430" i="1" s="1"/>
  <c r="G431" i="1" s="1"/>
  <c r="G432" i="1" s="1"/>
  <c r="G433" i="1" s="1"/>
  <c r="G423" i="1"/>
  <c r="G424" i="1" s="1"/>
  <c r="G425" i="1" s="1"/>
  <c r="G426" i="1" s="1"/>
  <c r="G427" i="1" s="1"/>
  <c r="G417" i="1"/>
  <c r="G418" i="1" s="1"/>
  <c r="G419" i="1" s="1"/>
  <c r="G420" i="1" s="1"/>
  <c r="G421" i="1" s="1"/>
  <c r="G411" i="1"/>
  <c r="G412" i="1" s="1"/>
  <c r="G413" i="1" s="1"/>
  <c r="G414" i="1" s="1"/>
  <c r="G415" i="1" s="1"/>
  <c r="A411" i="1"/>
  <c r="A412" i="1" s="1"/>
  <c r="A413" i="1" s="1"/>
  <c r="A414" i="1" s="1"/>
  <c r="A415" i="1" s="1"/>
  <c r="A211" i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G210" i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J120" i="1"/>
  <c r="J119" i="1"/>
  <c r="J118" i="1"/>
  <c r="J117" i="1"/>
  <c r="C109" i="1"/>
  <c r="J106" i="1"/>
  <c r="J105" i="1"/>
  <c r="J104" i="1"/>
  <c r="J103" i="1"/>
  <c r="J78" i="1"/>
  <c r="J77" i="1"/>
  <c r="J76" i="1"/>
  <c r="J75" i="1"/>
  <c r="D54" i="1"/>
  <c r="E25" i="1"/>
  <c r="E23" i="1"/>
  <c r="E7" i="1"/>
  <c r="E3" i="1"/>
  <c r="A425" i="1"/>
  <c r="A419" i="1"/>
  <c r="H110" i="1"/>
  <c r="H96" i="1"/>
  <c r="H68" i="1"/>
  <c r="A431" i="1"/>
  <c r="D106" i="1" l="1"/>
  <c r="D107" i="1"/>
  <c r="D108" i="1"/>
  <c r="D102" i="1"/>
  <c r="D103" i="1"/>
  <c r="D104" i="1"/>
  <c r="D105" i="1"/>
  <c r="J95" i="1"/>
  <c r="D80" i="1"/>
  <c r="D78" i="1"/>
  <c r="D77" i="1"/>
  <c r="D76" i="1"/>
  <c r="D74" i="1"/>
  <c r="J67" i="1"/>
  <c r="D79" i="1"/>
  <c r="D75" i="1"/>
  <c r="J71" i="1"/>
  <c r="J72" i="1"/>
  <c r="C71" i="1" s="1"/>
  <c r="J70" i="1"/>
  <c r="J73" i="1"/>
  <c r="J74" i="1" s="1"/>
  <c r="J79" i="1" s="1"/>
  <c r="J80" i="1" s="1"/>
  <c r="C72" i="1" s="1"/>
  <c r="C115" i="1"/>
  <c r="J109" i="1" s="1"/>
  <c r="J113" i="1"/>
  <c r="D122" i="1"/>
  <c r="D120" i="1"/>
  <c r="D118" i="1"/>
  <c r="D116" i="1"/>
  <c r="J114" i="1"/>
  <c r="C113" i="1" s="1"/>
  <c r="J112" i="1"/>
  <c r="J115" i="1"/>
  <c r="J116" i="1" s="1"/>
  <c r="J121" i="1" s="1"/>
  <c r="J122" i="1" s="1"/>
  <c r="C114" i="1" s="1"/>
  <c r="D121" i="1"/>
  <c r="D119" i="1"/>
  <c r="D117" i="1"/>
  <c r="J101" i="1"/>
  <c r="J99" i="1"/>
  <c r="J100" i="1"/>
  <c r="C99" i="1" s="1"/>
  <c r="J98" i="1"/>
  <c r="A426" i="1"/>
  <c r="A420" i="1"/>
  <c r="A432" i="1"/>
  <c r="J102" i="1" l="1"/>
  <c r="D115" i="1"/>
  <c r="J111" i="1"/>
  <c r="D113" i="1"/>
  <c r="J110" i="1" s="1"/>
  <c r="D101" i="1"/>
  <c r="J97" i="1"/>
  <c r="D73" i="1"/>
  <c r="J69" i="1"/>
  <c r="E71" i="1"/>
  <c r="D72" i="1"/>
  <c r="G71" i="1"/>
  <c r="D65" i="1" s="1"/>
  <c r="D71" i="1"/>
  <c r="J68" i="1" s="1"/>
  <c r="D99" i="1"/>
  <c r="E113" i="1"/>
  <c r="D114" i="1"/>
  <c r="G113" i="1"/>
  <c r="A421" i="1"/>
  <c r="A433" i="1"/>
  <c r="A427" i="1"/>
  <c r="J107" i="1" l="1"/>
  <c r="J108" i="1" s="1"/>
  <c r="C100" i="1" s="1"/>
  <c r="D100" i="1" s="1"/>
  <c r="I96" i="1" s="1"/>
  <c r="I97" i="1" s="1"/>
  <c r="D66" i="1"/>
  <c r="I110" i="1"/>
  <c r="I68" i="1"/>
  <c r="F66" i="1"/>
  <c r="H82" i="1"/>
  <c r="J96" i="1" l="1"/>
  <c r="I95" i="1" s="1"/>
  <c r="C97" i="1" s="1"/>
  <c r="G99" i="1"/>
  <c r="E99" i="1"/>
  <c r="J86" i="1"/>
  <c r="C85" i="1" s="1"/>
  <c r="D85" i="1" s="1"/>
  <c r="J84" i="1"/>
  <c r="D94" i="1"/>
  <c r="D92" i="1"/>
  <c r="D90" i="1"/>
  <c r="D88" i="1"/>
  <c r="J81" i="1"/>
  <c r="J83" i="1" s="1"/>
  <c r="J87" i="1"/>
  <c r="J88" i="1" s="1"/>
  <c r="J93" i="1" s="1"/>
  <c r="J94" i="1" s="1"/>
  <c r="C86" i="1" s="1"/>
  <c r="D93" i="1"/>
  <c r="D91" i="1"/>
  <c r="D89" i="1"/>
  <c r="D87" i="1"/>
  <c r="J85" i="1"/>
  <c r="I111" i="1"/>
  <c r="I109" i="1" s="1"/>
  <c r="C111" i="1" s="1"/>
  <c r="I69" i="1"/>
  <c r="I67" i="1" s="1"/>
  <c r="C69" i="1" s="1"/>
  <c r="E85" i="1" l="1"/>
  <c r="D86" i="1"/>
  <c r="I82" i="1" s="1"/>
  <c r="I83" i="1" s="1"/>
  <c r="G85" i="1"/>
  <c r="J82" i="1"/>
  <c r="H124" i="1"/>
  <c r="D136" i="1" l="1"/>
  <c r="D135" i="1"/>
  <c r="D131" i="1"/>
  <c r="J127" i="1"/>
  <c r="D130" i="1"/>
  <c r="J129" i="1"/>
  <c r="J130" i="1" s="1"/>
  <c r="J135" i="1" s="1"/>
  <c r="J136" i="1" s="1"/>
  <c r="C128" i="1" s="1"/>
  <c r="D129" i="1"/>
  <c r="D134" i="1"/>
  <c r="D133" i="1"/>
  <c r="J123" i="1"/>
  <c r="J125" i="1" s="1"/>
  <c r="J128" i="1"/>
  <c r="C127" i="1" s="1"/>
  <c r="D132" i="1"/>
  <c r="J126" i="1"/>
  <c r="I81" i="1"/>
  <c r="C83" i="1" s="1"/>
  <c r="E127" i="1" l="1"/>
  <c r="D128" i="1"/>
  <c r="G127" i="1"/>
  <c r="D127" i="1"/>
  <c r="I124" i="1" l="1"/>
  <c r="I125" i="1" s="1"/>
  <c r="J124" i="1"/>
  <c r="I123" i="1" l="1"/>
  <c r="C125" i="1" s="1"/>
</calcChain>
</file>

<file path=xl/sharedStrings.xml><?xml version="1.0" encoding="utf-8"?>
<sst xmlns="http://schemas.openxmlformats.org/spreadsheetml/2006/main" count="646" uniqueCount="256">
  <si>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</si>
  <si>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</si>
  <si>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</si>
  <si>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</si>
  <si>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</si>
  <si>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</si>
  <si>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</si>
  <si>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</si>
  <si>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</si>
  <si>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</si>
  <si>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</si>
  <si>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</si>
  <si>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</si>
  <si>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</si>
  <si>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</si>
  <si>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</si>
  <si>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</si>
  <si>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</si>
  <si>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</si>
  <si>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</si>
  <si>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</si>
  <si>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</si>
  <si>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</si>
  <si>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</si>
  <si>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</si>
  <si>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</si>
  <si>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</si>
  <si>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</si>
  <si>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</si>
  <si>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</si>
  <si>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</si>
  <si>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</si>
  <si>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</si>
  <si>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</si>
  <si>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</si>
  <si>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</si>
  <si>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</si>
  <si>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</si>
  <si>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</si>
  <si>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</si>
  <si>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</si>
  <si>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</si>
  <si>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</si>
  <si>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</si>
  <si>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</si>
  <si>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</si>
  <si>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</si>
  <si>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</si>
  <si>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</si>
  <si>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</si>
  <si>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</si>
  <si>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</si>
  <si>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</si>
  <si>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</si>
  <si>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</si>
  <si>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</si>
  <si>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</si>
  <si>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</si>
  <si>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</si>
  <si>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</si>
  <si>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</si>
  <si>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</si>
  <si>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</si>
  <si>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</si>
  <si>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</si>
  <si>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</si>
  <si>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</si>
  <si>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</si>
  <si>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</si>
  <si>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</si>
  <si>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</si>
  <si>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</si>
  <si>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</si>
  <si>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</si>
  <si>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</si>
  <si>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</si>
  <si>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</si>
  <si>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</si>
  <si>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</si>
  <si>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</si>
  <si>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</si>
  <si>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</si>
  <si>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</si>
  <si>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</si>
  <si>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</si>
  <si>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</si>
  <si>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</si>
  <si>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</si>
  <si>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</si>
  <si>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</si>
  <si>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</si>
  <si>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</si>
  <si>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</si>
  <si>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</si>
  <si>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</si>
  <si>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</si>
  <si>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</si>
  <si>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</si>
  <si>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</si>
  <si>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</si>
  <si>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</si>
  <si>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</si>
  <si>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</si>
  <si>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</si>
  <si>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</si>
  <si>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</si>
  <si>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</si>
  <si>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</si>
  <si>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</si>
  <si>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</si>
  <si>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</si>
  <si>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</si>
  <si>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</si>
  <si>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</si>
  <si>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</si>
  <si>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</si>
  <si>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</si>
  <si>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</si>
  <si>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</si>
  <si>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</si>
  <si>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</si>
  <si>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</si>
  <si>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</si>
  <si>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</si>
  <si>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</si>
  <si>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</si>
  <si>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</si>
  <si>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considered Gross carpet area = Net carpet + Enclose balcony + D.B Area + F.B Area.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</si>
  <si>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</si>
  <si>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</si>
  <si>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</si>
  <si>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</si>
  <si>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</si>
  <si>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</si>
  <si>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</si>
  <si>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</si>
  <si>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</si>
  <si>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</si>
  <si>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</si>
  <si>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</si>
  <si>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</si>
  <si>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</si>
  <si>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</si>
  <si>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</si>
  <si>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</si>
  <si>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</si>
  <si>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</si>
  <si>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</si>
  <si>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</si>
  <si>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</si>
  <si>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</si>
  <si>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</si>
  <si>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</si>
  <si>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</si>
  <si>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</si>
  <si>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</si>
  <si>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</si>
  <si>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</si>
  <si>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</si>
  <si>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</si>
  <si>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</si>
  <si>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</si>
  <si>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</si>
  <si>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</si>
  <si>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</si>
  <si>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</si>
  <si>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</si>
  <si>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</si>
  <si>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</si>
  <si>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</si>
  <si>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</si>
  <si>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</si>
  <si>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Village</t>
  </si>
  <si>
    <t xml:space="preserve">O. Certificate No.: 
Approved upto : </t>
  </si>
  <si>
    <t>1st to 7th &amp; 9th to 11th Floor for Residentail</t>
  </si>
  <si>
    <t>Axis Badlapur</t>
  </si>
  <si>
    <t>Yash Infra</t>
  </si>
  <si>
    <t>Yashraj Paradise</t>
  </si>
  <si>
    <t>Satyam Shinde - 8104201804</t>
  </si>
  <si>
    <t>P51700024174</t>
  </si>
  <si>
    <t>https://goo.gl/maps/1CuMsMPtNsDWfRv48</t>
  </si>
  <si>
    <t>B.T.Gaikwad School</t>
  </si>
  <si>
    <t>Malangad Road</t>
  </si>
  <si>
    <t>Himganga Apartment</t>
  </si>
  <si>
    <t>Open Plot</t>
  </si>
  <si>
    <t>Survey No</t>
  </si>
  <si>
    <t>33, H.No.6/5</t>
  </si>
  <si>
    <t>Pisavali</t>
  </si>
  <si>
    <t>Thane</t>
  </si>
  <si>
    <t>Kalyan</t>
  </si>
  <si>
    <t>Kalyan East</t>
  </si>
  <si>
    <t>Chinchpada Gaon</t>
  </si>
  <si>
    <t>5 KM from Kalyan Railway Station</t>
  </si>
  <si>
    <t>As per RERA - 30/12/2027</t>
  </si>
  <si>
    <t>On Site, we meet Mr. Vinod Nikam - 8530032727.</t>
  </si>
  <si>
    <t>Approved Plans, CC.</t>
  </si>
  <si>
    <t>Kalyan - Dombivli Municipal Corporation (KDMC)</t>
  </si>
  <si>
    <t>Building No. 1 (Wing A &amp; B) = G/St + 1st to 14th Floor</t>
  </si>
  <si>
    <t>Residential + Commercial</t>
  </si>
  <si>
    <t>Recreational ground, Multi purpose hall.</t>
  </si>
  <si>
    <t>KDMC/TPD/BP/27Village/2018-19/25/333</t>
  </si>
  <si>
    <t>Building No. 1 (Wing A &amp; B) = G/St + 1st to 14th Floor
Building No. 2 (Wing A &amp; B) = G/St + 1st to 19th Floor + 20th Floor</t>
  </si>
  <si>
    <t>Building No. 1</t>
  </si>
  <si>
    <t>Ground Floor for Commercial &amp; Praking</t>
  </si>
  <si>
    <t>Shop</t>
  </si>
  <si>
    <t>Building No. 1 (Wing A &amp; B) + Building No. 2 (Wing A &amp; B)</t>
  </si>
  <si>
    <t>Basement Floor for Parking (Building No. 2)</t>
  </si>
  <si>
    <t>Wing A</t>
  </si>
  <si>
    <t>1st Floor for Commercial &amp; Residential</t>
  </si>
  <si>
    <t xml:space="preserve">3rd to 7th, 9th to 12th, 14th to 17th Floor </t>
  </si>
  <si>
    <t>3rd Floor for Residential</t>
  </si>
  <si>
    <t>1BHK</t>
  </si>
  <si>
    <t>1RK</t>
  </si>
  <si>
    <t>Wing B</t>
  </si>
  <si>
    <t>1st &amp; 2nd Floor for Commercial &amp; Residential</t>
  </si>
  <si>
    <t>4th, 5th, 6th Floor</t>
  </si>
  <si>
    <t>7th Floor</t>
  </si>
  <si>
    <t>2BHK</t>
  </si>
  <si>
    <t>9th, 10th, 11th, 12th, 14th Floor</t>
  </si>
  <si>
    <t>Refuge Area</t>
  </si>
  <si>
    <t>8th &amp; 13th Floor (Part Refuge Area)</t>
  </si>
  <si>
    <t>Building No. 2</t>
  </si>
  <si>
    <t>Basement Floor for Parking</t>
  </si>
  <si>
    <t>Ground Floor for Commmercial &amp; Parking</t>
  </si>
  <si>
    <t>2nd Floor for Residential</t>
  </si>
  <si>
    <t>18th Floor (Part Refuge Area)</t>
  </si>
  <si>
    <t>19th Floor</t>
  </si>
  <si>
    <t>Terrace Area</t>
  </si>
  <si>
    <t>20th Floor (Part Terrace Area)</t>
  </si>
  <si>
    <t>Provided Approved floor plan of Ground, 1st &amp; 2nd Floors are not legible. Please provide legible approved floor plan of Ground, 1st &amp; 2nd Floor.</t>
  </si>
  <si>
    <t>Building No. 1 (Wing A &amp; B)
Buuilding No. 2 (Wing A &amp; B)</t>
  </si>
  <si>
    <t>4 Buildings</t>
  </si>
  <si>
    <t>Building No. 1 (Wing B) = G/St + 1st to 14th Floor</t>
  </si>
  <si>
    <t xml:space="preserve">Office No. 1031, Wing J, Akshar Business Park, Plot No. 03 Sector 25, Near APMC Market,
Vashi, Navi Mumbai, Maharashtra 400703 TEL: 022-46090378/79/80                                                                                             E mail : vsjcapf@gmail.com. Web site : www.vsjadon.com 
</t>
  </si>
  <si>
    <t>Latitude,Longitude</t>
  </si>
  <si>
    <t>19.2119162,73.1324018</t>
  </si>
  <si>
    <t>KDMC/TPD/BP/27Village/2018-19/25/327</t>
  </si>
  <si>
    <t>Building No. 1 (Wing A &amp; B) = G/St + 1st to 14th Floor
Building No. 2 (Wing A &amp; B) = G/St + 1st to 19th Floor + 20th Floor
Building No. 2 (Wing A ) = 1st to 12th Floor (For MHADA)</t>
  </si>
  <si>
    <t>We have updated revised approved CC From RERA (on 08/05/2024).</t>
  </si>
  <si>
    <t>Provide revised approved plan dtd.02/12/2022</t>
  </si>
  <si>
    <t>Building No. 2 (Wing B) = B + G/St + 1st to 19th Floor + 20th Floor</t>
  </si>
  <si>
    <t>Layout :</t>
  </si>
  <si>
    <t>6500 to 6700</t>
  </si>
  <si>
    <t xml:space="preserve">Smith </t>
  </si>
  <si>
    <t>Verbal</t>
  </si>
  <si>
    <t xml:space="preserve">Recommended Rates / Other charges of the Property have been revised on 15/01/2025 &amp; 30/01/2025.
</t>
  </si>
  <si>
    <t>Bhargav  30/01/2025</t>
  </si>
  <si>
    <t>Mangesh Laxman Bapardekar</t>
  </si>
  <si>
    <t>KDMCC/PO/2025/APL/00130</t>
  </si>
  <si>
    <t>Building No.1 (Wing A &amp; B) = Gr/St + 1st to 14th Floor</t>
  </si>
  <si>
    <t>Pooja</t>
  </si>
  <si>
    <t>On Site, we meet Mr. Vinod : 8530032727 &amp; Mr. Prashant : 8169689454.</t>
  </si>
  <si>
    <t xml:space="preserve">Bldg No. 1 (Wing A &amp; B) = OC Received but internal painting, wooden &amp; finishing work is in process.
Bldg No. 2 (Wing A &amp; B) = Construction work is in process at the time of Visit.
</t>
  </si>
  <si>
    <t>60 Years After Completion</t>
  </si>
  <si>
    <t>We have updated OC for building no.1 (Wing A &amp; B) (On 01/07/2025).</t>
  </si>
  <si>
    <t>Building No. 2 (Wing A &amp; B) = B + G/St + 1st to 19th Floor + 20th Floor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</si>
</sst>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55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5" fillId="0" borderId="1" xfId="1" applyFont="1" applyBorder="1" applyAlignment="1" applyProtection="1">
      <alignment horizontal="center" vertical="top"/>
      <protection locked="0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0" fontId="8" fillId="0" borderId="1" xfId="1" applyFont="1" applyBorder="1" applyAlignment="1" applyProtection="1">
      <alignment vertical="top"/>
      <protection locked="0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left" vertical="center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7" fillId="2" borderId="0" xfId="1" applyFont="1" applyFill="1"/>
    <xf numFmtId="14" fontId="7" fillId="2" borderId="0" xfId="1" applyNumberFormat="1" applyFont="1" applyFill="1"/>
    <xf numFmtId="1" fontId="1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24" fillId="2" borderId="14" xfId="0" applyFont="1" applyFill="1" applyBorder="1"/>
    <xf numFmtId="0" fontId="25" fillId="0" borderId="8" xfId="0" applyFont="1" applyBorder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" fontId="10" fillId="0" borderId="7" xfId="0" applyNumberFormat="1" applyFont="1" applyBorder="1" applyAlignment="1" applyProtection="1">
      <alignment vertical="top" wrapText="1"/>
      <protection locked="0"/>
    </xf>
    <xf numFmtId="1" fontId="10" fillId="0" borderId="20" xfId="0" applyNumberFormat="1" applyFont="1" applyBorder="1" applyAlignment="1" applyProtection="1">
      <alignment vertical="top" wrapText="1"/>
      <protection locked="0"/>
    </xf>
    <xf numFmtId="1" fontId="10" fillId="0" borderId="8" xfId="0" applyNumberFormat="1" applyFont="1" applyBorder="1" applyAlignment="1" applyProtection="1">
      <alignment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1" fontId="6" fillId="0" borderId="15" xfId="0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68" fontId="6" fillId="0" borderId="7" xfId="1" applyNumberFormat="1" applyFont="1" applyBorder="1" applyAlignment="1" applyProtection="1">
      <alignment horizontal="center" vertical="center" wrapText="1"/>
      <protection locked="0"/>
    </xf>
    <xf numFmtId="168" fontId="6" fillId="0" borderId="20" xfId="1" applyNumberFormat="1" applyFont="1" applyBorder="1" applyAlignment="1" applyProtection="1">
      <alignment horizontal="center" vertical="center" wrapText="1"/>
      <protection locked="0"/>
    </xf>
    <xf numFmtId="168" fontId="6" fillId="0" borderId="8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1" fontId="13" fillId="3" borderId="7" xfId="0" applyNumberFormat="1" applyFont="1" applyFill="1" applyBorder="1" applyAlignment="1" applyProtection="1">
      <alignment vertical="top" wrapText="1"/>
      <protection locked="0"/>
    </xf>
    <xf numFmtId="1" fontId="13" fillId="3" borderId="20" xfId="0" applyNumberFormat="1" applyFont="1" applyFill="1" applyBorder="1" applyAlignment="1" applyProtection="1">
      <alignment vertical="top" wrapText="1"/>
      <protection locked="0"/>
    </xf>
    <xf numFmtId="1" fontId="13" fillId="3" borderId="8" xfId="0" applyNumberFormat="1" applyFont="1" applyFill="1" applyBorder="1" applyAlignment="1" applyProtection="1">
      <alignment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10" fillId="0" borderId="1" xfId="1" applyFont="1" applyBorder="1" applyAlignment="1" applyProtection="1">
      <alignment horizontal="left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14" fontId="7" fillId="0" borderId="7" xfId="1" applyNumberFormat="1" applyFont="1" applyBorder="1" applyAlignment="1" applyProtection="1">
      <alignment horizontal="left" vertical="top" wrapText="1"/>
      <protection locked="0"/>
    </xf>
    <xf numFmtId="14" fontId="7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0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14" fontId="7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6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7" fillId="0" borderId="7" xfId="1" applyFont="1" applyBorder="1" applyAlignment="1" applyProtection="1">
      <alignment horizontal="left" vertical="top"/>
      <protection locked="0"/>
    </xf>
    <xf numFmtId="0" fontId="7" fillId="0" borderId="20" xfId="1" applyFont="1" applyBorder="1" applyAlignment="1" applyProtection="1">
      <alignment horizontal="left" vertical="top"/>
      <protection locked="0"/>
    </xf>
    <xf numFmtId="0" fontId="7" fillId="0" borderId="8" xfId="1" applyFont="1" applyBorder="1" applyAlignment="1" applyProtection="1">
      <alignment horizontal="left" vertical="top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/>
      <protection locked="0"/>
    </xf>
    <xf numFmtId="0" fontId="6" fillId="0" borderId="20" xfId="1" applyFont="1" applyBorder="1" applyAlignment="1" applyProtection="1">
      <alignment horizontal="left" vertical="top"/>
      <protection locked="0"/>
    </xf>
    <xf numFmtId="0" fontId="6" fillId="0" borderId="8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/>
      <protection locked="0"/>
    </xf>
    <xf numFmtId="0" fontId="12" fillId="0" borderId="2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24" xfId="1" applyFont="1" applyBorder="1" applyAlignment="1" applyProtection="1">
      <alignment horizontal="left" vertical="top"/>
      <protection locked="0"/>
    </xf>
    <xf numFmtId="0" fontId="12" fillId="0" borderId="0" xfId="1" applyFont="1" applyAlignment="1" applyProtection="1">
      <alignment horizontal="left" vertical="top"/>
      <protection locked="0"/>
    </xf>
    <xf numFmtId="0" fontId="12" fillId="0" borderId="25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14" fontId="8" fillId="0" borderId="7" xfId="1" applyNumberFormat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10" fillId="0" borderId="12" xfId="1" applyFont="1" applyBorder="1" applyAlignment="1" applyProtection="1">
      <alignment horizontal="left" vertical="top" wrapText="1"/>
      <protection locked="0"/>
    </xf>
    <xf numFmtId="0" fontId="10" fillId="0" borderId="13" xfId="1" applyFont="1" applyBorder="1" applyAlignment="1" applyProtection="1">
      <alignment horizontal="left" vertical="top" wrapText="1"/>
      <protection locked="0"/>
    </xf>
    <xf numFmtId="0" fontId="10" fillId="0" borderId="22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0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31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1" fontId="13" fillId="0" borderId="1" xfId="0" applyNumberFormat="1" applyFont="1" applyBorder="1" applyAlignment="1" applyProtection="1">
      <alignment horizontal="left" vertical="top" wrapText="1"/>
      <protection locked="0"/>
    </xf>
    <xf numFmtId="1" fontId="13" fillId="0" borderId="1" xfId="0" applyNumberFormat="1" applyFont="1" applyBorder="1" applyAlignment="1" applyProtection="1">
      <alignment vertical="top" wrapText="1"/>
      <protection locked="0"/>
    </xf>
    <xf numFmtId="0" fontId="9" fillId="0" borderId="1" xfId="5" applyFont="1" applyBorder="1" applyAlignment="1">
      <alignment horizontal="left"/>
    </xf>
    <xf numFmtId="0" fontId="12" fillId="0" borderId="0" xfId="1" applyFont="1" applyAlignment="1" applyProtection="1">
      <alignment horizontal="left" vertical="top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png"/><Relationship Id="rId2" Type="http://schemas.openxmlformats.org/officeDocument/2006/relationships/image" Target="../media/image32.png"/><Relationship Id="rId1" Type="http://schemas.openxmlformats.org/officeDocument/2006/relationships/image" Target="../media/image31.png"/><Relationship Id="rId5" Type="http://schemas.openxmlformats.org/officeDocument/2006/relationships/image" Target="../media/image35.png"/><Relationship Id="rId4" Type="http://schemas.openxmlformats.org/officeDocument/2006/relationships/image" Target="../media/image3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0.png"/><Relationship Id="rId1" Type="http://schemas.openxmlformats.org/officeDocument/2006/relationships/image" Target="../media/image2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567</xdr:row>
      <xdr:rowOff>146989</xdr:rowOff>
    </xdr:from>
    <xdr:to>
      <xdr:col>7</xdr:col>
      <xdr:colOff>258854</xdr:colOff>
      <xdr:row>586</xdr:row>
      <xdr:rowOff>76199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38150" y="81155209"/>
          <a:ext cx="5665244" cy="369349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438150</xdr:colOff>
      <xdr:row>546</xdr:row>
      <xdr:rowOff>151531</xdr:rowOff>
    </xdr:from>
    <xdr:to>
      <xdr:col>7</xdr:col>
      <xdr:colOff>258854</xdr:colOff>
      <xdr:row>566</xdr:row>
      <xdr:rowOff>111032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38150" y="77832236"/>
          <a:ext cx="5509727" cy="394268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12</xdr:col>
      <xdr:colOff>77359</xdr:colOff>
      <xdr:row>463</xdr:row>
      <xdr:rowOff>36620</xdr:rowOff>
    </xdr:from>
    <xdr:ext cx="293478" cy="311496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9283712-613D-4030-8550-4A5A6BB6F986}"/>
            </a:ext>
          </a:extLst>
        </xdr:cNvPr>
        <xdr:cNvSpPr txBox="1"/>
      </xdr:nvSpPr>
      <xdr:spPr>
        <a:xfrm>
          <a:off x="10204339" y="68769020"/>
          <a:ext cx="293478" cy="311496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A</a:t>
          </a:r>
        </a:p>
      </xdr:txBody>
    </xdr:sp>
    <xdr:clientData/>
  </xdr:oneCellAnchor>
  <xdr:oneCellAnchor>
    <xdr:from>
      <xdr:col>16</xdr:col>
      <xdr:colOff>94796</xdr:colOff>
      <xdr:row>465</xdr:row>
      <xdr:rowOff>34637</xdr:rowOff>
    </xdr:from>
    <xdr:ext cx="293478" cy="311496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42F3E108-3117-4621-B146-086E9706AEEE}"/>
            </a:ext>
          </a:extLst>
        </xdr:cNvPr>
        <xdr:cNvSpPr txBox="1"/>
      </xdr:nvSpPr>
      <xdr:spPr>
        <a:xfrm>
          <a:off x="13376456" y="69155657"/>
          <a:ext cx="293478" cy="311496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B</a:t>
          </a:r>
        </a:p>
      </xdr:txBody>
    </xdr:sp>
    <xdr:clientData/>
  </xdr:oneCellAnchor>
  <xdr:oneCellAnchor>
    <xdr:from>
      <xdr:col>11</xdr:col>
      <xdr:colOff>278844</xdr:colOff>
      <xdr:row>480</xdr:row>
      <xdr:rowOff>62286</xdr:rowOff>
    </xdr:from>
    <xdr:ext cx="285335" cy="311496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5D464C1D-078E-4C8D-A25C-C21F1EFCA205}"/>
            </a:ext>
          </a:extLst>
        </xdr:cNvPr>
        <xdr:cNvSpPr txBox="1"/>
      </xdr:nvSpPr>
      <xdr:spPr>
        <a:xfrm>
          <a:off x="9681924" y="72155106"/>
          <a:ext cx="285335" cy="311496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B</a:t>
          </a:r>
        </a:p>
      </xdr:txBody>
    </xdr:sp>
    <xdr:clientData/>
  </xdr:oneCellAnchor>
  <xdr:twoCellAnchor editAs="oneCell">
    <xdr:from>
      <xdr:col>8</xdr:col>
      <xdr:colOff>495300</xdr:colOff>
      <xdr:row>36</xdr:row>
      <xdr:rowOff>104775</xdr:rowOff>
    </xdr:from>
    <xdr:to>
      <xdr:col>16</xdr:col>
      <xdr:colOff>27833</xdr:colOff>
      <xdr:row>49</xdr:row>
      <xdr:rowOff>9183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19925" y="8420100"/>
          <a:ext cx="5933333" cy="2733333"/>
        </a:xfrm>
        <a:prstGeom prst="rect">
          <a:avLst/>
        </a:prstGeom>
      </xdr:spPr>
    </xdr:pic>
    <xdr:clientData/>
  </xdr:twoCellAnchor>
  <xdr:oneCellAnchor>
    <xdr:from>
      <xdr:col>12</xdr:col>
      <xdr:colOff>77359</xdr:colOff>
      <xdr:row>505</xdr:row>
      <xdr:rowOff>36620</xdr:rowOff>
    </xdr:from>
    <xdr:ext cx="293478" cy="311496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39283712-613D-4030-8550-4A5A6BB6F986}"/>
            </a:ext>
          </a:extLst>
        </xdr:cNvPr>
        <xdr:cNvSpPr txBox="1"/>
      </xdr:nvSpPr>
      <xdr:spPr>
        <a:xfrm>
          <a:off x="9925381" y="72766207"/>
          <a:ext cx="293478" cy="311496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A</a:t>
          </a:r>
        </a:p>
      </xdr:txBody>
    </xdr:sp>
    <xdr:clientData/>
  </xdr:oneCellAnchor>
  <xdr:oneCellAnchor>
    <xdr:from>
      <xdr:col>16</xdr:col>
      <xdr:colOff>94796</xdr:colOff>
      <xdr:row>507</xdr:row>
      <xdr:rowOff>34637</xdr:rowOff>
    </xdr:from>
    <xdr:ext cx="293478" cy="311496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42F3E108-3117-4621-B146-086E9706AEEE}"/>
            </a:ext>
          </a:extLst>
        </xdr:cNvPr>
        <xdr:cNvSpPr txBox="1"/>
      </xdr:nvSpPr>
      <xdr:spPr>
        <a:xfrm>
          <a:off x="12999100" y="73153507"/>
          <a:ext cx="293478" cy="311496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B</a:t>
          </a:r>
        </a:p>
      </xdr:txBody>
    </xdr:sp>
    <xdr:clientData/>
  </xdr:oneCellAnchor>
  <xdr:oneCellAnchor>
    <xdr:from>
      <xdr:col>11</xdr:col>
      <xdr:colOff>278844</xdr:colOff>
      <xdr:row>522</xdr:row>
      <xdr:rowOff>62286</xdr:rowOff>
    </xdr:from>
    <xdr:ext cx="285335" cy="311496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5D464C1D-078E-4C8D-A25C-C21F1EFCA205}"/>
            </a:ext>
          </a:extLst>
        </xdr:cNvPr>
        <xdr:cNvSpPr txBox="1"/>
      </xdr:nvSpPr>
      <xdr:spPr>
        <a:xfrm>
          <a:off x="9422844" y="76162895"/>
          <a:ext cx="285335" cy="311496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B</a:t>
          </a:r>
        </a:p>
      </xdr:txBody>
    </xdr:sp>
    <xdr:clientData/>
  </xdr:oneCellAnchor>
  <xdr:twoCellAnchor editAs="oneCell">
    <xdr:from>
      <xdr:col>2</xdr:col>
      <xdr:colOff>514910</xdr:colOff>
      <xdr:row>525</xdr:row>
      <xdr:rowOff>94970</xdr:rowOff>
    </xdr:from>
    <xdr:to>
      <xdr:col>5</xdr:col>
      <xdr:colOff>223557</xdr:colOff>
      <xdr:row>537</xdr:row>
      <xdr:rowOff>46224</xdr:rowOff>
    </xdr:to>
    <xdr:pic>
      <xdr:nvPicPr>
        <xdr:cNvPr id="57" name="Picture 5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72528" y="86256999"/>
          <a:ext cx="2286000" cy="237172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672353</xdr:colOff>
      <xdr:row>504</xdr:row>
      <xdr:rowOff>190500</xdr:rowOff>
    </xdr:from>
    <xdr:to>
      <xdr:col>7</xdr:col>
      <xdr:colOff>54909</xdr:colOff>
      <xdr:row>524</xdr:row>
      <xdr:rowOff>15688</xdr:rowOff>
    </xdr:to>
    <xdr:grpSp>
      <xdr:nvGrpSpPr>
        <xdr:cNvPr id="58" name="Group 57"/>
        <xdr:cNvGrpSpPr/>
      </xdr:nvGrpSpPr>
      <xdr:grpSpPr>
        <a:xfrm>
          <a:off x="672353" y="75685650"/>
          <a:ext cx="5357906" cy="3755838"/>
          <a:chOff x="1000125" y="1066800"/>
          <a:chExt cx="5086350" cy="3848100"/>
        </a:xfrm>
      </xdr:grpSpPr>
      <xdr:pic>
        <xdr:nvPicPr>
          <xdr:cNvPr id="59" name="Picture 58"/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1000125" y="1066800"/>
            <a:ext cx="5086350" cy="38481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60" name="Rectangle 59"/>
          <xdr:cNvSpPr/>
        </xdr:nvSpPr>
        <xdr:spPr>
          <a:xfrm>
            <a:off x="1889760" y="1802586"/>
            <a:ext cx="1173480" cy="1679754"/>
          </a:xfrm>
          <a:prstGeom prst="rect">
            <a:avLst/>
          </a:prstGeom>
          <a:noFill/>
          <a:ln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61" name="Rectangle 60"/>
          <xdr:cNvSpPr/>
        </xdr:nvSpPr>
        <xdr:spPr>
          <a:xfrm>
            <a:off x="3093720" y="2362200"/>
            <a:ext cx="1943100" cy="1120140"/>
          </a:xfrm>
          <a:prstGeom prst="rect">
            <a:avLst/>
          </a:prstGeom>
          <a:noFill/>
          <a:ln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62" name="TextBox 15"/>
          <xdr:cNvSpPr txBox="1"/>
        </xdr:nvSpPr>
        <xdr:spPr>
          <a:xfrm>
            <a:off x="1972195" y="1464032"/>
            <a:ext cx="1008609" cy="33855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600" b="1"/>
              <a:t>Bldg No.1</a:t>
            </a:r>
            <a:endParaRPr lang="en-IN" sz="1600" b="1"/>
          </a:p>
        </xdr:txBody>
      </xdr:sp>
      <xdr:sp macro="" textlink="">
        <xdr:nvSpPr>
          <xdr:cNvPr id="63" name="TextBox 16"/>
          <xdr:cNvSpPr txBox="1"/>
        </xdr:nvSpPr>
        <xdr:spPr>
          <a:xfrm>
            <a:off x="2182829" y="1802586"/>
            <a:ext cx="293670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/>
              <a:t>A</a:t>
            </a:r>
            <a:endParaRPr lang="en-IN" sz="1400" b="1"/>
          </a:p>
        </xdr:txBody>
      </xdr:sp>
      <xdr:sp macro="" textlink="">
        <xdr:nvSpPr>
          <xdr:cNvPr id="64" name="TextBox 17"/>
          <xdr:cNvSpPr txBox="1"/>
        </xdr:nvSpPr>
        <xdr:spPr>
          <a:xfrm>
            <a:off x="1648625" y="2922270"/>
            <a:ext cx="285656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/>
              <a:t>B</a:t>
            </a:r>
            <a:endParaRPr lang="en-IN" sz="1400" b="1"/>
          </a:p>
        </xdr:txBody>
      </xdr:sp>
      <xdr:sp macro="" textlink="">
        <xdr:nvSpPr>
          <xdr:cNvPr id="65" name="TextBox 18"/>
          <xdr:cNvSpPr txBox="1"/>
        </xdr:nvSpPr>
        <xdr:spPr>
          <a:xfrm>
            <a:off x="3147562" y="2334686"/>
            <a:ext cx="293670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/>
              <a:t>A</a:t>
            </a:r>
            <a:endParaRPr lang="en-IN" sz="1400" b="1"/>
          </a:p>
        </xdr:txBody>
      </xdr:sp>
      <xdr:sp macro="" textlink="">
        <xdr:nvSpPr>
          <xdr:cNvPr id="66" name="TextBox 19"/>
          <xdr:cNvSpPr txBox="1"/>
        </xdr:nvSpPr>
        <xdr:spPr>
          <a:xfrm>
            <a:off x="4171088" y="2488574"/>
            <a:ext cx="285656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/>
              <a:t>B</a:t>
            </a:r>
            <a:endParaRPr lang="en-IN" sz="1400" b="1"/>
          </a:p>
        </xdr:txBody>
      </xdr:sp>
      <xdr:sp macro="" textlink="">
        <xdr:nvSpPr>
          <xdr:cNvPr id="67" name="TextBox 20"/>
          <xdr:cNvSpPr txBox="1"/>
        </xdr:nvSpPr>
        <xdr:spPr>
          <a:xfrm>
            <a:off x="3543300" y="1960459"/>
            <a:ext cx="1008609" cy="33855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600" b="1"/>
              <a:t>Bldg No.2</a:t>
            </a:r>
            <a:endParaRPr lang="en-IN" sz="1600" b="1"/>
          </a:p>
        </xdr:txBody>
      </xdr:sp>
    </xdr:grpSp>
    <xdr:clientData/>
  </xdr:twoCellAnchor>
  <xdr:twoCellAnchor editAs="oneCell">
    <xdr:from>
      <xdr:col>10</xdr:col>
      <xdr:colOff>635000</xdr:colOff>
      <xdr:row>136</xdr:row>
      <xdr:rowOff>6350</xdr:rowOff>
    </xdr:from>
    <xdr:to>
      <xdr:col>13</xdr:col>
      <xdr:colOff>496300</xdr:colOff>
      <xdr:row>149</xdr:row>
      <xdr:rowOff>111391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499600" y="26511250"/>
          <a:ext cx="2160000" cy="128614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610427</xdr:colOff>
      <xdr:row>468</xdr:row>
      <xdr:rowOff>75509</xdr:rowOff>
    </xdr:from>
    <xdr:to>
      <xdr:col>17</xdr:col>
      <xdr:colOff>4335</xdr:colOff>
      <xdr:row>502</xdr:row>
      <xdr:rowOff>100703</xdr:rowOff>
    </xdr:to>
    <xdr:grpSp>
      <xdr:nvGrpSpPr>
        <xdr:cNvPr id="6" name="Group 5"/>
        <xdr:cNvGrpSpPr/>
      </xdr:nvGrpSpPr>
      <xdr:grpSpPr>
        <a:xfrm>
          <a:off x="7455727" y="68484059"/>
          <a:ext cx="6734508" cy="6718094"/>
          <a:chOff x="76200" y="72358250"/>
          <a:chExt cx="6677910" cy="6720026"/>
        </a:xfrm>
      </xdr:grpSpPr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36155" y="77458276"/>
            <a:ext cx="2158000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4337" y="723582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9694" y="75196263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87891" y="723582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96110" y="77458276"/>
            <a:ext cx="2158000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36114" y="723582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06785" y="75196263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12896" y="75196263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7" name="Picture 46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6200" y="77458276"/>
            <a:ext cx="2158000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8" name="TextBox 47"/>
          <xdr:cNvSpPr txBox="1"/>
        </xdr:nvSpPr>
        <xdr:spPr>
          <a:xfrm>
            <a:off x="184337" y="72358250"/>
            <a:ext cx="82035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/>
              <a:t>Bldg No.1A</a:t>
            </a:r>
          </a:p>
        </xdr:txBody>
      </xdr:sp>
      <xdr:sp macro="" textlink="">
        <xdr:nvSpPr>
          <xdr:cNvPr id="49" name="TextBox 48"/>
          <xdr:cNvSpPr txBox="1"/>
        </xdr:nvSpPr>
        <xdr:spPr>
          <a:xfrm>
            <a:off x="5548341" y="72510650"/>
            <a:ext cx="82035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/>
              <a:t>Bldg No.1B</a:t>
            </a:r>
          </a:p>
        </xdr:txBody>
      </xdr:sp>
      <xdr:sp macro="" textlink="">
        <xdr:nvSpPr>
          <xdr:cNvPr id="50" name="TextBox 49"/>
          <xdr:cNvSpPr txBox="1"/>
        </xdr:nvSpPr>
        <xdr:spPr>
          <a:xfrm>
            <a:off x="2922785" y="75405813"/>
            <a:ext cx="82035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/>
              <a:t>Bldg No.2A</a:t>
            </a:r>
          </a:p>
        </xdr:txBody>
      </xdr:sp>
      <xdr:sp macro="" textlink="">
        <xdr:nvSpPr>
          <xdr:cNvPr id="51" name="TextBox 50"/>
          <xdr:cNvSpPr txBox="1"/>
        </xdr:nvSpPr>
        <xdr:spPr>
          <a:xfrm>
            <a:off x="4912896" y="75196263"/>
            <a:ext cx="81548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/>
              <a:t>Bldg No.2B</a:t>
            </a:r>
          </a:p>
        </xdr:txBody>
      </xdr:sp>
      <xdr:sp macro="" textlink="">
        <xdr:nvSpPr>
          <xdr:cNvPr id="52" name="TextBox 51"/>
          <xdr:cNvSpPr txBox="1"/>
        </xdr:nvSpPr>
        <xdr:spPr>
          <a:xfrm>
            <a:off x="584200" y="77642426"/>
            <a:ext cx="81548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/>
              <a:t>Bldg No.2B</a:t>
            </a:r>
          </a:p>
        </xdr:txBody>
      </xdr:sp>
    </xdr:grpSp>
    <xdr:clientData/>
  </xdr:twoCellAnchor>
  <xdr:twoCellAnchor>
    <xdr:from>
      <xdr:col>0</xdr:col>
      <xdr:colOff>57150</xdr:colOff>
      <xdr:row>462</xdr:row>
      <xdr:rowOff>76200</xdr:rowOff>
    </xdr:from>
    <xdr:to>
      <xdr:col>7</xdr:col>
      <xdr:colOff>812195</xdr:colOff>
      <xdr:row>496</xdr:row>
      <xdr:rowOff>73028</xdr:rowOff>
    </xdr:to>
    <xdr:grpSp>
      <xdr:nvGrpSpPr>
        <xdr:cNvPr id="10" name="Group 9"/>
        <xdr:cNvGrpSpPr/>
      </xdr:nvGrpSpPr>
      <xdr:grpSpPr>
        <a:xfrm>
          <a:off x="57150" y="67310000"/>
          <a:ext cx="6730395" cy="6683378"/>
          <a:chOff x="57150" y="72840850"/>
          <a:chExt cx="6730395" cy="6683378"/>
        </a:xfrm>
      </xdr:grpSpPr>
      <xdr:pic>
        <xdr:nvPicPr>
          <xdr:cNvPr id="53" name="Picture 52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524998" y="77364228"/>
            <a:ext cx="1262547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4" name="Picture 53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4833" y="72840850"/>
            <a:ext cx="973688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5" name="Picture 54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61177" y="77364228"/>
            <a:ext cx="1260358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6" name="Picture 55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7150" y="77364228"/>
            <a:ext cx="1262547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8" name="Picture 67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25064" y="75102539"/>
            <a:ext cx="1262547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9" name="Picture 68"/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58988" y="75102539"/>
            <a:ext cx="1262547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0" name="Picture 69"/>
          <xdr:cNvPicPr>
            <a:picLocks noChangeAspect="1"/>
          </xdr:cNvPicPr>
        </xdr:nvPicPr>
        <xdr:blipFill>
          <a:blip xmlns:r="http://schemas.openxmlformats.org/officeDocument/2006/relationships" r:embed="rId22"/>
          <a:stretch>
            <a:fillRect/>
          </a:stretch>
        </xdr:blipFill>
        <xdr:spPr>
          <a:xfrm>
            <a:off x="2312781" y="72840850"/>
            <a:ext cx="4399656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1" name="Picture 70"/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524998" y="75102539"/>
            <a:ext cx="1262547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2" name="Picture 71"/>
          <xdr:cNvPicPr>
            <a:picLocks noChangeAspect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92978" y="75102539"/>
            <a:ext cx="1262547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3" name="Picture 72"/>
          <xdr:cNvPicPr>
            <a:picLocks noChangeAspect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92977" y="77364228"/>
            <a:ext cx="1262547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8" name="Picture 87"/>
          <xdr:cNvPicPr>
            <a:picLocks noChangeAspect="1"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25064" y="77364228"/>
            <a:ext cx="1262547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9" name="Picture 88"/>
          <xdr:cNvPicPr>
            <a:picLocks noChangeAspect="1"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7150" y="75102539"/>
            <a:ext cx="1262547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0" name="Picture 89"/>
          <xdr:cNvPicPr>
            <a:picLocks noChangeAspect="1"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28807" y="72840850"/>
            <a:ext cx="973688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1</xdr:col>
      <xdr:colOff>527050</xdr:colOff>
      <xdr:row>470</xdr:row>
      <xdr:rowOff>88900</xdr:rowOff>
    </xdr:from>
    <xdr:to>
      <xdr:col>2</xdr:col>
      <xdr:colOff>444500</xdr:colOff>
      <xdr:row>472</xdr:row>
      <xdr:rowOff>171450</xdr:rowOff>
    </xdr:to>
    <xdr:sp macro="" textlink="">
      <xdr:nvSpPr>
        <xdr:cNvPr id="91" name="TextBox 90"/>
        <xdr:cNvSpPr txBox="1"/>
      </xdr:nvSpPr>
      <xdr:spPr>
        <a:xfrm>
          <a:off x="1327150" y="68891150"/>
          <a:ext cx="755650" cy="476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/>
          <a:r>
            <a:rPr lang="en-IN" sz="1100" b="1">
              <a:solidFill>
                <a:srgbClr val="FFFF00"/>
              </a:solidFill>
            </a:rPr>
            <a:t>Bldg No.1A </a:t>
          </a:r>
        </a:p>
        <a:p>
          <a:pPr algn="l"/>
          <a:r>
            <a:rPr lang="en-IN" sz="1100" b="1">
              <a:solidFill>
                <a:srgbClr val="FFFF00"/>
              </a:solidFill>
            </a:rPr>
            <a:t>&amp; 1B</a:t>
          </a:r>
        </a:p>
      </xdr:txBody>
    </xdr:sp>
    <xdr:clientData/>
  </xdr:twoCellAnchor>
  <xdr:twoCellAnchor>
    <xdr:from>
      <xdr:col>0</xdr:col>
      <xdr:colOff>273050</xdr:colOff>
      <xdr:row>471</xdr:row>
      <xdr:rowOff>38100</xdr:rowOff>
    </xdr:from>
    <xdr:to>
      <xdr:col>1</xdr:col>
      <xdr:colOff>300256</xdr:colOff>
      <xdr:row>472</xdr:row>
      <xdr:rowOff>105734</xdr:rowOff>
    </xdr:to>
    <xdr:sp macro="" textlink="">
      <xdr:nvSpPr>
        <xdr:cNvPr id="92" name="TextBox 91"/>
        <xdr:cNvSpPr txBox="1"/>
      </xdr:nvSpPr>
      <xdr:spPr>
        <a:xfrm>
          <a:off x="273050" y="69037200"/>
          <a:ext cx="827306" cy="264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100" b="1">
              <a:solidFill>
                <a:srgbClr val="FFFF00"/>
              </a:solidFill>
            </a:rPr>
            <a:t>Bldg No.1A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6</xdr:col>
      <xdr:colOff>4566</xdr:colOff>
      <xdr:row>33</xdr:row>
      <xdr:rowOff>171000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2868706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258158</xdr:colOff>
      <xdr:row>15</xdr:row>
      <xdr:rowOff>0</xdr:rowOff>
    </xdr:from>
    <xdr:to>
      <xdr:col>15</xdr:col>
      <xdr:colOff>150666</xdr:colOff>
      <xdr:row>33</xdr:row>
      <xdr:rowOff>171000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39423" y="2868706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3</xdr:col>
      <xdr:colOff>217561</xdr:colOff>
      <xdr:row>48</xdr:row>
      <xdr:rowOff>54000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6869206"/>
          <a:ext cx="4162031" cy="23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4</xdr:col>
      <xdr:colOff>69689</xdr:colOff>
      <xdr:row>36</xdr:row>
      <xdr:rowOff>0</xdr:rowOff>
    </xdr:from>
    <xdr:to>
      <xdr:col>8</xdr:col>
      <xdr:colOff>107955</xdr:colOff>
      <xdr:row>48</xdr:row>
      <xdr:rowOff>54000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58865" y="6869206"/>
          <a:ext cx="4162031" cy="23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4</xdr:col>
      <xdr:colOff>69689</xdr:colOff>
      <xdr:row>50</xdr:row>
      <xdr:rowOff>803</xdr:rowOff>
    </xdr:from>
    <xdr:to>
      <xdr:col>8</xdr:col>
      <xdr:colOff>107955</xdr:colOff>
      <xdr:row>62</xdr:row>
      <xdr:rowOff>54803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58865" y="9537009"/>
          <a:ext cx="4162031" cy="23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1CuMsMPtNsDWfRv4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546"/>
  <sheetViews>
    <sheetView tabSelected="1" view="pageBreakPreview" topLeftCell="A16" zoomScaleNormal="100" zoomScaleSheetLayoutView="100" workbookViewId="0">
      <selection activeCell="E9" sqref="E9:H9"/>
    </sheetView>
  </sheetViews>
  <sheetFormatPr defaultColWidth="9.1796875" defaultRowHeight="15.5" x14ac:dyDescent="0.35"/>
  <cols>
    <col min="1" max="1" width="11.453125" style="41" customWidth="1"/>
    <col min="2" max="2" width="12" style="41" customWidth="1"/>
    <col min="3" max="3" width="12.7265625" style="41" customWidth="1"/>
    <col min="4" max="4" width="14.1796875" style="41" customWidth="1"/>
    <col min="5" max="7" width="11.7265625" style="41" customWidth="1"/>
    <col min="8" max="8" width="12.453125" style="41" customWidth="1"/>
    <col min="9" max="9" width="17.453125" style="22" customWidth="1"/>
    <col min="10" max="10" width="11.453125" style="22" customWidth="1"/>
    <col min="11" max="11" width="10.54296875" style="22" bestFit="1" customWidth="1"/>
    <col min="12" max="12" width="10.54296875" style="22" customWidth="1"/>
    <col min="13" max="13" width="11.81640625" style="22" customWidth="1"/>
    <col min="14" max="14" width="12.54296875" style="22" customWidth="1"/>
    <col min="15" max="15" width="9.81640625" style="22" customWidth="1"/>
    <col min="16" max="16" width="11.7265625" style="22" customWidth="1"/>
    <col min="17" max="247" width="9.1796875" style="22"/>
    <col min="248" max="248" width="8.7265625" style="22" customWidth="1"/>
    <col min="249" max="249" width="9.81640625" style="22" customWidth="1"/>
    <col min="250" max="250" width="14.453125" style="22" customWidth="1"/>
    <col min="251" max="251" width="7.26953125" style="22" customWidth="1"/>
    <col min="252" max="252" width="5.54296875" style="22" customWidth="1"/>
    <col min="253" max="253" width="9" style="22" customWidth="1"/>
    <col min="254" max="255" width="9.81640625" style="22" customWidth="1"/>
    <col min="256" max="256" width="11.1796875" style="22" customWidth="1"/>
    <col min="257" max="257" width="2.81640625" style="22" customWidth="1"/>
    <col min="258" max="258" width="3.54296875" style="22" customWidth="1"/>
    <col min="259" max="503" width="9.1796875" style="22"/>
    <col min="504" max="504" width="8.7265625" style="22" customWidth="1"/>
    <col min="505" max="505" width="9.81640625" style="22" customWidth="1"/>
    <col min="506" max="506" width="14.453125" style="22" customWidth="1"/>
    <col min="507" max="507" width="7.26953125" style="22" customWidth="1"/>
    <col min="508" max="508" width="5.54296875" style="22" customWidth="1"/>
    <col min="509" max="509" width="9" style="22" customWidth="1"/>
    <col min="510" max="511" width="9.81640625" style="22" customWidth="1"/>
    <col min="512" max="512" width="11.1796875" style="22" customWidth="1"/>
    <col min="513" max="513" width="2.81640625" style="22" customWidth="1"/>
    <col min="514" max="514" width="3.54296875" style="22" customWidth="1"/>
    <col min="515" max="759" width="9.1796875" style="22"/>
    <col min="760" max="760" width="8.7265625" style="22" customWidth="1"/>
    <col min="761" max="761" width="9.81640625" style="22" customWidth="1"/>
    <col min="762" max="762" width="14.453125" style="22" customWidth="1"/>
    <col min="763" max="763" width="7.26953125" style="22" customWidth="1"/>
    <col min="764" max="764" width="5.54296875" style="22" customWidth="1"/>
    <col min="765" max="765" width="9" style="22" customWidth="1"/>
    <col min="766" max="767" width="9.81640625" style="22" customWidth="1"/>
    <col min="768" max="768" width="11.1796875" style="22" customWidth="1"/>
    <col min="769" max="769" width="2.81640625" style="22" customWidth="1"/>
    <col min="770" max="770" width="3.54296875" style="22" customWidth="1"/>
    <col min="771" max="1015" width="9.1796875" style="22"/>
    <col min="1016" max="1016" width="8.7265625" style="22" customWidth="1"/>
    <col min="1017" max="1017" width="9.81640625" style="22" customWidth="1"/>
    <col min="1018" max="1018" width="14.453125" style="22" customWidth="1"/>
    <col min="1019" max="1019" width="7.26953125" style="22" customWidth="1"/>
    <col min="1020" max="1020" width="5.54296875" style="22" customWidth="1"/>
    <col min="1021" max="1021" width="9" style="22" customWidth="1"/>
    <col min="1022" max="1023" width="9.81640625" style="22" customWidth="1"/>
    <col min="1024" max="1024" width="11.1796875" style="22" customWidth="1"/>
    <col min="1025" max="1025" width="2.81640625" style="22" customWidth="1"/>
    <col min="1026" max="1026" width="3.54296875" style="22" customWidth="1"/>
    <col min="1027" max="1271" width="9.1796875" style="22"/>
    <col min="1272" max="1272" width="8.7265625" style="22" customWidth="1"/>
    <col min="1273" max="1273" width="9.81640625" style="22" customWidth="1"/>
    <col min="1274" max="1274" width="14.453125" style="22" customWidth="1"/>
    <col min="1275" max="1275" width="7.26953125" style="22" customWidth="1"/>
    <col min="1276" max="1276" width="5.54296875" style="22" customWidth="1"/>
    <col min="1277" max="1277" width="9" style="22" customWidth="1"/>
    <col min="1278" max="1279" width="9.81640625" style="22" customWidth="1"/>
    <col min="1280" max="1280" width="11.1796875" style="22" customWidth="1"/>
    <col min="1281" max="1281" width="2.81640625" style="22" customWidth="1"/>
    <col min="1282" max="1282" width="3.54296875" style="22" customWidth="1"/>
    <col min="1283" max="1527" width="9.1796875" style="22"/>
    <col min="1528" max="1528" width="8.7265625" style="22" customWidth="1"/>
    <col min="1529" max="1529" width="9.81640625" style="22" customWidth="1"/>
    <col min="1530" max="1530" width="14.453125" style="22" customWidth="1"/>
    <col min="1531" max="1531" width="7.26953125" style="22" customWidth="1"/>
    <col min="1532" max="1532" width="5.54296875" style="22" customWidth="1"/>
    <col min="1533" max="1533" width="9" style="22" customWidth="1"/>
    <col min="1534" max="1535" width="9.81640625" style="22" customWidth="1"/>
    <col min="1536" max="1536" width="11.1796875" style="22" customWidth="1"/>
    <col min="1537" max="1537" width="2.81640625" style="22" customWidth="1"/>
    <col min="1538" max="1538" width="3.54296875" style="22" customWidth="1"/>
    <col min="1539" max="1783" width="9.1796875" style="22"/>
    <col min="1784" max="1784" width="8.7265625" style="22" customWidth="1"/>
    <col min="1785" max="1785" width="9.81640625" style="22" customWidth="1"/>
    <col min="1786" max="1786" width="14.453125" style="22" customWidth="1"/>
    <col min="1787" max="1787" width="7.26953125" style="22" customWidth="1"/>
    <col min="1788" max="1788" width="5.54296875" style="22" customWidth="1"/>
    <col min="1789" max="1789" width="9" style="22" customWidth="1"/>
    <col min="1790" max="1791" width="9.81640625" style="22" customWidth="1"/>
    <col min="1792" max="1792" width="11.1796875" style="22" customWidth="1"/>
    <col min="1793" max="1793" width="2.81640625" style="22" customWidth="1"/>
    <col min="1794" max="1794" width="3.54296875" style="22" customWidth="1"/>
    <col min="1795" max="2039" width="9.1796875" style="22"/>
    <col min="2040" max="2040" width="8.7265625" style="22" customWidth="1"/>
    <col min="2041" max="2041" width="9.81640625" style="22" customWidth="1"/>
    <col min="2042" max="2042" width="14.453125" style="22" customWidth="1"/>
    <col min="2043" max="2043" width="7.26953125" style="22" customWidth="1"/>
    <col min="2044" max="2044" width="5.54296875" style="22" customWidth="1"/>
    <col min="2045" max="2045" width="9" style="22" customWidth="1"/>
    <col min="2046" max="2047" width="9.81640625" style="22" customWidth="1"/>
    <col min="2048" max="2048" width="11.1796875" style="22" customWidth="1"/>
    <col min="2049" max="2049" width="2.81640625" style="22" customWidth="1"/>
    <col min="2050" max="2050" width="3.54296875" style="22" customWidth="1"/>
    <col min="2051" max="2295" width="9.1796875" style="22"/>
    <col min="2296" max="2296" width="8.7265625" style="22" customWidth="1"/>
    <col min="2297" max="2297" width="9.81640625" style="22" customWidth="1"/>
    <col min="2298" max="2298" width="14.453125" style="22" customWidth="1"/>
    <col min="2299" max="2299" width="7.26953125" style="22" customWidth="1"/>
    <col min="2300" max="2300" width="5.54296875" style="22" customWidth="1"/>
    <col min="2301" max="2301" width="9" style="22" customWidth="1"/>
    <col min="2302" max="2303" width="9.81640625" style="22" customWidth="1"/>
    <col min="2304" max="2304" width="11.1796875" style="22" customWidth="1"/>
    <col min="2305" max="2305" width="2.81640625" style="22" customWidth="1"/>
    <col min="2306" max="2306" width="3.54296875" style="22" customWidth="1"/>
    <col min="2307" max="2551" width="9.1796875" style="22"/>
    <col min="2552" max="2552" width="8.7265625" style="22" customWidth="1"/>
    <col min="2553" max="2553" width="9.81640625" style="22" customWidth="1"/>
    <col min="2554" max="2554" width="14.453125" style="22" customWidth="1"/>
    <col min="2555" max="2555" width="7.26953125" style="22" customWidth="1"/>
    <col min="2556" max="2556" width="5.54296875" style="22" customWidth="1"/>
    <col min="2557" max="2557" width="9" style="22" customWidth="1"/>
    <col min="2558" max="2559" width="9.81640625" style="22" customWidth="1"/>
    <col min="2560" max="2560" width="11.1796875" style="22" customWidth="1"/>
    <col min="2561" max="2561" width="2.81640625" style="22" customWidth="1"/>
    <col min="2562" max="2562" width="3.54296875" style="22" customWidth="1"/>
    <col min="2563" max="2807" width="9.1796875" style="22"/>
    <col min="2808" max="2808" width="8.7265625" style="22" customWidth="1"/>
    <col min="2809" max="2809" width="9.81640625" style="22" customWidth="1"/>
    <col min="2810" max="2810" width="14.453125" style="22" customWidth="1"/>
    <col min="2811" max="2811" width="7.26953125" style="22" customWidth="1"/>
    <col min="2812" max="2812" width="5.54296875" style="22" customWidth="1"/>
    <col min="2813" max="2813" width="9" style="22" customWidth="1"/>
    <col min="2814" max="2815" width="9.81640625" style="22" customWidth="1"/>
    <col min="2816" max="2816" width="11.1796875" style="22" customWidth="1"/>
    <col min="2817" max="2817" width="2.81640625" style="22" customWidth="1"/>
    <col min="2818" max="2818" width="3.54296875" style="22" customWidth="1"/>
    <col min="2819" max="3063" width="9.1796875" style="22"/>
    <col min="3064" max="3064" width="8.7265625" style="22" customWidth="1"/>
    <col min="3065" max="3065" width="9.81640625" style="22" customWidth="1"/>
    <col min="3066" max="3066" width="14.453125" style="22" customWidth="1"/>
    <col min="3067" max="3067" width="7.26953125" style="22" customWidth="1"/>
    <col min="3068" max="3068" width="5.54296875" style="22" customWidth="1"/>
    <col min="3069" max="3069" width="9" style="22" customWidth="1"/>
    <col min="3070" max="3071" width="9.81640625" style="22" customWidth="1"/>
    <col min="3072" max="3072" width="11.1796875" style="22" customWidth="1"/>
    <col min="3073" max="3073" width="2.81640625" style="22" customWidth="1"/>
    <col min="3074" max="3074" width="3.54296875" style="22" customWidth="1"/>
    <col min="3075" max="3319" width="9.1796875" style="22"/>
    <col min="3320" max="3320" width="8.7265625" style="22" customWidth="1"/>
    <col min="3321" max="3321" width="9.81640625" style="22" customWidth="1"/>
    <col min="3322" max="3322" width="14.453125" style="22" customWidth="1"/>
    <col min="3323" max="3323" width="7.26953125" style="22" customWidth="1"/>
    <col min="3324" max="3324" width="5.54296875" style="22" customWidth="1"/>
    <col min="3325" max="3325" width="9" style="22" customWidth="1"/>
    <col min="3326" max="3327" width="9.81640625" style="22" customWidth="1"/>
    <col min="3328" max="3328" width="11.1796875" style="22" customWidth="1"/>
    <col min="3329" max="3329" width="2.81640625" style="22" customWidth="1"/>
    <col min="3330" max="3330" width="3.54296875" style="22" customWidth="1"/>
    <col min="3331" max="3575" width="9.1796875" style="22"/>
    <col min="3576" max="3576" width="8.7265625" style="22" customWidth="1"/>
    <col min="3577" max="3577" width="9.81640625" style="22" customWidth="1"/>
    <col min="3578" max="3578" width="14.453125" style="22" customWidth="1"/>
    <col min="3579" max="3579" width="7.26953125" style="22" customWidth="1"/>
    <col min="3580" max="3580" width="5.54296875" style="22" customWidth="1"/>
    <col min="3581" max="3581" width="9" style="22" customWidth="1"/>
    <col min="3582" max="3583" width="9.81640625" style="22" customWidth="1"/>
    <col min="3584" max="3584" width="11.1796875" style="22" customWidth="1"/>
    <col min="3585" max="3585" width="2.81640625" style="22" customWidth="1"/>
    <col min="3586" max="3586" width="3.54296875" style="22" customWidth="1"/>
    <col min="3587" max="3831" width="9.1796875" style="22"/>
    <col min="3832" max="3832" width="8.7265625" style="22" customWidth="1"/>
    <col min="3833" max="3833" width="9.81640625" style="22" customWidth="1"/>
    <col min="3834" max="3834" width="14.453125" style="22" customWidth="1"/>
    <col min="3835" max="3835" width="7.26953125" style="22" customWidth="1"/>
    <col min="3836" max="3836" width="5.54296875" style="22" customWidth="1"/>
    <col min="3837" max="3837" width="9" style="22" customWidth="1"/>
    <col min="3838" max="3839" width="9.81640625" style="22" customWidth="1"/>
    <col min="3840" max="3840" width="11.1796875" style="22" customWidth="1"/>
    <col min="3841" max="3841" width="2.81640625" style="22" customWidth="1"/>
    <col min="3842" max="3842" width="3.54296875" style="22" customWidth="1"/>
    <col min="3843" max="4087" width="9.1796875" style="22"/>
    <col min="4088" max="4088" width="8.7265625" style="22" customWidth="1"/>
    <col min="4089" max="4089" width="9.81640625" style="22" customWidth="1"/>
    <col min="4090" max="4090" width="14.453125" style="22" customWidth="1"/>
    <col min="4091" max="4091" width="7.26953125" style="22" customWidth="1"/>
    <col min="4092" max="4092" width="5.54296875" style="22" customWidth="1"/>
    <col min="4093" max="4093" width="9" style="22" customWidth="1"/>
    <col min="4094" max="4095" width="9.81640625" style="22" customWidth="1"/>
    <col min="4096" max="4096" width="11.1796875" style="22" customWidth="1"/>
    <col min="4097" max="4097" width="2.81640625" style="22" customWidth="1"/>
    <col min="4098" max="4098" width="3.54296875" style="22" customWidth="1"/>
    <col min="4099" max="4343" width="9.1796875" style="22"/>
    <col min="4344" max="4344" width="8.7265625" style="22" customWidth="1"/>
    <col min="4345" max="4345" width="9.81640625" style="22" customWidth="1"/>
    <col min="4346" max="4346" width="14.453125" style="22" customWidth="1"/>
    <col min="4347" max="4347" width="7.26953125" style="22" customWidth="1"/>
    <col min="4348" max="4348" width="5.54296875" style="22" customWidth="1"/>
    <col min="4349" max="4349" width="9" style="22" customWidth="1"/>
    <col min="4350" max="4351" width="9.81640625" style="22" customWidth="1"/>
    <col min="4352" max="4352" width="11.1796875" style="22" customWidth="1"/>
    <col min="4353" max="4353" width="2.81640625" style="22" customWidth="1"/>
    <col min="4354" max="4354" width="3.54296875" style="22" customWidth="1"/>
    <col min="4355" max="4599" width="9.1796875" style="22"/>
    <col min="4600" max="4600" width="8.7265625" style="22" customWidth="1"/>
    <col min="4601" max="4601" width="9.81640625" style="22" customWidth="1"/>
    <col min="4602" max="4602" width="14.453125" style="22" customWidth="1"/>
    <col min="4603" max="4603" width="7.26953125" style="22" customWidth="1"/>
    <col min="4604" max="4604" width="5.54296875" style="22" customWidth="1"/>
    <col min="4605" max="4605" width="9" style="22" customWidth="1"/>
    <col min="4606" max="4607" width="9.81640625" style="22" customWidth="1"/>
    <col min="4608" max="4608" width="11.1796875" style="22" customWidth="1"/>
    <col min="4609" max="4609" width="2.81640625" style="22" customWidth="1"/>
    <col min="4610" max="4610" width="3.54296875" style="22" customWidth="1"/>
    <col min="4611" max="4855" width="9.1796875" style="22"/>
    <col min="4856" max="4856" width="8.7265625" style="22" customWidth="1"/>
    <col min="4857" max="4857" width="9.81640625" style="22" customWidth="1"/>
    <col min="4858" max="4858" width="14.453125" style="22" customWidth="1"/>
    <col min="4859" max="4859" width="7.26953125" style="22" customWidth="1"/>
    <col min="4860" max="4860" width="5.54296875" style="22" customWidth="1"/>
    <col min="4861" max="4861" width="9" style="22" customWidth="1"/>
    <col min="4862" max="4863" width="9.81640625" style="22" customWidth="1"/>
    <col min="4864" max="4864" width="11.1796875" style="22" customWidth="1"/>
    <col min="4865" max="4865" width="2.81640625" style="22" customWidth="1"/>
    <col min="4866" max="4866" width="3.54296875" style="22" customWidth="1"/>
    <col min="4867" max="5111" width="9.1796875" style="22"/>
    <col min="5112" max="5112" width="8.7265625" style="22" customWidth="1"/>
    <col min="5113" max="5113" width="9.81640625" style="22" customWidth="1"/>
    <col min="5114" max="5114" width="14.453125" style="22" customWidth="1"/>
    <col min="5115" max="5115" width="7.26953125" style="22" customWidth="1"/>
    <col min="5116" max="5116" width="5.54296875" style="22" customWidth="1"/>
    <col min="5117" max="5117" width="9" style="22" customWidth="1"/>
    <col min="5118" max="5119" width="9.81640625" style="22" customWidth="1"/>
    <col min="5120" max="5120" width="11.1796875" style="22" customWidth="1"/>
    <col min="5121" max="5121" width="2.81640625" style="22" customWidth="1"/>
    <col min="5122" max="5122" width="3.54296875" style="22" customWidth="1"/>
    <col min="5123" max="5367" width="9.1796875" style="22"/>
    <col min="5368" max="5368" width="8.7265625" style="22" customWidth="1"/>
    <col min="5369" max="5369" width="9.81640625" style="22" customWidth="1"/>
    <col min="5370" max="5370" width="14.453125" style="22" customWidth="1"/>
    <col min="5371" max="5371" width="7.26953125" style="22" customWidth="1"/>
    <col min="5372" max="5372" width="5.54296875" style="22" customWidth="1"/>
    <col min="5373" max="5373" width="9" style="22" customWidth="1"/>
    <col min="5374" max="5375" width="9.81640625" style="22" customWidth="1"/>
    <col min="5376" max="5376" width="11.1796875" style="22" customWidth="1"/>
    <col min="5377" max="5377" width="2.81640625" style="22" customWidth="1"/>
    <col min="5378" max="5378" width="3.54296875" style="22" customWidth="1"/>
    <col min="5379" max="5623" width="9.1796875" style="22"/>
    <col min="5624" max="5624" width="8.7265625" style="22" customWidth="1"/>
    <col min="5625" max="5625" width="9.81640625" style="22" customWidth="1"/>
    <col min="5626" max="5626" width="14.453125" style="22" customWidth="1"/>
    <col min="5627" max="5627" width="7.26953125" style="22" customWidth="1"/>
    <col min="5628" max="5628" width="5.54296875" style="22" customWidth="1"/>
    <col min="5629" max="5629" width="9" style="22" customWidth="1"/>
    <col min="5630" max="5631" width="9.81640625" style="22" customWidth="1"/>
    <col min="5632" max="5632" width="11.1796875" style="22" customWidth="1"/>
    <col min="5633" max="5633" width="2.81640625" style="22" customWidth="1"/>
    <col min="5634" max="5634" width="3.54296875" style="22" customWidth="1"/>
    <col min="5635" max="5879" width="9.1796875" style="22"/>
    <col min="5880" max="5880" width="8.7265625" style="22" customWidth="1"/>
    <col min="5881" max="5881" width="9.81640625" style="22" customWidth="1"/>
    <col min="5882" max="5882" width="14.453125" style="22" customWidth="1"/>
    <col min="5883" max="5883" width="7.26953125" style="22" customWidth="1"/>
    <col min="5884" max="5884" width="5.54296875" style="22" customWidth="1"/>
    <col min="5885" max="5885" width="9" style="22" customWidth="1"/>
    <col min="5886" max="5887" width="9.81640625" style="22" customWidth="1"/>
    <col min="5888" max="5888" width="11.1796875" style="22" customWidth="1"/>
    <col min="5889" max="5889" width="2.81640625" style="22" customWidth="1"/>
    <col min="5890" max="5890" width="3.54296875" style="22" customWidth="1"/>
    <col min="5891" max="6135" width="9.1796875" style="22"/>
    <col min="6136" max="6136" width="8.7265625" style="22" customWidth="1"/>
    <col min="6137" max="6137" width="9.81640625" style="22" customWidth="1"/>
    <col min="6138" max="6138" width="14.453125" style="22" customWidth="1"/>
    <col min="6139" max="6139" width="7.26953125" style="22" customWidth="1"/>
    <col min="6140" max="6140" width="5.54296875" style="22" customWidth="1"/>
    <col min="6141" max="6141" width="9" style="22" customWidth="1"/>
    <col min="6142" max="6143" width="9.81640625" style="22" customWidth="1"/>
    <col min="6144" max="6144" width="11.1796875" style="22" customWidth="1"/>
    <col min="6145" max="6145" width="2.81640625" style="22" customWidth="1"/>
    <col min="6146" max="6146" width="3.54296875" style="22" customWidth="1"/>
    <col min="6147" max="6391" width="9.1796875" style="22"/>
    <col min="6392" max="6392" width="8.7265625" style="22" customWidth="1"/>
    <col min="6393" max="6393" width="9.81640625" style="22" customWidth="1"/>
    <col min="6394" max="6394" width="14.453125" style="22" customWidth="1"/>
    <col min="6395" max="6395" width="7.26953125" style="22" customWidth="1"/>
    <col min="6396" max="6396" width="5.54296875" style="22" customWidth="1"/>
    <col min="6397" max="6397" width="9" style="22" customWidth="1"/>
    <col min="6398" max="6399" width="9.81640625" style="22" customWidth="1"/>
    <col min="6400" max="6400" width="11.1796875" style="22" customWidth="1"/>
    <col min="6401" max="6401" width="2.81640625" style="22" customWidth="1"/>
    <col min="6402" max="6402" width="3.54296875" style="22" customWidth="1"/>
    <col min="6403" max="6647" width="9.1796875" style="22"/>
    <col min="6648" max="6648" width="8.7265625" style="22" customWidth="1"/>
    <col min="6649" max="6649" width="9.81640625" style="22" customWidth="1"/>
    <col min="6650" max="6650" width="14.453125" style="22" customWidth="1"/>
    <col min="6651" max="6651" width="7.26953125" style="22" customWidth="1"/>
    <col min="6652" max="6652" width="5.54296875" style="22" customWidth="1"/>
    <col min="6653" max="6653" width="9" style="22" customWidth="1"/>
    <col min="6654" max="6655" width="9.81640625" style="22" customWidth="1"/>
    <col min="6656" max="6656" width="11.1796875" style="22" customWidth="1"/>
    <col min="6657" max="6657" width="2.81640625" style="22" customWidth="1"/>
    <col min="6658" max="6658" width="3.54296875" style="22" customWidth="1"/>
    <col min="6659" max="6903" width="9.1796875" style="22"/>
    <col min="6904" max="6904" width="8.7265625" style="22" customWidth="1"/>
    <col min="6905" max="6905" width="9.81640625" style="22" customWidth="1"/>
    <col min="6906" max="6906" width="14.453125" style="22" customWidth="1"/>
    <col min="6907" max="6907" width="7.26953125" style="22" customWidth="1"/>
    <col min="6908" max="6908" width="5.54296875" style="22" customWidth="1"/>
    <col min="6909" max="6909" width="9" style="22" customWidth="1"/>
    <col min="6910" max="6911" width="9.81640625" style="22" customWidth="1"/>
    <col min="6912" max="6912" width="11.1796875" style="22" customWidth="1"/>
    <col min="6913" max="6913" width="2.81640625" style="22" customWidth="1"/>
    <col min="6914" max="6914" width="3.54296875" style="22" customWidth="1"/>
    <col min="6915" max="7159" width="9.1796875" style="22"/>
    <col min="7160" max="7160" width="8.7265625" style="22" customWidth="1"/>
    <col min="7161" max="7161" width="9.81640625" style="22" customWidth="1"/>
    <col min="7162" max="7162" width="14.453125" style="22" customWidth="1"/>
    <col min="7163" max="7163" width="7.26953125" style="22" customWidth="1"/>
    <col min="7164" max="7164" width="5.54296875" style="22" customWidth="1"/>
    <col min="7165" max="7165" width="9" style="22" customWidth="1"/>
    <col min="7166" max="7167" width="9.81640625" style="22" customWidth="1"/>
    <col min="7168" max="7168" width="11.1796875" style="22" customWidth="1"/>
    <col min="7169" max="7169" width="2.81640625" style="22" customWidth="1"/>
    <col min="7170" max="7170" width="3.54296875" style="22" customWidth="1"/>
    <col min="7171" max="7415" width="9.1796875" style="22"/>
    <col min="7416" max="7416" width="8.7265625" style="22" customWidth="1"/>
    <col min="7417" max="7417" width="9.81640625" style="22" customWidth="1"/>
    <col min="7418" max="7418" width="14.453125" style="22" customWidth="1"/>
    <col min="7419" max="7419" width="7.26953125" style="22" customWidth="1"/>
    <col min="7420" max="7420" width="5.54296875" style="22" customWidth="1"/>
    <col min="7421" max="7421" width="9" style="22" customWidth="1"/>
    <col min="7422" max="7423" width="9.81640625" style="22" customWidth="1"/>
    <col min="7424" max="7424" width="11.1796875" style="22" customWidth="1"/>
    <col min="7425" max="7425" width="2.81640625" style="22" customWidth="1"/>
    <col min="7426" max="7426" width="3.54296875" style="22" customWidth="1"/>
    <col min="7427" max="7671" width="9.1796875" style="22"/>
    <col min="7672" max="7672" width="8.7265625" style="22" customWidth="1"/>
    <col min="7673" max="7673" width="9.81640625" style="22" customWidth="1"/>
    <col min="7674" max="7674" width="14.453125" style="22" customWidth="1"/>
    <col min="7675" max="7675" width="7.26953125" style="22" customWidth="1"/>
    <col min="7676" max="7676" width="5.54296875" style="22" customWidth="1"/>
    <col min="7677" max="7677" width="9" style="22" customWidth="1"/>
    <col min="7678" max="7679" width="9.81640625" style="22" customWidth="1"/>
    <col min="7680" max="7680" width="11.1796875" style="22" customWidth="1"/>
    <col min="7681" max="7681" width="2.81640625" style="22" customWidth="1"/>
    <col min="7682" max="7682" width="3.54296875" style="22" customWidth="1"/>
    <col min="7683" max="7927" width="9.1796875" style="22"/>
    <col min="7928" max="7928" width="8.7265625" style="22" customWidth="1"/>
    <col min="7929" max="7929" width="9.81640625" style="22" customWidth="1"/>
    <col min="7930" max="7930" width="14.453125" style="22" customWidth="1"/>
    <col min="7931" max="7931" width="7.26953125" style="22" customWidth="1"/>
    <col min="7932" max="7932" width="5.54296875" style="22" customWidth="1"/>
    <col min="7933" max="7933" width="9" style="22" customWidth="1"/>
    <col min="7934" max="7935" width="9.81640625" style="22" customWidth="1"/>
    <col min="7936" max="7936" width="11.1796875" style="22" customWidth="1"/>
    <col min="7937" max="7937" width="2.81640625" style="22" customWidth="1"/>
    <col min="7938" max="7938" width="3.54296875" style="22" customWidth="1"/>
    <col min="7939" max="8183" width="9.1796875" style="22"/>
    <col min="8184" max="8184" width="8.7265625" style="22" customWidth="1"/>
    <col min="8185" max="8185" width="9.81640625" style="22" customWidth="1"/>
    <col min="8186" max="8186" width="14.453125" style="22" customWidth="1"/>
    <col min="8187" max="8187" width="7.26953125" style="22" customWidth="1"/>
    <col min="8188" max="8188" width="5.54296875" style="22" customWidth="1"/>
    <col min="8189" max="8189" width="9" style="22" customWidth="1"/>
    <col min="8190" max="8191" width="9.81640625" style="22" customWidth="1"/>
    <col min="8192" max="8192" width="11.1796875" style="22" customWidth="1"/>
    <col min="8193" max="8193" width="2.81640625" style="22" customWidth="1"/>
    <col min="8194" max="8194" width="3.54296875" style="22" customWidth="1"/>
    <col min="8195" max="8439" width="9.1796875" style="22"/>
    <col min="8440" max="8440" width="8.7265625" style="22" customWidth="1"/>
    <col min="8441" max="8441" width="9.81640625" style="22" customWidth="1"/>
    <col min="8442" max="8442" width="14.453125" style="22" customWidth="1"/>
    <col min="8443" max="8443" width="7.26953125" style="22" customWidth="1"/>
    <col min="8444" max="8444" width="5.54296875" style="22" customWidth="1"/>
    <col min="8445" max="8445" width="9" style="22" customWidth="1"/>
    <col min="8446" max="8447" width="9.81640625" style="22" customWidth="1"/>
    <col min="8448" max="8448" width="11.1796875" style="22" customWidth="1"/>
    <col min="8449" max="8449" width="2.81640625" style="22" customWidth="1"/>
    <col min="8450" max="8450" width="3.54296875" style="22" customWidth="1"/>
    <col min="8451" max="8695" width="9.1796875" style="22"/>
    <col min="8696" max="8696" width="8.7265625" style="22" customWidth="1"/>
    <col min="8697" max="8697" width="9.81640625" style="22" customWidth="1"/>
    <col min="8698" max="8698" width="14.453125" style="22" customWidth="1"/>
    <col min="8699" max="8699" width="7.26953125" style="22" customWidth="1"/>
    <col min="8700" max="8700" width="5.54296875" style="22" customWidth="1"/>
    <col min="8701" max="8701" width="9" style="22" customWidth="1"/>
    <col min="8702" max="8703" width="9.81640625" style="22" customWidth="1"/>
    <col min="8704" max="8704" width="11.1796875" style="22" customWidth="1"/>
    <col min="8705" max="8705" width="2.81640625" style="22" customWidth="1"/>
    <col min="8706" max="8706" width="3.54296875" style="22" customWidth="1"/>
    <col min="8707" max="8951" width="9.1796875" style="22"/>
    <col min="8952" max="8952" width="8.7265625" style="22" customWidth="1"/>
    <col min="8953" max="8953" width="9.81640625" style="22" customWidth="1"/>
    <col min="8954" max="8954" width="14.453125" style="22" customWidth="1"/>
    <col min="8955" max="8955" width="7.26953125" style="22" customWidth="1"/>
    <col min="8956" max="8956" width="5.54296875" style="22" customWidth="1"/>
    <col min="8957" max="8957" width="9" style="22" customWidth="1"/>
    <col min="8958" max="8959" width="9.81640625" style="22" customWidth="1"/>
    <col min="8960" max="8960" width="11.1796875" style="22" customWidth="1"/>
    <col min="8961" max="8961" width="2.81640625" style="22" customWidth="1"/>
    <col min="8962" max="8962" width="3.54296875" style="22" customWidth="1"/>
    <col min="8963" max="9207" width="9.1796875" style="22"/>
    <col min="9208" max="9208" width="8.7265625" style="22" customWidth="1"/>
    <col min="9209" max="9209" width="9.81640625" style="22" customWidth="1"/>
    <col min="9210" max="9210" width="14.453125" style="22" customWidth="1"/>
    <col min="9211" max="9211" width="7.26953125" style="22" customWidth="1"/>
    <col min="9212" max="9212" width="5.54296875" style="22" customWidth="1"/>
    <col min="9213" max="9213" width="9" style="22" customWidth="1"/>
    <col min="9214" max="9215" width="9.81640625" style="22" customWidth="1"/>
    <col min="9216" max="9216" width="11.1796875" style="22" customWidth="1"/>
    <col min="9217" max="9217" width="2.81640625" style="22" customWidth="1"/>
    <col min="9218" max="9218" width="3.54296875" style="22" customWidth="1"/>
    <col min="9219" max="9463" width="9.1796875" style="22"/>
    <col min="9464" max="9464" width="8.7265625" style="22" customWidth="1"/>
    <col min="9465" max="9465" width="9.81640625" style="22" customWidth="1"/>
    <col min="9466" max="9466" width="14.453125" style="22" customWidth="1"/>
    <col min="9467" max="9467" width="7.26953125" style="22" customWidth="1"/>
    <col min="9468" max="9468" width="5.54296875" style="22" customWidth="1"/>
    <col min="9469" max="9469" width="9" style="22" customWidth="1"/>
    <col min="9470" max="9471" width="9.81640625" style="22" customWidth="1"/>
    <col min="9472" max="9472" width="11.1796875" style="22" customWidth="1"/>
    <col min="9473" max="9473" width="2.81640625" style="22" customWidth="1"/>
    <col min="9474" max="9474" width="3.54296875" style="22" customWidth="1"/>
    <col min="9475" max="9719" width="9.1796875" style="22"/>
    <col min="9720" max="9720" width="8.7265625" style="22" customWidth="1"/>
    <col min="9721" max="9721" width="9.81640625" style="22" customWidth="1"/>
    <col min="9722" max="9722" width="14.453125" style="22" customWidth="1"/>
    <col min="9723" max="9723" width="7.26953125" style="22" customWidth="1"/>
    <col min="9724" max="9724" width="5.54296875" style="22" customWidth="1"/>
    <col min="9725" max="9725" width="9" style="22" customWidth="1"/>
    <col min="9726" max="9727" width="9.81640625" style="22" customWidth="1"/>
    <col min="9728" max="9728" width="11.1796875" style="22" customWidth="1"/>
    <col min="9729" max="9729" width="2.81640625" style="22" customWidth="1"/>
    <col min="9730" max="9730" width="3.54296875" style="22" customWidth="1"/>
    <col min="9731" max="9975" width="9.1796875" style="22"/>
    <col min="9976" max="9976" width="8.7265625" style="22" customWidth="1"/>
    <col min="9977" max="9977" width="9.81640625" style="22" customWidth="1"/>
    <col min="9978" max="9978" width="14.453125" style="22" customWidth="1"/>
    <col min="9979" max="9979" width="7.26953125" style="22" customWidth="1"/>
    <col min="9980" max="9980" width="5.54296875" style="22" customWidth="1"/>
    <col min="9981" max="9981" width="9" style="22" customWidth="1"/>
    <col min="9982" max="9983" width="9.81640625" style="22" customWidth="1"/>
    <col min="9984" max="9984" width="11.1796875" style="22" customWidth="1"/>
    <col min="9985" max="9985" width="2.81640625" style="22" customWidth="1"/>
    <col min="9986" max="9986" width="3.54296875" style="22" customWidth="1"/>
    <col min="9987" max="10231" width="9.1796875" style="22"/>
    <col min="10232" max="10232" width="8.7265625" style="22" customWidth="1"/>
    <col min="10233" max="10233" width="9.81640625" style="22" customWidth="1"/>
    <col min="10234" max="10234" width="14.453125" style="22" customWidth="1"/>
    <col min="10235" max="10235" width="7.26953125" style="22" customWidth="1"/>
    <col min="10236" max="10236" width="5.54296875" style="22" customWidth="1"/>
    <col min="10237" max="10237" width="9" style="22" customWidth="1"/>
    <col min="10238" max="10239" width="9.81640625" style="22" customWidth="1"/>
    <col min="10240" max="10240" width="11.1796875" style="22" customWidth="1"/>
    <col min="10241" max="10241" width="2.81640625" style="22" customWidth="1"/>
    <col min="10242" max="10242" width="3.54296875" style="22" customWidth="1"/>
    <col min="10243" max="10487" width="9.1796875" style="22"/>
    <col min="10488" max="10488" width="8.7265625" style="22" customWidth="1"/>
    <col min="10489" max="10489" width="9.81640625" style="22" customWidth="1"/>
    <col min="10490" max="10490" width="14.453125" style="22" customWidth="1"/>
    <col min="10491" max="10491" width="7.26953125" style="22" customWidth="1"/>
    <col min="10492" max="10492" width="5.54296875" style="22" customWidth="1"/>
    <col min="10493" max="10493" width="9" style="22" customWidth="1"/>
    <col min="10494" max="10495" width="9.81640625" style="22" customWidth="1"/>
    <col min="10496" max="10496" width="11.1796875" style="22" customWidth="1"/>
    <col min="10497" max="10497" width="2.81640625" style="22" customWidth="1"/>
    <col min="10498" max="10498" width="3.54296875" style="22" customWidth="1"/>
    <col min="10499" max="10743" width="9.1796875" style="22"/>
    <col min="10744" max="10744" width="8.7265625" style="22" customWidth="1"/>
    <col min="10745" max="10745" width="9.81640625" style="22" customWidth="1"/>
    <col min="10746" max="10746" width="14.453125" style="22" customWidth="1"/>
    <col min="10747" max="10747" width="7.26953125" style="22" customWidth="1"/>
    <col min="10748" max="10748" width="5.54296875" style="22" customWidth="1"/>
    <col min="10749" max="10749" width="9" style="22" customWidth="1"/>
    <col min="10750" max="10751" width="9.81640625" style="22" customWidth="1"/>
    <col min="10752" max="10752" width="11.1796875" style="22" customWidth="1"/>
    <col min="10753" max="10753" width="2.81640625" style="22" customWidth="1"/>
    <col min="10754" max="10754" width="3.54296875" style="22" customWidth="1"/>
    <col min="10755" max="10999" width="9.1796875" style="22"/>
    <col min="11000" max="11000" width="8.7265625" style="22" customWidth="1"/>
    <col min="11001" max="11001" width="9.81640625" style="22" customWidth="1"/>
    <col min="11002" max="11002" width="14.453125" style="22" customWidth="1"/>
    <col min="11003" max="11003" width="7.26953125" style="22" customWidth="1"/>
    <col min="11004" max="11004" width="5.54296875" style="22" customWidth="1"/>
    <col min="11005" max="11005" width="9" style="22" customWidth="1"/>
    <col min="11006" max="11007" width="9.81640625" style="22" customWidth="1"/>
    <col min="11008" max="11008" width="11.1796875" style="22" customWidth="1"/>
    <col min="11009" max="11009" width="2.81640625" style="22" customWidth="1"/>
    <col min="11010" max="11010" width="3.54296875" style="22" customWidth="1"/>
    <col min="11011" max="11255" width="9.1796875" style="22"/>
    <col min="11256" max="11256" width="8.7265625" style="22" customWidth="1"/>
    <col min="11257" max="11257" width="9.81640625" style="22" customWidth="1"/>
    <col min="11258" max="11258" width="14.453125" style="22" customWidth="1"/>
    <col min="11259" max="11259" width="7.26953125" style="22" customWidth="1"/>
    <col min="11260" max="11260" width="5.54296875" style="22" customWidth="1"/>
    <col min="11261" max="11261" width="9" style="22" customWidth="1"/>
    <col min="11262" max="11263" width="9.81640625" style="22" customWidth="1"/>
    <col min="11264" max="11264" width="11.1796875" style="22" customWidth="1"/>
    <col min="11265" max="11265" width="2.81640625" style="22" customWidth="1"/>
    <col min="11266" max="11266" width="3.54296875" style="22" customWidth="1"/>
    <col min="11267" max="11511" width="9.1796875" style="22"/>
    <col min="11512" max="11512" width="8.7265625" style="22" customWidth="1"/>
    <col min="11513" max="11513" width="9.81640625" style="22" customWidth="1"/>
    <col min="11514" max="11514" width="14.453125" style="22" customWidth="1"/>
    <col min="11515" max="11515" width="7.26953125" style="22" customWidth="1"/>
    <col min="11516" max="11516" width="5.54296875" style="22" customWidth="1"/>
    <col min="11517" max="11517" width="9" style="22" customWidth="1"/>
    <col min="11518" max="11519" width="9.81640625" style="22" customWidth="1"/>
    <col min="11520" max="11520" width="11.1796875" style="22" customWidth="1"/>
    <col min="11521" max="11521" width="2.81640625" style="22" customWidth="1"/>
    <col min="11522" max="11522" width="3.54296875" style="22" customWidth="1"/>
    <col min="11523" max="11767" width="9.1796875" style="22"/>
    <col min="11768" max="11768" width="8.7265625" style="22" customWidth="1"/>
    <col min="11769" max="11769" width="9.81640625" style="22" customWidth="1"/>
    <col min="11770" max="11770" width="14.453125" style="22" customWidth="1"/>
    <col min="11771" max="11771" width="7.26953125" style="22" customWidth="1"/>
    <col min="11772" max="11772" width="5.54296875" style="22" customWidth="1"/>
    <col min="11773" max="11773" width="9" style="22" customWidth="1"/>
    <col min="11774" max="11775" width="9.81640625" style="22" customWidth="1"/>
    <col min="11776" max="11776" width="11.1796875" style="22" customWidth="1"/>
    <col min="11777" max="11777" width="2.81640625" style="22" customWidth="1"/>
    <col min="11778" max="11778" width="3.54296875" style="22" customWidth="1"/>
    <col min="11779" max="12023" width="9.1796875" style="22"/>
    <col min="12024" max="12024" width="8.7265625" style="22" customWidth="1"/>
    <col min="12025" max="12025" width="9.81640625" style="22" customWidth="1"/>
    <col min="12026" max="12026" width="14.453125" style="22" customWidth="1"/>
    <col min="12027" max="12027" width="7.26953125" style="22" customWidth="1"/>
    <col min="12028" max="12028" width="5.54296875" style="22" customWidth="1"/>
    <col min="12029" max="12029" width="9" style="22" customWidth="1"/>
    <col min="12030" max="12031" width="9.81640625" style="22" customWidth="1"/>
    <col min="12032" max="12032" width="11.1796875" style="22" customWidth="1"/>
    <col min="12033" max="12033" width="2.81640625" style="22" customWidth="1"/>
    <col min="12034" max="12034" width="3.54296875" style="22" customWidth="1"/>
    <col min="12035" max="12279" width="9.1796875" style="22"/>
    <col min="12280" max="12280" width="8.7265625" style="22" customWidth="1"/>
    <col min="12281" max="12281" width="9.81640625" style="22" customWidth="1"/>
    <col min="12282" max="12282" width="14.453125" style="22" customWidth="1"/>
    <col min="12283" max="12283" width="7.26953125" style="22" customWidth="1"/>
    <col min="12284" max="12284" width="5.54296875" style="22" customWidth="1"/>
    <col min="12285" max="12285" width="9" style="22" customWidth="1"/>
    <col min="12286" max="12287" width="9.81640625" style="22" customWidth="1"/>
    <col min="12288" max="12288" width="11.1796875" style="22" customWidth="1"/>
    <col min="12289" max="12289" width="2.81640625" style="22" customWidth="1"/>
    <col min="12290" max="12290" width="3.54296875" style="22" customWidth="1"/>
    <col min="12291" max="12535" width="9.1796875" style="22"/>
    <col min="12536" max="12536" width="8.7265625" style="22" customWidth="1"/>
    <col min="12537" max="12537" width="9.81640625" style="22" customWidth="1"/>
    <col min="12538" max="12538" width="14.453125" style="22" customWidth="1"/>
    <col min="12539" max="12539" width="7.26953125" style="22" customWidth="1"/>
    <col min="12540" max="12540" width="5.54296875" style="22" customWidth="1"/>
    <col min="12541" max="12541" width="9" style="22" customWidth="1"/>
    <col min="12542" max="12543" width="9.81640625" style="22" customWidth="1"/>
    <col min="12544" max="12544" width="11.1796875" style="22" customWidth="1"/>
    <col min="12545" max="12545" width="2.81640625" style="22" customWidth="1"/>
    <col min="12546" max="12546" width="3.54296875" style="22" customWidth="1"/>
    <col min="12547" max="12791" width="9.1796875" style="22"/>
    <col min="12792" max="12792" width="8.7265625" style="22" customWidth="1"/>
    <col min="12793" max="12793" width="9.81640625" style="22" customWidth="1"/>
    <col min="12794" max="12794" width="14.453125" style="22" customWidth="1"/>
    <col min="12795" max="12795" width="7.26953125" style="22" customWidth="1"/>
    <col min="12796" max="12796" width="5.54296875" style="22" customWidth="1"/>
    <col min="12797" max="12797" width="9" style="22" customWidth="1"/>
    <col min="12798" max="12799" width="9.81640625" style="22" customWidth="1"/>
    <col min="12800" max="12800" width="11.1796875" style="22" customWidth="1"/>
    <col min="12801" max="12801" width="2.81640625" style="22" customWidth="1"/>
    <col min="12802" max="12802" width="3.54296875" style="22" customWidth="1"/>
    <col min="12803" max="13047" width="9.1796875" style="22"/>
    <col min="13048" max="13048" width="8.7265625" style="22" customWidth="1"/>
    <col min="13049" max="13049" width="9.81640625" style="22" customWidth="1"/>
    <col min="13050" max="13050" width="14.453125" style="22" customWidth="1"/>
    <col min="13051" max="13051" width="7.26953125" style="22" customWidth="1"/>
    <col min="13052" max="13052" width="5.54296875" style="22" customWidth="1"/>
    <col min="13053" max="13053" width="9" style="22" customWidth="1"/>
    <col min="13054" max="13055" width="9.81640625" style="22" customWidth="1"/>
    <col min="13056" max="13056" width="11.1796875" style="22" customWidth="1"/>
    <col min="13057" max="13057" width="2.81640625" style="22" customWidth="1"/>
    <col min="13058" max="13058" width="3.54296875" style="22" customWidth="1"/>
    <col min="13059" max="13303" width="9.1796875" style="22"/>
    <col min="13304" max="13304" width="8.7265625" style="22" customWidth="1"/>
    <col min="13305" max="13305" width="9.81640625" style="22" customWidth="1"/>
    <col min="13306" max="13306" width="14.453125" style="22" customWidth="1"/>
    <col min="13307" max="13307" width="7.26953125" style="22" customWidth="1"/>
    <col min="13308" max="13308" width="5.54296875" style="22" customWidth="1"/>
    <col min="13309" max="13309" width="9" style="22" customWidth="1"/>
    <col min="13310" max="13311" width="9.81640625" style="22" customWidth="1"/>
    <col min="13312" max="13312" width="11.1796875" style="22" customWidth="1"/>
    <col min="13313" max="13313" width="2.81640625" style="22" customWidth="1"/>
    <col min="13314" max="13314" width="3.54296875" style="22" customWidth="1"/>
    <col min="13315" max="13559" width="9.1796875" style="22"/>
    <col min="13560" max="13560" width="8.7265625" style="22" customWidth="1"/>
    <col min="13561" max="13561" width="9.81640625" style="22" customWidth="1"/>
    <col min="13562" max="13562" width="14.453125" style="22" customWidth="1"/>
    <col min="13563" max="13563" width="7.26953125" style="22" customWidth="1"/>
    <col min="13564" max="13564" width="5.54296875" style="22" customWidth="1"/>
    <col min="13565" max="13565" width="9" style="22" customWidth="1"/>
    <col min="13566" max="13567" width="9.81640625" style="22" customWidth="1"/>
    <col min="13568" max="13568" width="11.1796875" style="22" customWidth="1"/>
    <col min="13569" max="13569" width="2.81640625" style="22" customWidth="1"/>
    <col min="13570" max="13570" width="3.54296875" style="22" customWidth="1"/>
    <col min="13571" max="13815" width="9.1796875" style="22"/>
    <col min="13816" max="13816" width="8.7265625" style="22" customWidth="1"/>
    <col min="13817" max="13817" width="9.81640625" style="22" customWidth="1"/>
    <col min="13818" max="13818" width="14.453125" style="22" customWidth="1"/>
    <col min="13819" max="13819" width="7.26953125" style="22" customWidth="1"/>
    <col min="13820" max="13820" width="5.54296875" style="22" customWidth="1"/>
    <col min="13821" max="13821" width="9" style="22" customWidth="1"/>
    <col min="13822" max="13823" width="9.81640625" style="22" customWidth="1"/>
    <col min="13824" max="13824" width="11.1796875" style="22" customWidth="1"/>
    <col min="13825" max="13825" width="2.81640625" style="22" customWidth="1"/>
    <col min="13826" max="13826" width="3.54296875" style="22" customWidth="1"/>
    <col min="13827" max="14071" width="9.1796875" style="22"/>
    <col min="14072" max="14072" width="8.7265625" style="22" customWidth="1"/>
    <col min="14073" max="14073" width="9.81640625" style="22" customWidth="1"/>
    <col min="14074" max="14074" width="14.453125" style="22" customWidth="1"/>
    <col min="14075" max="14075" width="7.26953125" style="22" customWidth="1"/>
    <col min="14076" max="14076" width="5.54296875" style="22" customWidth="1"/>
    <col min="14077" max="14077" width="9" style="22" customWidth="1"/>
    <col min="14078" max="14079" width="9.81640625" style="22" customWidth="1"/>
    <col min="14080" max="14080" width="11.1796875" style="22" customWidth="1"/>
    <col min="14081" max="14081" width="2.81640625" style="22" customWidth="1"/>
    <col min="14082" max="14082" width="3.54296875" style="22" customWidth="1"/>
    <col min="14083" max="14327" width="9.1796875" style="22"/>
    <col min="14328" max="14328" width="8.7265625" style="22" customWidth="1"/>
    <col min="14329" max="14329" width="9.81640625" style="22" customWidth="1"/>
    <col min="14330" max="14330" width="14.453125" style="22" customWidth="1"/>
    <col min="14331" max="14331" width="7.26953125" style="22" customWidth="1"/>
    <col min="14332" max="14332" width="5.54296875" style="22" customWidth="1"/>
    <col min="14333" max="14333" width="9" style="22" customWidth="1"/>
    <col min="14334" max="14335" width="9.81640625" style="22" customWidth="1"/>
    <col min="14336" max="14336" width="11.1796875" style="22" customWidth="1"/>
    <col min="14337" max="14337" width="2.81640625" style="22" customWidth="1"/>
    <col min="14338" max="14338" width="3.54296875" style="22" customWidth="1"/>
    <col min="14339" max="14583" width="9.1796875" style="22"/>
    <col min="14584" max="14584" width="8.7265625" style="22" customWidth="1"/>
    <col min="14585" max="14585" width="9.81640625" style="22" customWidth="1"/>
    <col min="14586" max="14586" width="14.453125" style="22" customWidth="1"/>
    <col min="14587" max="14587" width="7.26953125" style="22" customWidth="1"/>
    <col min="14588" max="14588" width="5.54296875" style="22" customWidth="1"/>
    <col min="14589" max="14589" width="9" style="22" customWidth="1"/>
    <col min="14590" max="14591" width="9.81640625" style="22" customWidth="1"/>
    <col min="14592" max="14592" width="11.1796875" style="22" customWidth="1"/>
    <col min="14593" max="14593" width="2.81640625" style="22" customWidth="1"/>
    <col min="14594" max="14594" width="3.54296875" style="22" customWidth="1"/>
    <col min="14595" max="14839" width="9.1796875" style="22"/>
    <col min="14840" max="14840" width="8.7265625" style="22" customWidth="1"/>
    <col min="14841" max="14841" width="9.81640625" style="22" customWidth="1"/>
    <col min="14842" max="14842" width="14.453125" style="22" customWidth="1"/>
    <col min="14843" max="14843" width="7.26953125" style="22" customWidth="1"/>
    <col min="14844" max="14844" width="5.54296875" style="22" customWidth="1"/>
    <col min="14845" max="14845" width="9" style="22" customWidth="1"/>
    <col min="14846" max="14847" width="9.81640625" style="22" customWidth="1"/>
    <col min="14848" max="14848" width="11.1796875" style="22" customWidth="1"/>
    <col min="14849" max="14849" width="2.81640625" style="22" customWidth="1"/>
    <col min="14850" max="14850" width="3.54296875" style="22" customWidth="1"/>
    <col min="14851" max="15095" width="9.1796875" style="22"/>
    <col min="15096" max="15096" width="8.7265625" style="22" customWidth="1"/>
    <col min="15097" max="15097" width="9.81640625" style="22" customWidth="1"/>
    <col min="15098" max="15098" width="14.453125" style="22" customWidth="1"/>
    <col min="15099" max="15099" width="7.26953125" style="22" customWidth="1"/>
    <col min="15100" max="15100" width="5.54296875" style="22" customWidth="1"/>
    <col min="15101" max="15101" width="9" style="22" customWidth="1"/>
    <col min="15102" max="15103" width="9.81640625" style="22" customWidth="1"/>
    <col min="15104" max="15104" width="11.1796875" style="22" customWidth="1"/>
    <col min="15105" max="15105" width="2.81640625" style="22" customWidth="1"/>
    <col min="15106" max="15106" width="3.54296875" style="22" customWidth="1"/>
    <col min="15107" max="15351" width="9.1796875" style="22"/>
    <col min="15352" max="15352" width="8.7265625" style="22" customWidth="1"/>
    <col min="15353" max="15353" width="9.81640625" style="22" customWidth="1"/>
    <col min="15354" max="15354" width="14.453125" style="22" customWidth="1"/>
    <col min="15355" max="15355" width="7.26953125" style="22" customWidth="1"/>
    <col min="15356" max="15356" width="5.54296875" style="22" customWidth="1"/>
    <col min="15357" max="15357" width="9" style="22" customWidth="1"/>
    <col min="15358" max="15359" width="9.81640625" style="22" customWidth="1"/>
    <col min="15360" max="15360" width="11.1796875" style="22" customWidth="1"/>
    <col min="15361" max="15361" width="2.81640625" style="22" customWidth="1"/>
    <col min="15362" max="15362" width="3.54296875" style="22" customWidth="1"/>
    <col min="15363" max="15607" width="9.1796875" style="22"/>
    <col min="15608" max="15608" width="8.7265625" style="22" customWidth="1"/>
    <col min="15609" max="15609" width="9.81640625" style="22" customWidth="1"/>
    <col min="15610" max="15610" width="14.453125" style="22" customWidth="1"/>
    <col min="15611" max="15611" width="7.26953125" style="22" customWidth="1"/>
    <col min="15612" max="15612" width="5.54296875" style="22" customWidth="1"/>
    <col min="15613" max="15613" width="9" style="22" customWidth="1"/>
    <col min="15614" max="15615" width="9.81640625" style="22" customWidth="1"/>
    <col min="15616" max="15616" width="11.1796875" style="22" customWidth="1"/>
    <col min="15617" max="15617" width="2.81640625" style="22" customWidth="1"/>
    <col min="15618" max="15618" width="3.54296875" style="22" customWidth="1"/>
    <col min="15619" max="15863" width="9.1796875" style="22"/>
    <col min="15864" max="15864" width="8.7265625" style="22" customWidth="1"/>
    <col min="15865" max="15865" width="9.81640625" style="22" customWidth="1"/>
    <col min="15866" max="15866" width="14.453125" style="22" customWidth="1"/>
    <col min="15867" max="15867" width="7.26953125" style="22" customWidth="1"/>
    <col min="15868" max="15868" width="5.54296875" style="22" customWidth="1"/>
    <col min="15869" max="15869" width="9" style="22" customWidth="1"/>
    <col min="15870" max="15871" width="9.81640625" style="22" customWidth="1"/>
    <col min="15872" max="15872" width="11.1796875" style="22" customWidth="1"/>
    <col min="15873" max="15873" width="2.81640625" style="22" customWidth="1"/>
    <col min="15874" max="15874" width="3.54296875" style="22" customWidth="1"/>
    <col min="15875" max="16119" width="9.1796875" style="22"/>
    <col min="16120" max="16120" width="8.7265625" style="22" customWidth="1"/>
    <col min="16121" max="16121" width="9.81640625" style="22" customWidth="1"/>
    <col min="16122" max="16122" width="14.453125" style="22" customWidth="1"/>
    <col min="16123" max="16123" width="7.26953125" style="22" customWidth="1"/>
    <col min="16124" max="16124" width="5.54296875" style="22" customWidth="1"/>
    <col min="16125" max="16125" width="9" style="22" customWidth="1"/>
    <col min="16126" max="16127" width="9.81640625" style="22" customWidth="1"/>
    <col min="16128" max="16128" width="11.1796875" style="22" customWidth="1"/>
    <col min="16129" max="16129" width="2.81640625" style="22" customWidth="1"/>
    <col min="16130" max="16130" width="3.54296875" style="22" customWidth="1"/>
    <col min="16131" max="16384" width="9.1796875" style="22"/>
  </cols>
  <sheetData>
    <row r="1" spans="1:8" ht="46.5" customHeight="1" x14ac:dyDescent="0.35">
      <c r="A1" s="206" t="s">
        <v>233</v>
      </c>
      <c r="B1" s="206"/>
      <c r="C1" s="206"/>
      <c r="D1" s="206"/>
      <c r="E1" s="206"/>
      <c r="F1" s="206"/>
      <c r="G1" s="206"/>
      <c r="H1" s="206"/>
    </row>
    <row r="2" spans="1:8" ht="16.5" customHeight="1" x14ac:dyDescent="0.35">
      <c r="A2" s="124" t="s">
        <v>0</v>
      </c>
      <c r="B2" s="124"/>
      <c r="C2" s="124"/>
      <c r="D2" s="124"/>
      <c r="E2" s="124"/>
      <c r="F2" s="124"/>
      <c r="G2" s="124"/>
      <c r="H2" s="124"/>
    </row>
    <row r="3" spans="1:8" x14ac:dyDescent="0.35">
      <c r="A3" s="184" t="s">
        <v>1</v>
      </c>
      <c r="B3" s="184"/>
      <c r="C3" s="184"/>
      <c r="D3" s="184"/>
      <c r="E3" s="184" t="str">
        <f ca="1">TEXT(TODAY(),"DD/MM/YYYY")</f>
        <v>28/08/2025</v>
      </c>
      <c r="F3" s="184"/>
      <c r="G3" s="184"/>
      <c r="H3" s="184"/>
    </row>
    <row r="4" spans="1:8" ht="15" customHeight="1" x14ac:dyDescent="0.35">
      <c r="A4" s="184" t="s">
        <v>2</v>
      </c>
      <c r="B4" s="184"/>
      <c r="C4" s="184"/>
      <c r="D4" s="184"/>
      <c r="E4" s="184" t="s">
        <v>175</v>
      </c>
      <c r="F4" s="184"/>
      <c r="G4" s="184"/>
      <c r="H4" s="184"/>
    </row>
    <row r="5" spans="1:8" x14ac:dyDescent="0.35">
      <c r="A5" s="184" t="s">
        <v>3</v>
      </c>
      <c r="B5" s="184"/>
      <c r="C5" s="184"/>
      <c r="D5" s="184"/>
      <c r="E5" s="204">
        <v>45897</v>
      </c>
      <c r="F5" s="205"/>
      <c r="G5" s="205"/>
      <c r="H5" s="205"/>
    </row>
    <row r="6" spans="1:8" ht="16.5" customHeight="1" x14ac:dyDescent="0.35">
      <c r="A6" s="184" t="s">
        <v>4</v>
      </c>
      <c r="B6" s="184"/>
      <c r="C6" s="184"/>
      <c r="D6" s="184"/>
      <c r="E6" s="184" t="s">
        <v>176</v>
      </c>
      <c r="F6" s="184"/>
      <c r="G6" s="184"/>
      <c r="H6" s="184"/>
    </row>
    <row r="7" spans="1:8" ht="15" customHeight="1" x14ac:dyDescent="0.35">
      <c r="A7" s="184" t="s">
        <v>5</v>
      </c>
      <c r="B7" s="184"/>
      <c r="C7" s="184"/>
      <c r="D7" s="184"/>
      <c r="E7" s="184" t="str">
        <f>E6</f>
        <v>Yash Infra</v>
      </c>
      <c r="F7" s="184"/>
      <c r="G7" s="184"/>
      <c r="H7" s="184"/>
    </row>
    <row r="8" spans="1:8" x14ac:dyDescent="0.35">
      <c r="A8" s="184" t="s">
        <v>6</v>
      </c>
      <c r="B8" s="184"/>
      <c r="C8" s="184"/>
      <c r="D8" s="184"/>
      <c r="E8" s="91" t="s">
        <v>177</v>
      </c>
      <c r="F8" s="91"/>
      <c r="G8" s="91"/>
      <c r="H8" s="91"/>
    </row>
    <row r="9" spans="1:8" x14ac:dyDescent="0.35">
      <c r="A9" s="184" t="s">
        <v>124</v>
      </c>
      <c r="B9" s="184"/>
      <c r="C9" s="184"/>
      <c r="D9" s="184"/>
      <c r="E9" s="184" t="s">
        <v>178</v>
      </c>
      <c r="F9" s="184"/>
      <c r="G9" s="184"/>
      <c r="H9" s="184"/>
    </row>
    <row r="10" spans="1:8" ht="33.75" customHeight="1" x14ac:dyDescent="0.35">
      <c r="A10" s="184" t="s">
        <v>7</v>
      </c>
      <c r="B10" s="184"/>
      <c r="C10" s="184"/>
      <c r="D10" s="184"/>
      <c r="E10" s="201" t="s">
        <v>230</v>
      </c>
      <c r="F10" s="184"/>
      <c r="G10" s="184"/>
      <c r="H10" s="184"/>
    </row>
    <row r="11" spans="1:8" x14ac:dyDescent="0.35">
      <c r="A11" s="184" t="s">
        <v>8</v>
      </c>
      <c r="B11" s="184"/>
      <c r="C11" s="184"/>
      <c r="D11" s="184"/>
      <c r="E11" s="201" t="s">
        <v>195</v>
      </c>
      <c r="F11" s="201"/>
      <c r="G11" s="201"/>
      <c r="H11" s="201"/>
    </row>
    <row r="12" spans="1:8" x14ac:dyDescent="0.35">
      <c r="A12" s="184" t="s">
        <v>9</v>
      </c>
      <c r="B12" s="184"/>
      <c r="C12" s="184"/>
      <c r="D12" s="184"/>
      <c r="E12" s="201" t="s">
        <v>179</v>
      </c>
      <c r="F12" s="184"/>
      <c r="G12" s="184"/>
      <c r="H12" s="184"/>
    </row>
    <row r="13" spans="1:8" ht="34.5" customHeight="1" x14ac:dyDescent="0.35">
      <c r="A13" s="181" t="s">
        <v>10</v>
      </c>
      <c r="B13" s="181"/>
      <c r="C13" s="181" t="str">
        <f>CONCATENATE((IF(OR(E8="",E8="NA"),"",E8)),", ",(IF(OR(A14="",A14="NA"),"",A14)),".",(IF(OR(C14="",C14="NA"),"",C14)),", near ",(IF(OR(C19="",C19="NA"),"",C19)),", ",(IF(OR(C16="",C16="NA"),"",C16)),", ",(IF(OR(C15="",C15="NA"),"",C15)),", ",(IF(OR(G16="",G16="NA"),"",G16)),", ",(IF(OR(C17="",C17="NA"),"",C17)),", ",(IF(OR(C18="",C18="NA"),"",C18)),", ",(IF(OR(G17="",G17="NA"),"",G17))," - ",(IF(OR(G18="",G18="NA"),"",G18)),".")</f>
        <v>Yashraj Paradise, Survey No.33, H.No.6/5, near B.T.Gaikwad School, Malangad Road, Chinchpada Gaon, Pisavali, Kalyan East, Kalyan, Thane - 421306.</v>
      </c>
      <c r="D13" s="181"/>
      <c r="E13" s="181"/>
      <c r="F13" s="181"/>
      <c r="G13" s="181"/>
      <c r="H13" s="181"/>
    </row>
    <row r="14" spans="1:8" x14ac:dyDescent="0.35">
      <c r="A14" s="201" t="s">
        <v>185</v>
      </c>
      <c r="B14" s="201"/>
      <c r="C14" s="201" t="s">
        <v>186</v>
      </c>
      <c r="D14" s="201"/>
      <c r="E14" s="201"/>
      <c r="F14" s="201"/>
      <c r="G14" s="201"/>
      <c r="H14" s="201"/>
    </row>
    <row r="15" spans="1:8" ht="15.75" customHeight="1" x14ac:dyDescent="0.35">
      <c r="A15" s="128" t="s">
        <v>171</v>
      </c>
      <c r="B15" s="129"/>
      <c r="C15" s="128" t="s">
        <v>191</v>
      </c>
      <c r="D15" s="130"/>
      <c r="E15" s="130"/>
      <c r="F15" s="130"/>
      <c r="G15" s="130"/>
      <c r="H15" s="129"/>
    </row>
    <row r="16" spans="1:8" ht="15.75" customHeight="1" x14ac:dyDescent="0.35">
      <c r="A16" s="181" t="s">
        <v>11</v>
      </c>
      <c r="B16" s="181"/>
      <c r="C16" s="184" t="s">
        <v>182</v>
      </c>
      <c r="D16" s="184"/>
      <c r="E16" s="181" t="s">
        <v>172</v>
      </c>
      <c r="F16" s="181"/>
      <c r="G16" s="201" t="s">
        <v>187</v>
      </c>
      <c r="H16" s="201"/>
    </row>
    <row r="17" spans="1:8" x14ac:dyDescent="0.35">
      <c r="A17" s="131" t="s">
        <v>13</v>
      </c>
      <c r="B17" s="131"/>
      <c r="C17" s="201" t="s">
        <v>190</v>
      </c>
      <c r="D17" s="201"/>
      <c r="E17" s="181" t="s">
        <v>12</v>
      </c>
      <c r="F17" s="181"/>
      <c r="G17" s="203" t="s">
        <v>188</v>
      </c>
      <c r="H17" s="203"/>
    </row>
    <row r="18" spans="1:8" x14ac:dyDescent="0.35">
      <c r="A18" s="131" t="s">
        <v>74</v>
      </c>
      <c r="B18" s="131"/>
      <c r="C18" s="201" t="s">
        <v>189</v>
      </c>
      <c r="D18" s="201"/>
      <c r="E18" s="181" t="s">
        <v>14</v>
      </c>
      <c r="F18" s="181"/>
      <c r="G18" s="201">
        <v>421306</v>
      </c>
      <c r="H18" s="201"/>
    </row>
    <row r="19" spans="1:8" ht="32.25" customHeight="1" x14ac:dyDescent="0.35">
      <c r="A19" s="131" t="s">
        <v>125</v>
      </c>
      <c r="B19" s="131"/>
      <c r="C19" s="201" t="s">
        <v>181</v>
      </c>
      <c r="D19" s="201"/>
      <c r="E19" s="181" t="s">
        <v>15</v>
      </c>
      <c r="F19" s="181"/>
      <c r="G19" s="201" t="s">
        <v>192</v>
      </c>
      <c r="H19" s="201"/>
    </row>
    <row r="20" spans="1:8" ht="15" customHeight="1" x14ac:dyDescent="0.35">
      <c r="A20" s="181" t="s">
        <v>77</v>
      </c>
      <c r="B20" s="181"/>
      <c r="C20" s="181"/>
      <c r="D20" s="181"/>
      <c r="E20" s="184" t="s">
        <v>16</v>
      </c>
      <c r="F20" s="184"/>
      <c r="G20" s="184"/>
      <c r="H20" s="184"/>
    </row>
    <row r="21" spans="1:8" ht="18.75" customHeight="1" x14ac:dyDescent="0.35">
      <c r="A21" s="181"/>
      <c r="B21" s="181"/>
      <c r="C21" s="181"/>
      <c r="D21" s="181"/>
      <c r="E21" s="184"/>
      <c r="F21" s="184"/>
      <c r="G21" s="184"/>
      <c r="H21" s="184"/>
    </row>
    <row r="22" spans="1:8" ht="15" customHeight="1" x14ac:dyDescent="0.35">
      <c r="A22" s="181" t="s">
        <v>17</v>
      </c>
      <c r="B22" s="181"/>
      <c r="C22" s="181"/>
      <c r="D22" s="181"/>
      <c r="E22" s="201" t="s">
        <v>18</v>
      </c>
      <c r="F22" s="201"/>
      <c r="G22" s="201"/>
      <c r="H22" s="201"/>
    </row>
    <row r="23" spans="1:8" ht="15" customHeight="1" x14ac:dyDescent="0.35">
      <c r="A23" s="131" t="s">
        <v>19</v>
      </c>
      <c r="B23" s="131"/>
      <c r="C23" s="131"/>
      <c r="D23" s="131"/>
      <c r="E23" s="201" t="str">
        <f>IF(AND(G17="Mumbai"),"Upper Class","Middle Class")</f>
        <v>Middle Class</v>
      </c>
      <c r="F23" s="201"/>
      <c r="G23" s="201"/>
      <c r="H23" s="201"/>
    </row>
    <row r="24" spans="1:8" x14ac:dyDescent="0.35">
      <c r="A24" s="131" t="s">
        <v>20</v>
      </c>
      <c r="B24" s="131"/>
      <c r="C24" s="131"/>
      <c r="D24" s="131"/>
      <c r="E24" s="201" t="s">
        <v>21</v>
      </c>
      <c r="F24" s="201"/>
      <c r="G24" s="201"/>
      <c r="H24" s="201"/>
    </row>
    <row r="25" spans="1:8" ht="15.75" customHeight="1" x14ac:dyDescent="0.35">
      <c r="A25" s="131" t="s">
        <v>22</v>
      </c>
      <c r="B25" s="131"/>
      <c r="C25" s="131"/>
      <c r="D25" s="131"/>
      <c r="E25" s="201" t="str">
        <f>IF(AND(G17="Mumbai"),"Developed","Developing")</f>
        <v>Developing</v>
      </c>
      <c r="F25" s="201"/>
      <c r="G25" s="201"/>
      <c r="H25" s="201"/>
    </row>
    <row r="26" spans="1:8" x14ac:dyDescent="0.35">
      <c r="A26" s="131" t="s">
        <v>23</v>
      </c>
      <c r="B26" s="131"/>
      <c r="C26" s="131"/>
      <c r="D26" s="131"/>
      <c r="E26" s="201" t="s">
        <v>24</v>
      </c>
      <c r="F26" s="201"/>
      <c r="G26" s="201"/>
      <c r="H26" s="201"/>
    </row>
    <row r="27" spans="1:8" ht="15.75" customHeight="1" x14ac:dyDescent="0.35">
      <c r="A27" s="131" t="s">
        <v>82</v>
      </c>
      <c r="B27" s="131"/>
      <c r="C27" s="131"/>
      <c r="D27" s="131"/>
      <c r="E27" s="201" t="s">
        <v>83</v>
      </c>
      <c r="F27" s="201"/>
      <c r="G27" s="201"/>
      <c r="H27" s="201"/>
    </row>
    <row r="28" spans="1:8" ht="15" customHeight="1" x14ac:dyDescent="0.35">
      <c r="A28" s="131" t="s">
        <v>33</v>
      </c>
      <c r="B28" s="131"/>
      <c r="C28" s="131"/>
      <c r="D28" s="131"/>
      <c r="E28" s="201" t="s">
        <v>198</v>
      </c>
      <c r="F28" s="201"/>
      <c r="G28" s="201"/>
      <c r="H28" s="201"/>
    </row>
    <row r="29" spans="1:8" ht="15.75" customHeight="1" x14ac:dyDescent="0.35">
      <c r="A29" s="131" t="s">
        <v>94</v>
      </c>
      <c r="B29" s="131"/>
      <c r="C29" s="131"/>
      <c r="D29" s="131"/>
      <c r="E29" s="201" t="s">
        <v>34</v>
      </c>
      <c r="F29" s="201"/>
      <c r="G29" s="201"/>
      <c r="H29" s="201"/>
    </row>
    <row r="30" spans="1:8" s="23" customFormat="1" x14ac:dyDescent="0.35">
      <c r="A30" s="187" t="s">
        <v>95</v>
      </c>
      <c r="B30" s="187"/>
      <c r="C30" s="202" t="s">
        <v>29</v>
      </c>
      <c r="D30" s="202"/>
      <c r="E30" s="202"/>
      <c r="F30" s="185" t="s">
        <v>31</v>
      </c>
      <c r="G30" s="185"/>
      <c r="H30" s="185"/>
    </row>
    <row r="31" spans="1:8" s="23" customFormat="1" x14ac:dyDescent="0.35">
      <c r="A31" s="186" t="s">
        <v>25</v>
      </c>
      <c r="B31" s="186" t="s">
        <v>30</v>
      </c>
      <c r="C31" s="188" t="s">
        <v>30</v>
      </c>
      <c r="D31" s="188"/>
      <c r="E31" s="188"/>
      <c r="F31" s="179" t="s">
        <v>181</v>
      </c>
      <c r="G31" s="179"/>
      <c r="H31" s="179"/>
    </row>
    <row r="32" spans="1:8" x14ac:dyDescent="0.35">
      <c r="A32" s="186" t="s">
        <v>26</v>
      </c>
      <c r="B32" s="186" t="s">
        <v>30</v>
      </c>
      <c r="C32" s="188" t="s">
        <v>30</v>
      </c>
      <c r="D32" s="188"/>
      <c r="E32" s="188"/>
      <c r="F32" s="179" t="s">
        <v>182</v>
      </c>
      <c r="G32" s="179"/>
      <c r="H32" s="179"/>
    </row>
    <row r="33" spans="1:10" s="23" customFormat="1" x14ac:dyDescent="0.35">
      <c r="A33" s="186" t="s">
        <v>28</v>
      </c>
      <c r="B33" s="186" t="s">
        <v>30</v>
      </c>
      <c r="C33" s="188" t="s">
        <v>30</v>
      </c>
      <c r="D33" s="188"/>
      <c r="E33" s="188"/>
      <c r="F33" s="179" t="s">
        <v>183</v>
      </c>
      <c r="G33" s="179"/>
      <c r="H33" s="179"/>
    </row>
    <row r="34" spans="1:10" x14ac:dyDescent="0.35">
      <c r="A34" s="186" t="s">
        <v>27</v>
      </c>
      <c r="B34" s="186" t="s">
        <v>30</v>
      </c>
      <c r="C34" s="188" t="s">
        <v>30</v>
      </c>
      <c r="D34" s="188"/>
      <c r="E34" s="188"/>
      <c r="F34" s="179" t="s">
        <v>184</v>
      </c>
      <c r="G34" s="179"/>
      <c r="H34" s="179"/>
    </row>
    <row r="35" spans="1:10" x14ac:dyDescent="0.35">
      <c r="A35" s="131" t="s">
        <v>32</v>
      </c>
      <c r="B35" s="131"/>
      <c r="C35" s="131"/>
      <c r="D35" s="131"/>
      <c r="E35" s="131"/>
      <c r="F35" s="131"/>
      <c r="G35" s="131"/>
      <c r="H35" s="131"/>
    </row>
    <row r="36" spans="1:10" ht="15.75" customHeight="1" x14ac:dyDescent="0.35">
      <c r="A36" s="131" t="s">
        <v>234</v>
      </c>
      <c r="B36" s="131"/>
      <c r="C36" s="189" t="s">
        <v>235</v>
      </c>
      <c r="D36" s="189"/>
      <c r="E36" s="189"/>
      <c r="F36" s="189"/>
      <c r="G36" s="189"/>
      <c r="H36" s="189"/>
    </row>
    <row r="37" spans="1:10" x14ac:dyDescent="0.35">
      <c r="A37" s="131" t="s">
        <v>170</v>
      </c>
      <c r="B37" s="131"/>
      <c r="C37" s="132" t="s">
        <v>180</v>
      </c>
      <c r="D37" s="133"/>
      <c r="E37" s="133"/>
      <c r="F37" s="133"/>
      <c r="G37" s="133"/>
      <c r="H37" s="133"/>
    </row>
    <row r="38" spans="1:10" x14ac:dyDescent="0.35">
      <c r="A38" s="180" t="s">
        <v>35</v>
      </c>
      <c r="B38" s="180"/>
      <c r="C38" s="180"/>
      <c r="D38" s="180"/>
      <c r="E38" s="180"/>
      <c r="F38" s="180"/>
      <c r="G38" s="180"/>
      <c r="H38" s="180"/>
    </row>
    <row r="39" spans="1:10" x14ac:dyDescent="0.35">
      <c r="A39" s="131" t="s">
        <v>36</v>
      </c>
      <c r="B39" s="131"/>
      <c r="C39" s="131"/>
      <c r="D39" s="131"/>
      <c r="E39" s="178">
        <v>5383.05</v>
      </c>
      <c r="F39" s="178"/>
      <c r="G39" s="178"/>
      <c r="H39" s="178"/>
      <c r="I39" s="22">
        <v>5383.05</v>
      </c>
      <c r="J39" s="22">
        <f>I40/I39</f>
        <v>1.4147500023221036</v>
      </c>
    </row>
    <row r="40" spans="1:10" x14ac:dyDescent="0.35">
      <c r="A40" s="131" t="s">
        <v>37</v>
      </c>
      <c r="B40" s="131"/>
      <c r="C40" s="131"/>
      <c r="D40" s="131"/>
      <c r="E40" s="182">
        <v>1.1000000000000001</v>
      </c>
      <c r="F40" s="182"/>
      <c r="G40" s="182"/>
      <c r="H40" s="182"/>
      <c r="I40" s="22">
        <v>7615.67</v>
      </c>
    </row>
    <row r="41" spans="1:10" x14ac:dyDescent="0.35">
      <c r="A41" s="131" t="s">
        <v>38</v>
      </c>
      <c r="B41" s="131"/>
      <c r="C41" s="131"/>
      <c r="D41" s="131"/>
      <c r="E41" s="182">
        <f>E43/E39-E40</f>
        <v>3.5800419836338135</v>
      </c>
      <c r="F41" s="182"/>
      <c r="G41" s="182"/>
      <c r="H41" s="182"/>
    </row>
    <row r="42" spans="1:10" x14ac:dyDescent="0.35">
      <c r="A42" s="131" t="s">
        <v>39</v>
      </c>
      <c r="B42" s="131"/>
      <c r="C42" s="131"/>
      <c r="D42" s="131"/>
      <c r="E42" s="182">
        <f>E40+E41</f>
        <v>4.6800419836338136</v>
      </c>
      <c r="F42" s="182"/>
      <c r="G42" s="182"/>
      <c r="H42" s="182"/>
    </row>
    <row r="43" spans="1:10" x14ac:dyDescent="0.35">
      <c r="A43" s="131" t="s">
        <v>93</v>
      </c>
      <c r="B43" s="131"/>
      <c r="C43" s="131"/>
      <c r="D43" s="131"/>
      <c r="E43" s="183">
        <v>25192.9</v>
      </c>
      <c r="F43" s="183"/>
      <c r="G43" s="183"/>
      <c r="H43" s="183"/>
    </row>
    <row r="44" spans="1:10" x14ac:dyDescent="0.35">
      <c r="A44" s="184" t="s">
        <v>40</v>
      </c>
      <c r="B44" s="184"/>
      <c r="C44" s="184"/>
      <c r="D44" s="184"/>
      <c r="E44" s="184" t="s">
        <v>231</v>
      </c>
      <c r="F44" s="184"/>
      <c r="G44" s="184"/>
      <c r="H44" s="184"/>
    </row>
    <row r="45" spans="1:10" x14ac:dyDescent="0.35">
      <c r="A45" s="180" t="s">
        <v>41</v>
      </c>
      <c r="B45" s="180"/>
      <c r="C45" s="180"/>
      <c r="D45" s="180"/>
      <c r="E45" s="180"/>
      <c r="F45" s="180"/>
      <c r="G45" s="180"/>
      <c r="H45" s="180"/>
    </row>
    <row r="46" spans="1:10" ht="33.75" customHeight="1" x14ac:dyDescent="0.35">
      <c r="A46" s="137" t="s">
        <v>158</v>
      </c>
      <c r="B46" s="138"/>
      <c r="C46" s="139" t="s">
        <v>196</v>
      </c>
      <c r="D46" s="140"/>
      <c r="E46" s="140"/>
      <c r="F46" s="140"/>
      <c r="G46" s="140"/>
      <c r="H46" s="141"/>
    </row>
    <row r="47" spans="1:10" x14ac:dyDescent="0.35">
      <c r="A47" s="137" t="s">
        <v>42</v>
      </c>
      <c r="B47" s="138"/>
      <c r="C47" s="214" t="s">
        <v>200</v>
      </c>
      <c r="D47" s="215"/>
      <c r="E47" s="216"/>
      <c r="F47" s="19" t="s">
        <v>43</v>
      </c>
      <c r="G47" s="195">
        <v>44502</v>
      </c>
      <c r="H47" s="217"/>
    </row>
    <row r="48" spans="1:10" x14ac:dyDescent="0.35">
      <c r="A48" s="137" t="s">
        <v>44</v>
      </c>
      <c r="B48" s="138"/>
      <c r="C48" s="214" t="str">
        <f>C47</f>
        <v>KDMC/TPD/BP/27Village/2018-19/25/333</v>
      </c>
      <c r="D48" s="215"/>
      <c r="E48" s="216"/>
      <c r="F48" s="19" t="s">
        <v>43</v>
      </c>
      <c r="G48" s="195">
        <f>G47</f>
        <v>44502</v>
      </c>
      <c r="H48" s="196"/>
    </row>
    <row r="49" spans="1:14" s="24" customFormat="1" x14ac:dyDescent="0.35">
      <c r="A49" s="197" t="s">
        <v>161</v>
      </c>
      <c r="B49" s="198"/>
      <c r="C49" s="220" t="s">
        <v>236</v>
      </c>
      <c r="D49" s="221"/>
      <c r="E49" s="222"/>
      <c r="F49" s="19" t="s">
        <v>43</v>
      </c>
      <c r="G49" s="218">
        <v>44897</v>
      </c>
      <c r="H49" s="219"/>
    </row>
    <row r="50" spans="1:14" s="24" customFormat="1" ht="53.25" customHeight="1" x14ac:dyDescent="0.35">
      <c r="A50" s="199"/>
      <c r="B50" s="200"/>
      <c r="C50" s="137" t="s">
        <v>237</v>
      </c>
      <c r="D50" s="238"/>
      <c r="E50" s="238"/>
      <c r="F50" s="238"/>
      <c r="G50" s="238"/>
      <c r="H50" s="138"/>
    </row>
    <row r="51" spans="1:14" ht="19.5" customHeight="1" x14ac:dyDescent="0.35">
      <c r="A51" s="234" t="s">
        <v>173</v>
      </c>
      <c r="B51" s="235"/>
      <c r="C51" s="229" t="s">
        <v>248</v>
      </c>
      <c r="D51" s="230"/>
      <c r="E51" s="231"/>
      <c r="F51" s="54" t="s">
        <v>43</v>
      </c>
      <c r="G51" s="232">
        <v>45828</v>
      </c>
      <c r="H51" s="233"/>
    </row>
    <row r="52" spans="1:14" ht="20" customHeight="1" x14ac:dyDescent="0.35">
      <c r="A52" s="236"/>
      <c r="B52" s="237"/>
      <c r="C52" s="229" t="s">
        <v>249</v>
      </c>
      <c r="D52" s="230"/>
      <c r="E52" s="230"/>
      <c r="F52" s="230"/>
      <c r="G52" s="230"/>
      <c r="H52" s="231"/>
    </row>
    <row r="53" spans="1:14" x14ac:dyDescent="0.35">
      <c r="A53" s="210" t="s">
        <v>46</v>
      </c>
      <c r="B53" s="210"/>
      <c r="C53" s="210"/>
      <c r="D53" s="210"/>
      <c r="E53" s="210"/>
      <c r="F53" s="210"/>
      <c r="G53" s="210"/>
      <c r="H53" s="210"/>
    </row>
    <row r="54" spans="1:14" x14ac:dyDescent="0.35">
      <c r="A54" s="181" t="s">
        <v>92</v>
      </c>
      <c r="B54" s="181"/>
      <c r="C54" s="181"/>
      <c r="D54" s="131">
        <f>E43</f>
        <v>25192.9</v>
      </c>
      <c r="E54" s="131"/>
      <c r="F54" s="131"/>
      <c r="G54" s="131"/>
      <c r="H54" s="131"/>
    </row>
    <row r="55" spans="1:14" x14ac:dyDescent="0.35">
      <c r="A55" s="201" t="s">
        <v>47</v>
      </c>
      <c r="B55" s="184"/>
      <c r="C55" s="184"/>
      <c r="D55" s="184">
        <v>396</v>
      </c>
      <c r="E55" s="184"/>
      <c r="F55" s="184"/>
      <c r="G55" s="184"/>
      <c r="H55" s="184"/>
      <c r="I55" s="25"/>
    </row>
    <row r="56" spans="1:14" ht="32.25" customHeight="1" x14ac:dyDescent="0.35">
      <c r="A56" s="192" t="s">
        <v>48</v>
      </c>
      <c r="B56" s="193"/>
      <c r="C56" s="194"/>
      <c r="D56" s="190" t="s">
        <v>201</v>
      </c>
      <c r="E56" s="191"/>
      <c r="F56" s="191"/>
      <c r="G56" s="191"/>
      <c r="H56" s="191"/>
    </row>
    <row r="57" spans="1:14" ht="15.75" customHeight="1" x14ac:dyDescent="0.35">
      <c r="A57" s="192" t="s">
        <v>90</v>
      </c>
      <c r="B57" s="193"/>
      <c r="C57" s="194"/>
      <c r="D57" s="223" t="s">
        <v>197</v>
      </c>
      <c r="E57" s="224"/>
      <c r="F57" s="224"/>
      <c r="G57" s="224"/>
      <c r="H57" s="225"/>
    </row>
    <row r="58" spans="1:14" ht="31.5" customHeight="1" x14ac:dyDescent="0.35">
      <c r="A58" s="245"/>
      <c r="B58" s="246"/>
      <c r="C58" s="247"/>
      <c r="D58" s="245" t="s">
        <v>255</v>
      </c>
      <c r="E58" s="254"/>
      <c r="F58" s="254"/>
      <c r="G58" s="254"/>
      <c r="H58" s="247"/>
    </row>
    <row r="59" spans="1:14" ht="15.75" hidden="1" customHeight="1" x14ac:dyDescent="0.35">
      <c r="A59" s="248"/>
      <c r="B59" s="249"/>
      <c r="C59" s="250"/>
      <c r="D59" s="226" t="s">
        <v>240</v>
      </c>
      <c r="E59" s="227"/>
      <c r="F59" s="227"/>
      <c r="G59" s="227"/>
      <c r="H59" s="228"/>
    </row>
    <row r="60" spans="1:14" ht="15.75" customHeight="1" x14ac:dyDescent="0.35">
      <c r="A60" s="131" t="s">
        <v>45</v>
      </c>
      <c r="B60" s="131"/>
      <c r="C60" s="131"/>
      <c r="D60" s="181" t="s">
        <v>193</v>
      </c>
      <c r="E60" s="181"/>
      <c r="F60" s="181"/>
      <c r="G60" s="181"/>
      <c r="H60" s="181"/>
      <c r="J60" s="26"/>
      <c r="K60" s="25"/>
      <c r="N60" s="25"/>
    </row>
    <row r="61" spans="1:14" ht="15.75" customHeight="1" x14ac:dyDescent="0.35">
      <c r="A61" s="131" t="s">
        <v>88</v>
      </c>
      <c r="B61" s="131"/>
      <c r="C61" s="131"/>
      <c r="D61" s="78" t="s">
        <v>253</v>
      </c>
      <c r="E61" s="78"/>
      <c r="F61" s="78"/>
      <c r="G61" s="78"/>
      <c r="H61" s="78"/>
      <c r="I61" s="78" t="str">
        <f>(IF(L51="NA","60 Years After Completion",IF(L51&lt;&gt;"NA",""&amp;60-ROUNDDOWN((J3-L51)/360,0)&amp;" Years"," ")))</f>
        <v>60 Years</v>
      </c>
      <c r="J61" s="78"/>
      <c r="K61" s="78"/>
      <c r="L61" s="78"/>
      <c r="M61" s="78"/>
      <c r="N61" s="25"/>
    </row>
    <row r="62" spans="1:14" ht="15.75" customHeight="1" x14ac:dyDescent="0.35">
      <c r="A62" s="131" t="s">
        <v>89</v>
      </c>
      <c r="B62" s="131"/>
      <c r="C62" s="131"/>
      <c r="D62" s="181" t="s">
        <v>24</v>
      </c>
      <c r="E62" s="181"/>
      <c r="F62" s="181"/>
      <c r="G62" s="181"/>
      <c r="H62" s="181"/>
      <c r="J62" s="27"/>
      <c r="K62" s="27"/>
    </row>
    <row r="63" spans="1:14" ht="15" customHeight="1" x14ac:dyDescent="0.35">
      <c r="A63" s="131" t="s">
        <v>75</v>
      </c>
      <c r="B63" s="131"/>
      <c r="C63" s="131"/>
      <c r="D63" s="201" t="s">
        <v>199</v>
      </c>
      <c r="E63" s="181"/>
      <c r="F63" s="181"/>
      <c r="G63" s="181"/>
      <c r="H63" s="181"/>
    </row>
    <row r="64" spans="1:14" x14ac:dyDescent="0.35">
      <c r="A64" s="181" t="s">
        <v>154</v>
      </c>
      <c r="B64" s="181"/>
      <c r="C64" s="181"/>
      <c r="D64" s="181" t="s">
        <v>30</v>
      </c>
      <c r="E64" s="181"/>
      <c r="F64" s="181"/>
      <c r="G64" s="181"/>
      <c r="H64" s="181"/>
      <c r="I64" s="28"/>
      <c r="J64" s="28"/>
      <c r="K64" s="28"/>
      <c r="L64" s="28"/>
      <c r="M64" s="28"/>
      <c r="N64" s="28"/>
    </row>
    <row r="65" spans="1:10" ht="15.75" customHeight="1" x14ac:dyDescent="0.35">
      <c r="A65" s="131" t="s">
        <v>87</v>
      </c>
      <c r="B65" s="131"/>
      <c r="C65" s="131"/>
      <c r="D65" s="201" t="str">
        <f ca="1">(IF(G71&gt;95%,"Nothing",IF(G71&gt;0%,"Cement, Aggregate, Steel, etc",IF(G71=0%,"Work not yet Started"))))</f>
        <v>Nothing</v>
      </c>
      <c r="E65" s="201"/>
      <c r="F65" s="201"/>
      <c r="G65" s="201"/>
      <c r="H65" s="201"/>
      <c r="J65" s="27"/>
    </row>
    <row r="66" spans="1:10" ht="33.75" customHeight="1" thickBot="1" x14ac:dyDescent="0.4">
      <c r="A66" s="181" t="s">
        <v>119</v>
      </c>
      <c r="B66" s="181"/>
      <c r="C66" s="181"/>
      <c r="D66" s="201" t="str">
        <f ca="1">(IF(D65="Nothing","Yes",IF(D65="Cement, Aggregate, Steel, etc","Under Construction",IF(D65="Work not yet Started","Work not yet Started"))))</f>
        <v>Yes</v>
      </c>
      <c r="E66" s="201"/>
      <c r="F66" s="201" t="str">
        <f ca="1">(IF(D65="Nothing","Yes",IF(D65="Cement, Aggregate, Steel, etc","Under Construction",IF(D65="Work not yet Started","Work not yet Started"))))</f>
        <v>Yes</v>
      </c>
      <c r="G66" s="201"/>
      <c r="H66" s="201"/>
    </row>
    <row r="67" spans="1:10" ht="15.75" customHeight="1" x14ac:dyDescent="0.35">
      <c r="A67" s="92" t="s">
        <v>144</v>
      </c>
      <c r="B67" s="92"/>
      <c r="C67" s="92" t="s">
        <v>197</v>
      </c>
      <c r="D67" s="92"/>
      <c r="E67" s="92"/>
      <c r="F67" s="92"/>
      <c r="G67" s="92"/>
      <c r="H67" s="92"/>
      <c r="I67" s="72" t="str">
        <f ca="1">IF(D80=100%,"All work Completed. Possession granted to the Building.",IF(D79=100%,"All work Completed, Waiting for OC",I68&amp;""&amp;I69&amp;""&amp;J68&amp;""&amp;J67&amp;" "&amp;J69))</f>
        <v>Excavation, Plinth, RCC Slab, Brickwork, Internal Plaster, External Plaster, Flooring, Painting Completed, Finishing upto 12 Floor, Possession upto 10 Floor Completed</v>
      </c>
      <c r="J67" s="51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Finishing upto 12 Floor, Possession upto 10 Floor</v>
      </c>
    </row>
    <row r="68" spans="1:10" x14ac:dyDescent="0.35">
      <c r="A68" s="71" t="s">
        <v>146</v>
      </c>
      <c r="B68" s="71">
        <v>0</v>
      </c>
      <c r="C68" s="71" t="s">
        <v>73</v>
      </c>
      <c r="D68" s="71">
        <v>1</v>
      </c>
      <c r="E68" s="71" t="s">
        <v>72</v>
      </c>
      <c r="F68" s="71">
        <v>0</v>
      </c>
      <c r="G68" s="71" t="s">
        <v>81</v>
      </c>
      <c r="H68" s="71">
        <f ca="1">--TRIM(RIGHT(SUBSTITUTE(LEFT(C67,_xlfn.AGGREGATE(16,6,FIND({0,1,2,3,4,5,6,7,8,9},C67,ROW(INDIRECT("1:"&amp;LEN(C67)))),1))," ",REPT(" ",LEN(C67))),LEN(C67)))</f>
        <v>14</v>
      </c>
      <c r="I68" s="73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Plinth, RCC Slab, Brickwork, Internal Plaster, External Plaster, Flooring, Painting</v>
      </c>
      <c r="J68" s="53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0" ht="49" customHeight="1" x14ac:dyDescent="0.35">
      <c r="A69" s="91" t="s">
        <v>91</v>
      </c>
      <c r="B69" s="91"/>
      <c r="C69" s="92" t="str">
        <f ca="1">(IF($C$52=C67,"All work Completed. OC Received.",I67))</f>
        <v>Excavation, Plinth, RCC Slab, Brickwork, Internal Plaster, External Plaster, Flooring, Painting Completed, Finishing upto 12 Floor, Possession upto 10 Floor Completed</v>
      </c>
      <c r="D69" s="92"/>
      <c r="E69" s="92"/>
      <c r="F69" s="92"/>
      <c r="G69" s="92"/>
      <c r="H69" s="92"/>
      <c r="I69" s="73" t="str">
        <f ca="1">IF(I68&lt;&gt;""," Completed","")</f>
        <v xml:space="preserve"> Completed</v>
      </c>
      <c r="J69" s="53" t="str">
        <f ca="1">IF(J67&lt;&gt;"","Completed","")</f>
        <v>Completed</v>
      </c>
    </row>
    <row r="70" spans="1:10" ht="15.75" customHeight="1" x14ac:dyDescent="0.35">
      <c r="A70" s="94" t="s">
        <v>49</v>
      </c>
      <c r="B70" s="95"/>
      <c r="C70" s="59" t="s">
        <v>143</v>
      </c>
      <c r="D70" s="59" t="s">
        <v>84</v>
      </c>
      <c r="E70" s="95" t="s">
        <v>86</v>
      </c>
      <c r="F70" s="95"/>
      <c r="G70" s="95" t="s">
        <v>85</v>
      </c>
      <c r="H70" s="96"/>
      <c r="I70" s="14" t="s">
        <v>145</v>
      </c>
      <c r="J70" s="29">
        <f ca="1">H68*25%</f>
        <v>3.5</v>
      </c>
    </row>
    <row r="71" spans="1:10" x14ac:dyDescent="0.35">
      <c r="A71" s="94" t="s">
        <v>132</v>
      </c>
      <c r="B71" s="95"/>
      <c r="C71" s="59">
        <f ca="1">J72</f>
        <v>14</v>
      </c>
      <c r="D71" s="60">
        <f ca="1">((100/H68)*C71)/100</f>
        <v>1</v>
      </c>
      <c r="E71" s="97">
        <f ca="1">(((C72/H68*10)+(40/(D68+F68+H68)*C73)+(7.5/(H68)*C74)+(7.5/(H68)*C75)+(10/H68*C76)+(10/H68*C77)+(5/H68*C78)+(5/H68*C79)+(5/H68*C80))/100)</f>
        <v>0.97857142857142865</v>
      </c>
      <c r="F71" s="98"/>
      <c r="G71" s="97">
        <f ca="1">((((C71/H68)*20)+((C72/H68)*25)+(30/(H68+F68+D68)*C73)+(5/H68*C74)+(5/H68*C75)+(5/H68*C76)+(5/H68*C77)+(0/H68*C78)+(0/H68*C79)+(5/H68*C80))/100)</f>
        <v>0.98571428571428565</v>
      </c>
      <c r="H71" s="103"/>
      <c r="I71" s="14" t="s">
        <v>102</v>
      </c>
      <c r="J71" s="30">
        <f ca="1">H68*50%</f>
        <v>7</v>
      </c>
    </row>
    <row r="72" spans="1:10" x14ac:dyDescent="0.35">
      <c r="A72" s="94" t="s">
        <v>50</v>
      </c>
      <c r="B72" s="95"/>
      <c r="C72" s="59">
        <f ca="1">J80</f>
        <v>14</v>
      </c>
      <c r="D72" s="60">
        <f ca="1">((100/H68)*C72)/100</f>
        <v>1</v>
      </c>
      <c r="E72" s="99"/>
      <c r="F72" s="100"/>
      <c r="G72" s="99"/>
      <c r="H72" s="104"/>
      <c r="I72" s="14" t="s">
        <v>103</v>
      </c>
      <c r="J72" s="30">
        <f ca="1">H68</f>
        <v>14</v>
      </c>
    </row>
    <row r="73" spans="1:10" ht="15.75" customHeight="1" x14ac:dyDescent="0.35">
      <c r="A73" s="94" t="s">
        <v>133</v>
      </c>
      <c r="B73" s="95"/>
      <c r="C73" s="59">
        <v>15</v>
      </c>
      <c r="D73" s="60">
        <f ca="1">((100/(D68+F68+H68))*C73)/100</f>
        <v>1</v>
      </c>
      <c r="E73" s="99"/>
      <c r="F73" s="100"/>
      <c r="G73" s="99"/>
      <c r="H73" s="104"/>
      <c r="I73" s="14" t="s">
        <v>104</v>
      </c>
      <c r="J73" s="31">
        <f ca="1">(IF(B68&gt;1,(H68/(B68+2)),H68/4))</f>
        <v>3.5</v>
      </c>
    </row>
    <row r="74" spans="1:10" ht="15.75" customHeight="1" x14ac:dyDescent="0.35">
      <c r="A74" s="94" t="s">
        <v>140</v>
      </c>
      <c r="B74" s="95" t="s">
        <v>134</v>
      </c>
      <c r="C74" s="59">
        <v>14</v>
      </c>
      <c r="D74" s="60">
        <f ca="1">((100/H68)*C74)/100</f>
        <v>1</v>
      </c>
      <c r="E74" s="99"/>
      <c r="F74" s="100"/>
      <c r="G74" s="99"/>
      <c r="H74" s="104"/>
      <c r="I74" s="14" t="s">
        <v>105</v>
      </c>
      <c r="J74" s="31">
        <f ca="1">(IF(B68&gt;1,(H68/(B68+2)+J73),H68/4+J73))</f>
        <v>7</v>
      </c>
    </row>
    <row r="75" spans="1:10" ht="15.75" customHeight="1" x14ac:dyDescent="0.35">
      <c r="A75" s="94" t="s">
        <v>141</v>
      </c>
      <c r="B75" s="95" t="s">
        <v>134</v>
      </c>
      <c r="C75" s="59">
        <v>14</v>
      </c>
      <c r="D75" s="60">
        <f ca="1">((100/H68)*C75)/100</f>
        <v>1</v>
      </c>
      <c r="E75" s="99"/>
      <c r="F75" s="100"/>
      <c r="G75" s="99"/>
      <c r="H75" s="104"/>
      <c r="I75" s="14" t="s">
        <v>152</v>
      </c>
      <c r="J75" s="31">
        <f>(IF(B68&gt;1,(H68/(B68+2)+J74),0))</f>
        <v>0</v>
      </c>
    </row>
    <row r="76" spans="1:10" ht="15" customHeight="1" x14ac:dyDescent="0.35">
      <c r="A76" s="94" t="s">
        <v>139</v>
      </c>
      <c r="B76" s="95" t="s">
        <v>136</v>
      </c>
      <c r="C76" s="64">
        <v>14</v>
      </c>
      <c r="D76" s="60">
        <f ca="1">((100/(H68))*C76)/100</f>
        <v>1</v>
      </c>
      <c r="E76" s="99"/>
      <c r="F76" s="100"/>
      <c r="G76" s="99"/>
      <c r="H76" s="104"/>
      <c r="I76" s="14" t="s">
        <v>147</v>
      </c>
      <c r="J76" s="31">
        <f>(IF(B68&gt;2,(H68/(B68+2)+J75),0))</f>
        <v>0</v>
      </c>
    </row>
    <row r="77" spans="1:10" ht="15.75" customHeight="1" x14ac:dyDescent="0.35">
      <c r="A77" s="94" t="s">
        <v>135</v>
      </c>
      <c r="B77" s="95" t="s">
        <v>135</v>
      </c>
      <c r="C77" s="64">
        <v>14</v>
      </c>
      <c r="D77" s="60">
        <f ca="1">((100/H68)*C77)/100</f>
        <v>1</v>
      </c>
      <c r="E77" s="99"/>
      <c r="F77" s="100"/>
      <c r="G77" s="99"/>
      <c r="H77" s="104"/>
      <c r="I77" s="14" t="s">
        <v>148</v>
      </c>
      <c r="J77" s="32">
        <f>(IF(B68&gt;3,(H68/(B68+2)+J76),0))</f>
        <v>0</v>
      </c>
    </row>
    <row r="78" spans="1:10" ht="15.75" customHeight="1" x14ac:dyDescent="0.35">
      <c r="A78" s="94" t="s">
        <v>142</v>
      </c>
      <c r="B78" s="95"/>
      <c r="C78" s="64">
        <v>14</v>
      </c>
      <c r="D78" s="60">
        <f ca="1">((100/H68)*C78)/100</f>
        <v>1</v>
      </c>
      <c r="E78" s="99"/>
      <c r="F78" s="100"/>
      <c r="G78" s="99"/>
      <c r="H78" s="104"/>
      <c r="I78" s="14" t="s">
        <v>149</v>
      </c>
      <c r="J78" s="31">
        <f>(IF(B68&gt;4,(H68/(B68+2)+J77),0))</f>
        <v>0</v>
      </c>
    </row>
    <row r="79" spans="1:10" ht="15.75" customHeight="1" x14ac:dyDescent="0.35">
      <c r="A79" s="94" t="s">
        <v>137</v>
      </c>
      <c r="B79" s="95" t="s">
        <v>137</v>
      </c>
      <c r="C79" s="59">
        <v>12</v>
      </c>
      <c r="D79" s="60">
        <f ca="1">((100/(H68))*C79)/100</f>
        <v>0.85714285714285721</v>
      </c>
      <c r="E79" s="99"/>
      <c r="F79" s="100"/>
      <c r="G79" s="99"/>
      <c r="H79" s="104"/>
      <c r="I79" s="14" t="s">
        <v>153</v>
      </c>
      <c r="J79" s="31">
        <f ca="1">(IF(B68=1,(H68/(B68+3)+J74),IF(B68=0,(H68/4+J74),IF(B68&gt;1,0))))</f>
        <v>10.5</v>
      </c>
    </row>
    <row r="80" spans="1:10" ht="16" thickBot="1" x14ac:dyDescent="0.4">
      <c r="A80" s="106" t="s">
        <v>138</v>
      </c>
      <c r="B80" s="107"/>
      <c r="C80" s="61">
        <v>10</v>
      </c>
      <c r="D80" s="62">
        <f ca="1">((100/(H68))*C80)/100</f>
        <v>0.7142857142857143</v>
      </c>
      <c r="E80" s="101"/>
      <c r="F80" s="102"/>
      <c r="G80" s="101"/>
      <c r="H80" s="105"/>
      <c r="I80" s="16" t="s">
        <v>106</v>
      </c>
      <c r="J80" s="33">
        <f ca="1">(IF(B68&gt;1.5,(H68/(B68+2)+J74+MAX(0,J75-J74)+MAX(0,J76-J75)+MAX(0,J77-J76)+MAX(0,J78-J77)+MAX(0,J79-J78)),IF(B68=1,(H68/(B68+3)+J79),IF(B68=0,H68/4+J79))))</f>
        <v>14</v>
      </c>
    </row>
    <row r="81" spans="1:10" ht="15.75" hidden="1" customHeight="1" x14ac:dyDescent="0.35">
      <c r="A81" s="85" t="s">
        <v>144</v>
      </c>
      <c r="B81" s="86"/>
      <c r="C81" s="87" t="s">
        <v>232</v>
      </c>
      <c r="D81" s="88"/>
      <c r="E81" s="88"/>
      <c r="F81" s="88"/>
      <c r="G81" s="88"/>
      <c r="H81" s="89"/>
      <c r="I81" s="50" t="str">
        <f ca="1">IF(D94=100%,"All work Completed. Possession granted to the Building.",IF(D93=100%,"All work Completed, Waiting for OC",I82&amp;""&amp;I83&amp;""&amp;J82&amp;""&amp;J81&amp;" "&amp;J83))</f>
        <v>Excavation, Plinth, RCC Slab, Brickwork, Internal Plaster, External Plaster Completed, Flooring upto 13 Floor, Painting upto 12 Floor, Finishing upto 4 Floor Completed</v>
      </c>
      <c r="J81" s="51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>, Flooring upto 13 Floor, Painting upto 12 Floor, Finishing upto 4 Floor</v>
      </c>
    </row>
    <row r="82" spans="1:10" hidden="1" x14ac:dyDescent="0.35">
      <c r="A82" s="17" t="s">
        <v>146</v>
      </c>
      <c r="B82" s="48">
        <v>0</v>
      </c>
      <c r="C82" s="48" t="s">
        <v>73</v>
      </c>
      <c r="D82" s="48">
        <v>1</v>
      </c>
      <c r="E82" s="48" t="s">
        <v>72</v>
      </c>
      <c r="F82" s="48">
        <v>0</v>
      </c>
      <c r="G82" s="48" t="s">
        <v>81</v>
      </c>
      <c r="H82" s="18">
        <f ca="1">--TRIM(RIGHT(SUBSTITUTE(LEFT(C81,_xlfn.AGGREGATE(16,6,FIND({0,1,2,3,4,5,6,7,8,9},C81,ROW(INDIRECT("1:"&amp;LEN(C81)))),1))," ",REPT(" ",LEN(C81))),LEN(C81)))</f>
        <v>14</v>
      </c>
      <c r="I82" s="52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Excavation, Plinth, RCC Slab, Brickwork, Internal Plaster, External Plaster</v>
      </c>
      <c r="J82" s="53" t="str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/>
      </c>
    </row>
    <row r="83" spans="1:10" ht="33" hidden="1" customHeight="1" x14ac:dyDescent="0.35">
      <c r="A83" s="90" t="s">
        <v>91</v>
      </c>
      <c r="B83" s="91"/>
      <c r="C83" s="92" t="str">
        <f ca="1">(IF($C$52=C81,"All work Completed. OC Received.",I81))</f>
        <v>Excavation, Plinth, RCC Slab, Brickwork, Internal Plaster, External Plaster Completed, Flooring upto 13 Floor, Painting upto 12 Floor, Finishing upto 4 Floor Completed</v>
      </c>
      <c r="D83" s="92"/>
      <c r="E83" s="92"/>
      <c r="F83" s="92"/>
      <c r="G83" s="92"/>
      <c r="H83" s="93"/>
      <c r="I83" s="52" t="str">
        <f ca="1">IF(I82&lt;&gt;""," Completed","")</f>
        <v xml:space="preserve"> Completed</v>
      </c>
      <c r="J83" s="53" t="str">
        <f ca="1">IF(J81&lt;&gt;"","Completed","")</f>
        <v>Completed</v>
      </c>
    </row>
    <row r="84" spans="1:10" ht="15.75" hidden="1" customHeight="1" x14ac:dyDescent="0.35">
      <c r="A84" s="94" t="s">
        <v>49</v>
      </c>
      <c r="B84" s="95"/>
      <c r="C84" s="59" t="s">
        <v>143</v>
      </c>
      <c r="D84" s="59" t="s">
        <v>84</v>
      </c>
      <c r="E84" s="95" t="s">
        <v>86</v>
      </c>
      <c r="F84" s="95"/>
      <c r="G84" s="95" t="s">
        <v>85</v>
      </c>
      <c r="H84" s="96"/>
      <c r="I84" s="14" t="s">
        <v>145</v>
      </c>
      <c r="J84" s="29">
        <f ca="1">H82*25%</f>
        <v>3.5</v>
      </c>
    </row>
    <row r="85" spans="1:10" hidden="1" x14ac:dyDescent="0.35">
      <c r="A85" s="94" t="s">
        <v>132</v>
      </c>
      <c r="B85" s="95"/>
      <c r="C85" s="64">
        <f ca="1">J86</f>
        <v>14</v>
      </c>
      <c r="D85" s="60">
        <f ca="1">((100/H82)*C85)/100</f>
        <v>1</v>
      </c>
      <c r="E85" s="97">
        <f ca="1">(((C86/H82*10)+(40/(D82+F82+H82)*C87)+(7.5/(H82)*C88)+(7.5/(H82)*C89)+(10/H82*C90)+(10/H82*C91)+(5/H82*C92)+(5/H82*C93)+(5/H82*C94))/100)</f>
        <v>0.90000000000000013</v>
      </c>
      <c r="F85" s="98"/>
      <c r="G85" s="97">
        <f ca="1">((((C85/H82)*20)+((C86/H82)*25)+(30/(H82+F82+D82)*C87)+(5/H82*C88)+(5/H82*C89)+(5/H82*C90)+(5/H82*C91)+(0/H82*C92)+(0/H82*C93)+(5/H82*C94))/100)</f>
        <v>0.9464285714285714</v>
      </c>
      <c r="H85" s="103"/>
      <c r="I85" s="14" t="s">
        <v>102</v>
      </c>
      <c r="J85" s="30">
        <f ca="1">H82*50%</f>
        <v>7</v>
      </c>
    </row>
    <row r="86" spans="1:10" hidden="1" x14ac:dyDescent="0.35">
      <c r="A86" s="94" t="s">
        <v>50</v>
      </c>
      <c r="B86" s="95"/>
      <c r="C86" s="64">
        <f ca="1">J94</f>
        <v>14</v>
      </c>
      <c r="D86" s="60">
        <f ca="1">((100/H82)*C86)/100</f>
        <v>1</v>
      </c>
      <c r="E86" s="99"/>
      <c r="F86" s="100"/>
      <c r="G86" s="99"/>
      <c r="H86" s="104"/>
      <c r="I86" s="14" t="s">
        <v>103</v>
      </c>
      <c r="J86" s="30">
        <f ca="1">H82</f>
        <v>14</v>
      </c>
    </row>
    <row r="87" spans="1:10" ht="15.75" hidden="1" customHeight="1" x14ac:dyDescent="0.35">
      <c r="A87" s="94" t="s">
        <v>133</v>
      </c>
      <c r="B87" s="95"/>
      <c r="C87" s="64">
        <v>15</v>
      </c>
      <c r="D87" s="60">
        <f ca="1">((100/(D82+F82+H82))*C87)/100</f>
        <v>1</v>
      </c>
      <c r="E87" s="99"/>
      <c r="F87" s="100"/>
      <c r="G87" s="99"/>
      <c r="H87" s="104"/>
      <c r="I87" s="14" t="s">
        <v>104</v>
      </c>
      <c r="J87" s="31">
        <f ca="1">(IF(B82&gt;1,(H82/(B82+2)),H82/4))</f>
        <v>3.5</v>
      </c>
    </row>
    <row r="88" spans="1:10" ht="15.75" hidden="1" customHeight="1" x14ac:dyDescent="0.35">
      <c r="A88" s="94" t="s">
        <v>140</v>
      </c>
      <c r="B88" s="95" t="s">
        <v>134</v>
      </c>
      <c r="C88" s="64">
        <v>14</v>
      </c>
      <c r="D88" s="60">
        <f ca="1">((100/H82)*C88)/100</f>
        <v>1</v>
      </c>
      <c r="E88" s="99"/>
      <c r="F88" s="100"/>
      <c r="G88" s="99"/>
      <c r="H88" s="104"/>
      <c r="I88" s="14" t="s">
        <v>105</v>
      </c>
      <c r="J88" s="31">
        <f ca="1">(IF(B82&gt;1,(H82/(B82+2)+J87),H82/4+J87))</f>
        <v>7</v>
      </c>
    </row>
    <row r="89" spans="1:10" ht="15.75" hidden="1" customHeight="1" x14ac:dyDescent="0.35">
      <c r="A89" s="94" t="s">
        <v>141</v>
      </c>
      <c r="B89" s="95" t="s">
        <v>134</v>
      </c>
      <c r="C89" s="64">
        <v>14</v>
      </c>
      <c r="D89" s="60">
        <f ca="1">((100/H82)*C89)/100</f>
        <v>1</v>
      </c>
      <c r="E89" s="99"/>
      <c r="F89" s="100"/>
      <c r="G89" s="99"/>
      <c r="H89" s="104"/>
      <c r="I89" s="14" t="s">
        <v>152</v>
      </c>
      <c r="J89" s="31">
        <f>(IF(B82&gt;1,(H82/(B82+2)+J88),0))</f>
        <v>0</v>
      </c>
    </row>
    <row r="90" spans="1:10" ht="15" hidden="1" customHeight="1" x14ac:dyDescent="0.35">
      <c r="A90" s="94" t="s">
        <v>139</v>
      </c>
      <c r="B90" s="95" t="s">
        <v>136</v>
      </c>
      <c r="C90" s="64">
        <v>14</v>
      </c>
      <c r="D90" s="60">
        <f ca="1">((100/(H82))*C90)/100</f>
        <v>1</v>
      </c>
      <c r="E90" s="99"/>
      <c r="F90" s="100"/>
      <c r="G90" s="99"/>
      <c r="H90" s="104"/>
      <c r="I90" s="14" t="s">
        <v>147</v>
      </c>
      <c r="J90" s="31">
        <f>(IF(B82&gt;2,(H82/(B82+2)+J89),0))</f>
        <v>0</v>
      </c>
    </row>
    <row r="91" spans="1:10" ht="15.75" hidden="1" customHeight="1" x14ac:dyDescent="0.35">
      <c r="A91" s="94" t="s">
        <v>135</v>
      </c>
      <c r="B91" s="95" t="s">
        <v>135</v>
      </c>
      <c r="C91" s="64">
        <v>13</v>
      </c>
      <c r="D91" s="60">
        <f ca="1">((100/H82)*C91)/100</f>
        <v>0.9285714285714286</v>
      </c>
      <c r="E91" s="99"/>
      <c r="F91" s="100"/>
      <c r="G91" s="99"/>
      <c r="H91" s="104"/>
      <c r="I91" s="14" t="s">
        <v>148</v>
      </c>
      <c r="J91" s="32">
        <f>(IF(B82&gt;3,(H82/(B82+2)+J90),0))</f>
        <v>0</v>
      </c>
    </row>
    <row r="92" spans="1:10" ht="15.75" hidden="1" customHeight="1" x14ac:dyDescent="0.35">
      <c r="A92" s="94" t="s">
        <v>142</v>
      </c>
      <c r="B92" s="95"/>
      <c r="C92" s="64">
        <v>12</v>
      </c>
      <c r="D92" s="60">
        <f ca="1">((100/H82)*C92)/100</f>
        <v>0.85714285714285721</v>
      </c>
      <c r="E92" s="99"/>
      <c r="F92" s="100"/>
      <c r="G92" s="99"/>
      <c r="H92" s="104"/>
      <c r="I92" s="14" t="s">
        <v>149</v>
      </c>
      <c r="J92" s="31">
        <f>(IF(B82&gt;4,(H82/(B82+2)+J91),0))</f>
        <v>0</v>
      </c>
    </row>
    <row r="93" spans="1:10" ht="15.75" hidden="1" customHeight="1" x14ac:dyDescent="0.35">
      <c r="A93" s="94" t="s">
        <v>137</v>
      </c>
      <c r="B93" s="95" t="s">
        <v>137</v>
      </c>
      <c r="C93" s="59">
        <v>4</v>
      </c>
      <c r="D93" s="60">
        <f ca="1">((100/(H82))*C93)/100</f>
        <v>0.28571428571428575</v>
      </c>
      <c r="E93" s="99"/>
      <c r="F93" s="100"/>
      <c r="G93" s="99"/>
      <c r="H93" s="104"/>
      <c r="I93" s="14" t="s">
        <v>153</v>
      </c>
      <c r="J93" s="31">
        <f ca="1">(IF(B82=1,(H82/(B82+3)+J88),IF(B82=0,(H82/4+J88),IF(B82&gt;1,0))))</f>
        <v>10.5</v>
      </c>
    </row>
    <row r="94" spans="1:10" ht="16" hidden="1" thickBot="1" x14ac:dyDescent="0.4">
      <c r="A94" s="106" t="s">
        <v>138</v>
      </c>
      <c r="B94" s="107"/>
      <c r="C94" s="61">
        <v>0</v>
      </c>
      <c r="D94" s="62">
        <f ca="1">((100/(H82))*C94)/100</f>
        <v>0</v>
      </c>
      <c r="E94" s="101"/>
      <c r="F94" s="102"/>
      <c r="G94" s="101"/>
      <c r="H94" s="105"/>
      <c r="I94" s="16" t="s">
        <v>106</v>
      </c>
      <c r="J94" s="33">
        <f ca="1">(IF(B82&gt;1.5,(H82/(B82+2)+J88+MAX(0,J89-J88)+MAX(0,J90-J89)+MAX(0,J91-J90)+MAX(0,J92-J91)+MAX(0,J93-J92)),IF(B82=1,(H82/(B82+3)+J93),IF(B82=0,H82/4+J93))))</f>
        <v>14</v>
      </c>
    </row>
    <row r="95" spans="1:10" ht="15.75" customHeight="1" x14ac:dyDescent="0.35">
      <c r="A95" s="85" t="s">
        <v>144</v>
      </c>
      <c r="B95" s="86"/>
      <c r="C95" s="239" t="str">
        <f>D58</f>
        <v>Building No. 2 (Wing A &amp; B) = B + G/St + 1st to 19th Floor + 20th Floor</v>
      </c>
      <c r="D95" s="240"/>
      <c r="E95" s="240"/>
      <c r="F95" s="240"/>
      <c r="G95" s="240"/>
      <c r="H95" s="241"/>
      <c r="I95" s="50" t="str">
        <f ca="1">IF(D108=100%,"All work Completed. Possession granted to the Building.",IF(D107=100%,"All work Completed, Waiting for OC",I96&amp;""&amp;I97&amp;""&amp;J96&amp;""&amp;J95&amp;" "&amp;J97))</f>
        <v>Excavation, Plinth Completed, RCC upto 3 Slab Completed</v>
      </c>
      <c r="J95" s="51" t="str">
        <f ca="1">(IF(C101=(D96+F96+H96),"",IF(C101&gt;0,", RCC upto "&amp;C101&amp;" Slab","")))&amp;(IF(C102=H96,"",IF(C102&gt;0,", Brickwork upto "&amp;C102&amp;" Floor","")))&amp;(IF(C103=H96,"",IF(C103&gt;0,", Internal Plaster upto "&amp;C103&amp;" Floor","")))&amp;(IF(C104=H96,"",IF(C104&gt;0,", External Plaster upto "&amp;C104&amp;" Floor","")))&amp;(IF(C105=H96,"",IF(C105&gt;0,", Flooring upto "&amp;C105&amp;" Floor","")))&amp;(IF(C106=H96,"",IF(C106&gt;0,", Painting upto "&amp;C106&amp;" Floor","")))&amp;(IF(C107=H96,"",IF(C107&gt;0,", Finishing upto "&amp;C107&amp;" Floor","")))&amp;(IF(C108=H96,"",IF(C108&gt;0,", Possession upto "&amp;C108&amp;" Floor","")))</f>
        <v>, RCC upto 3 Slab</v>
      </c>
    </row>
    <row r="96" spans="1:10" x14ac:dyDescent="0.35">
      <c r="A96" s="17" t="s">
        <v>146</v>
      </c>
      <c r="B96" s="48">
        <v>1</v>
      </c>
      <c r="C96" s="48" t="s">
        <v>73</v>
      </c>
      <c r="D96" s="48">
        <v>1</v>
      </c>
      <c r="E96" s="48" t="s">
        <v>72</v>
      </c>
      <c r="F96" s="48">
        <v>0</v>
      </c>
      <c r="G96" s="48" t="s">
        <v>81</v>
      </c>
      <c r="H96" s="18">
        <f ca="1">--TRIM(RIGHT(SUBSTITUTE(LEFT(C95,_xlfn.AGGREGATE(16,6,FIND({0,1,2,3,4,5,6,7,8,9},C95,ROW(INDIRECT("1:"&amp;LEN(C95)))),1))," ",REPT(" ",LEN(C95))),LEN(C95)))</f>
        <v>20</v>
      </c>
      <c r="I96" s="52" t="str">
        <f ca="1">IF(D99=100%,"Excavation","")&amp;IF(D100=100%,", Plinth","")&amp;IF(D101=100%,", RCC Slab","")&amp;IF(D102=100%,", Brickwork","")&amp;IF(D103=100%,", Internal Plaster","")&amp;IF(D104=100%,", External Plaster","")&amp;IF(D105=100%,", Flooring","")&amp;IF(D106=100%,", Painting","")&amp;IF(D107=100%,", Building common Amenities","")</f>
        <v>Excavation, Plinth</v>
      </c>
      <c r="J96" s="53" t="str">
        <f ca="1">(IF(C99=0,"Work not yet Started.",IF(D99=25%,"Piling work in process",IF(D99=50%,"Excavation work in process",IF(D99=100%,"","0")))))&amp;(IF(C100=0%,"",IF(C100=J101,", Footing work is process",IF(C100=J102,", Footing work Completed",IF(C100=J103,", 1st Basement Completed",IF(C100=J104,", 1st &amp; 2nd Basement Completed",IF(C100=J105,", 1st to 3rd Basement Completed",IF(C100=J106,", 1st to 4th Basement Completed",IF(C100=J107,", Plinth work is process",IF(C100=J108,"","0"))))))))))</f>
        <v/>
      </c>
    </row>
    <row r="97" spans="1:10" x14ac:dyDescent="0.35">
      <c r="A97" s="90" t="s">
        <v>91</v>
      </c>
      <c r="B97" s="91"/>
      <c r="C97" s="92" t="str">
        <f ca="1">(IF($C$52=C95,"All work Completed. OC Received.",I95))</f>
        <v>Excavation, Plinth Completed, RCC upto 3 Slab Completed</v>
      </c>
      <c r="D97" s="92"/>
      <c r="E97" s="92"/>
      <c r="F97" s="92"/>
      <c r="G97" s="92"/>
      <c r="H97" s="93"/>
      <c r="I97" s="52" t="str">
        <f ca="1">IF(I96&lt;&gt;""," Completed","")</f>
        <v xml:space="preserve"> Completed</v>
      </c>
      <c r="J97" s="53" t="str">
        <f ca="1">IF(J95&lt;&gt;"","Completed","")</f>
        <v>Completed</v>
      </c>
    </row>
    <row r="98" spans="1:10" ht="15.75" customHeight="1" x14ac:dyDescent="0.35">
      <c r="A98" s="94" t="s">
        <v>49</v>
      </c>
      <c r="B98" s="95"/>
      <c r="C98" s="59" t="s">
        <v>143</v>
      </c>
      <c r="D98" s="59" t="s">
        <v>84</v>
      </c>
      <c r="E98" s="95" t="s">
        <v>86</v>
      </c>
      <c r="F98" s="95"/>
      <c r="G98" s="95" t="s">
        <v>85</v>
      </c>
      <c r="H98" s="96"/>
      <c r="I98" s="14" t="s">
        <v>145</v>
      </c>
      <c r="J98" s="29">
        <f ca="1">H96*25%</f>
        <v>5</v>
      </c>
    </row>
    <row r="99" spans="1:10" x14ac:dyDescent="0.35">
      <c r="A99" s="94" t="s">
        <v>132</v>
      </c>
      <c r="B99" s="95"/>
      <c r="C99" s="64">
        <f ca="1">J100</f>
        <v>20</v>
      </c>
      <c r="D99" s="60">
        <f ca="1">((100/H96)*C99)/100</f>
        <v>1</v>
      </c>
      <c r="E99" s="97">
        <f ca="1">(((C100/H96*10)+(40/(D96+F96+H96)*C101)+(7.5/(H96)*C102)+(7.5/(H96)*C103)+(10/H96*C104)+(10/H96*C105)+(5/H96*C106)+(5/H96*C107)+(5/H96*C108))/100)</f>
        <v>0.15714285714285714</v>
      </c>
      <c r="F99" s="98"/>
      <c r="G99" s="97">
        <f ca="1">((((C99/H96)*20)+((C100/H96)*25)+(30/(H96+F96+D96)*C101)+(5/H96*C102)+(5/H96*C103)+(5/H96*C104)+(5/H96*C105)+(0/H96*C106)+(0/H96*C107)+(5/H96*C108))/100)</f>
        <v>0.49285714285714283</v>
      </c>
      <c r="H99" s="103"/>
      <c r="I99" s="14" t="s">
        <v>102</v>
      </c>
      <c r="J99" s="30">
        <f ca="1">H96*50%</f>
        <v>10</v>
      </c>
    </row>
    <row r="100" spans="1:10" x14ac:dyDescent="0.35">
      <c r="A100" s="94" t="s">
        <v>50</v>
      </c>
      <c r="B100" s="95"/>
      <c r="C100" s="67">
        <f ca="1">J108</f>
        <v>20</v>
      </c>
      <c r="D100" s="60">
        <f ca="1">((100/H96)*C100)/100</f>
        <v>1</v>
      </c>
      <c r="E100" s="99"/>
      <c r="F100" s="100"/>
      <c r="G100" s="99"/>
      <c r="H100" s="104"/>
      <c r="I100" s="14" t="s">
        <v>103</v>
      </c>
      <c r="J100" s="30">
        <f ca="1">H96</f>
        <v>20</v>
      </c>
    </row>
    <row r="101" spans="1:10" ht="15.75" customHeight="1" x14ac:dyDescent="0.35">
      <c r="A101" s="94" t="s">
        <v>133</v>
      </c>
      <c r="B101" s="95"/>
      <c r="C101" s="64">
        <v>3</v>
      </c>
      <c r="D101" s="60">
        <f ca="1">((100/(D96+F96+H96))*C101)/100</f>
        <v>0.14285714285714285</v>
      </c>
      <c r="E101" s="99"/>
      <c r="F101" s="100"/>
      <c r="G101" s="99"/>
      <c r="H101" s="104"/>
      <c r="I101" s="14" t="s">
        <v>104</v>
      </c>
      <c r="J101" s="31">
        <f ca="1">(IF(B96&gt;1,(H96/(B96+2)),H96/4))</f>
        <v>5</v>
      </c>
    </row>
    <row r="102" spans="1:10" ht="15.75" customHeight="1" x14ac:dyDescent="0.35">
      <c r="A102" s="94" t="s">
        <v>140</v>
      </c>
      <c r="B102" s="95" t="s">
        <v>134</v>
      </c>
      <c r="C102" s="64">
        <v>0</v>
      </c>
      <c r="D102" s="60">
        <f ca="1">((100/H96)*C102)/100</f>
        <v>0</v>
      </c>
      <c r="E102" s="99"/>
      <c r="F102" s="100"/>
      <c r="G102" s="99"/>
      <c r="H102" s="104"/>
      <c r="I102" s="14" t="s">
        <v>105</v>
      </c>
      <c r="J102" s="31">
        <f ca="1">(IF(B96&gt;1,(H96/(B96+2)+J101),H96/4+J101))</f>
        <v>10</v>
      </c>
    </row>
    <row r="103" spans="1:10" ht="15.75" customHeight="1" x14ac:dyDescent="0.35">
      <c r="A103" s="94" t="s">
        <v>141</v>
      </c>
      <c r="B103" s="95" t="s">
        <v>134</v>
      </c>
      <c r="C103" s="64">
        <v>0</v>
      </c>
      <c r="D103" s="60">
        <f ca="1">((100/H96)*C103)/100</f>
        <v>0</v>
      </c>
      <c r="E103" s="99"/>
      <c r="F103" s="100"/>
      <c r="G103" s="99"/>
      <c r="H103" s="104"/>
      <c r="I103" s="14" t="s">
        <v>152</v>
      </c>
      <c r="J103" s="31">
        <f>(IF(B96&gt;1,(H96/(B96+2)+J102),0))</f>
        <v>0</v>
      </c>
    </row>
    <row r="104" spans="1:10" ht="15" customHeight="1" x14ac:dyDescent="0.35">
      <c r="A104" s="94" t="s">
        <v>139</v>
      </c>
      <c r="B104" s="95" t="s">
        <v>136</v>
      </c>
      <c r="C104" s="64">
        <v>0</v>
      </c>
      <c r="D104" s="60">
        <f ca="1">((100/(H96))*C104)/100</f>
        <v>0</v>
      </c>
      <c r="E104" s="99"/>
      <c r="F104" s="100"/>
      <c r="G104" s="99"/>
      <c r="H104" s="104"/>
      <c r="I104" s="14" t="s">
        <v>147</v>
      </c>
      <c r="J104" s="31">
        <f>(IF(B96&gt;2,(H96/(B96+2)+J103),0))</f>
        <v>0</v>
      </c>
    </row>
    <row r="105" spans="1:10" ht="15.75" customHeight="1" x14ac:dyDescent="0.35">
      <c r="A105" s="94" t="s">
        <v>135</v>
      </c>
      <c r="B105" s="95" t="s">
        <v>135</v>
      </c>
      <c r="C105" s="64">
        <v>0</v>
      </c>
      <c r="D105" s="60">
        <f ca="1">((100/H96)*C105)/100</f>
        <v>0</v>
      </c>
      <c r="E105" s="99"/>
      <c r="F105" s="100"/>
      <c r="G105" s="99"/>
      <c r="H105" s="104"/>
      <c r="I105" s="14" t="s">
        <v>148</v>
      </c>
      <c r="J105" s="32">
        <f>(IF(B96&gt;3,(H96/(B96+2)+J104),0))</f>
        <v>0</v>
      </c>
    </row>
    <row r="106" spans="1:10" ht="15.75" customHeight="1" x14ac:dyDescent="0.35">
      <c r="A106" s="94" t="s">
        <v>142</v>
      </c>
      <c r="B106" s="95"/>
      <c r="C106" s="64">
        <v>0</v>
      </c>
      <c r="D106" s="60">
        <f ca="1">((100/H96)*C106)/100</f>
        <v>0</v>
      </c>
      <c r="E106" s="99"/>
      <c r="F106" s="100"/>
      <c r="G106" s="99"/>
      <c r="H106" s="104"/>
      <c r="I106" s="14" t="s">
        <v>149</v>
      </c>
      <c r="J106" s="31">
        <f>(IF(B96&gt;4,(H96/(B96+2)+J105),0))</f>
        <v>0</v>
      </c>
    </row>
    <row r="107" spans="1:10" ht="15.75" customHeight="1" x14ac:dyDescent="0.35">
      <c r="A107" s="94" t="s">
        <v>137</v>
      </c>
      <c r="B107" s="95" t="s">
        <v>137</v>
      </c>
      <c r="C107" s="64">
        <v>0</v>
      </c>
      <c r="D107" s="60">
        <f ca="1">((100/(H96))*C107)/100</f>
        <v>0</v>
      </c>
      <c r="E107" s="99"/>
      <c r="F107" s="100"/>
      <c r="G107" s="99"/>
      <c r="H107" s="104"/>
      <c r="I107" s="14" t="s">
        <v>153</v>
      </c>
      <c r="J107" s="31">
        <f ca="1">(IF(B96=1,(H96/(B96+3)+J102),IF(B96=0,(H96/4+J102),IF(B96&gt;1,0))))</f>
        <v>15</v>
      </c>
    </row>
    <row r="108" spans="1:10" ht="16" thickBot="1" x14ac:dyDescent="0.4">
      <c r="A108" s="106" t="s">
        <v>138</v>
      </c>
      <c r="B108" s="107"/>
      <c r="C108" s="65">
        <v>0</v>
      </c>
      <c r="D108" s="62">
        <f ca="1">((100/(H96))*C108)/100</f>
        <v>0</v>
      </c>
      <c r="E108" s="101"/>
      <c r="F108" s="102"/>
      <c r="G108" s="101"/>
      <c r="H108" s="105"/>
      <c r="I108" s="16" t="s">
        <v>106</v>
      </c>
      <c r="J108" s="33">
        <f ca="1">(IF(B96&gt;1.5,(H96/(B96+2)+J102+MAX(0,J103-J102)+MAX(0,J104-J103)+MAX(0,J105-J104)+MAX(0,J106-J105)+MAX(0,J107-J106)),IF(B96=1,(H96/(B96+3)+J107),IF(B96=0,H96/4+J107))))</f>
        <v>20</v>
      </c>
    </row>
    <row r="109" spans="1:10" ht="15.75" hidden="1" customHeight="1" x14ac:dyDescent="0.35">
      <c r="A109" s="165" t="s">
        <v>144</v>
      </c>
      <c r="B109" s="166"/>
      <c r="C109" s="167" t="e">
        <f>#REF!</f>
        <v>#REF!</v>
      </c>
      <c r="D109" s="168"/>
      <c r="E109" s="168"/>
      <c r="F109" s="168"/>
      <c r="G109" s="168"/>
      <c r="H109" s="169"/>
      <c r="I109" s="50" t="e">
        <f ca="1">IF(D122=100%,"All work Completed. Possession granted to the Building.",IF(D121=100%,"All work Completed, Waiting for OC",I110&amp;""&amp;I111&amp;""&amp;J110&amp;""&amp;J109&amp;" "&amp;J111))</f>
        <v>#REF!</v>
      </c>
      <c r="J109" s="51" t="e">
        <f ca="1">(IF(C115=(D110+F110+H110),"",IF(C115&gt;0,", RCC upto "&amp;C115&amp;" Slab","")))&amp;(IF(C116=H110,"",IF(C116&gt;0,", Brickwork upto "&amp;C116&amp;" Floor","")))&amp;(IF(C117=H110,"",IF(C117&gt;0,", Internal Plaster upto "&amp;C117&amp;" Floor","")))&amp;(IF(C118=H110,"",IF(C118&gt;0,", External Plaster upto "&amp;C118&amp;" Floor","")))&amp;(IF(C119=H110,"",IF(C119&gt;0,", Flooring upto "&amp;C119&amp;" Floor","")))&amp;(IF(C120=H110,"",IF(C120&gt;0,", Painting upto "&amp;C120&amp;" Floor","")))&amp;(IF(C121=H110,"",IF(C121&gt;0,", Finishing upto "&amp;C121&amp;" Floor","")))&amp;(IF(C122=H110,"",IF(C122&gt;0,", Possession upto "&amp;C122&amp;" Floor","")))</f>
        <v>#REF!</v>
      </c>
    </row>
    <row r="110" spans="1:10" hidden="1" x14ac:dyDescent="0.35">
      <c r="A110" s="17" t="s">
        <v>146</v>
      </c>
      <c r="B110" s="15">
        <v>0</v>
      </c>
      <c r="C110" s="48" t="s">
        <v>73</v>
      </c>
      <c r="D110" s="48">
        <v>1</v>
      </c>
      <c r="E110" s="48" t="s">
        <v>72</v>
      </c>
      <c r="F110" s="15">
        <v>0</v>
      </c>
      <c r="G110" s="49" t="s">
        <v>81</v>
      </c>
      <c r="H110" s="18" t="e">
        <f ca="1">--TRIM(RIGHT(SUBSTITUTE(LEFT(C109,_xlfn.AGGREGATE(16,6,FIND({0,1,2,3,4,5,6,7,8,9},C109,ROW(INDIRECT("1:"&amp;LEN(C109)))),1))," ",REPT(" ",LEN(C109))),LEN(C109)))</f>
        <v>#REF!</v>
      </c>
      <c r="I110" s="52" t="e">
        <f ca="1">IF(D113=100%,"Excavation","")&amp;IF(D114=100%,", Plinth","")&amp;IF(D115=100%,", RCC Slab","")&amp;IF(D116=100%,", Brickwork","")&amp;IF(D117=100%,", Internal Plaster","")&amp;IF(D118=100%,", External Plaster","")&amp;IF(D119=100%,", Flooring","")&amp;IF(D120=100%,", Painting","")&amp;IF(D121=100%,", Building common Amenities","")</f>
        <v>#REF!</v>
      </c>
      <c r="J110" s="53" t="e">
        <f ca="1">(IF(C113=0,"Work not yet Started.",IF(D113=25%,"Piling work in process",IF(D113=50%,"Excavation work in process",IF(D113=100%,"","0")))))&amp;(IF(C114=0%,"",IF(C114=J115,", Footing work is process",IF(C114=J116,", Footing work Completed",IF(C114=J117,", 1st Basement Completed",IF(C114=J118,", 1st &amp; 2nd Basement Completed",IF(C114=J119,", 1st to 3rd Basement Completed",IF(C114=J120,", 1st to 4th Basement Completed",IF(C114=J121,", Plinth work is process",IF(C114=J122,"","0"))))))))))</f>
        <v>#REF!</v>
      </c>
    </row>
    <row r="111" spans="1:10" ht="33" hidden="1" customHeight="1" x14ac:dyDescent="0.35">
      <c r="A111" s="90" t="s">
        <v>91</v>
      </c>
      <c r="B111" s="91"/>
      <c r="C111" s="92" t="e">
        <f>(IF($C$52=C109,"All work Completed. OC Received.",I109))</f>
        <v>#REF!</v>
      </c>
      <c r="D111" s="92"/>
      <c r="E111" s="92"/>
      <c r="F111" s="92"/>
      <c r="G111" s="92"/>
      <c r="H111" s="93"/>
      <c r="I111" s="52" t="e">
        <f ca="1">IF(I110&lt;&gt;""," Completed","")</f>
        <v>#REF!</v>
      </c>
      <c r="J111" s="53" t="e">
        <f ca="1">IF(J109&lt;&gt;"","Completed","")</f>
        <v>#REF!</v>
      </c>
    </row>
    <row r="112" spans="1:10" ht="15.75" hidden="1" customHeight="1" x14ac:dyDescent="0.35">
      <c r="A112" s="142" t="s">
        <v>49</v>
      </c>
      <c r="B112" s="143"/>
      <c r="C112" s="45" t="s">
        <v>143</v>
      </c>
      <c r="D112" s="45" t="s">
        <v>84</v>
      </c>
      <c r="E112" s="143" t="s">
        <v>86</v>
      </c>
      <c r="F112" s="143"/>
      <c r="G112" s="143" t="s">
        <v>85</v>
      </c>
      <c r="H112" s="147"/>
      <c r="I112" s="14" t="s">
        <v>145</v>
      </c>
      <c r="J112" s="29" t="e">
        <f ca="1">H110*25%</f>
        <v>#REF!</v>
      </c>
    </row>
    <row r="113" spans="1:10" hidden="1" x14ac:dyDescent="0.35">
      <c r="A113" s="142" t="s">
        <v>132</v>
      </c>
      <c r="B113" s="143"/>
      <c r="C113" s="45" t="e">
        <f ca="1">J114</f>
        <v>#REF!</v>
      </c>
      <c r="D113" s="20" t="e">
        <f ca="1">((100/H110)*C113)/100</f>
        <v>#REF!</v>
      </c>
      <c r="E113" s="157" t="e">
        <f ca="1">(((C114/H110*10)+(40/(D110+F110+H110)*C115)+(7.5/(H110)*C116)+(7.5/(H110)*C117)+(10/H110*C118)+(10/H110*C119)+(5/H110*C120)+(5/H110*C121)+(5/H110*C122))/100)</f>
        <v>#REF!</v>
      </c>
      <c r="F113" s="174"/>
      <c r="G113" s="157" t="e">
        <f ca="1">((((C113/H110)*20)+((C114/H110)*25)+(30/(H110+F110+D110)*C115)+(5/H110*C116)+(5/H110*C117)+(5/H110*C118)+(5/H110*C119)+(0/H110*C120)+(0/H110*C121)+(5/H110*C122))/100)</f>
        <v>#REF!</v>
      </c>
      <c r="H113" s="158"/>
      <c r="I113" s="14" t="s">
        <v>102</v>
      </c>
      <c r="J113" s="30" t="e">
        <f ca="1">H110*50%</f>
        <v>#REF!</v>
      </c>
    </row>
    <row r="114" spans="1:10" hidden="1" x14ac:dyDescent="0.35">
      <c r="A114" s="142" t="s">
        <v>50</v>
      </c>
      <c r="B114" s="143"/>
      <c r="C114" s="45" t="e">
        <f ca="1">J122</f>
        <v>#REF!</v>
      </c>
      <c r="D114" s="20" t="e">
        <f ca="1">((100/H110)*C114)/100</f>
        <v>#REF!</v>
      </c>
      <c r="E114" s="159"/>
      <c r="F114" s="175"/>
      <c r="G114" s="159"/>
      <c r="H114" s="160"/>
      <c r="I114" s="14" t="s">
        <v>103</v>
      </c>
      <c r="J114" s="30" t="e">
        <f ca="1">H110</f>
        <v>#REF!</v>
      </c>
    </row>
    <row r="115" spans="1:10" ht="15.75" hidden="1" customHeight="1" x14ac:dyDescent="0.35">
      <c r="A115" s="142" t="s">
        <v>133</v>
      </c>
      <c r="B115" s="143"/>
      <c r="C115" s="45" t="e">
        <f ca="1">D110+H110</f>
        <v>#REF!</v>
      </c>
      <c r="D115" s="20" t="e">
        <f ca="1">((100/(D110+F110+H110))*C115)/100</f>
        <v>#REF!</v>
      </c>
      <c r="E115" s="159"/>
      <c r="F115" s="175"/>
      <c r="G115" s="159"/>
      <c r="H115" s="160"/>
      <c r="I115" s="14" t="s">
        <v>104</v>
      </c>
      <c r="J115" s="31" t="e">
        <f ca="1">(IF(B110&gt;1,(H110/(B110+2)),H110/4))</f>
        <v>#REF!</v>
      </c>
    </row>
    <row r="116" spans="1:10" ht="15.75" hidden="1" customHeight="1" x14ac:dyDescent="0.35">
      <c r="A116" s="142" t="s">
        <v>140</v>
      </c>
      <c r="B116" s="143" t="s">
        <v>134</v>
      </c>
      <c r="C116" s="45">
        <v>0</v>
      </c>
      <c r="D116" s="20" t="e">
        <f ca="1">((100/H110)*C116)/100</f>
        <v>#REF!</v>
      </c>
      <c r="E116" s="159"/>
      <c r="F116" s="175"/>
      <c r="G116" s="159"/>
      <c r="H116" s="160"/>
      <c r="I116" s="14" t="s">
        <v>105</v>
      </c>
      <c r="J116" s="31" t="e">
        <f ca="1">(IF(B110&gt;1,(H110/(B110+2)+J115),H110/4+J115))</f>
        <v>#REF!</v>
      </c>
    </row>
    <row r="117" spans="1:10" ht="15.75" hidden="1" customHeight="1" x14ac:dyDescent="0.35">
      <c r="A117" s="142" t="s">
        <v>141</v>
      </c>
      <c r="B117" s="143" t="s">
        <v>134</v>
      </c>
      <c r="C117" s="45">
        <v>0</v>
      </c>
      <c r="D117" s="20" t="e">
        <f ca="1">((100/H110)*C117)/100</f>
        <v>#REF!</v>
      </c>
      <c r="E117" s="159"/>
      <c r="F117" s="175"/>
      <c r="G117" s="159"/>
      <c r="H117" s="160"/>
      <c r="I117" s="14" t="s">
        <v>152</v>
      </c>
      <c r="J117" s="31">
        <f>(IF(B110&gt;1,(H110/(B110+2)+J116),0))</f>
        <v>0</v>
      </c>
    </row>
    <row r="118" spans="1:10" ht="15" hidden="1" customHeight="1" x14ac:dyDescent="0.35">
      <c r="A118" s="142" t="s">
        <v>139</v>
      </c>
      <c r="B118" s="143" t="s">
        <v>136</v>
      </c>
      <c r="C118" s="45">
        <v>0</v>
      </c>
      <c r="D118" s="20" t="e">
        <f ca="1">((100/(H110))*C118)/100</f>
        <v>#REF!</v>
      </c>
      <c r="E118" s="159"/>
      <c r="F118" s="175"/>
      <c r="G118" s="159"/>
      <c r="H118" s="160"/>
      <c r="I118" s="14" t="s">
        <v>147</v>
      </c>
      <c r="J118" s="31">
        <f>(IF(B110&gt;2,(H110/(B110+2)+J117),0))</f>
        <v>0</v>
      </c>
    </row>
    <row r="119" spans="1:10" ht="15.75" hidden="1" customHeight="1" x14ac:dyDescent="0.35">
      <c r="A119" s="142" t="s">
        <v>135</v>
      </c>
      <c r="B119" s="143" t="s">
        <v>135</v>
      </c>
      <c r="C119" s="45">
        <v>0</v>
      </c>
      <c r="D119" s="20" t="e">
        <f ca="1">((100/H110)*C119)/100</f>
        <v>#REF!</v>
      </c>
      <c r="E119" s="159"/>
      <c r="F119" s="175"/>
      <c r="G119" s="159"/>
      <c r="H119" s="160"/>
      <c r="I119" s="14" t="s">
        <v>148</v>
      </c>
      <c r="J119" s="32">
        <f>(IF(B110&gt;3,(H110/(B110+2)+J118),0))</f>
        <v>0</v>
      </c>
    </row>
    <row r="120" spans="1:10" ht="15.75" hidden="1" customHeight="1" x14ac:dyDescent="0.35">
      <c r="A120" s="142" t="s">
        <v>142</v>
      </c>
      <c r="B120" s="143"/>
      <c r="C120" s="45">
        <v>0</v>
      </c>
      <c r="D120" s="20" t="e">
        <f ca="1">((100/H110)*C120)/100</f>
        <v>#REF!</v>
      </c>
      <c r="E120" s="159"/>
      <c r="F120" s="175"/>
      <c r="G120" s="159"/>
      <c r="H120" s="160"/>
      <c r="I120" s="14" t="s">
        <v>149</v>
      </c>
      <c r="J120" s="31">
        <f>(IF(B110&gt;4,(H110/(B110+2)+J119),0))</f>
        <v>0</v>
      </c>
    </row>
    <row r="121" spans="1:10" ht="15.75" hidden="1" customHeight="1" x14ac:dyDescent="0.35">
      <c r="A121" s="142" t="s">
        <v>137</v>
      </c>
      <c r="B121" s="143" t="s">
        <v>137</v>
      </c>
      <c r="C121" s="45">
        <v>0</v>
      </c>
      <c r="D121" s="20" t="e">
        <f ca="1">((100/(H110))*C121)/100</f>
        <v>#REF!</v>
      </c>
      <c r="E121" s="159"/>
      <c r="F121" s="175"/>
      <c r="G121" s="159"/>
      <c r="H121" s="160"/>
      <c r="I121" s="14" t="s">
        <v>153</v>
      </c>
      <c r="J121" s="31" t="e">
        <f ca="1">(IF(B110=1,(H110/(B110+3)+J116),IF(B110=0,(H110/4+J116),IF(B110&gt;1,0))))</f>
        <v>#REF!</v>
      </c>
    </row>
    <row r="122" spans="1:10" ht="16" hidden="1" thickBot="1" x14ac:dyDescent="0.4">
      <c r="A122" s="243" t="s">
        <v>138</v>
      </c>
      <c r="B122" s="244"/>
      <c r="C122" s="46">
        <v>0</v>
      </c>
      <c r="D122" s="21" t="e">
        <f ca="1">((100/(H110))*C122)/100</f>
        <v>#REF!</v>
      </c>
      <c r="E122" s="161"/>
      <c r="F122" s="176"/>
      <c r="G122" s="161"/>
      <c r="H122" s="162"/>
      <c r="I122" s="16" t="s">
        <v>106</v>
      </c>
      <c r="J122" s="33" t="e">
        <f ca="1">(IF(B110&gt;1.5,(H110/(B110+2)+J116+MAX(0,J117-J116)+MAX(0,J118-J117)+MAX(0,J119-J118)+MAX(0,J120-J119)+MAX(0,J121-J120)),IF(B110=1,(H110/(B110+3)+J121),IF(B110=0,H110/4+J121))))</f>
        <v>#REF!</v>
      </c>
    </row>
    <row r="123" spans="1:10" ht="15.75" hidden="1" customHeight="1" x14ac:dyDescent="0.35">
      <c r="A123" s="85" t="s">
        <v>144</v>
      </c>
      <c r="B123" s="86"/>
      <c r="C123" s="239" t="str">
        <f>D59</f>
        <v>Building No. 2 (Wing B) = B + G/St + 1st to 19th Floor + 20th Floor</v>
      </c>
      <c r="D123" s="240"/>
      <c r="E123" s="240"/>
      <c r="F123" s="240"/>
      <c r="G123" s="240"/>
      <c r="H123" s="241"/>
      <c r="I123" s="50" t="str">
        <f ca="1">IF(D136=100%,"All work Completed. Possession granted to the Building.",IF(D135=100%,"All work Completed, Waiting for OC",I124&amp;""&amp;I125&amp;""&amp;J124&amp;""&amp;J123&amp;" "&amp;J125))</f>
        <v>Excavation, Plinth Completed, RCC upto 3 Slab Completed</v>
      </c>
      <c r="J123" s="51" t="str">
        <f ca="1">(IF(C129=(D124+F124+H124),"",IF(C129&gt;0,", RCC upto "&amp;C129&amp;" Slab","")))&amp;(IF(C130=H124,"",IF(C130&gt;0,", Brickwork upto "&amp;C130&amp;" Floor","")))&amp;(IF(C131=H124,"",IF(C131&gt;0,", Internal Plaster upto "&amp;C131&amp;" Floor","")))&amp;(IF(C132=H124,"",IF(C132&gt;0,", External Plaster upto "&amp;C132&amp;" Floor","")))&amp;(IF(C133=H124,"",IF(C133&gt;0,", Flooring upto "&amp;C133&amp;" Floor","")))&amp;(IF(C134=H124,"",IF(C134&gt;0,", Painting upto "&amp;C134&amp;" Floor","")))&amp;(IF(C135=H124,"",IF(C135&gt;0,", Finishing upto "&amp;C135&amp;" Floor","")))&amp;(IF(C136=H124,"",IF(C136&gt;0,", Possession upto "&amp;C136&amp;" Floor","")))</f>
        <v>, RCC upto 3 Slab</v>
      </c>
    </row>
    <row r="124" spans="1:10" hidden="1" x14ac:dyDescent="0.35">
      <c r="A124" s="17" t="s">
        <v>146</v>
      </c>
      <c r="B124" s="66">
        <v>1</v>
      </c>
      <c r="C124" s="66" t="s">
        <v>73</v>
      </c>
      <c r="D124" s="66">
        <v>1</v>
      </c>
      <c r="E124" s="66" t="s">
        <v>72</v>
      </c>
      <c r="F124" s="66">
        <v>0</v>
      </c>
      <c r="G124" s="66" t="s">
        <v>81</v>
      </c>
      <c r="H124" s="18">
        <f ca="1">--TRIM(RIGHT(SUBSTITUTE(LEFT(C123,_xlfn.AGGREGATE(16,6,FIND({0,1,2,3,4,5,6,7,8,9},C123,ROW(INDIRECT("1:"&amp;LEN(C123)))),1))," ",REPT(" ",LEN(C123))),LEN(C123)))</f>
        <v>20</v>
      </c>
      <c r="I124" s="52" t="str">
        <f ca="1">IF(D127=100%,"Excavation","")&amp;IF(D128=100%,", Plinth","")&amp;IF(D129=100%,", RCC Slab","")&amp;IF(D130=100%,", Brickwork","")&amp;IF(D131=100%,", Internal Plaster","")&amp;IF(D132=100%,", External Plaster","")&amp;IF(D133=100%,", Flooring","")&amp;IF(D134=100%,", Painting","")&amp;IF(D135=100%,", Building common Amenities","")</f>
        <v>Excavation, Plinth</v>
      </c>
      <c r="J124" s="53" t="str">
        <f ca="1">(IF(C127=0,"Work not yet Started.",IF(D127=25%,"Piling work in process",IF(D127=50%,"Excavation work in process",IF(D127=100%,"","0")))))&amp;(IF(C128=0%,"",IF(C128=J129,", Footing work is process",IF(C128=J130,", Footing work Completed",IF(C128=J131,", 1st Basement Completed",IF(C128=J132,", 1st &amp; 2nd Basement Completed",IF(C128=J133,", 1st to 3rd Basement Completed",IF(C128=J134,", 1st to 4th Basement Completed",IF(C128=J135,", Plinth work is process",IF(C128=J136,"","0"))))))))))</f>
        <v/>
      </c>
    </row>
    <row r="125" spans="1:10" hidden="1" x14ac:dyDescent="0.35">
      <c r="A125" s="90" t="s">
        <v>91</v>
      </c>
      <c r="B125" s="91"/>
      <c r="C125" s="92" t="str">
        <f ca="1">(IF($C$52=C123,"All work Completed. OC Received.",I123))</f>
        <v>Excavation, Plinth Completed, RCC upto 3 Slab Completed</v>
      </c>
      <c r="D125" s="92"/>
      <c r="E125" s="92"/>
      <c r="F125" s="92"/>
      <c r="G125" s="92"/>
      <c r="H125" s="93"/>
      <c r="I125" s="52" t="str">
        <f ca="1">IF(I124&lt;&gt;""," Completed","")</f>
        <v xml:space="preserve"> Completed</v>
      </c>
      <c r="J125" s="53" t="str">
        <f ca="1">IF(J123&lt;&gt;"","Completed","")</f>
        <v>Completed</v>
      </c>
    </row>
    <row r="126" spans="1:10" ht="15.75" hidden="1" customHeight="1" x14ac:dyDescent="0.35">
      <c r="A126" s="94" t="s">
        <v>49</v>
      </c>
      <c r="B126" s="95"/>
      <c r="C126" s="63" t="s">
        <v>143</v>
      </c>
      <c r="D126" s="63" t="s">
        <v>84</v>
      </c>
      <c r="E126" s="95" t="s">
        <v>86</v>
      </c>
      <c r="F126" s="95"/>
      <c r="G126" s="95" t="s">
        <v>85</v>
      </c>
      <c r="H126" s="96"/>
      <c r="I126" s="14" t="s">
        <v>145</v>
      </c>
      <c r="J126" s="29">
        <f ca="1">H124*25%</f>
        <v>5</v>
      </c>
    </row>
    <row r="127" spans="1:10" hidden="1" x14ac:dyDescent="0.35">
      <c r="A127" s="94" t="s">
        <v>132</v>
      </c>
      <c r="B127" s="95"/>
      <c r="C127" s="64">
        <f ca="1">J128</f>
        <v>20</v>
      </c>
      <c r="D127" s="60">
        <f ca="1">((100/H124)*C127)/100</f>
        <v>1</v>
      </c>
      <c r="E127" s="97">
        <f ca="1">(((C128/H124*10)+(40/(D124+F124+H124)*C129)+(7.5/(H124)*C130)+(7.5/(H124)*C131)+(10/H124*C132)+(10/H124*C133)+(5/H124*C134)+(5/H124*C135)+(5/H124*C136))/100)</f>
        <v>0.15714285714285714</v>
      </c>
      <c r="F127" s="98"/>
      <c r="G127" s="97">
        <f ca="1">((((C127/H124)*20)+((C128/H124)*25)+(30/(H124+F124+D124)*C129)+(5/H124*C130)+(5/H124*C131)+(5/H124*C132)+(5/H124*C133)+(0/H124*C134)+(0/H124*C135)+(5/H124*C136))/100)</f>
        <v>0.49285714285714283</v>
      </c>
      <c r="H127" s="103"/>
      <c r="I127" s="14" t="s">
        <v>102</v>
      </c>
      <c r="J127" s="30">
        <f ca="1">H124*50%</f>
        <v>10</v>
      </c>
    </row>
    <row r="128" spans="1:10" hidden="1" x14ac:dyDescent="0.35">
      <c r="A128" s="94" t="s">
        <v>50</v>
      </c>
      <c r="B128" s="95"/>
      <c r="C128" s="67">
        <f ca="1">J136</f>
        <v>20</v>
      </c>
      <c r="D128" s="60">
        <f ca="1">((100/H124)*C128)/100</f>
        <v>1</v>
      </c>
      <c r="E128" s="99"/>
      <c r="F128" s="100"/>
      <c r="G128" s="99"/>
      <c r="H128" s="104"/>
      <c r="I128" s="14" t="s">
        <v>103</v>
      </c>
      <c r="J128" s="30">
        <f ca="1">H124</f>
        <v>20</v>
      </c>
    </row>
    <row r="129" spans="1:12" ht="15.75" hidden="1" customHeight="1" x14ac:dyDescent="0.35">
      <c r="A129" s="94" t="s">
        <v>133</v>
      </c>
      <c r="B129" s="95"/>
      <c r="C129" s="64">
        <v>3</v>
      </c>
      <c r="D129" s="60">
        <f ca="1">((100/(D124+F124+H124))*C129)/100</f>
        <v>0.14285714285714285</v>
      </c>
      <c r="E129" s="99"/>
      <c r="F129" s="100"/>
      <c r="G129" s="99"/>
      <c r="H129" s="104"/>
      <c r="I129" s="14" t="s">
        <v>104</v>
      </c>
      <c r="J129" s="31">
        <f ca="1">(IF(B124&gt;1,(H124/(B124+2)),H124/4))</f>
        <v>5</v>
      </c>
    </row>
    <row r="130" spans="1:12" ht="15.75" hidden="1" customHeight="1" x14ac:dyDescent="0.35">
      <c r="A130" s="94" t="s">
        <v>140</v>
      </c>
      <c r="B130" s="95" t="s">
        <v>134</v>
      </c>
      <c r="C130" s="64">
        <v>0</v>
      </c>
      <c r="D130" s="60">
        <f ca="1">((100/H124)*C130)/100</f>
        <v>0</v>
      </c>
      <c r="E130" s="99"/>
      <c r="F130" s="100"/>
      <c r="G130" s="99"/>
      <c r="H130" s="104"/>
      <c r="I130" s="14" t="s">
        <v>105</v>
      </c>
      <c r="J130" s="31">
        <f ca="1">(IF(B124&gt;1,(H124/(B124+2)+J129),H124/4+J129))</f>
        <v>10</v>
      </c>
    </row>
    <row r="131" spans="1:12" ht="15.75" hidden="1" customHeight="1" x14ac:dyDescent="0.35">
      <c r="A131" s="94" t="s">
        <v>141</v>
      </c>
      <c r="B131" s="95" t="s">
        <v>134</v>
      </c>
      <c r="C131" s="64">
        <v>0</v>
      </c>
      <c r="D131" s="60">
        <f ca="1">((100/H124)*C131)/100</f>
        <v>0</v>
      </c>
      <c r="E131" s="99"/>
      <c r="F131" s="100"/>
      <c r="G131" s="99"/>
      <c r="H131" s="104"/>
      <c r="I131" s="14" t="s">
        <v>152</v>
      </c>
      <c r="J131" s="31">
        <f>(IF(B124&gt;1,(H124/(B124+2)+J130),0))</f>
        <v>0</v>
      </c>
    </row>
    <row r="132" spans="1:12" ht="15" hidden="1" customHeight="1" x14ac:dyDescent="0.35">
      <c r="A132" s="94" t="s">
        <v>139</v>
      </c>
      <c r="B132" s="95" t="s">
        <v>136</v>
      </c>
      <c r="C132" s="64">
        <v>0</v>
      </c>
      <c r="D132" s="60">
        <f ca="1">((100/(H124))*C132)/100</f>
        <v>0</v>
      </c>
      <c r="E132" s="99"/>
      <c r="F132" s="100"/>
      <c r="G132" s="99"/>
      <c r="H132" s="104"/>
      <c r="I132" s="14" t="s">
        <v>147</v>
      </c>
      <c r="J132" s="31">
        <f>(IF(B124&gt;2,(H124/(B124+2)+J131),0))</f>
        <v>0</v>
      </c>
    </row>
    <row r="133" spans="1:12" ht="15.75" hidden="1" customHeight="1" x14ac:dyDescent="0.35">
      <c r="A133" s="94" t="s">
        <v>135</v>
      </c>
      <c r="B133" s="95" t="s">
        <v>135</v>
      </c>
      <c r="C133" s="64">
        <v>0</v>
      </c>
      <c r="D133" s="60">
        <f ca="1">((100/H124)*C133)/100</f>
        <v>0</v>
      </c>
      <c r="E133" s="99"/>
      <c r="F133" s="100"/>
      <c r="G133" s="99"/>
      <c r="H133" s="104"/>
      <c r="I133" s="14" t="s">
        <v>148</v>
      </c>
      <c r="J133" s="32">
        <f>(IF(B124&gt;3,(H124/(B124+2)+J132),0))</f>
        <v>0</v>
      </c>
    </row>
    <row r="134" spans="1:12" ht="15.75" hidden="1" customHeight="1" x14ac:dyDescent="0.35">
      <c r="A134" s="94" t="s">
        <v>142</v>
      </c>
      <c r="B134" s="95"/>
      <c r="C134" s="64">
        <v>0</v>
      </c>
      <c r="D134" s="60">
        <f ca="1">((100/H124)*C134)/100</f>
        <v>0</v>
      </c>
      <c r="E134" s="99"/>
      <c r="F134" s="100"/>
      <c r="G134" s="99"/>
      <c r="H134" s="104"/>
      <c r="I134" s="14" t="s">
        <v>149</v>
      </c>
      <c r="J134" s="31">
        <f>(IF(B124&gt;4,(H124/(B124+2)+J133),0))</f>
        <v>0</v>
      </c>
    </row>
    <row r="135" spans="1:12" ht="15.75" hidden="1" customHeight="1" x14ac:dyDescent="0.35">
      <c r="A135" s="94" t="s">
        <v>137</v>
      </c>
      <c r="B135" s="95" t="s">
        <v>137</v>
      </c>
      <c r="C135" s="64">
        <v>0</v>
      </c>
      <c r="D135" s="60">
        <f ca="1">((100/(H124))*C135)/100</f>
        <v>0</v>
      </c>
      <c r="E135" s="99"/>
      <c r="F135" s="100"/>
      <c r="G135" s="99"/>
      <c r="H135" s="104"/>
      <c r="I135" s="14" t="s">
        <v>153</v>
      </c>
      <c r="J135" s="31">
        <f ca="1">(IF(B124=1,(H124/(B124+3)+J130),IF(B124=0,(H124/4+J130),IF(B124&gt;1,0))))</f>
        <v>15</v>
      </c>
    </row>
    <row r="136" spans="1:12" ht="16" hidden="1" thickBot="1" x14ac:dyDescent="0.4">
      <c r="A136" s="106" t="s">
        <v>138</v>
      </c>
      <c r="B136" s="107"/>
      <c r="C136" s="65">
        <v>0</v>
      </c>
      <c r="D136" s="62">
        <f ca="1">((100/(H124))*C136)/100</f>
        <v>0</v>
      </c>
      <c r="E136" s="101"/>
      <c r="F136" s="102"/>
      <c r="G136" s="101"/>
      <c r="H136" s="105"/>
      <c r="I136" s="16" t="s">
        <v>106</v>
      </c>
      <c r="J136" s="33">
        <f ca="1">(IF(B124&gt;1.5,(H124/(B124+2)+J130+MAX(0,J131-J130)+MAX(0,J132-J131)+MAX(0,J133-J132)+MAX(0,J134-J133)+MAX(0,J135-J134)),IF(B124=1,(H124/(B124+3)+J135),IF(B124=0,H124/4+J135))))</f>
        <v>20</v>
      </c>
    </row>
    <row r="137" spans="1:12" x14ac:dyDescent="0.35">
      <c r="A137" s="156" t="s">
        <v>163</v>
      </c>
      <c r="B137" s="156"/>
      <c r="C137" s="156"/>
      <c r="D137" s="156"/>
      <c r="E137" s="156"/>
      <c r="F137" s="177" t="s">
        <v>168</v>
      </c>
      <c r="G137" s="177"/>
      <c r="H137" s="177"/>
    </row>
    <row r="138" spans="1:12" x14ac:dyDescent="0.35">
      <c r="A138" s="131" t="s">
        <v>166</v>
      </c>
      <c r="B138" s="131"/>
      <c r="C138" s="131"/>
      <c r="D138" s="131"/>
      <c r="E138" s="131"/>
      <c r="F138" s="144">
        <v>7200</v>
      </c>
      <c r="G138" s="144"/>
      <c r="H138" s="144"/>
      <c r="I138" s="68" t="s">
        <v>242</v>
      </c>
      <c r="J138" s="68" t="s">
        <v>243</v>
      </c>
      <c r="K138" s="68" t="s">
        <v>244</v>
      </c>
      <c r="L138" s="69">
        <v>45672</v>
      </c>
    </row>
    <row r="139" spans="1:12" x14ac:dyDescent="0.35">
      <c r="A139" s="131" t="s">
        <v>165</v>
      </c>
      <c r="B139" s="131"/>
      <c r="C139" s="131"/>
      <c r="D139" s="131"/>
      <c r="E139" s="131"/>
      <c r="F139" s="144">
        <v>12000</v>
      </c>
      <c r="G139" s="144"/>
      <c r="H139" s="144"/>
      <c r="J139" s="22" t="s">
        <v>246</v>
      </c>
    </row>
    <row r="140" spans="1:12" x14ac:dyDescent="0.35">
      <c r="A140" s="131" t="s">
        <v>167</v>
      </c>
      <c r="B140" s="131"/>
      <c r="C140" s="131"/>
      <c r="D140" s="131"/>
      <c r="E140" s="131"/>
      <c r="F140" s="144">
        <v>9000</v>
      </c>
      <c r="G140" s="144"/>
      <c r="H140" s="144"/>
    </row>
    <row r="141" spans="1:12" s="34" customFormat="1" hidden="1" x14ac:dyDescent="0.3">
      <c r="A141" s="131" t="s">
        <v>164</v>
      </c>
      <c r="B141" s="131"/>
      <c r="C141" s="131"/>
      <c r="D141" s="131"/>
      <c r="E141" s="131"/>
      <c r="F141" s="144"/>
      <c r="G141" s="144"/>
      <c r="H141" s="144"/>
    </row>
    <row r="142" spans="1:12" s="34" customFormat="1" x14ac:dyDescent="0.3">
      <c r="A142" s="131" t="s">
        <v>96</v>
      </c>
      <c r="B142" s="131"/>
      <c r="C142" s="131"/>
      <c r="D142" s="131"/>
      <c r="E142" s="131"/>
      <c r="F142" s="144">
        <v>350000</v>
      </c>
      <c r="G142" s="144"/>
      <c r="H142" s="144"/>
    </row>
    <row r="143" spans="1:12" s="34" customFormat="1" hidden="1" x14ac:dyDescent="0.3">
      <c r="A143" s="131" t="s">
        <v>97</v>
      </c>
      <c r="B143" s="131"/>
      <c r="C143" s="131"/>
      <c r="D143" s="131"/>
      <c r="E143" s="131"/>
      <c r="F143" s="144"/>
      <c r="G143" s="144"/>
      <c r="H143" s="144"/>
    </row>
    <row r="144" spans="1:12" s="34" customFormat="1" hidden="1" x14ac:dyDescent="0.3">
      <c r="A144" s="131" t="s">
        <v>169</v>
      </c>
      <c r="B144" s="131"/>
      <c r="C144" s="131"/>
      <c r="D144" s="131"/>
      <c r="E144" s="131"/>
      <c r="F144" s="144"/>
      <c r="G144" s="144"/>
      <c r="H144" s="144"/>
    </row>
    <row r="145" spans="1:8" s="34" customFormat="1" hidden="1" x14ac:dyDescent="0.3">
      <c r="A145" s="131" t="s">
        <v>98</v>
      </c>
      <c r="B145" s="131"/>
      <c r="C145" s="131"/>
      <c r="D145" s="131"/>
      <c r="E145" s="131"/>
      <c r="F145" s="144"/>
      <c r="G145" s="144"/>
      <c r="H145" s="144"/>
    </row>
    <row r="146" spans="1:8" s="34" customFormat="1" hidden="1" x14ac:dyDescent="0.3">
      <c r="A146" s="131" t="s">
        <v>99</v>
      </c>
      <c r="B146" s="131"/>
      <c r="C146" s="131"/>
      <c r="D146" s="131"/>
      <c r="E146" s="131"/>
      <c r="F146" s="144"/>
      <c r="G146" s="144"/>
      <c r="H146" s="144"/>
    </row>
    <row r="147" spans="1:8" s="34" customFormat="1" hidden="1" x14ac:dyDescent="0.3">
      <c r="A147" s="131" t="s">
        <v>100</v>
      </c>
      <c r="B147" s="131"/>
      <c r="C147" s="131"/>
      <c r="D147" s="131"/>
      <c r="E147" s="131"/>
      <c r="F147" s="144"/>
      <c r="G147" s="144"/>
      <c r="H147" s="144"/>
    </row>
    <row r="148" spans="1:8" s="34" customFormat="1" hidden="1" x14ac:dyDescent="0.3">
      <c r="A148" s="131" t="s">
        <v>101</v>
      </c>
      <c r="B148" s="131"/>
      <c r="C148" s="131"/>
      <c r="D148" s="131"/>
      <c r="E148" s="131"/>
      <c r="F148" s="144"/>
      <c r="G148" s="144"/>
      <c r="H148" s="144"/>
    </row>
    <row r="149" spans="1:8" x14ac:dyDescent="0.35">
      <c r="A149" s="131" t="s">
        <v>51</v>
      </c>
      <c r="B149" s="131"/>
      <c r="C149" s="131"/>
      <c r="D149" s="131"/>
      <c r="E149" s="131"/>
      <c r="F149" s="144">
        <v>300000</v>
      </c>
      <c r="G149" s="144"/>
      <c r="H149" s="144"/>
    </row>
    <row r="150" spans="1:8" s="35" customFormat="1" x14ac:dyDescent="0.35">
      <c r="A150" s="180" t="s">
        <v>52</v>
      </c>
      <c r="B150" s="180"/>
      <c r="C150" s="180"/>
      <c r="D150" s="180"/>
      <c r="E150" s="180"/>
      <c r="F150" s="144">
        <f>F138*0.8</f>
        <v>5760</v>
      </c>
      <c r="G150" s="144"/>
      <c r="H150" s="144"/>
    </row>
    <row r="151" spans="1:8" s="36" customFormat="1" ht="15.75" hidden="1" customHeight="1" x14ac:dyDescent="0.35">
      <c r="A151" s="153" t="s">
        <v>76</v>
      </c>
      <c r="B151" s="153"/>
      <c r="C151" s="153"/>
      <c r="D151" s="153"/>
      <c r="E151" s="153"/>
      <c r="F151" s="153"/>
      <c r="G151" s="153"/>
      <c r="H151" s="153"/>
    </row>
    <row r="152" spans="1:8" s="36" customFormat="1" ht="15.75" hidden="1" customHeight="1" x14ac:dyDescent="0.35">
      <c r="A152" s="149" t="s">
        <v>53</v>
      </c>
      <c r="B152" s="149"/>
      <c r="C152" s="154" t="s">
        <v>79</v>
      </c>
      <c r="D152" s="154"/>
      <c r="E152" s="155" t="s">
        <v>54</v>
      </c>
      <c r="F152" s="155"/>
      <c r="G152" s="149" t="s">
        <v>55</v>
      </c>
      <c r="H152" s="149"/>
    </row>
    <row r="153" spans="1:8" s="36" customFormat="1" hidden="1" x14ac:dyDescent="0.35">
      <c r="A153" s="148"/>
      <c r="B153" s="148"/>
      <c r="C153" s="150"/>
      <c r="D153" s="150"/>
      <c r="E153" s="151"/>
      <c r="F153" s="151"/>
      <c r="G153" s="152"/>
      <c r="H153" s="152"/>
    </row>
    <row r="154" spans="1:8" s="36" customFormat="1" hidden="1" x14ac:dyDescent="0.35">
      <c r="A154" s="148"/>
      <c r="B154" s="148"/>
      <c r="C154" s="150"/>
      <c r="D154" s="150"/>
      <c r="E154" s="151"/>
      <c r="F154" s="151"/>
      <c r="G154" s="152"/>
      <c r="H154" s="152"/>
    </row>
    <row r="155" spans="1:8" s="36" customFormat="1" hidden="1" x14ac:dyDescent="0.35">
      <c r="A155" s="153" t="s">
        <v>157</v>
      </c>
      <c r="B155" s="153"/>
      <c r="C155" s="154"/>
      <c r="D155" s="154"/>
      <c r="E155" s="155"/>
      <c r="F155" s="155"/>
      <c r="G155" s="149"/>
      <c r="H155" s="149"/>
    </row>
    <row r="156" spans="1:8" s="36" customFormat="1" x14ac:dyDescent="0.35">
      <c r="A156" s="153" t="s">
        <v>71</v>
      </c>
      <c r="B156" s="153"/>
      <c r="C156" s="153"/>
      <c r="D156" s="153"/>
      <c r="E156" s="153"/>
      <c r="F156" s="153"/>
      <c r="G156" s="153"/>
      <c r="H156" s="153"/>
    </row>
    <row r="157" spans="1:8" s="36" customFormat="1" ht="15.75" customHeight="1" x14ac:dyDescent="0.35">
      <c r="A157" s="149" t="s">
        <v>53</v>
      </c>
      <c r="B157" s="149"/>
      <c r="C157" s="154" t="s">
        <v>79</v>
      </c>
      <c r="D157" s="154"/>
      <c r="E157" s="155" t="s">
        <v>54</v>
      </c>
      <c r="F157" s="155"/>
      <c r="G157" s="149" t="s">
        <v>55</v>
      </c>
      <c r="H157" s="149"/>
    </row>
    <row r="158" spans="1:8" s="36" customFormat="1" x14ac:dyDescent="0.35">
      <c r="A158" s="108" t="s">
        <v>202</v>
      </c>
      <c r="B158" s="47" t="s">
        <v>207</v>
      </c>
      <c r="C158" s="115">
        <f>COUNT(D229:D236)+COUNT(D238:D245)*3+COUNT(D247:D254)+COUNT(D256:D257,D259:D263)*2+COUNT(D265:D272)*5</f>
        <v>94</v>
      </c>
      <c r="D158" s="115"/>
      <c r="E158" s="116">
        <f>SUM(D229:D236)+SUM(D238:D245)*3+SUM(D247:D254)+SUM(D256:D257,D259:D263)*2+SUM(D265:D272)*5</f>
        <v>39880.081799999993</v>
      </c>
      <c r="F158" s="116"/>
      <c r="G158" s="116">
        <f>SUM(F229:F236)+SUM(F238:F245)*3+SUM(F247:F254)+SUM(F256:F257,F259:F263)*2+SUM(F265:F272)*5</f>
        <v>60153.891915</v>
      </c>
      <c r="H158" s="116"/>
    </row>
    <row r="159" spans="1:8" s="36" customFormat="1" x14ac:dyDescent="0.35">
      <c r="A159" s="109"/>
      <c r="B159" s="47" t="s">
        <v>213</v>
      </c>
      <c r="C159" s="115">
        <f>COUNT(D278:D285)+COUNT(D287:D294)*3+COUNT(D296:D303)+COUNT(D305:D309,D311:D312)*2+COUNT(D314:D321)*5</f>
        <v>94</v>
      </c>
      <c r="D159" s="115"/>
      <c r="E159" s="116">
        <f>SUM(D278:D285)+SUM(D287:D294)*3+SUM(D296:D303)+SUM(D305:D309,D311:D312)*2+SUM(D314:D321)*5</f>
        <v>39783.657888000002</v>
      </c>
      <c r="F159" s="116"/>
      <c r="G159" s="116">
        <f>SUM(F278:F285)+SUM(F287:F294)*3+SUM(F296:F303)+SUM(F305:F309,F311:F312)*2+SUM(F314:F321)*5</f>
        <v>59675.486832000002</v>
      </c>
      <c r="H159" s="116"/>
    </row>
    <row r="160" spans="1:8" s="36" customFormat="1" x14ac:dyDescent="0.35">
      <c r="A160" s="108" t="s">
        <v>221</v>
      </c>
      <c r="B160" s="47" t="s">
        <v>207</v>
      </c>
      <c r="C160" s="115">
        <f>COUNT(D329:D336)*13+COUNT(D339:D345)*2+COUNT(D348:D354)+COUNT(D356:D363)+COUNT(D365:D369,D371:D372)</f>
        <v>140</v>
      </c>
      <c r="D160" s="115"/>
      <c r="E160" s="116">
        <f>SUM(D329:D336)*13+SUM(D339:D345)*2+SUM(D348:D354)+SUM(D356:D363)+SUM(D365:D369,D371:D372)</f>
        <v>59516.161333199991</v>
      </c>
      <c r="F160" s="116"/>
      <c r="G160" s="116">
        <f>SUM(F329:F336)*13+SUM(F339:F345)*2+SUM(F348:F354)+SUM(F356:F363)+SUM(F365:F369,F371:F372)</f>
        <v>89368.96519979999</v>
      </c>
      <c r="H160" s="116"/>
    </row>
    <row r="161" spans="1:14" s="36" customFormat="1" x14ac:dyDescent="0.35">
      <c r="A161" s="109"/>
      <c r="B161" s="47" t="s">
        <v>213</v>
      </c>
      <c r="C161" s="115">
        <f>COUNT(D379:D382)*13+COUNT(D385:D387)*2+COUNT(D390:D392)+COUNT(D394:D397)+COUNT(D399:D400,D402)</f>
        <v>68</v>
      </c>
      <c r="D161" s="115"/>
      <c r="E161" s="116">
        <f>SUM(D379:D382)*13+SUM(D385:D387)*2+SUM(D390:D392)+SUM(D394:D397)+SUM(D399:D400,D402)</f>
        <v>32476.441139999995</v>
      </c>
      <c r="F161" s="116"/>
      <c r="G161" s="116">
        <f>SUM(F379:F382)*13+SUM(F385:F387)*2+SUM(F390:F392)+SUM(F394:F397)+SUM(F399:F400,F402)</f>
        <v>48714.66171</v>
      </c>
      <c r="H161" s="116"/>
    </row>
    <row r="162" spans="1:14" s="36" customFormat="1" x14ac:dyDescent="0.35">
      <c r="A162" s="153" t="s">
        <v>157</v>
      </c>
      <c r="B162" s="153"/>
      <c r="C162" s="163">
        <f>SUM(C158:C161)</f>
        <v>396</v>
      </c>
      <c r="D162" s="154"/>
      <c r="E162" s="164">
        <f>SUM(E158:E161)</f>
        <v>171656.34216120001</v>
      </c>
      <c r="F162" s="155"/>
      <c r="G162" s="149">
        <f>SUM(G158:G161)</f>
        <v>257913.0056568</v>
      </c>
      <c r="H162" s="149"/>
    </row>
    <row r="163" spans="1:14" s="38" customFormat="1" x14ac:dyDescent="0.35">
      <c r="A163" s="112"/>
      <c r="B163" s="113"/>
      <c r="C163" s="113"/>
      <c r="D163" s="113"/>
      <c r="E163" s="113"/>
      <c r="F163" s="113"/>
      <c r="G163" s="113"/>
      <c r="H163" s="114"/>
      <c r="I163" s="37"/>
      <c r="N163" s="37"/>
    </row>
    <row r="164" spans="1:14" s="35" customFormat="1" x14ac:dyDescent="0.35">
      <c r="A164" s="124" t="s">
        <v>56</v>
      </c>
      <c r="B164" s="124"/>
      <c r="C164" s="124"/>
      <c r="D164" s="124"/>
      <c r="E164" s="124"/>
      <c r="F164" s="124"/>
      <c r="G164" s="124"/>
      <c r="H164" s="124"/>
    </row>
    <row r="165" spans="1:14" x14ac:dyDescent="0.35">
      <c r="A165" s="124" t="s">
        <v>57</v>
      </c>
      <c r="B165" s="124"/>
      <c r="C165" s="124"/>
      <c r="D165" s="124"/>
      <c r="E165" s="124"/>
      <c r="F165" s="124"/>
      <c r="G165" s="124"/>
      <c r="H165" s="124"/>
    </row>
    <row r="166" spans="1:14" ht="47.25" hidden="1" customHeight="1" x14ac:dyDescent="0.35">
      <c r="A166" s="145" t="s">
        <v>121</v>
      </c>
      <c r="B166" s="145" t="s">
        <v>120</v>
      </c>
      <c r="C166" s="145" t="s">
        <v>58</v>
      </c>
      <c r="D166" s="145" t="s">
        <v>59</v>
      </c>
      <c r="E166" s="170" t="s">
        <v>162</v>
      </c>
      <c r="F166" s="44" t="s">
        <v>155</v>
      </c>
      <c r="G166" s="126" t="s">
        <v>61</v>
      </c>
      <c r="H166" s="172"/>
    </row>
    <row r="167" spans="1:14" s="38" customFormat="1" hidden="1" x14ac:dyDescent="0.35">
      <c r="A167" s="146"/>
      <c r="B167" s="146"/>
      <c r="C167" s="146"/>
      <c r="D167" s="146"/>
      <c r="E167" s="171"/>
      <c r="F167" s="13">
        <v>0.6</v>
      </c>
      <c r="G167" s="127"/>
      <c r="H167" s="173"/>
    </row>
    <row r="168" spans="1:14" hidden="1" x14ac:dyDescent="0.35">
      <c r="A168" s="124" t="s">
        <v>205</v>
      </c>
      <c r="B168" s="124"/>
      <c r="C168" s="124"/>
      <c r="D168" s="124"/>
      <c r="E168" s="124"/>
      <c r="F168" s="124"/>
      <c r="G168" s="124"/>
      <c r="H168" s="124"/>
    </row>
    <row r="169" spans="1:14" hidden="1" x14ac:dyDescent="0.35">
      <c r="A169" s="124" t="s">
        <v>206</v>
      </c>
      <c r="B169" s="124"/>
      <c r="C169" s="124"/>
      <c r="D169" s="124"/>
      <c r="E169" s="124"/>
      <c r="F169" s="124"/>
      <c r="G169" s="124"/>
      <c r="H169" s="124"/>
    </row>
    <row r="170" spans="1:14" s="38" customFormat="1" hidden="1" x14ac:dyDescent="0.35">
      <c r="A170" s="118" t="s">
        <v>203</v>
      </c>
      <c r="B170" s="119"/>
      <c r="C170" s="119"/>
      <c r="D170" s="119"/>
      <c r="E170" s="119"/>
      <c r="F170" s="119"/>
      <c r="G170" s="119"/>
      <c r="H170" s="120"/>
      <c r="J170" s="37"/>
    </row>
    <row r="171" spans="1:14" s="38" customFormat="1" hidden="1" x14ac:dyDescent="0.35">
      <c r="A171" s="112">
        <v>1</v>
      </c>
      <c r="B171" s="114"/>
      <c r="C171" s="43" t="s">
        <v>204</v>
      </c>
      <c r="D171" s="43">
        <f>(7.133*3.33)*10.764</f>
        <v>255.67610796</v>
      </c>
      <c r="E171" s="43">
        <f>(2.35*1.33)*10.764</f>
        <v>33.642882</v>
      </c>
      <c r="F171" s="43">
        <f>(D171+E171)*(($F$167)+1)</f>
        <v>462.91038393600002</v>
      </c>
      <c r="G171" s="112" t="str">
        <f>A170</f>
        <v>Ground Floor for Commercial &amp; Praking</v>
      </c>
      <c r="H171" s="114"/>
      <c r="I171" s="37"/>
      <c r="L171" s="125"/>
      <c r="M171" s="125"/>
      <c r="N171" s="37"/>
    </row>
    <row r="172" spans="1:14" s="38" customFormat="1" hidden="1" x14ac:dyDescent="0.35">
      <c r="A172" s="112">
        <f t="shared" ref="A172:A204" si="0">A171+1</f>
        <v>2</v>
      </c>
      <c r="B172" s="114"/>
      <c r="C172" s="43" t="s">
        <v>204</v>
      </c>
      <c r="D172" s="43">
        <f>(7.43*3.25)*10.764</f>
        <v>259.92368999999997</v>
      </c>
      <c r="E172" s="43">
        <f>(2.45*3.25)*10.764</f>
        <v>85.708349999999996</v>
      </c>
      <c r="F172" s="43">
        <f t="shared" ref="F172:F182" si="1">(D172+E172)*(($F$167)+1)</f>
        <v>553.01126399999998</v>
      </c>
      <c r="G172" s="112" t="str">
        <f t="shared" ref="G172:G204" si="2">G171</f>
        <v>Ground Floor for Commercial &amp; Praking</v>
      </c>
      <c r="H172" s="114"/>
      <c r="I172" s="37"/>
      <c r="L172" s="125"/>
      <c r="M172" s="125"/>
      <c r="N172" s="37"/>
    </row>
    <row r="173" spans="1:14" s="38" customFormat="1" hidden="1" x14ac:dyDescent="0.35">
      <c r="A173" s="112">
        <f t="shared" si="0"/>
        <v>3</v>
      </c>
      <c r="B173" s="114"/>
      <c r="C173" s="43" t="s">
        <v>204</v>
      </c>
      <c r="D173" s="43">
        <f>(7.8*3.35+3.15*3.35)*10.764</f>
        <v>394.85042999999996</v>
      </c>
      <c r="E173" s="43">
        <f>(5.5*3.15)*10.764</f>
        <v>186.48629999999997</v>
      </c>
      <c r="F173" s="43">
        <f t="shared" si="1"/>
        <v>930.13876800000003</v>
      </c>
      <c r="G173" s="112" t="str">
        <f t="shared" si="2"/>
        <v>Ground Floor for Commercial &amp; Praking</v>
      </c>
      <c r="H173" s="114"/>
      <c r="I173" s="37"/>
      <c r="L173" s="125"/>
      <c r="M173" s="125"/>
      <c r="N173" s="37"/>
    </row>
    <row r="174" spans="1:14" s="38" customFormat="1" hidden="1" x14ac:dyDescent="0.35">
      <c r="A174" s="112">
        <f t="shared" si="0"/>
        <v>4</v>
      </c>
      <c r="B174" s="114"/>
      <c r="C174" s="43" t="s">
        <v>204</v>
      </c>
      <c r="D174" s="43">
        <f>(8.02*5.1+3.15*6.71)*10.764</f>
        <v>667.7824139999999</v>
      </c>
      <c r="E174" s="43">
        <f>(2.65*5.11+3.15*6.71)*10.764</f>
        <v>373.27399199999996</v>
      </c>
      <c r="F174" s="43">
        <f t="shared" si="1"/>
        <v>1665.6902496</v>
      </c>
      <c r="G174" s="112" t="str">
        <f t="shared" si="2"/>
        <v>Ground Floor for Commercial &amp; Praking</v>
      </c>
      <c r="H174" s="114"/>
      <c r="I174" s="37"/>
      <c r="L174" s="125"/>
      <c r="M174" s="125"/>
      <c r="N174" s="37"/>
    </row>
    <row r="175" spans="1:14" s="38" customFormat="1" hidden="1" x14ac:dyDescent="0.35">
      <c r="A175" s="112">
        <f t="shared" si="0"/>
        <v>5</v>
      </c>
      <c r="B175" s="114"/>
      <c r="C175" s="43" t="s">
        <v>204</v>
      </c>
      <c r="D175" s="43">
        <f>(8.04*5.75)*10.764</f>
        <v>497.61971999999992</v>
      </c>
      <c r="E175" s="43">
        <f>(2.8*5.78)*10.764</f>
        <v>174.204576</v>
      </c>
      <c r="F175" s="43">
        <f t="shared" si="1"/>
        <v>1074.9188735999999</v>
      </c>
      <c r="G175" s="112" t="str">
        <f t="shared" si="2"/>
        <v>Ground Floor for Commercial &amp; Praking</v>
      </c>
      <c r="H175" s="114"/>
      <c r="I175" s="37"/>
      <c r="L175" s="125"/>
      <c r="M175" s="125"/>
      <c r="N175" s="37"/>
    </row>
    <row r="176" spans="1:14" s="38" customFormat="1" hidden="1" x14ac:dyDescent="0.35">
      <c r="A176" s="112">
        <f t="shared" si="0"/>
        <v>6</v>
      </c>
      <c r="B176" s="114"/>
      <c r="C176" s="43" t="s">
        <v>204</v>
      </c>
      <c r="D176" s="43">
        <f>(9.1*3.8+4.85*3)*10.764</f>
        <v>528.83531999999991</v>
      </c>
      <c r="E176" s="43">
        <f>(3*3+4.85*3)*10.764</f>
        <v>253.49219999999994</v>
      </c>
      <c r="F176" s="43">
        <f t="shared" si="1"/>
        <v>1251.7240319999999</v>
      </c>
      <c r="G176" s="112" t="str">
        <f t="shared" si="2"/>
        <v>Ground Floor for Commercial &amp; Praking</v>
      </c>
      <c r="H176" s="114"/>
      <c r="I176" s="37"/>
      <c r="L176" s="125"/>
      <c r="M176" s="125"/>
      <c r="N176" s="37"/>
    </row>
    <row r="177" spans="1:14" s="38" customFormat="1" hidden="1" x14ac:dyDescent="0.35">
      <c r="A177" s="112">
        <f t="shared" si="0"/>
        <v>7</v>
      </c>
      <c r="B177" s="114"/>
      <c r="C177" s="43" t="s">
        <v>204</v>
      </c>
      <c r="D177" s="43">
        <f>(9.35*3.08+4.85*3.08)*10.764</f>
        <v>470.77430399999992</v>
      </c>
      <c r="E177" s="43">
        <f>(3.1*3.1+4.85*3.8)*10.764</f>
        <v>301.82255999999995</v>
      </c>
      <c r="F177" s="43">
        <f t="shared" si="1"/>
        <v>1236.1549823999999</v>
      </c>
      <c r="G177" s="112" t="str">
        <f t="shared" si="2"/>
        <v>Ground Floor for Commercial &amp; Praking</v>
      </c>
      <c r="H177" s="114"/>
      <c r="I177" s="37"/>
      <c r="L177" s="125"/>
      <c r="M177" s="125"/>
      <c r="N177" s="37"/>
    </row>
    <row r="178" spans="1:14" s="38" customFormat="1" hidden="1" x14ac:dyDescent="0.35">
      <c r="A178" s="112">
        <f t="shared" si="0"/>
        <v>8</v>
      </c>
      <c r="B178" s="114"/>
      <c r="C178" s="43" t="s">
        <v>204</v>
      </c>
      <c r="D178" s="43">
        <f>(9.7*4.8+4.85*2.35)*10.764</f>
        <v>623.85452999999995</v>
      </c>
      <c r="E178" s="43">
        <f>(3.24*4.3+4.85*2.35)*10.765</f>
        <v>272.67206750000003</v>
      </c>
      <c r="F178" s="43">
        <f t="shared" si="1"/>
        <v>1434.442556</v>
      </c>
      <c r="G178" s="112" t="str">
        <f t="shared" si="2"/>
        <v>Ground Floor for Commercial &amp; Praking</v>
      </c>
      <c r="H178" s="114"/>
      <c r="I178" s="37"/>
      <c r="L178" s="125"/>
      <c r="M178" s="125"/>
      <c r="N178" s="37"/>
    </row>
    <row r="179" spans="1:14" s="38" customFormat="1" hidden="1" x14ac:dyDescent="0.35">
      <c r="A179" s="112">
        <f t="shared" si="0"/>
        <v>9</v>
      </c>
      <c r="B179" s="114"/>
      <c r="C179" s="43" t="s">
        <v>204</v>
      </c>
      <c r="D179" s="43">
        <f>(10.15*5.5)*10.764</f>
        <v>600.90030000000002</v>
      </c>
      <c r="E179" s="43">
        <f>(3.35*5.31)*10.764</f>
        <v>191.47541399999997</v>
      </c>
      <c r="F179" s="43">
        <f t="shared" si="1"/>
        <v>1267.8011424000001</v>
      </c>
      <c r="G179" s="112" t="str">
        <f t="shared" si="2"/>
        <v>Ground Floor for Commercial &amp; Praking</v>
      </c>
      <c r="H179" s="114"/>
      <c r="I179" s="37"/>
      <c r="L179" s="125"/>
      <c r="M179" s="125"/>
      <c r="N179" s="37"/>
    </row>
    <row r="180" spans="1:14" s="38" customFormat="1" hidden="1" x14ac:dyDescent="0.35">
      <c r="A180" s="112">
        <f t="shared" si="0"/>
        <v>10</v>
      </c>
      <c r="B180" s="114"/>
      <c r="C180" s="43" t="s">
        <v>204</v>
      </c>
      <c r="D180" s="43">
        <f>(3.6*5.55)*10.764</f>
        <v>215.06471999999999</v>
      </c>
      <c r="E180" s="43">
        <f>(3.22*2.1)*10.764</f>
        <v>72.786168000000004</v>
      </c>
      <c r="F180" s="43">
        <f t="shared" si="1"/>
        <v>460.56142080000001</v>
      </c>
      <c r="G180" s="112" t="str">
        <f t="shared" si="2"/>
        <v>Ground Floor for Commercial &amp; Praking</v>
      </c>
      <c r="H180" s="114"/>
      <c r="I180" s="37"/>
      <c r="L180" s="125"/>
      <c r="M180" s="125"/>
      <c r="N180" s="37"/>
    </row>
    <row r="181" spans="1:14" s="38" customFormat="1" hidden="1" x14ac:dyDescent="0.35">
      <c r="A181" s="112">
        <f t="shared" si="0"/>
        <v>11</v>
      </c>
      <c r="B181" s="114"/>
      <c r="C181" s="43" t="s">
        <v>204</v>
      </c>
      <c r="D181" s="43">
        <f>(3.6*5.55)*10.764</f>
        <v>215.06471999999999</v>
      </c>
      <c r="E181" s="43">
        <f>(3.6*2.1)*10.764</f>
        <v>81.375839999999997</v>
      </c>
      <c r="F181" s="43">
        <f t="shared" si="1"/>
        <v>474.30489600000004</v>
      </c>
      <c r="G181" s="112" t="str">
        <f t="shared" si="2"/>
        <v>Ground Floor for Commercial &amp; Praking</v>
      </c>
      <c r="H181" s="114"/>
      <c r="I181" s="37"/>
      <c r="L181" s="125"/>
      <c r="M181" s="125"/>
      <c r="N181" s="37"/>
    </row>
    <row r="182" spans="1:14" s="38" customFormat="1" hidden="1" x14ac:dyDescent="0.35">
      <c r="A182" s="112">
        <f t="shared" si="0"/>
        <v>12</v>
      </c>
      <c r="B182" s="114"/>
      <c r="C182" s="43" t="s">
        <v>204</v>
      </c>
      <c r="D182" s="43">
        <f>(3.2*6.55)*10.764</f>
        <v>225.61344</v>
      </c>
      <c r="E182" s="43">
        <f>(3.2*2.15)*10.764</f>
        <v>74.056319999999999</v>
      </c>
      <c r="F182" s="43">
        <f t="shared" si="1"/>
        <v>479.47161600000004</v>
      </c>
      <c r="G182" s="112" t="str">
        <f t="shared" si="2"/>
        <v>Ground Floor for Commercial &amp; Praking</v>
      </c>
      <c r="H182" s="114"/>
      <c r="I182" s="37"/>
      <c r="L182" s="125"/>
      <c r="M182" s="125"/>
      <c r="N182" s="37"/>
    </row>
    <row r="183" spans="1:14" s="38" customFormat="1" hidden="1" x14ac:dyDescent="0.35">
      <c r="A183" s="112">
        <f t="shared" si="0"/>
        <v>13</v>
      </c>
      <c r="B183" s="114"/>
      <c r="C183" s="43" t="s">
        <v>204</v>
      </c>
      <c r="D183" s="43">
        <f>(3.15*9.15)*10.764</f>
        <v>310.24538999999999</v>
      </c>
      <c r="E183" s="43">
        <f>(3.15*2.78)*10.764</f>
        <v>94.260347999999993</v>
      </c>
      <c r="F183" s="43">
        <f t="shared" ref="F183:F187" si="3">(D183+E183)*(($F$167)+1)</f>
        <v>647.20918080000001</v>
      </c>
      <c r="G183" s="112" t="str">
        <f t="shared" si="2"/>
        <v>Ground Floor for Commercial &amp; Praking</v>
      </c>
      <c r="H183" s="114"/>
      <c r="I183" s="37"/>
      <c r="L183" s="125"/>
      <c r="M183" s="125"/>
      <c r="N183" s="37"/>
    </row>
    <row r="184" spans="1:14" s="38" customFormat="1" hidden="1" x14ac:dyDescent="0.35">
      <c r="A184" s="112">
        <f t="shared" si="0"/>
        <v>14</v>
      </c>
      <c r="B184" s="114"/>
      <c r="C184" s="43" t="s">
        <v>204</v>
      </c>
      <c r="D184" s="43">
        <f>(2.25*5.45)*10.764</f>
        <v>131.99355</v>
      </c>
      <c r="E184" s="43">
        <f>(3.25*1.25+1.2*1)*10.764</f>
        <v>56.64555</v>
      </c>
      <c r="F184" s="43">
        <f t="shared" si="3"/>
        <v>301.82256000000001</v>
      </c>
      <c r="G184" s="112" t="str">
        <f t="shared" si="2"/>
        <v>Ground Floor for Commercial &amp; Praking</v>
      </c>
      <c r="H184" s="114"/>
      <c r="I184" s="37"/>
      <c r="L184" s="125"/>
      <c r="M184" s="125"/>
      <c r="N184" s="37"/>
    </row>
    <row r="185" spans="1:14" s="38" customFormat="1" hidden="1" x14ac:dyDescent="0.35">
      <c r="A185" s="112">
        <f t="shared" si="0"/>
        <v>15</v>
      </c>
      <c r="B185" s="114"/>
      <c r="C185" s="43" t="s">
        <v>204</v>
      </c>
      <c r="D185" s="43">
        <f>(2.75*6.5)*10.764</f>
        <v>192.40649999999999</v>
      </c>
      <c r="E185" s="43">
        <f>(2.75*1.25+1.2*1)*10.764</f>
        <v>49.918050000000001</v>
      </c>
      <c r="F185" s="43">
        <f t="shared" si="3"/>
        <v>387.71928000000003</v>
      </c>
      <c r="G185" s="112" t="str">
        <f t="shared" si="2"/>
        <v>Ground Floor for Commercial &amp; Praking</v>
      </c>
      <c r="H185" s="114"/>
      <c r="I185" s="37"/>
      <c r="L185" s="125"/>
      <c r="M185" s="125"/>
      <c r="N185" s="37"/>
    </row>
    <row r="186" spans="1:14" s="38" customFormat="1" hidden="1" x14ac:dyDescent="0.35">
      <c r="A186" s="112">
        <f t="shared" si="0"/>
        <v>16</v>
      </c>
      <c r="B186" s="114"/>
      <c r="C186" s="43" t="s">
        <v>204</v>
      </c>
      <c r="D186" s="43">
        <f>(2.75*6.5)*10.764</f>
        <v>192.40649999999999</v>
      </c>
      <c r="E186" s="43">
        <f>(2.75*1.25+1.2*1)*10.764</f>
        <v>49.918050000000001</v>
      </c>
      <c r="F186" s="43">
        <f t="shared" si="3"/>
        <v>387.71928000000003</v>
      </c>
      <c r="G186" s="112" t="str">
        <f t="shared" si="2"/>
        <v>Ground Floor for Commercial &amp; Praking</v>
      </c>
      <c r="H186" s="114"/>
      <c r="I186" s="37"/>
      <c r="L186" s="125"/>
      <c r="M186" s="125"/>
      <c r="N186" s="37"/>
    </row>
    <row r="187" spans="1:14" s="38" customFormat="1" hidden="1" x14ac:dyDescent="0.35">
      <c r="A187" s="112">
        <f t="shared" si="0"/>
        <v>17</v>
      </c>
      <c r="B187" s="114"/>
      <c r="C187" s="43" t="s">
        <v>204</v>
      </c>
      <c r="D187" s="43">
        <f>(2.25*5.45)*10.764</f>
        <v>131.99355</v>
      </c>
      <c r="E187" s="43">
        <f>(3.25*1.25+1.2*1)*10.764</f>
        <v>56.64555</v>
      </c>
      <c r="F187" s="43">
        <f t="shared" si="3"/>
        <v>301.82256000000001</v>
      </c>
      <c r="G187" s="112" t="str">
        <f t="shared" si="2"/>
        <v>Ground Floor for Commercial &amp; Praking</v>
      </c>
      <c r="H187" s="114"/>
      <c r="I187" s="37"/>
      <c r="L187" s="125"/>
      <c r="M187" s="125"/>
      <c r="N187" s="37"/>
    </row>
    <row r="188" spans="1:14" s="38" customFormat="1" hidden="1" x14ac:dyDescent="0.35">
      <c r="A188" s="112">
        <f t="shared" si="0"/>
        <v>18</v>
      </c>
      <c r="B188" s="114"/>
      <c r="C188" s="43" t="s">
        <v>204</v>
      </c>
      <c r="D188" s="43">
        <f>(3.09*8.15)*10.764</f>
        <v>271.07519399999995</v>
      </c>
      <c r="E188" s="43">
        <f>(3*2.3)*10.764</f>
        <v>74.271599999999992</v>
      </c>
      <c r="F188" s="43">
        <f t="shared" ref="F188:F195" si="4">(D188+E188)*(($F$167)+1)</f>
        <v>552.55487039999991</v>
      </c>
      <c r="G188" s="112" t="str">
        <f t="shared" si="2"/>
        <v>Ground Floor for Commercial &amp; Praking</v>
      </c>
      <c r="H188" s="114"/>
      <c r="I188" s="37"/>
      <c r="L188" s="125"/>
      <c r="M188" s="125"/>
      <c r="N188" s="37"/>
    </row>
    <row r="189" spans="1:14" s="38" customFormat="1" hidden="1" x14ac:dyDescent="0.35">
      <c r="A189" s="112">
        <f t="shared" si="0"/>
        <v>19</v>
      </c>
      <c r="B189" s="114"/>
      <c r="C189" s="43" t="s">
        <v>204</v>
      </c>
      <c r="D189" s="43">
        <f>(10*6.7+12.46*13.6+9.4*4.2+1.5*6.5)*10.764</f>
        <v>3075.124104</v>
      </c>
      <c r="E189" s="43">
        <v>0</v>
      </c>
      <c r="F189" s="43">
        <f t="shared" si="4"/>
        <v>4920.1985664000003</v>
      </c>
      <c r="G189" s="112" t="str">
        <f t="shared" si="2"/>
        <v>Ground Floor for Commercial &amp; Praking</v>
      </c>
      <c r="H189" s="114"/>
      <c r="I189" s="37"/>
      <c r="L189" s="125"/>
      <c r="M189" s="125"/>
      <c r="N189" s="37"/>
    </row>
    <row r="190" spans="1:14" s="38" customFormat="1" hidden="1" x14ac:dyDescent="0.35">
      <c r="A190" s="112">
        <f t="shared" si="0"/>
        <v>20</v>
      </c>
      <c r="B190" s="114"/>
      <c r="C190" s="43" t="s">
        <v>204</v>
      </c>
      <c r="D190" s="43">
        <f>(12.85*3.8)*10.764</f>
        <v>525.60611999999992</v>
      </c>
      <c r="E190" s="43">
        <f>(3.8*4.15)*10.764</f>
        <v>169.74827999999999</v>
      </c>
      <c r="F190" s="43">
        <f t="shared" si="4"/>
        <v>1112.5670399999999</v>
      </c>
      <c r="G190" s="112" t="str">
        <f t="shared" si="2"/>
        <v>Ground Floor for Commercial &amp; Praking</v>
      </c>
      <c r="H190" s="114"/>
      <c r="I190" s="37"/>
      <c r="L190" s="125"/>
      <c r="M190" s="125"/>
      <c r="N190" s="37"/>
    </row>
    <row r="191" spans="1:14" s="38" customFormat="1" hidden="1" x14ac:dyDescent="0.35">
      <c r="A191" s="112">
        <f t="shared" si="0"/>
        <v>21</v>
      </c>
      <c r="B191" s="114"/>
      <c r="C191" s="43" t="s">
        <v>204</v>
      </c>
      <c r="D191" s="43">
        <f>(2.75*12.85)*10.764</f>
        <v>380.37284999999997</v>
      </c>
      <c r="E191" s="43">
        <f>(2.75*4.15)*10.764</f>
        <v>122.84415000000001</v>
      </c>
      <c r="F191" s="43">
        <f t="shared" si="4"/>
        <v>805.1472</v>
      </c>
      <c r="G191" s="112" t="str">
        <f t="shared" si="2"/>
        <v>Ground Floor for Commercial &amp; Praking</v>
      </c>
      <c r="H191" s="114"/>
      <c r="I191" s="37"/>
      <c r="L191" s="125"/>
      <c r="M191" s="125"/>
      <c r="N191" s="37"/>
    </row>
    <row r="192" spans="1:14" s="38" customFormat="1" hidden="1" x14ac:dyDescent="0.35">
      <c r="A192" s="112">
        <f t="shared" si="0"/>
        <v>22</v>
      </c>
      <c r="B192" s="114"/>
      <c r="C192" s="43" t="s">
        <v>204</v>
      </c>
      <c r="D192" s="43">
        <f>(2.75*7.1)*10.764</f>
        <v>210.16709999999998</v>
      </c>
      <c r="E192" s="43">
        <f>(2.75*2.36)*10.764</f>
        <v>69.85835999999999</v>
      </c>
      <c r="F192" s="43">
        <f t="shared" si="4"/>
        <v>448.04073599999992</v>
      </c>
      <c r="G192" s="112" t="str">
        <f t="shared" si="2"/>
        <v>Ground Floor for Commercial &amp; Praking</v>
      </c>
      <c r="H192" s="114"/>
      <c r="I192" s="37"/>
      <c r="L192" s="125"/>
      <c r="M192" s="125"/>
      <c r="N192" s="37"/>
    </row>
    <row r="193" spans="1:14" s="38" customFormat="1" hidden="1" x14ac:dyDescent="0.35">
      <c r="A193" s="112">
        <f t="shared" si="0"/>
        <v>23</v>
      </c>
      <c r="B193" s="114"/>
      <c r="C193" s="43" t="s">
        <v>204</v>
      </c>
      <c r="D193" s="43">
        <f>(3.65*7.1)*10.764</f>
        <v>278.94905999999997</v>
      </c>
      <c r="E193" s="43">
        <f>(3.65*2.36)*10.764</f>
        <v>92.721095999999989</v>
      </c>
      <c r="F193" s="43">
        <f t="shared" si="4"/>
        <v>594.67224959999999</v>
      </c>
      <c r="G193" s="112" t="str">
        <f t="shared" si="2"/>
        <v>Ground Floor for Commercial &amp; Praking</v>
      </c>
      <c r="H193" s="114"/>
      <c r="I193" s="37"/>
      <c r="L193" s="125"/>
      <c r="M193" s="125"/>
      <c r="N193" s="37"/>
    </row>
    <row r="194" spans="1:14" s="38" customFormat="1" hidden="1" x14ac:dyDescent="0.35">
      <c r="A194" s="112">
        <f t="shared" si="0"/>
        <v>24</v>
      </c>
      <c r="B194" s="114"/>
      <c r="C194" s="43" t="s">
        <v>204</v>
      </c>
      <c r="D194" s="43">
        <f>(2.75*11.85)*10.764</f>
        <v>350.77184999999997</v>
      </c>
      <c r="E194" s="43">
        <f>(3.75*4.15)*10.764</f>
        <v>167.51475000000002</v>
      </c>
      <c r="F194" s="43">
        <f t="shared" si="4"/>
        <v>829.2585600000001</v>
      </c>
      <c r="G194" s="112" t="str">
        <f t="shared" si="2"/>
        <v>Ground Floor for Commercial &amp; Praking</v>
      </c>
      <c r="H194" s="114"/>
      <c r="I194" s="37"/>
      <c r="L194" s="125"/>
      <c r="M194" s="125"/>
      <c r="N194" s="37"/>
    </row>
    <row r="195" spans="1:14" s="38" customFormat="1" hidden="1" x14ac:dyDescent="0.35">
      <c r="A195" s="112">
        <f t="shared" si="0"/>
        <v>25</v>
      </c>
      <c r="B195" s="114"/>
      <c r="C195" s="43" t="s">
        <v>204</v>
      </c>
      <c r="D195" s="43">
        <f>(4.35*11.65)*10.764</f>
        <v>545.4926099999999</v>
      </c>
      <c r="E195" s="43">
        <f>(4.35*4.15)*10.764</f>
        <v>194.31710999999999</v>
      </c>
      <c r="F195" s="43">
        <f t="shared" si="4"/>
        <v>1183.6955519999999</v>
      </c>
      <c r="G195" s="112" t="str">
        <f t="shared" si="2"/>
        <v>Ground Floor for Commercial &amp; Praking</v>
      </c>
      <c r="H195" s="114"/>
      <c r="I195" s="37"/>
      <c r="L195" s="125"/>
      <c r="M195" s="125"/>
      <c r="N195" s="37"/>
    </row>
    <row r="196" spans="1:14" s="38" customFormat="1" hidden="1" x14ac:dyDescent="0.35">
      <c r="A196" s="112">
        <f t="shared" si="0"/>
        <v>26</v>
      </c>
      <c r="B196" s="114"/>
      <c r="C196" s="43" t="s">
        <v>204</v>
      </c>
      <c r="D196" s="43">
        <f>(3.2*9.85)*10.764</f>
        <v>339.28127999999998</v>
      </c>
      <c r="E196" s="43">
        <f>(3.2*3.29)*10.764</f>
        <v>113.323392</v>
      </c>
      <c r="F196" s="43">
        <f t="shared" ref="F196:F201" si="5">(D196+E196)*(($F$167)+1)</f>
        <v>724.16747520000001</v>
      </c>
      <c r="G196" s="112" t="str">
        <f t="shared" si="2"/>
        <v>Ground Floor for Commercial &amp; Praking</v>
      </c>
      <c r="H196" s="114"/>
      <c r="I196" s="37"/>
      <c r="L196" s="125"/>
      <c r="M196" s="125"/>
      <c r="N196" s="37"/>
    </row>
    <row r="197" spans="1:14" s="38" customFormat="1" hidden="1" x14ac:dyDescent="0.35">
      <c r="A197" s="112">
        <f t="shared" si="0"/>
        <v>27</v>
      </c>
      <c r="B197" s="114"/>
      <c r="C197" s="43" t="s">
        <v>204</v>
      </c>
      <c r="D197" s="43">
        <f>(0.5*3.3*4.2)*10.764</f>
        <v>74.594519999999989</v>
      </c>
      <c r="E197" s="43">
        <v>0</v>
      </c>
      <c r="F197" s="43">
        <f t="shared" si="5"/>
        <v>119.35123199999998</v>
      </c>
      <c r="G197" s="112" t="str">
        <f t="shared" si="2"/>
        <v>Ground Floor for Commercial &amp; Praking</v>
      </c>
      <c r="H197" s="114"/>
      <c r="I197" s="37"/>
      <c r="L197" s="125"/>
      <c r="M197" s="125"/>
      <c r="N197" s="37"/>
    </row>
    <row r="198" spans="1:14" s="38" customFormat="1" hidden="1" x14ac:dyDescent="0.35">
      <c r="A198" s="112">
        <f t="shared" si="0"/>
        <v>28</v>
      </c>
      <c r="B198" s="114"/>
      <c r="C198" s="43" t="s">
        <v>204</v>
      </c>
      <c r="D198" s="43">
        <f>(2.45*7.25)*10.764</f>
        <v>191.19555000000003</v>
      </c>
      <c r="E198" s="43">
        <f>(2.45*2.4)*10.764</f>
        <v>63.292319999999997</v>
      </c>
      <c r="F198" s="43">
        <f t="shared" si="5"/>
        <v>407.18059200000005</v>
      </c>
      <c r="G198" s="112" t="str">
        <f t="shared" si="2"/>
        <v>Ground Floor for Commercial &amp; Praking</v>
      </c>
      <c r="H198" s="114"/>
      <c r="I198" s="37"/>
      <c r="L198" s="125"/>
      <c r="M198" s="125"/>
      <c r="N198" s="37"/>
    </row>
    <row r="199" spans="1:14" s="38" customFormat="1" hidden="1" x14ac:dyDescent="0.35">
      <c r="A199" s="112">
        <f t="shared" si="0"/>
        <v>29</v>
      </c>
      <c r="B199" s="114"/>
      <c r="C199" s="43" t="s">
        <v>204</v>
      </c>
      <c r="D199" s="43">
        <f>(3*7.35)*10.764</f>
        <v>237.34619999999995</v>
      </c>
      <c r="E199" s="43">
        <f>(3*2.4)*10.764</f>
        <v>77.500799999999984</v>
      </c>
      <c r="F199" s="43">
        <f t="shared" si="5"/>
        <v>503.75519999999989</v>
      </c>
      <c r="G199" s="112" t="str">
        <f t="shared" si="2"/>
        <v>Ground Floor for Commercial &amp; Praking</v>
      </c>
      <c r="H199" s="114"/>
      <c r="I199" s="37"/>
      <c r="L199" s="125"/>
      <c r="M199" s="125"/>
      <c r="N199" s="37"/>
    </row>
    <row r="200" spans="1:14" s="38" customFormat="1" hidden="1" x14ac:dyDescent="0.35">
      <c r="A200" s="112">
        <f t="shared" si="0"/>
        <v>30</v>
      </c>
      <c r="B200" s="114"/>
      <c r="C200" s="43" t="s">
        <v>204</v>
      </c>
      <c r="D200" s="43">
        <f>(2*2.45)*10.764</f>
        <v>52.743600000000001</v>
      </c>
      <c r="E200" s="43">
        <v>0</v>
      </c>
      <c r="F200" s="43">
        <f t="shared" si="5"/>
        <v>84.38976000000001</v>
      </c>
      <c r="G200" s="112" t="str">
        <f t="shared" si="2"/>
        <v>Ground Floor for Commercial &amp; Praking</v>
      </c>
      <c r="H200" s="114"/>
      <c r="I200" s="37"/>
      <c r="L200" s="125"/>
      <c r="M200" s="125"/>
      <c r="N200" s="37"/>
    </row>
    <row r="201" spans="1:14" s="38" customFormat="1" hidden="1" x14ac:dyDescent="0.35">
      <c r="A201" s="112">
        <f t="shared" si="0"/>
        <v>31</v>
      </c>
      <c r="B201" s="114"/>
      <c r="C201" s="43" t="s">
        <v>204</v>
      </c>
      <c r="D201" s="43">
        <f>(3*7.35)*10.764</f>
        <v>237.34619999999995</v>
      </c>
      <c r="E201" s="43">
        <f>(3*2.4)*10.764</f>
        <v>77.500799999999984</v>
      </c>
      <c r="F201" s="43">
        <f t="shared" si="5"/>
        <v>503.75519999999989</v>
      </c>
      <c r="G201" s="112" t="str">
        <f t="shared" si="2"/>
        <v>Ground Floor for Commercial &amp; Praking</v>
      </c>
      <c r="H201" s="114"/>
      <c r="I201" s="37"/>
      <c r="L201" s="125"/>
      <c r="M201" s="125"/>
      <c r="N201" s="37"/>
    </row>
    <row r="202" spans="1:14" s="38" customFormat="1" hidden="1" x14ac:dyDescent="0.35">
      <c r="A202" s="112">
        <f t="shared" si="0"/>
        <v>32</v>
      </c>
      <c r="B202" s="114"/>
      <c r="C202" s="43" t="s">
        <v>204</v>
      </c>
      <c r="D202" s="43">
        <f>(3.35*7.25)*10.764</f>
        <v>261.43065000000001</v>
      </c>
      <c r="E202" s="43">
        <f>(2.25*2.4)*10.764</f>
        <v>58.125599999999991</v>
      </c>
      <c r="F202" s="43">
        <f t="shared" ref="F202:F204" si="6">(D202+E202)*(($F$167)+1)</f>
        <v>511.28999999999996</v>
      </c>
      <c r="G202" s="112" t="str">
        <f t="shared" si="2"/>
        <v>Ground Floor for Commercial &amp; Praking</v>
      </c>
      <c r="H202" s="114"/>
      <c r="I202" s="37"/>
      <c r="L202" s="125"/>
      <c r="M202" s="125"/>
      <c r="N202" s="37"/>
    </row>
    <row r="203" spans="1:14" s="38" customFormat="1" hidden="1" x14ac:dyDescent="0.35">
      <c r="A203" s="112">
        <f t="shared" si="0"/>
        <v>33</v>
      </c>
      <c r="B203" s="114"/>
      <c r="C203" s="43" t="s">
        <v>204</v>
      </c>
      <c r="D203" s="43">
        <f>(3.06*7.25)*10.764</f>
        <v>238.79933999999997</v>
      </c>
      <c r="E203" s="43">
        <f>(3*2.4)*10.764</f>
        <v>77.500799999999984</v>
      </c>
      <c r="F203" s="43">
        <f t="shared" si="6"/>
        <v>506.08022399999993</v>
      </c>
      <c r="G203" s="112" t="str">
        <f t="shared" si="2"/>
        <v>Ground Floor for Commercial &amp; Praking</v>
      </c>
      <c r="H203" s="114"/>
      <c r="I203" s="37"/>
      <c r="L203" s="125"/>
      <c r="M203" s="125"/>
      <c r="N203" s="37"/>
    </row>
    <row r="204" spans="1:14" s="38" customFormat="1" hidden="1" x14ac:dyDescent="0.35">
      <c r="A204" s="112">
        <f t="shared" si="0"/>
        <v>34</v>
      </c>
      <c r="B204" s="114"/>
      <c r="C204" s="43" t="s">
        <v>204</v>
      </c>
      <c r="D204" s="43">
        <f>(3*7.25)*10.764</f>
        <v>234.11699999999999</v>
      </c>
      <c r="E204" s="43">
        <f>(3*2.4)*10.764</f>
        <v>77.500799999999984</v>
      </c>
      <c r="F204" s="43">
        <f t="shared" si="6"/>
        <v>498.58848</v>
      </c>
      <c r="G204" s="112" t="str">
        <f t="shared" si="2"/>
        <v>Ground Floor for Commercial &amp; Praking</v>
      </c>
      <c r="H204" s="114"/>
      <c r="I204" s="37"/>
      <c r="L204" s="125"/>
      <c r="M204" s="125"/>
      <c r="N204" s="37"/>
    </row>
    <row r="205" spans="1:14" hidden="1" x14ac:dyDescent="0.35">
      <c r="A205" s="124" t="s">
        <v>202</v>
      </c>
      <c r="B205" s="124"/>
      <c r="C205" s="124"/>
      <c r="D205" s="124"/>
      <c r="E205" s="124"/>
      <c r="F205" s="124"/>
      <c r="G205" s="124"/>
      <c r="H205" s="124"/>
    </row>
    <row r="206" spans="1:14" hidden="1" x14ac:dyDescent="0.35">
      <c r="A206" s="124" t="s">
        <v>207</v>
      </c>
      <c r="B206" s="124"/>
      <c r="C206" s="124"/>
      <c r="D206" s="124"/>
      <c r="E206" s="124"/>
      <c r="F206" s="124"/>
      <c r="G206" s="124"/>
      <c r="H206" s="124"/>
    </row>
    <row r="207" spans="1:14" hidden="1" x14ac:dyDescent="0.35">
      <c r="A207" s="124" t="s">
        <v>203</v>
      </c>
      <c r="B207" s="124"/>
      <c r="C207" s="124"/>
      <c r="D207" s="124"/>
      <c r="E207" s="124"/>
      <c r="F207" s="124"/>
      <c r="G207" s="124"/>
      <c r="H207" s="124"/>
    </row>
    <row r="208" spans="1:14" hidden="1" x14ac:dyDescent="0.35">
      <c r="A208" s="124" t="s">
        <v>214</v>
      </c>
      <c r="B208" s="124"/>
      <c r="C208" s="124"/>
      <c r="D208" s="124"/>
      <c r="E208" s="124"/>
      <c r="F208" s="124"/>
      <c r="G208" s="124"/>
      <c r="H208" s="124"/>
    </row>
    <row r="209" spans="1:14" s="38" customFormat="1" hidden="1" x14ac:dyDescent="0.35">
      <c r="A209" s="118" t="s">
        <v>203</v>
      </c>
      <c r="B209" s="119"/>
      <c r="C209" s="119"/>
      <c r="D209" s="119"/>
      <c r="E209" s="119"/>
      <c r="F209" s="119"/>
      <c r="G209" s="119"/>
      <c r="H209" s="120"/>
      <c r="J209" s="37"/>
    </row>
    <row r="210" spans="1:14" s="38" customFormat="1" hidden="1" x14ac:dyDescent="0.35">
      <c r="A210" s="112">
        <v>1</v>
      </c>
      <c r="B210" s="114"/>
      <c r="C210" s="43"/>
      <c r="D210" s="43"/>
      <c r="E210" s="43">
        <v>0</v>
      </c>
      <c r="F210" s="43">
        <f>(D210+E210)*(($F$167)+1)</f>
        <v>0</v>
      </c>
      <c r="G210" s="112" t="str">
        <f>A209</f>
        <v>Ground Floor for Commercial &amp; Praking</v>
      </c>
      <c r="H210" s="114"/>
      <c r="I210" s="37"/>
      <c r="L210" s="125"/>
      <c r="M210" s="125"/>
      <c r="N210" s="37"/>
    </row>
    <row r="211" spans="1:14" s="38" customFormat="1" hidden="1" x14ac:dyDescent="0.35">
      <c r="A211" s="112">
        <f t="shared" ref="A211:A221" si="7">A210+1</f>
        <v>2</v>
      </c>
      <c r="B211" s="114"/>
      <c r="C211" s="43"/>
      <c r="D211" s="43"/>
      <c r="E211" s="43">
        <v>0</v>
      </c>
      <c r="F211" s="43">
        <f t="shared" ref="F211:F213" si="8">(D211+E211)*(($F$167)+1)</f>
        <v>0</v>
      </c>
      <c r="G211" s="112" t="str">
        <f t="shared" ref="G211:G221" si="9">G210</f>
        <v>Ground Floor for Commercial &amp; Praking</v>
      </c>
      <c r="H211" s="114"/>
      <c r="I211" s="37"/>
      <c r="L211" s="125"/>
      <c r="M211" s="125"/>
      <c r="N211" s="37"/>
    </row>
    <row r="212" spans="1:14" s="38" customFormat="1" hidden="1" x14ac:dyDescent="0.35">
      <c r="A212" s="112">
        <f t="shared" si="7"/>
        <v>3</v>
      </c>
      <c r="B212" s="114"/>
      <c r="C212" s="43"/>
      <c r="D212" s="43"/>
      <c r="E212" s="43">
        <v>0</v>
      </c>
      <c r="F212" s="43">
        <f t="shared" si="8"/>
        <v>0</v>
      </c>
      <c r="G212" s="112" t="str">
        <f t="shared" si="9"/>
        <v>Ground Floor for Commercial &amp; Praking</v>
      </c>
      <c r="H212" s="114"/>
      <c r="I212" s="37"/>
      <c r="L212" s="125"/>
      <c r="M212" s="125"/>
      <c r="N212" s="37"/>
    </row>
    <row r="213" spans="1:14" s="38" customFormat="1" hidden="1" x14ac:dyDescent="0.35">
      <c r="A213" s="112">
        <f t="shared" si="7"/>
        <v>4</v>
      </c>
      <c r="B213" s="114"/>
      <c r="C213" s="43"/>
      <c r="D213" s="43"/>
      <c r="E213" s="43">
        <v>0</v>
      </c>
      <c r="F213" s="43">
        <f t="shared" si="8"/>
        <v>0</v>
      </c>
      <c r="G213" s="112" t="str">
        <f t="shared" si="9"/>
        <v>Ground Floor for Commercial &amp; Praking</v>
      </c>
      <c r="H213" s="114"/>
      <c r="I213" s="37"/>
      <c r="L213" s="125"/>
      <c r="M213" s="125"/>
      <c r="N213" s="37"/>
    </row>
    <row r="214" spans="1:14" s="38" customFormat="1" hidden="1" x14ac:dyDescent="0.35">
      <c r="A214" s="112">
        <f t="shared" si="7"/>
        <v>5</v>
      </c>
      <c r="B214" s="114"/>
      <c r="C214" s="43"/>
      <c r="D214" s="43"/>
      <c r="E214" s="43">
        <v>0</v>
      </c>
      <c r="F214" s="43">
        <f t="shared" ref="F214:F216" si="10">(D214+E214)*(($F$167)+1)</f>
        <v>0</v>
      </c>
      <c r="G214" s="112" t="str">
        <f t="shared" si="9"/>
        <v>Ground Floor for Commercial &amp; Praking</v>
      </c>
      <c r="H214" s="114"/>
      <c r="I214" s="37"/>
      <c r="L214" s="125"/>
      <c r="M214" s="125"/>
      <c r="N214" s="37"/>
    </row>
    <row r="215" spans="1:14" s="38" customFormat="1" hidden="1" x14ac:dyDescent="0.35">
      <c r="A215" s="112">
        <f t="shared" si="7"/>
        <v>6</v>
      </c>
      <c r="B215" s="114"/>
      <c r="C215" s="43"/>
      <c r="D215" s="43"/>
      <c r="E215" s="43">
        <v>0</v>
      </c>
      <c r="F215" s="43">
        <f t="shared" si="10"/>
        <v>0</v>
      </c>
      <c r="G215" s="112" t="str">
        <f t="shared" si="9"/>
        <v>Ground Floor for Commercial &amp; Praking</v>
      </c>
      <c r="H215" s="114"/>
      <c r="I215" s="37"/>
      <c r="L215" s="125"/>
      <c r="M215" s="125"/>
      <c r="N215" s="37"/>
    </row>
    <row r="216" spans="1:14" s="38" customFormat="1" hidden="1" x14ac:dyDescent="0.35">
      <c r="A216" s="112">
        <f t="shared" si="7"/>
        <v>7</v>
      </c>
      <c r="B216" s="114"/>
      <c r="C216" s="43"/>
      <c r="D216" s="43"/>
      <c r="E216" s="43">
        <v>0</v>
      </c>
      <c r="F216" s="43">
        <f t="shared" si="10"/>
        <v>0</v>
      </c>
      <c r="G216" s="112" t="str">
        <f t="shared" si="9"/>
        <v>Ground Floor for Commercial &amp; Praking</v>
      </c>
      <c r="H216" s="114"/>
      <c r="I216" s="37"/>
      <c r="L216" s="125"/>
      <c r="M216" s="125"/>
      <c r="N216" s="37"/>
    </row>
    <row r="217" spans="1:14" s="38" customFormat="1" hidden="1" x14ac:dyDescent="0.35">
      <c r="A217" s="112">
        <f t="shared" si="7"/>
        <v>8</v>
      </c>
      <c r="B217" s="114"/>
      <c r="C217" s="43"/>
      <c r="D217" s="43"/>
      <c r="E217" s="43">
        <v>0</v>
      </c>
      <c r="F217" s="43">
        <f t="shared" ref="F217:F218" si="11">(D217+E217)*(($F$167)+1)</f>
        <v>0</v>
      </c>
      <c r="G217" s="112" t="str">
        <f t="shared" si="9"/>
        <v>Ground Floor for Commercial &amp; Praking</v>
      </c>
      <c r="H217" s="114"/>
      <c r="I217" s="37"/>
      <c r="L217" s="125"/>
      <c r="M217" s="125"/>
      <c r="N217" s="37"/>
    </row>
    <row r="218" spans="1:14" s="38" customFormat="1" hidden="1" x14ac:dyDescent="0.35">
      <c r="A218" s="112">
        <f t="shared" si="7"/>
        <v>9</v>
      </c>
      <c r="B218" s="114"/>
      <c r="C218" s="43"/>
      <c r="D218" s="43"/>
      <c r="E218" s="43">
        <v>0</v>
      </c>
      <c r="F218" s="43">
        <f t="shared" si="11"/>
        <v>0</v>
      </c>
      <c r="G218" s="112" t="str">
        <f t="shared" si="9"/>
        <v>Ground Floor for Commercial &amp; Praking</v>
      </c>
      <c r="H218" s="114"/>
      <c r="I218" s="37"/>
      <c r="L218" s="125"/>
      <c r="M218" s="125"/>
      <c r="N218" s="37"/>
    </row>
    <row r="219" spans="1:14" s="38" customFormat="1" hidden="1" x14ac:dyDescent="0.35">
      <c r="A219" s="112">
        <f t="shared" si="7"/>
        <v>10</v>
      </c>
      <c r="B219" s="114"/>
      <c r="C219" s="43"/>
      <c r="D219" s="43"/>
      <c r="E219" s="43">
        <v>0</v>
      </c>
      <c r="F219" s="43">
        <f t="shared" ref="F219:F220" si="12">(D219+E219)*(($F$167)+1)</f>
        <v>0</v>
      </c>
      <c r="G219" s="112" t="str">
        <f t="shared" si="9"/>
        <v>Ground Floor for Commercial &amp; Praking</v>
      </c>
      <c r="H219" s="114"/>
      <c r="I219" s="37"/>
      <c r="L219" s="125"/>
      <c r="M219" s="125"/>
      <c r="N219" s="37"/>
    </row>
    <row r="220" spans="1:14" s="38" customFormat="1" hidden="1" x14ac:dyDescent="0.35">
      <c r="A220" s="112">
        <f t="shared" si="7"/>
        <v>11</v>
      </c>
      <c r="B220" s="114"/>
      <c r="C220" s="43"/>
      <c r="D220" s="43"/>
      <c r="E220" s="43">
        <v>0</v>
      </c>
      <c r="F220" s="43">
        <f t="shared" si="12"/>
        <v>0</v>
      </c>
      <c r="G220" s="112" t="str">
        <f t="shared" si="9"/>
        <v>Ground Floor for Commercial &amp; Praking</v>
      </c>
      <c r="H220" s="114"/>
      <c r="I220" s="37"/>
      <c r="L220" s="125"/>
      <c r="M220" s="125"/>
      <c r="N220" s="37"/>
    </row>
    <row r="221" spans="1:14" s="38" customFormat="1" hidden="1" x14ac:dyDescent="0.35">
      <c r="A221" s="112">
        <f t="shared" si="7"/>
        <v>12</v>
      </c>
      <c r="B221" s="114"/>
      <c r="C221" s="43"/>
      <c r="D221" s="43"/>
      <c r="E221" s="43">
        <v>0</v>
      </c>
      <c r="F221" s="43">
        <f t="shared" ref="F221" si="13">(D221+E221)*(($F$167)+1)</f>
        <v>0</v>
      </c>
      <c r="G221" s="112" t="str">
        <f t="shared" si="9"/>
        <v>Ground Floor for Commercial &amp; Praking</v>
      </c>
      <c r="H221" s="114"/>
      <c r="I221" s="37"/>
      <c r="L221" s="125"/>
      <c r="M221" s="125"/>
      <c r="N221" s="37"/>
    </row>
    <row r="222" spans="1:14" ht="47.25" customHeight="1" x14ac:dyDescent="0.35">
      <c r="A222" s="126" t="s">
        <v>122</v>
      </c>
      <c r="B222" s="126" t="s">
        <v>123</v>
      </c>
      <c r="C222" s="145" t="s">
        <v>58</v>
      </c>
      <c r="D222" s="145" t="s">
        <v>59</v>
      </c>
      <c r="E222" s="170" t="s">
        <v>60</v>
      </c>
      <c r="F222" s="44" t="s">
        <v>155</v>
      </c>
      <c r="G222" s="126" t="s">
        <v>61</v>
      </c>
      <c r="H222" s="172"/>
      <c r="I222" s="37"/>
    </row>
    <row r="223" spans="1:14" s="38" customFormat="1" x14ac:dyDescent="0.35">
      <c r="A223" s="127"/>
      <c r="B223" s="127"/>
      <c r="C223" s="146"/>
      <c r="D223" s="146"/>
      <c r="E223" s="171"/>
      <c r="F223" s="13">
        <v>0.5</v>
      </c>
      <c r="G223" s="127"/>
      <c r="H223" s="173"/>
      <c r="I223" s="37"/>
    </row>
    <row r="224" spans="1:14" x14ac:dyDescent="0.35">
      <c r="A224" s="124" t="s">
        <v>202</v>
      </c>
      <c r="B224" s="124"/>
      <c r="C224" s="124"/>
      <c r="D224" s="124"/>
      <c r="E224" s="124"/>
      <c r="F224" s="124"/>
      <c r="G224" s="124"/>
      <c r="H224" s="124"/>
    </row>
    <row r="225" spans="1:14" x14ac:dyDescent="0.35">
      <c r="A225" s="124" t="s">
        <v>207</v>
      </c>
      <c r="B225" s="124"/>
      <c r="C225" s="124"/>
      <c r="D225" s="124"/>
      <c r="E225" s="124"/>
      <c r="F225" s="124"/>
      <c r="G225" s="124"/>
      <c r="H225" s="124"/>
    </row>
    <row r="226" spans="1:14" x14ac:dyDescent="0.35">
      <c r="A226" s="124" t="s">
        <v>203</v>
      </c>
      <c r="B226" s="124"/>
      <c r="C226" s="124"/>
      <c r="D226" s="124"/>
      <c r="E226" s="124"/>
      <c r="F226" s="124"/>
      <c r="G226" s="124"/>
      <c r="H226" s="124"/>
    </row>
    <row r="227" spans="1:14" x14ac:dyDescent="0.35">
      <c r="A227" s="124" t="s">
        <v>214</v>
      </c>
      <c r="B227" s="124"/>
      <c r="C227" s="124"/>
      <c r="D227" s="124"/>
      <c r="E227" s="124"/>
      <c r="F227" s="124"/>
      <c r="G227" s="124"/>
      <c r="H227" s="124"/>
    </row>
    <row r="228" spans="1:14" s="38" customFormat="1" x14ac:dyDescent="0.35">
      <c r="A228" s="117" t="s">
        <v>210</v>
      </c>
      <c r="B228" s="117"/>
      <c r="C228" s="117"/>
      <c r="D228" s="117"/>
      <c r="E228" s="117"/>
      <c r="F228" s="117"/>
      <c r="G228" s="117"/>
      <c r="H228" s="117"/>
      <c r="I228" s="37"/>
      <c r="L228" s="125"/>
      <c r="M228" s="125"/>
    </row>
    <row r="229" spans="1:14" s="38" customFormat="1" x14ac:dyDescent="0.35">
      <c r="A229" s="110">
        <f>LEFT(A228,SUM(LEN(A228)-LEN(SUBSTITUTE(A228,{"0","1","2","3","4","5","6","7","8","9"},""))))*100+1</f>
        <v>301</v>
      </c>
      <c r="B229" s="110"/>
      <c r="C229" s="77" t="s">
        <v>211</v>
      </c>
      <c r="D229" s="76">
        <f>(3.45*3.4+1.95*2.75+2.1*2.6+2.1*1.2+1.2*1.95+1.75*3+0.9*2.8+1.2*0.75+1.2*(3.5+3)+0.25*2.45+2.15*2.75)*10.764</f>
        <v>542.58632999999998</v>
      </c>
      <c r="E229" s="76">
        <v>0</v>
      </c>
      <c r="F229" s="76">
        <f t="shared" ref="F229:F230" si="14">D229*(($F$223)+1)+(IF(E229&lt;101,E229,IF(E229&lt;201,E229/2,IF(E229&lt;=301,E229/3,E229/4))))</f>
        <v>813.87949499999991</v>
      </c>
      <c r="G229" s="110" t="str">
        <f>A228</f>
        <v>3rd Floor for Residential</v>
      </c>
      <c r="H229" s="110"/>
      <c r="I229" s="37">
        <f>(3.45*3.4+1.95*2.75+2.1*2.6+2.1*1.2+1.2*1.35+2.75*3+1.2*0.9+1.2*0.9+1.1*0.75+2.15*2.75)</f>
        <v>43.84</v>
      </c>
      <c r="N229" s="37"/>
    </row>
    <row r="230" spans="1:14" s="38" customFormat="1" x14ac:dyDescent="0.35">
      <c r="A230" s="110">
        <f t="shared" ref="A230:A236" si="15">A229+1</f>
        <v>302</v>
      </c>
      <c r="B230" s="110"/>
      <c r="C230" s="77" t="s">
        <v>211</v>
      </c>
      <c r="D230" s="76">
        <f>(3.45*3.4+1.95*2.75+2.1*2.6+2.1*1.2+1.2*1.95+1.75*3+0.9*2.8+1.2*0.75+1.2*(3.5+3)+0.25*2.45+2.15*2.75)*10.764</f>
        <v>542.58632999999998</v>
      </c>
      <c r="E230" s="76">
        <f>(2.5*2.9)*10.764</f>
        <v>78.039000000000001</v>
      </c>
      <c r="F230" s="76">
        <f t="shared" si="14"/>
        <v>891.91849499999989</v>
      </c>
      <c r="G230" s="110" t="str">
        <f t="shared" ref="G230:G236" si="16">G229</f>
        <v>3rd Floor for Residential</v>
      </c>
      <c r="H230" s="110"/>
      <c r="I230" s="37"/>
      <c r="L230" s="56"/>
      <c r="N230" s="37"/>
    </row>
    <row r="231" spans="1:14" s="38" customFormat="1" x14ac:dyDescent="0.35">
      <c r="A231" s="110">
        <f t="shared" si="15"/>
        <v>303</v>
      </c>
      <c r="B231" s="110"/>
      <c r="C231" s="77" t="s">
        <v>212</v>
      </c>
      <c r="D231" s="76">
        <f>(3.2*3.4+1.8*3.8+1.23*1.5+2.25*2.6+1.2*0.9+0.9*0.6+1.23*0.5+0.95*3)*10.764</f>
        <v>328.30199999999991</v>
      </c>
      <c r="E231" s="76">
        <f>(3.2*6.5+1.2*5+2.25*4.2)*10.764</f>
        <v>390.19499999999999</v>
      </c>
      <c r="F231" s="76">
        <f t="shared" ref="F231:F236" si="17">D231*(($F$223)+1)+(IF(E231&lt;101,E231,IF(E231&lt;201,E231/2,IF(E231&lt;=301,E231/3,E231/4))))</f>
        <v>590.0017499999999</v>
      </c>
      <c r="G231" s="110" t="str">
        <f t="shared" si="16"/>
        <v>3rd Floor for Residential</v>
      </c>
      <c r="H231" s="110"/>
      <c r="I231" s="37"/>
      <c r="N231" s="37"/>
    </row>
    <row r="232" spans="1:14" s="38" customFormat="1" x14ac:dyDescent="0.35">
      <c r="A232" s="110">
        <f t="shared" si="15"/>
        <v>304</v>
      </c>
      <c r="B232" s="110"/>
      <c r="C232" s="77" t="s">
        <v>212</v>
      </c>
      <c r="D232" s="76">
        <f>(3.2*3.4+1.8*3.8+1.23*1.5+2.25*2.6+1.2*0.9+0.9*0.6+1.23*0.5+0.95*3)*10.764</f>
        <v>328.30199999999991</v>
      </c>
      <c r="E232" s="76">
        <f>(3.2*4.3+3.1*1.2+2.25*2.2)*10.764</f>
        <v>241.43651999999997</v>
      </c>
      <c r="F232" s="76">
        <f t="shared" si="17"/>
        <v>572.93183999999985</v>
      </c>
      <c r="G232" s="110" t="str">
        <f t="shared" si="16"/>
        <v>3rd Floor for Residential</v>
      </c>
      <c r="H232" s="110"/>
      <c r="I232" s="37"/>
      <c r="N232" s="37"/>
    </row>
    <row r="233" spans="1:14" s="38" customFormat="1" x14ac:dyDescent="0.35">
      <c r="A233" s="110">
        <f t="shared" si="15"/>
        <v>305</v>
      </c>
      <c r="B233" s="110"/>
      <c r="C233" s="77" t="s">
        <v>211</v>
      </c>
      <c r="D233" s="76">
        <f>(3.15*4.2+2.25*1.8+2.75*2.1+1.2*0.9+1.2*1.7+1.2*0.5+0.9*2.75+1.85*2.25+0.25*2.45)*10.764</f>
        <v>366.24509999999998</v>
      </c>
      <c r="E233" s="76">
        <f>(3.15*3.75+2.25*3+2.75*3.75)*10.764</f>
        <v>310.81049999999999</v>
      </c>
      <c r="F233" s="76">
        <f t="shared" si="17"/>
        <v>627.07027499999992</v>
      </c>
      <c r="G233" s="110" t="str">
        <f t="shared" si="16"/>
        <v>3rd Floor for Residential</v>
      </c>
      <c r="H233" s="110"/>
      <c r="I233" s="37"/>
      <c r="N233" s="37"/>
    </row>
    <row r="234" spans="1:14" s="38" customFormat="1" x14ac:dyDescent="0.35">
      <c r="A234" s="110">
        <f t="shared" si="15"/>
        <v>306</v>
      </c>
      <c r="B234" s="110"/>
      <c r="C234" s="75" t="s">
        <v>211</v>
      </c>
      <c r="D234" s="74">
        <f>(3.15*4.2+2.25*1.8+2.75*2.1+1.2*0.9+1.2*1.7+1.2*0.5+0.9*2.75+1.85*2.25+0.25*2.45+1.2*3)*10.764</f>
        <v>404.99549999999999</v>
      </c>
      <c r="E234" s="74">
        <v>0</v>
      </c>
      <c r="F234" s="74">
        <f t="shared" si="17"/>
        <v>607.49324999999999</v>
      </c>
      <c r="G234" s="110" t="str">
        <f t="shared" si="16"/>
        <v>3rd Floor for Residential</v>
      </c>
      <c r="H234" s="110"/>
      <c r="I234" s="37"/>
      <c r="N234" s="37"/>
    </row>
    <row r="235" spans="1:14" s="38" customFormat="1" x14ac:dyDescent="0.35">
      <c r="A235" s="110">
        <f t="shared" si="15"/>
        <v>307</v>
      </c>
      <c r="B235" s="110"/>
      <c r="C235" s="75" t="s">
        <v>212</v>
      </c>
      <c r="D235" s="74">
        <f>(3.35*3.6+1.8*3.8+1.23*1.5+2.25*2.6+1.2*0.9+0.9*0.6+1.23*0.5+0.95*3+1.2*(3.35+2.25))*10.764</f>
        <v>413.3375999999999</v>
      </c>
      <c r="E235" s="74">
        <v>0</v>
      </c>
      <c r="F235" s="74">
        <f t="shared" si="17"/>
        <v>620.00639999999987</v>
      </c>
      <c r="G235" s="110" t="str">
        <f t="shared" si="16"/>
        <v>3rd Floor for Residential</v>
      </c>
      <c r="H235" s="110"/>
      <c r="I235" s="37"/>
      <c r="N235" s="37"/>
    </row>
    <row r="236" spans="1:14" s="38" customFormat="1" x14ac:dyDescent="0.35">
      <c r="A236" s="110">
        <f t="shared" si="15"/>
        <v>308</v>
      </c>
      <c r="B236" s="110"/>
      <c r="C236" s="55" t="s">
        <v>212</v>
      </c>
      <c r="D236" s="43">
        <f>(3.35*3.6+1.8*3.8+1.23*1.5+2.25*2.6+1.2*0.9+0.9*0.6+1.23*0.5+0.95*3+1.2*(3.35+2.25))*10.764</f>
        <v>413.3375999999999</v>
      </c>
      <c r="E236" s="43">
        <v>0</v>
      </c>
      <c r="F236" s="43">
        <f t="shared" si="17"/>
        <v>620.00639999999987</v>
      </c>
      <c r="G236" s="110" t="str">
        <f t="shared" si="16"/>
        <v>3rd Floor for Residential</v>
      </c>
      <c r="H236" s="110"/>
      <c r="I236" s="37">
        <f>(3.35*3.4+1.8*3.8+1.2*0.9+2.25*2.6+1.2*1.5+0.7*0.9+1.2*0.3+1.8*1)</f>
        <v>29.750000000000004</v>
      </c>
      <c r="N236" s="37"/>
    </row>
    <row r="237" spans="1:14" s="38" customFormat="1" ht="15.75" customHeight="1" x14ac:dyDescent="0.35">
      <c r="A237" s="118" t="s">
        <v>215</v>
      </c>
      <c r="B237" s="119"/>
      <c r="C237" s="119"/>
      <c r="D237" s="119"/>
      <c r="E237" s="119"/>
      <c r="F237" s="119"/>
      <c r="G237" s="119"/>
      <c r="H237" s="120"/>
      <c r="I237" s="37"/>
    </row>
    <row r="238" spans="1:14" s="38" customFormat="1" x14ac:dyDescent="0.35">
      <c r="A238" s="112" t="str">
        <f>N238</f>
        <v>401,..,601</v>
      </c>
      <c r="B238" s="114"/>
      <c r="C238" s="55">
        <v>1</v>
      </c>
      <c r="D238" s="43">
        <f>(3.45*3.4+1.95*2.75+2.1*2.6+2.1*1.2+1.2*1.95+1.75*3+0.9*2.8+1.2*0.75+1.2*(3.5+3)+0.25*2.45+2.15*2.75)*10.764</f>
        <v>542.58632999999998</v>
      </c>
      <c r="E238" s="43">
        <v>0</v>
      </c>
      <c r="F238" s="43">
        <f t="shared" ref="F238:F245" si="18">D238*(($F$223)+1)+(IF(E238&lt;101,E238,IF(E238&lt;201,E238/2,IF(E238&lt;=301,E238/3,E238/4))))</f>
        <v>813.87949499999991</v>
      </c>
      <c r="G238" s="112" t="str">
        <f>A237</f>
        <v>4th, 5th, 6th Floor</v>
      </c>
      <c r="H238" s="114"/>
      <c r="I238" s="37"/>
      <c r="L238" s="38">
        <v>401</v>
      </c>
      <c r="M238" s="38">
        <v>601</v>
      </c>
      <c r="N238" s="38" t="str">
        <f>L238&amp;""&amp;",..,"&amp;""&amp;M238</f>
        <v>401,..,601</v>
      </c>
    </row>
    <row r="239" spans="1:14" s="38" customFormat="1" x14ac:dyDescent="0.35">
      <c r="A239" s="112" t="str">
        <f t="shared" ref="A239:A245" si="19">N239</f>
        <v>402,..,602</v>
      </c>
      <c r="B239" s="114"/>
      <c r="C239" s="55">
        <v>1</v>
      </c>
      <c r="D239" s="43">
        <f>(3.45*3.4+1.95*2.75+2.1*2.6+2.1*1.2+1.2*1.95+1.75*3+0.9*2.8+1.2*0.75+1.2*(3.5+3)+0.25*2.45+2.15*2.75)*10.764</f>
        <v>542.58632999999998</v>
      </c>
      <c r="E239" s="43">
        <v>0</v>
      </c>
      <c r="F239" s="43">
        <f t="shared" si="18"/>
        <v>813.87949499999991</v>
      </c>
      <c r="G239" s="112" t="str">
        <f t="shared" ref="G239:G245" si="20">G238</f>
        <v>4th, 5th, 6th Floor</v>
      </c>
      <c r="H239" s="114"/>
      <c r="I239" s="37"/>
      <c r="L239" s="38">
        <v>402</v>
      </c>
      <c r="M239" s="38">
        <v>602</v>
      </c>
      <c r="N239" s="38" t="str">
        <f t="shared" ref="N239:N245" si="21">L239&amp;""&amp;",..,"&amp;""&amp;M239</f>
        <v>402,..,602</v>
      </c>
    </row>
    <row r="240" spans="1:14" s="38" customFormat="1" ht="15.75" customHeight="1" x14ac:dyDescent="0.35">
      <c r="A240" s="112" t="str">
        <f t="shared" si="19"/>
        <v>403,..,603</v>
      </c>
      <c r="B240" s="114"/>
      <c r="C240" s="55" t="s">
        <v>212</v>
      </c>
      <c r="D240" s="43">
        <f>(3.2*3.4+1.8*3.8+1.23*1.5+2.25*2.6+1.2*0.9+0.9*0.6+1.23*0.5+0.95*3+1.2*(3.2+2.25))*10.764</f>
        <v>398.69855999999987</v>
      </c>
      <c r="E240" s="43">
        <v>0</v>
      </c>
      <c r="F240" s="43">
        <f t="shared" si="18"/>
        <v>598.04783999999984</v>
      </c>
      <c r="G240" s="112" t="str">
        <f t="shared" si="20"/>
        <v>4th, 5th, 6th Floor</v>
      </c>
      <c r="H240" s="114"/>
      <c r="I240" s="37"/>
      <c r="L240" s="38">
        <v>403</v>
      </c>
      <c r="M240" s="38">
        <v>603</v>
      </c>
      <c r="N240" s="38" t="str">
        <f t="shared" si="21"/>
        <v>403,..,603</v>
      </c>
    </row>
    <row r="241" spans="1:14" s="38" customFormat="1" ht="15.75" customHeight="1" x14ac:dyDescent="0.35">
      <c r="A241" s="112" t="str">
        <f t="shared" si="19"/>
        <v>404,..,604</v>
      </c>
      <c r="B241" s="114"/>
      <c r="C241" s="55" t="s">
        <v>212</v>
      </c>
      <c r="D241" s="43">
        <f>(3.2*3.4+1.8*3.8+1.23*1.5+2.25*2.6+1.2*0.9+0.9*0.6+1.23*0.5+0.95*3+1.2*(3.2+2.25))*10.764</f>
        <v>398.69855999999987</v>
      </c>
      <c r="E241" s="43">
        <v>0</v>
      </c>
      <c r="F241" s="43">
        <f t="shared" si="18"/>
        <v>598.04783999999984</v>
      </c>
      <c r="G241" s="112" t="str">
        <f t="shared" si="20"/>
        <v>4th, 5th, 6th Floor</v>
      </c>
      <c r="H241" s="114"/>
      <c r="I241" s="37"/>
      <c r="L241" s="38">
        <v>404</v>
      </c>
      <c r="M241" s="38">
        <v>604</v>
      </c>
      <c r="N241" s="38" t="str">
        <f t="shared" si="21"/>
        <v>404,..,604</v>
      </c>
    </row>
    <row r="242" spans="1:14" s="38" customFormat="1" ht="15.75" customHeight="1" x14ac:dyDescent="0.35">
      <c r="A242" s="112" t="str">
        <f t="shared" si="19"/>
        <v>405,..,605</v>
      </c>
      <c r="B242" s="114"/>
      <c r="C242" s="55" t="s">
        <v>211</v>
      </c>
      <c r="D242" s="43">
        <f>(3.15*4.2+2.25*1.8+2.75*2.1+1.2*0.9+1.2*1.7+1.2*0.5+0.9*2.75+1.85*2.25+0.25*2.45+1.2*3)*10.764</f>
        <v>404.99549999999999</v>
      </c>
      <c r="E242" s="43">
        <v>0</v>
      </c>
      <c r="F242" s="43">
        <f t="shared" si="18"/>
        <v>607.49324999999999</v>
      </c>
      <c r="G242" s="112" t="str">
        <f t="shared" si="20"/>
        <v>4th, 5th, 6th Floor</v>
      </c>
      <c r="H242" s="114"/>
      <c r="I242" s="37"/>
      <c r="L242" s="38">
        <v>405</v>
      </c>
      <c r="M242" s="38">
        <v>605</v>
      </c>
      <c r="N242" s="38" t="str">
        <f t="shared" si="21"/>
        <v>405,..,605</v>
      </c>
    </row>
    <row r="243" spans="1:14" s="38" customFormat="1" x14ac:dyDescent="0.35">
      <c r="A243" s="112" t="str">
        <f t="shared" si="19"/>
        <v>406,..,606</v>
      </c>
      <c r="B243" s="114"/>
      <c r="C243" s="55" t="s">
        <v>211</v>
      </c>
      <c r="D243" s="43">
        <f>(3.15*4.2+2.25*1.8+2.75*2.1+1.2*0.9+1.2*1.7+1.2*0.5+0.9*2.75+1.85*2.25+0.25*2.45+1.2*3)*10.764</f>
        <v>404.99549999999999</v>
      </c>
      <c r="E243" s="43">
        <v>0</v>
      </c>
      <c r="F243" s="43">
        <f t="shared" si="18"/>
        <v>607.49324999999999</v>
      </c>
      <c r="G243" s="112" t="str">
        <f t="shared" si="20"/>
        <v>4th, 5th, 6th Floor</v>
      </c>
      <c r="H243" s="114"/>
      <c r="I243" s="37"/>
      <c r="L243" s="38">
        <v>406</v>
      </c>
      <c r="M243" s="38">
        <v>606</v>
      </c>
      <c r="N243" s="38" t="str">
        <f t="shared" si="21"/>
        <v>406,..,606</v>
      </c>
    </row>
    <row r="244" spans="1:14" s="38" customFormat="1" ht="15.75" customHeight="1" x14ac:dyDescent="0.35">
      <c r="A244" s="112" t="str">
        <f t="shared" si="19"/>
        <v>407,..,607</v>
      </c>
      <c r="B244" s="114"/>
      <c r="C244" s="55" t="s">
        <v>212</v>
      </c>
      <c r="D244" s="43">
        <f>(3.35*3.6+1.8*3.8+1.23*1.5+2.25*2.6+1.2*0.9+0.9*0.6+1.23*0.5+0.95*3+1.2*(3.35+2.25))*10.764</f>
        <v>413.3375999999999</v>
      </c>
      <c r="E244" s="43">
        <v>0</v>
      </c>
      <c r="F244" s="43">
        <f t="shared" si="18"/>
        <v>620.00639999999987</v>
      </c>
      <c r="G244" s="112" t="str">
        <f t="shared" si="20"/>
        <v>4th, 5th, 6th Floor</v>
      </c>
      <c r="H244" s="114"/>
      <c r="I244" s="37"/>
      <c r="L244" s="38">
        <v>407</v>
      </c>
      <c r="M244" s="38">
        <v>607</v>
      </c>
      <c r="N244" s="38" t="str">
        <f t="shared" si="21"/>
        <v>407,..,607</v>
      </c>
    </row>
    <row r="245" spans="1:14" s="38" customFormat="1" ht="15.75" customHeight="1" x14ac:dyDescent="0.35">
      <c r="A245" s="112" t="str">
        <f t="shared" si="19"/>
        <v>408,..,608</v>
      </c>
      <c r="B245" s="114"/>
      <c r="C245" s="55" t="s">
        <v>212</v>
      </c>
      <c r="D245" s="43">
        <f>(3.35*3.6+1.8*3.8+1.23*1.5+2.25*2.6+1.2*0.9+0.9*0.6+1.23*0.5+0.95*3+1.2*(3.35+2.25))*10.764</f>
        <v>413.3375999999999</v>
      </c>
      <c r="E245" s="43">
        <v>0</v>
      </c>
      <c r="F245" s="43">
        <f t="shared" si="18"/>
        <v>620.00639999999987</v>
      </c>
      <c r="G245" s="112" t="str">
        <f t="shared" si="20"/>
        <v>4th, 5th, 6th Floor</v>
      </c>
      <c r="H245" s="114"/>
      <c r="I245" s="37"/>
      <c r="L245" s="38">
        <v>408</v>
      </c>
      <c r="M245" s="38">
        <v>608</v>
      </c>
      <c r="N245" s="38" t="str">
        <f t="shared" si="21"/>
        <v>408,..,608</v>
      </c>
    </row>
    <row r="246" spans="1:14" s="38" customFormat="1" x14ac:dyDescent="0.35">
      <c r="A246" s="117" t="s">
        <v>216</v>
      </c>
      <c r="B246" s="117"/>
      <c r="C246" s="117"/>
      <c r="D246" s="117"/>
      <c r="E246" s="117"/>
      <c r="F246" s="117"/>
      <c r="G246" s="117"/>
      <c r="H246" s="117"/>
      <c r="I246" s="37"/>
      <c r="L246" s="125"/>
      <c r="M246" s="125"/>
    </row>
    <row r="247" spans="1:14" s="38" customFormat="1" x14ac:dyDescent="0.35">
      <c r="A247" s="110">
        <f>LEFT(A246,SUM(LEN(A246)-LEN(SUBSTITUTE(A246,{"0","1","2","3","4","5","6","7","8","9"},""))))*100+1</f>
        <v>701</v>
      </c>
      <c r="B247" s="110"/>
      <c r="C247" s="55">
        <v>1</v>
      </c>
      <c r="D247" s="43">
        <f>(3.45*3.4+1.95*2.75+2.1*2.6+2.1*1.2+1.2*1.95+1.75*3+0.9*2.8+1.2*0.75+1.2*(3.5+3)+0.25*2.45+2.15*2.75)*10.764</f>
        <v>542.58632999999998</v>
      </c>
      <c r="E247" s="43">
        <v>0</v>
      </c>
      <c r="F247" s="43">
        <f t="shared" ref="F247:F253" si="22">D247*(($F$223)+1)+(IF(E247&lt;101,E247,IF(E247&lt;201,E247/2,IF(E247&lt;=301,E247/3,E247/4))))</f>
        <v>813.87949499999991</v>
      </c>
      <c r="G247" s="110" t="str">
        <f>A246</f>
        <v>7th Floor</v>
      </c>
      <c r="H247" s="110"/>
      <c r="I247" s="37">
        <f>(3.45*3.4+1.95*2.75+2.1*2.6+2.1*1.2+1.2*1.35+2.75*3+1.2*0.9+1.2*0.9+1.1*0.75+2.15*2.75)</f>
        <v>43.84</v>
      </c>
      <c r="N247" s="37"/>
    </row>
    <row r="248" spans="1:14" s="38" customFormat="1" x14ac:dyDescent="0.35">
      <c r="A248" s="110">
        <f t="shared" ref="A248:A254" si="23">A247+1</f>
        <v>702</v>
      </c>
      <c r="B248" s="110"/>
      <c r="C248" s="55">
        <v>1</v>
      </c>
      <c r="D248" s="43">
        <f>(3.45*3.4+1.95*2.75+2.1*2.6+2.1*1.2+1.2*1.95+1.75*3+0.9*2.8+1.2*0.75+1.2*(3.5+3)+0.25*2.45+2.15*2.75)*10.764</f>
        <v>542.58632999999998</v>
      </c>
      <c r="E248" s="43">
        <v>0</v>
      </c>
      <c r="F248" s="43">
        <f t="shared" si="22"/>
        <v>813.87949499999991</v>
      </c>
      <c r="G248" s="110" t="str">
        <f t="shared" ref="G248:G254" si="24">G247</f>
        <v>7th Floor</v>
      </c>
      <c r="H248" s="110"/>
      <c r="I248" s="37"/>
      <c r="L248" s="56"/>
      <c r="N248" s="37"/>
    </row>
    <row r="249" spans="1:14" s="38" customFormat="1" x14ac:dyDescent="0.35">
      <c r="A249" s="110">
        <f t="shared" si="23"/>
        <v>703</v>
      </c>
      <c r="B249" s="110"/>
      <c r="C249" s="55" t="s">
        <v>212</v>
      </c>
      <c r="D249" s="43">
        <f>(3.2*3.4+1.8*3.8+1.23*1.5+2.25*2.6+1.2*0.9+0.9*0.6+1.23*0.5+0.95*3+1.2*(3.2+2.25))*10.764</f>
        <v>398.69855999999987</v>
      </c>
      <c r="E249" s="43">
        <v>0</v>
      </c>
      <c r="F249" s="43">
        <f t="shared" si="22"/>
        <v>598.04783999999984</v>
      </c>
      <c r="G249" s="110" t="str">
        <f t="shared" si="24"/>
        <v>7th Floor</v>
      </c>
      <c r="H249" s="110"/>
      <c r="I249" s="37"/>
      <c r="N249" s="37"/>
    </row>
    <row r="250" spans="1:14" s="38" customFormat="1" x14ac:dyDescent="0.35">
      <c r="A250" s="110">
        <f t="shared" si="23"/>
        <v>704</v>
      </c>
      <c r="B250" s="110"/>
      <c r="C250" s="55" t="s">
        <v>212</v>
      </c>
      <c r="D250" s="43">
        <f>(3.2*3.4+1.8*3.8+1.23*1.5+2.25*2.6+1.2*0.9+0.9*0.6+1.23*0.5+0.95*3+1.2*(3.2+2.25))*10.764</f>
        <v>398.69855999999987</v>
      </c>
      <c r="E250" s="43">
        <v>0</v>
      </c>
      <c r="F250" s="43">
        <f t="shared" si="22"/>
        <v>598.04783999999984</v>
      </c>
      <c r="G250" s="110" t="str">
        <f t="shared" si="24"/>
        <v>7th Floor</v>
      </c>
      <c r="H250" s="110"/>
      <c r="I250" s="37"/>
      <c r="N250" s="37"/>
    </row>
    <row r="251" spans="1:14" s="38" customFormat="1" x14ac:dyDescent="0.35">
      <c r="A251" s="110">
        <f t="shared" si="23"/>
        <v>705</v>
      </c>
      <c r="B251" s="110"/>
      <c r="C251" s="55" t="s">
        <v>211</v>
      </c>
      <c r="D251" s="43">
        <f>(3.15*4.2+2.25*1.8+2.75*2.1+1.2*0.9+1.2*1.7+1.2*0.5+0.9*2.75+1.85*2.25+0.25*2.45+1.2*3)*10.764</f>
        <v>404.99549999999999</v>
      </c>
      <c r="E251" s="43">
        <v>0</v>
      </c>
      <c r="F251" s="43">
        <f t="shared" si="22"/>
        <v>607.49324999999999</v>
      </c>
      <c r="G251" s="110" t="str">
        <f t="shared" si="24"/>
        <v>7th Floor</v>
      </c>
      <c r="H251" s="110"/>
      <c r="I251" s="37"/>
      <c r="N251" s="37"/>
    </row>
    <row r="252" spans="1:14" s="38" customFormat="1" x14ac:dyDescent="0.35">
      <c r="A252" s="110">
        <f t="shared" si="23"/>
        <v>706</v>
      </c>
      <c r="B252" s="110"/>
      <c r="C252" s="55" t="s">
        <v>211</v>
      </c>
      <c r="D252" s="43">
        <f>(3.15*4.2+2.25*1.8+2.75*2.1+1.2*0.9+1.2*1.7+1.2*0.5+0.9*2.75+1.85*2.25+0.25*2.45+1.2*3)*10.764</f>
        <v>404.99549999999999</v>
      </c>
      <c r="E252" s="43">
        <v>0</v>
      </c>
      <c r="F252" s="43">
        <f t="shared" si="22"/>
        <v>607.49324999999999</v>
      </c>
      <c r="G252" s="110" t="str">
        <f t="shared" si="24"/>
        <v>7th Floor</v>
      </c>
      <c r="H252" s="110"/>
      <c r="I252" s="37"/>
      <c r="N252" s="37"/>
    </row>
    <row r="253" spans="1:14" s="38" customFormat="1" x14ac:dyDescent="0.35">
      <c r="A253" s="110">
        <f t="shared" si="23"/>
        <v>707</v>
      </c>
      <c r="B253" s="110"/>
      <c r="C253" s="55" t="s">
        <v>212</v>
      </c>
      <c r="D253" s="43">
        <f>(3.35*3.6+1.8*3.8+1.23*1.5+2.25*2.6+1.2*0.9+0.9*0.6+1.23*0.5+0.95*3+1.2*(3.35+2.25))*10.764</f>
        <v>413.3375999999999</v>
      </c>
      <c r="E253" s="43">
        <v>0</v>
      </c>
      <c r="F253" s="43">
        <f t="shared" si="22"/>
        <v>620.00639999999987</v>
      </c>
      <c r="G253" s="110" t="str">
        <f t="shared" si="24"/>
        <v>7th Floor</v>
      </c>
      <c r="H253" s="110"/>
      <c r="I253" s="37"/>
      <c r="N253" s="37"/>
    </row>
    <row r="254" spans="1:14" s="38" customFormat="1" x14ac:dyDescent="0.35">
      <c r="A254" s="110">
        <f t="shared" si="23"/>
        <v>708</v>
      </c>
      <c r="B254" s="110"/>
      <c r="C254" s="55" t="s">
        <v>212</v>
      </c>
      <c r="D254" s="43">
        <f>(3.35*3.6+1.8*3.8+1.23*1.5+2.25*2.6+1.2*0.9+0.9*0.6+1.23*0.5+0.95*3+1.2*(3.35+2.25))*10.764</f>
        <v>413.3375999999999</v>
      </c>
      <c r="E254" s="43">
        <v>0</v>
      </c>
      <c r="F254" s="43">
        <f>D254*(($F$223)+1)+(IF(E254&lt;101,E254,IF(E254&lt;201,E254/2,IF(E254&lt;=301,E254/3,E254/4))))</f>
        <v>620.00639999999987</v>
      </c>
      <c r="G254" s="110" t="str">
        <f t="shared" si="24"/>
        <v>7th Floor</v>
      </c>
      <c r="H254" s="110"/>
      <c r="I254" s="37">
        <f>(3.35*3.4+1.8*3.8+1.2*0.9+2.25*2.6+1.2*1.5+0.7*0.9+1.2*0.3+1.8*1)</f>
        <v>29.750000000000004</v>
      </c>
      <c r="N254" s="37"/>
    </row>
    <row r="255" spans="1:14" s="38" customFormat="1" x14ac:dyDescent="0.35">
      <c r="A255" s="118" t="s">
        <v>220</v>
      </c>
      <c r="B255" s="119"/>
      <c r="C255" s="119"/>
      <c r="D255" s="119"/>
      <c r="E255" s="119"/>
      <c r="F255" s="119"/>
      <c r="G255" s="119"/>
      <c r="H255" s="120"/>
      <c r="I255" s="37"/>
    </row>
    <row r="256" spans="1:14" s="38" customFormat="1" x14ac:dyDescent="0.35">
      <c r="A256" s="112" t="str">
        <f ca="1">(SUMPRODUCT(MID(0&amp;(LEFT(A255,SUM(LEN(A255)-LEN(SUBSTITUTE(A255,{"0","1","2"},""))))), LARGE(INDEX(ISNUMBER(--MID((LEFT(A255,SUM(LEN(A255)-LEN(SUBSTITUTE(A255,{"0","1","2"},""))))), ROW(INDIRECT("1:"&amp;LEN((LEFT(A255,SUM(LEN(A255)-LEN(SUBSTITUTE(A255,{"0","1","2"},"")))))))), 1)) * ROW(INDIRECT("1:"&amp;LEN((LEFT(A255,SUM(LEN(A255)-LEN(SUBSTITUTE(A255,{"0","1","2"},"")))))))), 0), ROW(INDIRECT("1:"&amp;LEN((LEFT(A255,SUM(LEN(A255)-LEN(SUBSTITUTE(A255,{"0","1","2"},"")))))))))+1, 1) * 10^ROW(INDIRECT("1:"&amp;LEN((LEFT(A255,SUM(LEN(A255)-LEN(SUBSTITUTE(A255,{"0","1","2"},""))))))))/10))*100+1&amp;""&amp;" &amp; "&amp;""&amp;(SUMPRODUCT(MID(0&amp;(--TRIM(RIGHT(SUBSTITUTE(LEFT(A255,_xlfn.AGGREGATE(16,6,FIND({0,1,2,3,4,5,6,7,8,9},A255,ROW(INDIRECT("1:"&amp;LEN(A255)))),1))," ",REPT(" ",LEN(A255))),LEN(A255)))), LARGE(INDEX(ISNUMBER(--MID((--TRIM(RIGHT(SUBSTITUTE(LEFT(A255,_xlfn.AGGREGATE(16,6,FIND({0,1,2,3,4,5,6,7,8,9},A255,ROW(INDIRECT("1:"&amp;LEN(A255)))),1))," ",REPT(" ",LEN(A255))),LEN(A255)))), ROW(INDIRECT("1:"&amp;LEN((--TRIM(RIGHT(SUBSTITUTE(LEFT(A255,_xlfn.AGGREGATE(16,6,FIND({0,1,2,3,4,5,6,7,8,9},A255,ROW(INDIRECT("1:"&amp;LEN(A255)))),1))," ",REPT(" ",LEN(A255))),LEN(A255))))))), 1)) * ROW(INDIRECT("1:"&amp;LEN((--TRIM(RIGHT(SUBSTITUTE(LEFT(A255,_xlfn.AGGREGATE(16,6,FIND({0,1,2,3,4,5,6,7,8,9},A255,ROW(INDIRECT("1:"&amp;LEN(A255)))),1))," ",REPT(" ",LEN(A255))),LEN(A255))))))), 0), ROW(INDIRECT("1:"&amp;LEN((--TRIM(RIGHT(SUBSTITUTE(LEFT(A255,_xlfn.AGGREGATE(16,6,FIND({0,1,2,3,4,5,6,7,8,9},A255,ROW(INDIRECT("1:"&amp;LEN(A255)))),1))," ",REPT(" ",LEN(A255))),LEN(A255))))))))+1, 1) * 10^ROW(INDIRECT("1:"&amp;LEN((--TRIM(RIGHT(SUBSTITUTE(LEFT(A255,_xlfn.AGGREGATE(16,6,FIND({0,1,2,3,4,5,6,7,8,9},A255,ROW(INDIRECT("1:"&amp;LEN(A255)))),1))," ",REPT(" ",LEN(A255))),LEN(A255)))))))/10))*100+1</f>
        <v>801 &amp; 1301</v>
      </c>
      <c r="B256" s="114"/>
      <c r="C256" s="55" t="s">
        <v>217</v>
      </c>
      <c r="D256" s="43">
        <f>(4.65*3.4+2.1*2.6+2.1*1.2+1.2*1.95+2.75*3+2.75*2.75+2.6*0.9+0.9*1.2+0.75*2.75+1.2*1.5)*10.764</f>
        <v>529.85789999999997</v>
      </c>
      <c r="E256" s="43">
        <v>0</v>
      </c>
      <c r="F256" s="43">
        <f>D256*(($F$223)+1)+(IF(E256&lt;101,E256,IF(E256&lt;201,E256/2,IF(E256&lt;=301,E256/3,E256/4))))</f>
        <v>794.78684999999996</v>
      </c>
      <c r="G256" s="112" t="str">
        <f>A255</f>
        <v>8th &amp; 13th Floor (Part Refuge Area)</v>
      </c>
      <c r="H256" s="114"/>
      <c r="I256" s="37"/>
    </row>
    <row r="257" spans="1:14" s="38" customFormat="1" x14ac:dyDescent="0.35">
      <c r="A257" s="112" t="str">
        <f ca="1">(SUMPRODUCT(MID(0&amp;(LEFT(A256,SUM(LEN(A256)-LEN(SUBSTITUTE(A256,{"0","1","2"},""))))), LARGE(INDEX(ISNUMBER(--MID((LEFT(A256,SUM(LEN(A256)-LEN(SUBSTITUTE(A256,{"0","1","2"},""))))), ROW(INDIRECT("1:"&amp;LEN((LEFT(A256,SUM(LEN(A256)-LEN(SUBSTITUTE(A256,{"0","1","2"},"")))))))), 1)) * ROW(INDIRECT("1:"&amp;LEN((LEFT(A256,SUM(LEN(A256)-LEN(SUBSTITUTE(A256,{"0","1","2"},"")))))))), 0), ROW(INDIRECT("1:"&amp;LEN((LEFT(A256,SUM(LEN(A256)-LEN(SUBSTITUTE(A256,{"0","1","2"},"")))))))))+1, 1) * 10^ROW(INDIRECT("1:"&amp;LEN((LEFT(A256,SUM(LEN(A256)-LEN(SUBSTITUTE(A256,{"0","1","2"},""))))))))/10))*1+1&amp;""&amp;" &amp; "&amp;""&amp;(SUMPRODUCT(MID(0&amp;(--TRIM(RIGHT(SUBSTITUTE(LEFT(A256,_xlfn.AGGREGATE(16,6,FIND({0,1,2,3,4,5,6,7,8,9},A256,ROW(INDIRECT("1:"&amp;LEN(A256)))),1))," ",REPT(" ",LEN(A256))),LEN(A256)))), LARGE(INDEX(ISNUMBER(--MID((--TRIM(RIGHT(SUBSTITUTE(LEFT(A256,_xlfn.AGGREGATE(16,6,FIND({0,1,2,3,4,5,6,7,8,9},A256,ROW(INDIRECT("1:"&amp;LEN(A256)))),1))," ",REPT(" ",LEN(A256))),LEN(A256)))), ROW(INDIRECT("1:"&amp;LEN((--TRIM(RIGHT(SUBSTITUTE(LEFT(A256,_xlfn.AGGREGATE(16,6,FIND({0,1,2,3,4,5,6,7,8,9},A256,ROW(INDIRECT("1:"&amp;LEN(A256)))),1))," ",REPT(" ",LEN(A256))),LEN(A256))))))), 1)) * ROW(INDIRECT("1:"&amp;LEN((--TRIM(RIGHT(SUBSTITUTE(LEFT(A256,_xlfn.AGGREGATE(16,6,FIND({0,1,2,3,4,5,6,7,8,9},A256,ROW(INDIRECT("1:"&amp;LEN(A256)))),1))," ",REPT(" ",LEN(A256))),LEN(A256))))))), 0), ROW(INDIRECT("1:"&amp;LEN((--TRIM(RIGHT(SUBSTITUTE(LEFT(A256,_xlfn.AGGREGATE(16,6,FIND({0,1,2,3,4,5,6,7,8,9},A256,ROW(INDIRECT("1:"&amp;LEN(A256)))),1))," ",REPT(" ",LEN(A256))),LEN(A256))))))))+1, 1) * 10^ROW(INDIRECT("1:"&amp;LEN((--TRIM(RIGHT(SUBSTITUTE(LEFT(A256,_xlfn.AGGREGATE(16,6,FIND({0,1,2,3,4,5,6,7,8,9},A256,ROW(INDIRECT("1:"&amp;LEN(A256)))),1))," ",REPT(" ",LEN(A256))),LEN(A256)))))))/10))*1+1</f>
        <v>802 &amp; 1302</v>
      </c>
      <c r="B257" s="114"/>
      <c r="C257" s="55" t="s">
        <v>217</v>
      </c>
      <c r="D257" s="43">
        <f>(4.65*4+2.1*2.6+2.1*1.2+1.2*1.95+2.75*3+2.75*2.75+2.6*0.9+0.9*1.2+0.75*2.75)*10.764</f>
        <v>540.51426000000004</v>
      </c>
      <c r="E257" s="43">
        <v>0</v>
      </c>
      <c r="F257" s="43">
        <f>D257*(($F$223)+1)+(IF(E257&lt;101,E257,IF(E257&lt;201,E257/2,IF(E257&lt;=301,E257/3,E257/4))))</f>
        <v>810.77139000000011</v>
      </c>
      <c r="G257" s="112" t="str">
        <f t="shared" ref="G257:G263" si="25">G256</f>
        <v>8th &amp; 13th Floor (Part Refuge Area)</v>
      </c>
      <c r="H257" s="114"/>
      <c r="I257" s="37"/>
    </row>
    <row r="258" spans="1:14" s="38" customFormat="1" x14ac:dyDescent="0.35">
      <c r="A258" s="112" t="str">
        <f ca="1">(SUMPRODUCT(MID(0&amp;(LEFT(A257,SUM(LEN(A257)-LEN(SUBSTITUTE(A257,{"0","1","2"},""))))), LARGE(INDEX(ISNUMBER(--MID((LEFT(A257,SUM(LEN(A257)-LEN(SUBSTITUTE(A257,{"0","1","2"},""))))), ROW(INDIRECT("1:"&amp;LEN((LEFT(A257,SUM(LEN(A257)-LEN(SUBSTITUTE(A257,{"0","1","2"},"")))))))), 1)) * ROW(INDIRECT("1:"&amp;LEN((LEFT(A257,SUM(LEN(A257)-LEN(SUBSTITUTE(A257,{"0","1","2"},"")))))))), 0), ROW(INDIRECT("1:"&amp;LEN((LEFT(A257,SUM(LEN(A257)-LEN(SUBSTITUTE(A257,{"0","1","2"},"")))))))))+1, 1) * 10^ROW(INDIRECT("1:"&amp;LEN((LEFT(A257,SUM(LEN(A257)-LEN(SUBSTITUTE(A257,{"0","1","2"},""))))))))/10))*1+1&amp;""&amp;" &amp; "&amp;""&amp;(SUMPRODUCT(MID(0&amp;(--TRIM(RIGHT(SUBSTITUTE(LEFT(A257,_xlfn.AGGREGATE(16,6,FIND({0,1,2,3,4,5,6,7,8,9},A257,ROW(INDIRECT("1:"&amp;LEN(A257)))),1))," ",REPT(" ",LEN(A257))),LEN(A257)))), LARGE(INDEX(ISNUMBER(--MID((--TRIM(RIGHT(SUBSTITUTE(LEFT(A257,_xlfn.AGGREGATE(16,6,FIND({0,1,2,3,4,5,6,7,8,9},A257,ROW(INDIRECT("1:"&amp;LEN(A257)))),1))," ",REPT(" ",LEN(A257))),LEN(A257)))), ROW(INDIRECT("1:"&amp;LEN((--TRIM(RIGHT(SUBSTITUTE(LEFT(A257,_xlfn.AGGREGATE(16,6,FIND({0,1,2,3,4,5,6,7,8,9},A257,ROW(INDIRECT("1:"&amp;LEN(A257)))),1))," ",REPT(" ",LEN(A257))),LEN(A257))))))), 1)) * ROW(INDIRECT("1:"&amp;LEN((--TRIM(RIGHT(SUBSTITUTE(LEFT(A257,_xlfn.AGGREGATE(16,6,FIND({0,1,2,3,4,5,6,7,8,9},A257,ROW(INDIRECT("1:"&amp;LEN(A257)))),1))," ",REPT(" ",LEN(A257))),LEN(A257))))))), 0), ROW(INDIRECT("1:"&amp;LEN((--TRIM(RIGHT(SUBSTITUTE(LEFT(A257,_xlfn.AGGREGATE(16,6,FIND({0,1,2,3,4,5,6,7,8,9},A257,ROW(INDIRECT("1:"&amp;LEN(A257)))),1))," ",REPT(" ",LEN(A257))),LEN(A257))))))))+1, 1) * 10^ROW(INDIRECT("1:"&amp;LEN((--TRIM(RIGHT(SUBSTITUTE(LEFT(A257,_xlfn.AGGREGATE(16,6,FIND({0,1,2,3,4,5,6,7,8,9},A257,ROW(INDIRECT("1:"&amp;LEN(A257)))),1))," ",REPT(" ",LEN(A257))),LEN(A257)))))))/10))*1+1</f>
        <v>803 &amp; 1303</v>
      </c>
      <c r="B258" s="114"/>
      <c r="C258" s="121" t="s">
        <v>219</v>
      </c>
      <c r="D258" s="122"/>
      <c r="E258" s="122"/>
      <c r="F258" s="123"/>
      <c r="G258" s="112" t="str">
        <f t="shared" si="25"/>
        <v>8th &amp; 13th Floor (Part Refuge Area)</v>
      </c>
      <c r="H258" s="114"/>
      <c r="I258" s="37"/>
    </row>
    <row r="259" spans="1:14" s="38" customFormat="1" x14ac:dyDescent="0.35">
      <c r="A259" s="112" t="str">
        <f ca="1">(SUMPRODUCT(MID(0&amp;(LEFT(A258,SUM(LEN(A258)-LEN(SUBSTITUTE(A258,{"0","1","2"},""))))), LARGE(INDEX(ISNUMBER(--MID((LEFT(A258,SUM(LEN(A258)-LEN(SUBSTITUTE(A258,{"0","1","2"},""))))), ROW(INDIRECT("1:"&amp;LEN((LEFT(A258,SUM(LEN(A258)-LEN(SUBSTITUTE(A258,{"0","1","2"},"")))))))), 1)) * ROW(INDIRECT("1:"&amp;LEN((LEFT(A258,SUM(LEN(A258)-LEN(SUBSTITUTE(A258,{"0","1","2"},"")))))))), 0), ROW(INDIRECT("1:"&amp;LEN((LEFT(A258,SUM(LEN(A258)-LEN(SUBSTITUTE(A258,{"0","1","2"},"")))))))))+1, 1) * 10^ROW(INDIRECT("1:"&amp;LEN((LEFT(A258,SUM(LEN(A258)-LEN(SUBSTITUTE(A258,{"0","1","2"},""))))))))/10))*1+1&amp;""&amp;" &amp; "&amp;""&amp;(SUMPRODUCT(MID(0&amp;(--TRIM(RIGHT(SUBSTITUTE(LEFT(A258,_xlfn.AGGREGATE(16,6,FIND({0,1,2,3,4,5,6,7,8,9},A258,ROW(INDIRECT("1:"&amp;LEN(A258)))),1))," ",REPT(" ",LEN(A258))),LEN(A258)))), LARGE(INDEX(ISNUMBER(--MID((--TRIM(RIGHT(SUBSTITUTE(LEFT(A258,_xlfn.AGGREGATE(16,6,FIND({0,1,2,3,4,5,6,7,8,9},A258,ROW(INDIRECT("1:"&amp;LEN(A258)))),1))," ",REPT(" ",LEN(A258))),LEN(A258)))), ROW(INDIRECT("1:"&amp;LEN((--TRIM(RIGHT(SUBSTITUTE(LEFT(A258,_xlfn.AGGREGATE(16,6,FIND({0,1,2,3,4,5,6,7,8,9},A258,ROW(INDIRECT("1:"&amp;LEN(A258)))),1))," ",REPT(" ",LEN(A258))),LEN(A258))))))), 1)) * ROW(INDIRECT("1:"&amp;LEN((--TRIM(RIGHT(SUBSTITUTE(LEFT(A258,_xlfn.AGGREGATE(16,6,FIND({0,1,2,3,4,5,6,7,8,9},A258,ROW(INDIRECT("1:"&amp;LEN(A258)))),1))," ",REPT(" ",LEN(A258))),LEN(A258))))))), 0), ROW(INDIRECT("1:"&amp;LEN((--TRIM(RIGHT(SUBSTITUTE(LEFT(A258,_xlfn.AGGREGATE(16,6,FIND({0,1,2,3,4,5,6,7,8,9},A258,ROW(INDIRECT("1:"&amp;LEN(A258)))),1))," ",REPT(" ",LEN(A258))),LEN(A258))))))))+1, 1) * 10^ROW(INDIRECT("1:"&amp;LEN((--TRIM(RIGHT(SUBSTITUTE(LEFT(A258,_xlfn.AGGREGATE(16,6,FIND({0,1,2,3,4,5,6,7,8,9},A258,ROW(INDIRECT("1:"&amp;LEN(A258)))),1))," ",REPT(" ",LEN(A258))),LEN(A258)))))))/10))*1+1</f>
        <v>804 &amp; 1304</v>
      </c>
      <c r="B259" s="114"/>
      <c r="C259" s="55" t="s">
        <v>211</v>
      </c>
      <c r="D259" s="43">
        <f>(3.2*4.6+1.2*1.5+2.25*2.6+1.2*0.9+2.85*2.75+1.2*1.4+0.9*0.9)*10.764</f>
        <v>363.58100999999999</v>
      </c>
      <c r="E259" s="43">
        <v>0</v>
      </c>
      <c r="F259" s="43">
        <f>D259*(($F$223)+1)+(IF(E259&lt;101,E259,IF(E259&lt;201,E259/2,IF(E259&lt;=301,E259/3,E259/4))))</f>
        <v>545.37151500000004</v>
      </c>
      <c r="G259" s="112" t="str">
        <f t="shared" si="25"/>
        <v>8th &amp; 13th Floor (Part Refuge Area)</v>
      </c>
      <c r="H259" s="114"/>
      <c r="I259" s="37"/>
    </row>
    <row r="260" spans="1:14" s="38" customFormat="1" x14ac:dyDescent="0.35">
      <c r="A260" s="112" t="str">
        <f ca="1">(SUMPRODUCT(MID(0&amp;(LEFT(A259,SUM(LEN(A259)-LEN(SUBSTITUTE(A259,{"0","1","2"},""))))), LARGE(INDEX(ISNUMBER(--MID((LEFT(A259,SUM(LEN(A259)-LEN(SUBSTITUTE(A259,{"0","1","2"},""))))), ROW(INDIRECT("1:"&amp;LEN((LEFT(A259,SUM(LEN(A259)-LEN(SUBSTITUTE(A259,{"0","1","2"},"")))))))), 1)) * ROW(INDIRECT("1:"&amp;LEN((LEFT(A259,SUM(LEN(A259)-LEN(SUBSTITUTE(A259,{"0","1","2"},"")))))))), 0), ROW(INDIRECT("1:"&amp;LEN((LEFT(A259,SUM(LEN(A259)-LEN(SUBSTITUTE(A259,{"0","1","2"},"")))))))))+1, 1) * 10^ROW(INDIRECT("1:"&amp;LEN((LEFT(A259,SUM(LEN(A259)-LEN(SUBSTITUTE(A259,{"0","1","2"},""))))))))/10))*1+1&amp;""&amp;" &amp; "&amp;""&amp;(SUMPRODUCT(MID(0&amp;(--TRIM(RIGHT(SUBSTITUTE(LEFT(A259,_xlfn.AGGREGATE(16,6,FIND({0,1,2,3,4,5,6,7,8,9},A259,ROW(INDIRECT("1:"&amp;LEN(A259)))),1))," ",REPT(" ",LEN(A259))),LEN(A259)))), LARGE(INDEX(ISNUMBER(--MID((--TRIM(RIGHT(SUBSTITUTE(LEFT(A259,_xlfn.AGGREGATE(16,6,FIND({0,1,2,3,4,5,6,7,8,9},A259,ROW(INDIRECT("1:"&amp;LEN(A259)))),1))," ",REPT(" ",LEN(A259))),LEN(A259)))), ROW(INDIRECT("1:"&amp;LEN((--TRIM(RIGHT(SUBSTITUTE(LEFT(A259,_xlfn.AGGREGATE(16,6,FIND({0,1,2,3,4,5,6,7,8,9},A259,ROW(INDIRECT("1:"&amp;LEN(A259)))),1))," ",REPT(" ",LEN(A259))),LEN(A259))))))), 1)) * ROW(INDIRECT("1:"&amp;LEN((--TRIM(RIGHT(SUBSTITUTE(LEFT(A259,_xlfn.AGGREGATE(16,6,FIND({0,1,2,3,4,5,6,7,8,9},A259,ROW(INDIRECT("1:"&amp;LEN(A259)))),1))," ",REPT(" ",LEN(A259))),LEN(A259))))))), 0), ROW(INDIRECT("1:"&amp;LEN((--TRIM(RIGHT(SUBSTITUTE(LEFT(A259,_xlfn.AGGREGATE(16,6,FIND({0,1,2,3,4,5,6,7,8,9},A259,ROW(INDIRECT("1:"&amp;LEN(A259)))),1))," ",REPT(" ",LEN(A259))),LEN(A259))))))))+1, 1) * 10^ROW(INDIRECT("1:"&amp;LEN((--TRIM(RIGHT(SUBSTITUTE(LEFT(A259,_xlfn.AGGREGATE(16,6,FIND({0,1,2,3,4,5,6,7,8,9},A259,ROW(INDIRECT("1:"&amp;LEN(A259)))),1))," ",REPT(" ",LEN(A259))),LEN(A259)))))))/10))*1+1</f>
        <v>805 &amp; 1305</v>
      </c>
      <c r="B260" s="114"/>
      <c r="C260" s="55">
        <v>1</v>
      </c>
      <c r="D260" s="43">
        <f>(3.15*5.4+2.25*2.6+2.75*3+1.2*0.9+1.2*1.7+0.9*2.25+1.2*0.3)*10.764</f>
        <v>394.12385999999998</v>
      </c>
      <c r="E260" s="43">
        <v>0</v>
      </c>
      <c r="F260" s="43">
        <f>D260*(($F$223)+1)+(IF(E260&lt;101,E260,IF(E260&lt;201,E260/2,IF(E260&lt;=301,E260/3,E260/4))))</f>
        <v>591.18579</v>
      </c>
      <c r="G260" s="112" t="str">
        <f t="shared" si="25"/>
        <v>8th &amp; 13th Floor (Part Refuge Area)</v>
      </c>
      <c r="H260" s="114"/>
      <c r="I260" s="37"/>
    </row>
    <row r="261" spans="1:14" s="38" customFormat="1" x14ac:dyDescent="0.35">
      <c r="A261" s="112" t="str">
        <f ca="1">(SUMPRODUCT(MID(0&amp;(LEFT(A260,SUM(LEN(A260)-LEN(SUBSTITUTE(A260,{"0","1","2"},""))))), LARGE(INDEX(ISNUMBER(--MID((LEFT(A260,SUM(LEN(A260)-LEN(SUBSTITUTE(A260,{"0","1","2"},""))))), ROW(INDIRECT("1:"&amp;LEN((LEFT(A260,SUM(LEN(A260)-LEN(SUBSTITUTE(A260,{"0","1","2"},"")))))))), 1)) * ROW(INDIRECT("1:"&amp;LEN((LEFT(A260,SUM(LEN(A260)-LEN(SUBSTITUTE(A260,{"0","1","2"},"")))))))), 0), ROW(INDIRECT("1:"&amp;LEN((LEFT(A260,SUM(LEN(A260)-LEN(SUBSTITUTE(A260,{"0","1","2"},"")))))))))+1, 1) * 10^ROW(INDIRECT("1:"&amp;LEN((LEFT(A260,SUM(LEN(A260)-LEN(SUBSTITUTE(A260,{"0","1","2"},""))))))))/10))*1+1&amp;""&amp;" &amp; "&amp;""&amp;(SUMPRODUCT(MID(0&amp;(--TRIM(RIGHT(SUBSTITUTE(LEFT(A260,_xlfn.AGGREGATE(16,6,FIND({0,1,2,3,4,5,6,7,8,9},A260,ROW(INDIRECT("1:"&amp;LEN(A260)))),1))," ",REPT(" ",LEN(A260))),LEN(A260)))), LARGE(INDEX(ISNUMBER(--MID((--TRIM(RIGHT(SUBSTITUTE(LEFT(A260,_xlfn.AGGREGATE(16,6,FIND({0,1,2,3,4,5,6,7,8,9},A260,ROW(INDIRECT("1:"&amp;LEN(A260)))),1))," ",REPT(" ",LEN(A260))),LEN(A260)))), ROW(INDIRECT("1:"&amp;LEN((--TRIM(RIGHT(SUBSTITUTE(LEFT(A260,_xlfn.AGGREGATE(16,6,FIND({0,1,2,3,4,5,6,7,8,9},A260,ROW(INDIRECT("1:"&amp;LEN(A260)))),1))," ",REPT(" ",LEN(A260))),LEN(A260))))))), 1)) * ROW(INDIRECT("1:"&amp;LEN((--TRIM(RIGHT(SUBSTITUTE(LEFT(A260,_xlfn.AGGREGATE(16,6,FIND({0,1,2,3,4,5,6,7,8,9},A260,ROW(INDIRECT("1:"&amp;LEN(A260)))),1))," ",REPT(" ",LEN(A260))),LEN(A260))))))), 0), ROW(INDIRECT("1:"&amp;LEN((--TRIM(RIGHT(SUBSTITUTE(LEFT(A260,_xlfn.AGGREGATE(16,6,FIND({0,1,2,3,4,5,6,7,8,9},A260,ROW(INDIRECT("1:"&amp;LEN(A260)))),1))," ",REPT(" ",LEN(A260))),LEN(A260))))))))+1, 1) * 10^ROW(INDIRECT("1:"&amp;LEN((--TRIM(RIGHT(SUBSTITUTE(LEFT(A260,_xlfn.AGGREGATE(16,6,FIND({0,1,2,3,4,5,6,7,8,9},A260,ROW(INDIRECT("1:"&amp;LEN(A260)))),1))," ",REPT(" ",LEN(A260))),LEN(A260)))))))/10))*1+1</f>
        <v>806 &amp; 1306</v>
      </c>
      <c r="B261" s="114"/>
      <c r="C261" s="55" t="s">
        <v>211</v>
      </c>
      <c r="D261" s="43">
        <f>(3.15*5.4+2.25*2.6+2.75*3+1.2*0.9+1.2*1.7+0.9*2.25+1.2*0.3)*10.764</f>
        <v>394.12385999999998</v>
      </c>
      <c r="E261" s="43">
        <v>0</v>
      </c>
      <c r="F261" s="43">
        <f>D261*(($F$223)+1)+(IF(E261&lt;101,E261,IF(E261&lt;201,E261/2,IF(E261&lt;=301,E261/3,E261/4))))</f>
        <v>591.18579</v>
      </c>
      <c r="G261" s="112" t="str">
        <f t="shared" si="25"/>
        <v>8th &amp; 13th Floor (Part Refuge Area)</v>
      </c>
      <c r="H261" s="114"/>
      <c r="I261" s="37"/>
    </row>
    <row r="262" spans="1:14" s="38" customFormat="1" x14ac:dyDescent="0.35">
      <c r="A262" s="112" t="str">
        <f ca="1">(SUMPRODUCT(MID(0&amp;(LEFT(A261,SUM(LEN(A261)-LEN(SUBSTITUTE(A261,{"0","1","2"},""))))), LARGE(INDEX(ISNUMBER(--MID((LEFT(A261,SUM(LEN(A261)-LEN(SUBSTITUTE(A261,{"0","1","2"},""))))), ROW(INDIRECT("1:"&amp;LEN((LEFT(A261,SUM(LEN(A261)-LEN(SUBSTITUTE(A261,{"0","1","2"},"")))))))), 1)) * ROW(INDIRECT("1:"&amp;LEN((LEFT(A261,SUM(LEN(A261)-LEN(SUBSTITUTE(A261,{"0","1","2"},"")))))))), 0), ROW(INDIRECT("1:"&amp;LEN((LEFT(A261,SUM(LEN(A261)-LEN(SUBSTITUTE(A261,{"0","1","2"},"")))))))))+1, 1) * 10^ROW(INDIRECT("1:"&amp;LEN((LEFT(A261,SUM(LEN(A261)-LEN(SUBSTITUTE(A261,{"0","1","2"},""))))))))/10))*1+1&amp;""&amp;" &amp; "&amp;""&amp;(SUMPRODUCT(MID(0&amp;(--TRIM(RIGHT(SUBSTITUTE(LEFT(A261,_xlfn.AGGREGATE(16,6,FIND({0,1,2,3,4,5,6,7,8,9},A261,ROW(INDIRECT("1:"&amp;LEN(A261)))),1))," ",REPT(" ",LEN(A261))),LEN(A261)))), LARGE(INDEX(ISNUMBER(--MID((--TRIM(RIGHT(SUBSTITUTE(LEFT(A261,_xlfn.AGGREGATE(16,6,FIND({0,1,2,3,4,5,6,7,8,9},A261,ROW(INDIRECT("1:"&amp;LEN(A261)))),1))," ",REPT(" ",LEN(A261))),LEN(A261)))), ROW(INDIRECT("1:"&amp;LEN((--TRIM(RIGHT(SUBSTITUTE(LEFT(A261,_xlfn.AGGREGATE(16,6,FIND({0,1,2,3,4,5,6,7,8,9},A261,ROW(INDIRECT("1:"&amp;LEN(A261)))),1))," ",REPT(" ",LEN(A261))),LEN(A261))))))), 1)) * ROW(INDIRECT("1:"&amp;LEN((--TRIM(RIGHT(SUBSTITUTE(LEFT(A261,_xlfn.AGGREGATE(16,6,FIND({0,1,2,3,4,5,6,7,8,9},A261,ROW(INDIRECT("1:"&amp;LEN(A261)))),1))," ",REPT(" ",LEN(A261))),LEN(A261))))))), 0), ROW(INDIRECT("1:"&amp;LEN((--TRIM(RIGHT(SUBSTITUTE(LEFT(A261,_xlfn.AGGREGATE(16,6,FIND({0,1,2,3,4,5,6,7,8,9},A261,ROW(INDIRECT("1:"&amp;LEN(A261)))),1))," ",REPT(" ",LEN(A261))),LEN(A261))))))))+1, 1) * 10^ROW(INDIRECT("1:"&amp;LEN((--TRIM(RIGHT(SUBSTITUTE(LEFT(A261,_xlfn.AGGREGATE(16,6,FIND({0,1,2,3,4,5,6,7,8,9},A261,ROW(INDIRECT("1:"&amp;LEN(A261)))),1))," ",REPT(" ",LEN(A261))),LEN(A261)))))))/10))*1+1</f>
        <v>807 &amp; 1307</v>
      </c>
      <c r="B262" s="114"/>
      <c r="C262" s="55" t="s">
        <v>211</v>
      </c>
      <c r="D262" s="43">
        <f>(3.2*4.6+1.2*1.5+2.25*2.6+1.2*0.9+2.85*2.75+1.2*1.4+0.9*0.9)*10.764</f>
        <v>363.58100999999999</v>
      </c>
      <c r="E262" s="43">
        <v>0</v>
      </c>
      <c r="F262" s="43">
        <f>D262*(($F$223)+1)+(IF(E262&lt;101,E262,IF(E262&lt;201,E262/2,IF(E262&lt;=301,E262/3,E262/4))))</f>
        <v>545.37151500000004</v>
      </c>
      <c r="G262" s="112" t="str">
        <f t="shared" si="25"/>
        <v>8th &amp; 13th Floor (Part Refuge Area)</v>
      </c>
      <c r="H262" s="114"/>
      <c r="I262" s="37"/>
    </row>
    <row r="263" spans="1:14" s="38" customFormat="1" x14ac:dyDescent="0.35">
      <c r="A263" s="110" t="str">
        <f ca="1">(SUMPRODUCT(MID(0&amp;(LEFT(A262,SUM(LEN(A262)-LEN(SUBSTITUTE(A262,{"0","1","2"},""))))), LARGE(INDEX(ISNUMBER(--MID((LEFT(A262,SUM(LEN(A262)-LEN(SUBSTITUTE(A262,{"0","1","2"},""))))), ROW(INDIRECT("1:"&amp;LEN((LEFT(A262,SUM(LEN(A262)-LEN(SUBSTITUTE(A262,{"0","1","2"},"")))))))), 1)) * ROW(INDIRECT("1:"&amp;LEN((LEFT(A262,SUM(LEN(A262)-LEN(SUBSTITUTE(A262,{"0","1","2"},"")))))))), 0), ROW(INDIRECT("1:"&amp;LEN((LEFT(A262,SUM(LEN(A262)-LEN(SUBSTITUTE(A262,{"0","1","2"},"")))))))))+1, 1) * 10^ROW(INDIRECT("1:"&amp;LEN((LEFT(A262,SUM(LEN(A262)-LEN(SUBSTITUTE(A262,{"0","1","2"},""))))))))/10))*1+1&amp;""&amp;" &amp; "&amp;""&amp;(SUMPRODUCT(MID(0&amp;(--TRIM(RIGHT(SUBSTITUTE(LEFT(A262,_xlfn.AGGREGATE(16,6,FIND({0,1,2,3,4,5,6,7,8,9},A262,ROW(INDIRECT("1:"&amp;LEN(A262)))),1))," ",REPT(" ",LEN(A262))),LEN(A262)))), LARGE(INDEX(ISNUMBER(--MID((--TRIM(RIGHT(SUBSTITUTE(LEFT(A262,_xlfn.AGGREGATE(16,6,FIND({0,1,2,3,4,5,6,7,8,9},A262,ROW(INDIRECT("1:"&amp;LEN(A262)))),1))," ",REPT(" ",LEN(A262))),LEN(A262)))), ROW(INDIRECT("1:"&amp;LEN((--TRIM(RIGHT(SUBSTITUTE(LEFT(A262,_xlfn.AGGREGATE(16,6,FIND({0,1,2,3,4,5,6,7,8,9},A262,ROW(INDIRECT("1:"&amp;LEN(A262)))),1))," ",REPT(" ",LEN(A262))),LEN(A262))))))), 1)) * ROW(INDIRECT("1:"&amp;LEN((--TRIM(RIGHT(SUBSTITUTE(LEFT(A262,_xlfn.AGGREGATE(16,6,FIND({0,1,2,3,4,5,6,7,8,9},A262,ROW(INDIRECT("1:"&amp;LEN(A262)))),1))," ",REPT(" ",LEN(A262))),LEN(A262))))))), 0), ROW(INDIRECT("1:"&amp;LEN((--TRIM(RIGHT(SUBSTITUTE(LEFT(A262,_xlfn.AGGREGATE(16,6,FIND({0,1,2,3,4,5,6,7,8,9},A262,ROW(INDIRECT("1:"&amp;LEN(A262)))),1))," ",REPT(" ",LEN(A262))),LEN(A262))))))))+1, 1) * 10^ROW(INDIRECT("1:"&amp;LEN((--TRIM(RIGHT(SUBSTITUTE(LEFT(A262,_xlfn.AGGREGATE(16,6,FIND({0,1,2,3,4,5,6,7,8,9},A262,ROW(INDIRECT("1:"&amp;LEN(A262)))),1))," ",REPT(" ",LEN(A262))),LEN(A262)))))))/10))*1+1</f>
        <v>808 &amp; 1308</v>
      </c>
      <c r="B263" s="110"/>
      <c r="C263" s="75" t="s">
        <v>211</v>
      </c>
      <c r="D263" s="74">
        <f>(3.2*4.6+1.2*1.5+2.25*2.6+1.2*0.9+2.85*2.75+1.2*1.4+0.9*0.9)*10.764</f>
        <v>363.58100999999999</v>
      </c>
      <c r="E263" s="74">
        <v>0</v>
      </c>
      <c r="F263" s="74">
        <f>D263*(($F$223)+1)+(IF(E263&lt;101,E263,IF(E263&lt;201,E263/2,IF(E263&lt;=301,E263/3,E263/4))))</f>
        <v>545.37151500000004</v>
      </c>
      <c r="G263" s="110" t="str">
        <f t="shared" si="25"/>
        <v>8th &amp; 13th Floor (Part Refuge Area)</v>
      </c>
      <c r="H263" s="110"/>
      <c r="I263" s="37"/>
    </row>
    <row r="264" spans="1:14" s="38" customFormat="1" ht="15.75" customHeight="1" x14ac:dyDescent="0.35">
      <c r="A264" s="117" t="s">
        <v>218</v>
      </c>
      <c r="B264" s="117"/>
      <c r="C264" s="117"/>
      <c r="D264" s="117"/>
      <c r="E264" s="117"/>
      <c r="F264" s="117"/>
      <c r="G264" s="117"/>
      <c r="H264" s="117"/>
      <c r="I264" s="37"/>
    </row>
    <row r="265" spans="1:14" s="38" customFormat="1" x14ac:dyDescent="0.35">
      <c r="A265" s="110" t="str">
        <f>N265</f>
        <v>901,..,1401</v>
      </c>
      <c r="B265" s="110"/>
      <c r="C265" s="75" t="s">
        <v>217</v>
      </c>
      <c r="D265" s="74">
        <f>(4.65*3.4+2.1*2.6+2.1*1.2+1.2*1.95+2.75*3+2.75*2.75+2.6*0.9+0.9*1.2+0.75*2.75+1.2*1.5)*10.764</f>
        <v>529.85789999999997</v>
      </c>
      <c r="E265" s="74">
        <v>0</v>
      </c>
      <c r="F265" s="74">
        <f t="shared" ref="F265:F272" si="26">D265*(($F$223)+1)+(IF(E265&lt;101,E265,IF(E265&lt;201,E265/2,IF(E265&lt;=301,E265/3,E265/4))))</f>
        <v>794.78684999999996</v>
      </c>
      <c r="G265" s="110" t="str">
        <f>A264</f>
        <v>9th, 10th, 11th, 12th, 14th Floor</v>
      </c>
      <c r="H265" s="110"/>
      <c r="I265" s="37"/>
      <c r="L265" s="38">
        <v>901</v>
      </c>
      <c r="M265" s="38">
        <v>1401</v>
      </c>
      <c r="N265" s="38" t="str">
        <f>L265&amp;""&amp;",..,"&amp;""&amp;M265</f>
        <v>901,..,1401</v>
      </c>
    </row>
    <row r="266" spans="1:14" s="38" customFormat="1" x14ac:dyDescent="0.35">
      <c r="A266" s="110" t="str">
        <f t="shared" ref="A266:A272" si="27">N266</f>
        <v>902,..,1402</v>
      </c>
      <c r="B266" s="110"/>
      <c r="C266" s="75" t="s">
        <v>217</v>
      </c>
      <c r="D266" s="74">
        <f>(4.65*4+2.1*2.6+2.1*1.2+1.2*1.95+2.75*3+2.75*2.75+2.6*0.9+0.9*1.2+0.75*2.75)*10.764</f>
        <v>540.51426000000004</v>
      </c>
      <c r="E266" s="74">
        <v>0</v>
      </c>
      <c r="F266" s="74">
        <f t="shared" si="26"/>
        <v>810.77139000000011</v>
      </c>
      <c r="G266" s="110" t="str">
        <f t="shared" ref="G266:G272" si="28">G265</f>
        <v>9th, 10th, 11th, 12th, 14th Floor</v>
      </c>
      <c r="H266" s="110"/>
      <c r="I266" s="37"/>
      <c r="L266" s="38">
        <v>902</v>
      </c>
      <c r="M266" s="38">
        <v>1402</v>
      </c>
      <c r="N266" s="38" t="str">
        <f t="shared" ref="N266:N272" si="29">L266&amp;""&amp;",..,"&amp;""&amp;M266</f>
        <v>902,..,1402</v>
      </c>
    </row>
    <row r="267" spans="1:14" s="38" customFormat="1" ht="15.75" customHeight="1" x14ac:dyDescent="0.35">
      <c r="A267" s="110" t="str">
        <f t="shared" si="27"/>
        <v>903,..,1403</v>
      </c>
      <c r="B267" s="110"/>
      <c r="C267" s="75" t="s">
        <v>211</v>
      </c>
      <c r="D267" s="74">
        <f>(3.2*4.6+1.2*1.5+2.25*2.6+1.2*0.9+2.85*2.75+1.2*1.4+0.9*0.9)*10.764</f>
        <v>363.58100999999999</v>
      </c>
      <c r="E267" s="74">
        <v>0</v>
      </c>
      <c r="F267" s="74">
        <f t="shared" si="26"/>
        <v>545.37151500000004</v>
      </c>
      <c r="G267" s="110" t="str">
        <f t="shared" si="28"/>
        <v>9th, 10th, 11th, 12th, 14th Floor</v>
      </c>
      <c r="H267" s="110"/>
      <c r="I267" s="37"/>
      <c r="L267" s="38">
        <v>903</v>
      </c>
      <c r="M267" s="38">
        <v>1403</v>
      </c>
      <c r="N267" s="38" t="str">
        <f t="shared" si="29"/>
        <v>903,..,1403</v>
      </c>
    </row>
    <row r="268" spans="1:14" s="38" customFormat="1" ht="15.75" customHeight="1" x14ac:dyDescent="0.35">
      <c r="A268" s="110" t="str">
        <f t="shared" si="27"/>
        <v>904,..,1404</v>
      </c>
      <c r="B268" s="110"/>
      <c r="C268" s="75" t="s">
        <v>211</v>
      </c>
      <c r="D268" s="74">
        <f>(3.2*4.6+1.2*1.5+2.25*2.6+1.2*0.9+2.85*2.75+1.2*1.4+0.9*0.9)*10.764</f>
        <v>363.58100999999999</v>
      </c>
      <c r="E268" s="74">
        <v>0</v>
      </c>
      <c r="F268" s="74">
        <f t="shared" si="26"/>
        <v>545.37151500000004</v>
      </c>
      <c r="G268" s="110" t="str">
        <f t="shared" si="28"/>
        <v>9th, 10th, 11th, 12th, 14th Floor</v>
      </c>
      <c r="H268" s="110"/>
      <c r="I268" s="37"/>
      <c r="L268" s="38">
        <v>904</v>
      </c>
      <c r="M268" s="38">
        <v>1404</v>
      </c>
      <c r="N268" s="38" t="str">
        <f t="shared" si="29"/>
        <v>904,..,1404</v>
      </c>
    </row>
    <row r="269" spans="1:14" s="38" customFormat="1" ht="15.75" customHeight="1" x14ac:dyDescent="0.35">
      <c r="A269" s="110" t="str">
        <f t="shared" si="27"/>
        <v>905,..,1405</v>
      </c>
      <c r="B269" s="110"/>
      <c r="C269" s="75" t="s">
        <v>211</v>
      </c>
      <c r="D269" s="74">
        <f>(3.15*5.4+2.25*2.6+2.75*3+1.2*0.9+1.2*1.7+0.9*2.25+1.2*0.3)*10.764</f>
        <v>394.12385999999998</v>
      </c>
      <c r="E269" s="74">
        <v>0</v>
      </c>
      <c r="F269" s="74">
        <f t="shared" si="26"/>
        <v>591.18579</v>
      </c>
      <c r="G269" s="110" t="str">
        <f t="shared" si="28"/>
        <v>9th, 10th, 11th, 12th, 14th Floor</v>
      </c>
      <c r="H269" s="110"/>
      <c r="I269" s="37"/>
      <c r="L269" s="38">
        <v>905</v>
      </c>
      <c r="M269" s="38">
        <v>1405</v>
      </c>
      <c r="N269" s="38" t="str">
        <f t="shared" si="29"/>
        <v>905,..,1405</v>
      </c>
    </row>
    <row r="270" spans="1:14" s="38" customFormat="1" x14ac:dyDescent="0.35">
      <c r="A270" s="110" t="str">
        <f t="shared" si="27"/>
        <v>906,..,1406</v>
      </c>
      <c r="B270" s="110"/>
      <c r="C270" s="75" t="s">
        <v>211</v>
      </c>
      <c r="D270" s="74">
        <f>(3.15*5.4+2.25*2.6+2.75*3+1.2*0.9+1.2*1.7+0.9*2.25+1.2*0.3)*10.764</f>
        <v>394.12385999999998</v>
      </c>
      <c r="E270" s="74">
        <v>0</v>
      </c>
      <c r="F270" s="74">
        <f t="shared" si="26"/>
        <v>591.18579</v>
      </c>
      <c r="G270" s="110" t="str">
        <f t="shared" si="28"/>
        <v>9th, 10th, 11th, 12th, 14th Floor</v>
      </c>
      <c r="H270" s="110"/>
      <c r="I270" s="37"/>
      <c r="L270" s="38">
        <v>906</v>
      </c>
      <c r="M270" s="38">
        <v>1406</v>
      </c>
      <c r="N270" s="38" t="str">
        <f t="shared" si="29"/>
        <v>906,..,1406</v>
      </c>
    </row>
    <row r="271" spans="1:14" s="38" customFormat="1" ht="15.75" customHeight="1" x14ac:dyDescent="0.35">
      <c r="A271" s="110" t="str">
        <f t="shared" si="27"/>
        <v>907,..,1407</v>
      </c>
      <c r="B271" s="110"/>
      <c r="C271" s="75" t="s">
        <v>211</v>
      </c>
      <c r="D271" s="74">
        <f>(3.2*4.6+1.2*1.5+2.25*2.6+1.2*0.9+2.85*2.75+1.2*1.4+0.9*0.9)*10.764</f>
        <v>363.58100999999999</v>
      </c>
      <c r="E271" s="74">
        <v>0</v>
      </c>
      <c r="F271" s="74">
        <f t="shared" si="26"/>
        <v>545.37151500000004</v>
      </c>
      <c r="G271" s="110" t="str">
        <f t="shared" si="28"/>
        <v>9th, 10th, 11th, 12th, 14th Floor</v>
      </c>
      <c r="H271" s="110"/>
      <c r="I271" s="37"/>
      <c r="L271" s="38">
        <v>907</v>
      </c>
      <c r="M271" s="38">
        <v>1407</v>
      </c>
      <c r="N271" s="38" t="str">
        <f t="shared" si="29"/>
        <v>907,..,1407</v>
      </c>
    </row>
    <row r="272" spans="1:14" s="38" customFormat="1" ht="15.75" customHeight="1" x14ac:dyDescent="0.35">
      <c r="A272" s="110" t="str">
        <f t="shared" si="27"/>
        <v>908,..,1408</v>
      </c>
      <c r="B272" s="110"/>
      <c r="C272" s="75" t="s">
        <v>211</v>
      </c>
      <c r="D272" s="74">
        <f>(3.2*4.6+1.2*1.5+2.25*2.6+1.2*0.9+2.85*2.75+1.2*1.4+0.9*0.9)*10.764</f>
        <v>363.58100999999999</v>
      </c>
      <c r="E272" s="74">
        <v>0</v>
      </c>
      <c r="F272" s="74">
        <f t="shared" si="26"/>
        <v>545.37151500000004</v>
      </c>
      <c r="G272" s="110" t="str">
        <f t="shared" si="28"/>
        <v>9th, 10th, 11th, 12th, 14th Floor</v>
      </c>
      <c r="H272" s="110"/>
      <c r="I272" s="37"/>
      <c r="L272" s="38">
        <v>908</v>
      </c>
      <c r="M272" s="38">
        <v>1408</v>
      </c>
      <c r="N272" s="38" t="str">
        <f t="shared" si="29"/>
        <v>908,..,1408</v>
      </c>
    </row>
    <row r="273" spans="1:14" x14ac:dyDescent="0.35">
      <c r="A273" s="124" t="s">
        <v>202</v>
      </c>
      <c r="B273" s="124"/>
      <c r="C273" s="124"/>
      <c r="D273" s="124"/>
      <c r="E273" s="124"/>
      <c r="F273" s="124"/>
      <c r="G273" s="124"/>
      <c r="H273" s="124"/>
    </row>
    <row r="274" spans="1:14" x14ac:dyDescent="0.35">
      <c r="A274" s="124" t="s">
        <v>213</v>
      </c>
      <c r="B274" s="124"/>
      <c r="C274" s="124"/>
      <c r="D274" s="124"/>
      <c r="E274" s="124"/>
      <c r="F274" s="124"/>
      <c r="G274" s="124"/>
      <c r="H274" s="124"/>
    </row>
    <row r="275" spans="1:14" x14ac:dyDescent="0.35">
      <c r="A275" s="124" t="s">
        <v>203</v>
      </c>
      <c r="B275" s="124"/>
      <c r="C275" s="124"/>
      <c r="D275" s="124"/>
      <c r="E275" s="124"/>
      <c r="F275" s="124"/>
      <c r="G275" s="124"/>
      <c r="H275" s="124"/>
    </row>
    <row r="276" spans="1:14" x14ac:dyDescent="0.35">
      <c r="A276" s="124" t="s">
        <v>214</v>
      </c>
      <c r="B276" s="124"/>
      <c r="C276" s="124"/>
      <c r="D276" s="124"/>
      <c r="E276" s="124"/>
      <c r="F276" s="124"/>
      <c r="G276" s="124"/>
      <c r="H276" s="124"/>
    </row>
    <row r="277" spans="1:14" s="38" customFormat="1" x14ac:dyDescent="0.35">
      <c r="A277" s="117" t="s">
        <v>210</v>
      </c>
      <c r="B277" s="117"/>
      <c r="C277" s="117"/>
      <c r="D277" s="117"/>
      <c r="E277" s="117"/>
      <c r="F277" s="117"/>
      <c r="G277" s="117"/>
      <c r="H277" s="117"/>
      <c r="I277" s="37"/>
      <c r="L277" s="125"/>
      <c r="M277" s="125"/>
    </row>
    <row r="278" spans="1:14" s="38" customFormat="1" x14ac:dyDescent="0.35">
      <c r="A278" s="110">
        <f>LEFT(A277,SUM(LEN(A277)-LEN(SUBSTITUTE(A277,{"0","1","2","3","4","5","6","7","8","9"},""))))*100+1</f>
        <v>301</v>
      </c>
      <c r="B278" s="110"/>
      <c r="C278" s="75" t="s">
        <v>211</v>
      </c>
      <c r="D278" s="74">
        <f>(3.35*3.4+1.8*3.8+1.2*1.5+2.25*2.6+1.2*0.9+0.9*0.7+1.2*0.3+0.9*1.8+0.95*3+1.2*(3.35+2.25))*10.764</f>
        <v>421.30295999999998</v>
      </c>
      <c r="E278" s="74">
        <v>0</v>
      </c>
      <c r="F278" s="74">
        <f t="shared" ref="F278:F285" si="30">D278*(($F$223)+1)+(IF(E278&lt;101,E278,IF(E278&lt;201,E278/2,IF(E278&lt;=301,E278/3,E278/4))))</f>
        <v>631.95443999999998</v>
      </c>
      <c r="G278" s="110" t="str">
        <f>A277</f>
        <v>3rd Floor for Residential</v>
      </c>
      <c r="H278" s="110"/>
      <c r="I278" s="37">
        <f>(3.45*3.4+1.95*2.75+2.1*2.6+2.1*1.2+1.2*1.35+2.75*3+1.2*0.9+1.2*0.9+1.1*0.75+2.15*2.75)</f>
        <v>43.84</v>
      </c>
      <c r="J278" s="38">
        <f>4200000/F278</f>
        <v>6646.0487246517332</v>
      </c>
      <c r="N278" s="37"/>
    </row>
    <row r="279" spans="1:14" s="38" customFormat="1" x14ac:dyDescent="0.35">
      <c r="A279" s="110">
        <f t="shared" ref="A279:A285" si="31">A278+1</f>
        <v>302</v>
      </c>
      <c r="B279" s="110"/>
      <c r="C279" s="75" t="s">
        <v>211</v>
      </c>
      <c r="D279" s="74">
        <f>(3.35*3.4+1.8*3.8+1.2*1.5+2.25*2.6+1.2*0.9+0.9*0.7+1.2*0.3+0.9*1.8+0.95*3+1.2*(3.35+2.25))*10.764</f>
        <v>421.30295999999998</v>
      </c>
      <c r="E279" s="74">
        <v>0</v>
      </c>
      <c r="F279" s="74">
        <f t="shared" si="30"/>
        <v>631.95443999999998</v>
      </c>
      <c r="G279" s="110" t="str">
        <f t="shared" ref="G279:G285" si="32">G278</f>
        <v>3rd Floor for Residential</v>
      </c>
      <c r="H279" s="110"/>
      <c r="I279" s="37"/>
      <c r="L279" s="56"/>
      <c r="N279" s="37"/>
    </row>
    <row r="280" spans="1:14" s="38" customFormat="1" x14ac:dyDescent="0.35">
      <c r="A280" s="110">
        <f t="shared" si="31"/>
        <v>303</v>
      </c>
      <c r="B280" s="110"/>
      <c r="C280" s="55" t="s">
        <v>211</v>
      </c>
      <c r="D280" s="43">
        <f>(3*4.2+2.25*1.8+2.75*3+1.2*0.9+1.2*1.7+1.85*2.25+1.2*(3+2.75)+0.25*2.4)*10.764</f>
        <v>427.14243000000005</v>
      </c>
      <c r="E280" s="43">
        <v>0</v>
      </c>
      <c r="F280" s="43">
        <f t="shared" si="30"/>
        <v>640.71364500000004</v>
      </c>
      <c r="G280" s="110" t="str">
        <f t="shared" si="32"/>
        <v>3rd Floor for Residential</v>
      </c>
      <c r="H280" s="110"/>
      <c r="I280" s="37"/>
      <c r="N280" s="37"/>
    </row>
    <row r="281" spans="1:14" s="38" customFormat="1" x14ac:dyDescent="0.35">
      <c r="A281" s="110">
        <f t="shared" si="31"/>
        <v>304</v>
      </c>
      <c r="B281" s="110"/>
      <c r="C281" s="55" t="s">
        <v>211</v>
      </c>
      <c r="D281" s="43">
        <f>(3*4.2+2.25*1.8+2.75*3+1.2*0.9+1.2*1.7+1.85*2.25+1.2*(3+2.75)+0.25*2.4)*10.764</f>
        <v>427.14243000000005</v>
      </c>
      <c r="E281" s="43">
        <v>0</v>
      </c>
      <c r="F281" s="43">
        <f t="shared" si="30"/>
        <v>640.71364500000004</v>
      </c>
      <c r="G281" s="110" t="str">
        <f t="shared" si="32"/>
        <v>3rd Floor for Residential</v>
      </c>
      <c r="H281" s="110"/>
      <c r="I281" s="37"/>
      <c r="N281" s="37"/>
    </row>
    <row r="282" spans="1:14" s="38" customFormat="1" x14ac:dyDescent="0.35">
      <c r="A282" s="110">
        <f t="shared" si="31"/>
        <v>305</v>
      </c>
      <c r="B282" s="110"/>
      <c r="C282" s="55" t="s">
        <v>211</v>
      </c>
      <c r="D282" s="43">
        <f>(3.2*3.36+1.8*3.8+1.2*1.5+2.25*2.6+1.2*0.9+1.2*0.3+0.9*0.75+0.95*3+1.2*(3.2+2.25))*10.764</f>
        <v>395.54470799999996</v>
      </c>
      <c r="E282" s="43">
        <v>0</v>
      </c>
      <c r="F282" s="43">
        <f t="shared" si="30"/>
        <v>593.31706199999996</v>
      </c>
      <c r="G282" s="110" t="str">
        <f t="shared" si="32"/>
        <v>3rd Floor for Residential</v>
      </c>
      <c r="H282" s="110"/>
      <c r="I282" s="37"/>
      <c r="N282" s="37"/>
    </row>
    <row r="283" spans="1:14" s="38" customFormat="1" x14ac:dyDescent="0.35">
      <c r="A283" s="110">
        <f t="shared" si="31"/>
        <v>306</v>
      </c>
      <c r="B283" s="110"/>
      <c r="C283" s="55" t="s">
        <v>211</v>
      </c>
      <c r="D283" s="43">
        <f>(3.2*3.36+1.8*3.8+1.2*1.5+2.25*2.6+1.2*0.9+1.2*0.3+0.9*0.75+0.95*3+1.2*(3.2+2.25))*10.764</f>
        <v>395.54470799999996</v>
      </c>
      <c r="E283" s="43">
        <v>0</v>
      </c>
      <c r="F283" s="43">
        <f>D283*(($F$223)+1)+(IF(E283&lt;101,E283,IF(E283&lt;201,E283/2,IF(E283&lt;=301,E283/3,E283/4))))</f>
        <v>593.31706199999996</v>
      </c>
      <c r="G283" s="110" t="str">
        <f t="shared" si="32"/>
        <v>3rd Floor for Residential</v>
      </c>
      <c r="H283" s="110"/>
      <c r="I283" s="37"/>
      <c r="N283" s="37"/>
    </row>
    <row r="284" spans="1:14" s="38" customFormat="1" x14ac:dyDescent="0.35">
      <c r="A284" s="110">
        <f t="shared" si="31"/>
        <v>307</v>
      </c>
      <c r="B284" s="110"/>
      <c r="C284" s="55" t="s">
        <v>211</v>
      </c>
      <c r="D284" s="43">
        <f>(3.45*4+2.1*2.6+2.1*1.2+1.2*1.95+2.75*3+1.95*2.75+0.9*2.9+1.2*(3+3)+2.15*2.75+0.25*2.45)*10.764</f>
        <v>581.98257000000001</v>
      </c>
      <c r="E284" s="43">
        <v>0</v>
      </c>
      <c r="F284" s="43">
        <f t="shared" si="30"/>
        <v>872.97385499999996</v>
      </c>
      <c r="G284" s="110" t="str">
        <f t="shared" si="32"/>
        <v>3rd Floor for Residential</v>
      </c>
      <c r="H284" s="110"/>
      <c r="I284" s="37"/>
      <c r="N284" s="37"/>
    </row>
    <row r="285" spans="1:14" s="38" customFormat="1" x14ac:dyDescent="0.35">
      <c r="A285" s="110">
        <f t="shared" si="31"/>
        <v>308</v>
      </c>
      <c r="B285" s="110"/>
      <c r="C285" s="55" t="s">
        <v>211</v>
      </c>
      <c r="D285" s="43">
        <f>(3.45*4+2.1*2.6+2.1*1.2+1.2*1.95+2.75*3+1.95*2.75+0.9*2.9+1.2*(3+3)+2.15*2.75+0.25*2.45)*10.764</f>
        <v>581.98257000000001</v>
      </c>
      <c r="E285" s="43">
        <v>0</v>
      </c>
      <c r="F285" s="43">
        <f t="shared" si="30"/>
        <v>872.97385499999996</v>
      </c>
      <c r="G285" s="110" t="str">
        <f t="shared" si="32"/>
        <v>3rd Floor for Residential</v>
      </c>
      <c r="H285" s="110"/>
      <c r="I285" s="37">
        <f>(3.35*3.4+1.8*3.8+1.2*0.9+2.25*2.6+1.2*1.5+0.7*0.9+1.2*0.3+1.8*1)</f>
        <v>29.750000000000004</v>
      </c>
      <c r="N285" s="37"/>
    </row>
    <row r="286" spans="1:14" s="38" customFormat="1" ht="15.75" customHeight="1" x14ac:dyDescent="0.35">
      <c r="A286" s="118" t="s">
        <v>215</v>
      </c>
      <c r="B286" s="119"/>
      <c r="C286" s="119"/>
      <c r="D286" s="119"/>
      <c r="E286" s="119"/>
      <c r="F286" s="119"/>
      <c r="G286" s="119"/>
      <c r="H286" s="120"/>
      <c r="I286" s="37"/>
    </row>
    <row r="287" spans="1:14" s="38" customFormat="1" x14ac:dyDescent="0.35">
      <c r="A287" s="112" t="str">
        <f>N287</f>
        <v>401,..,601</v>
      </c>
      <c r="B287" s="114"/>
      <c r="C287" s="55" t="s">
        <v>212</v>
      </c>
      <c r="D287" s="43">
        <f>(3.35*3.4+1.8*3.8+1.2*1.5+2.25*2.6+1.2*0.9+0.9*0.7+1.2*0.3+0.9*1.8+0.95*3+1.2*(3.35+2.25))*10.764</f>
        <v>421.30295999999998</v>
      </c>
      <c r="E287" s="43">
        <v>0</v>
      </c>
      <c r="F287" s="43">
        <f t="shared" ref="F287:F294" si="33">D287*(($F$223)+1)+(IF(E287&lt;101,E287,IF(E287&lt;201,E287/2,IF(E287&lt;=301,E287/3,E287/4))))</f>
        <v>631.95443999999998</v>
      </c>
      <c r="G287" s="112" t="str">
        <f>A286</f>
        <v>4th, 5th, 6th Floor</v>
      </c>
      <c r="H287" s="114"/>
      <c r="I287" s="37"/>
      <c r="L287" s="38">
        <v>401</v>
      </c>
      <c r="M287" s="38">
        <v>601</v>
      </c>
      <c r="N287" s="38" t="str">
        <f>L287&amp;""&amp;",..,"&amp;""&amp;M287</f>
        <v>401,..,601</v>
      </c>
    </row>
    <row r="288" spans="1:14" s="38" customFormat="1" x14ac:dyDescent="0.35">
      <c r="A288" s="112" t="str">
        <f t="shared" ref="A288:A294" si="34">N288</f>
        <v>402,..,602</v>
      </c>
      <c r="B288" s="114"/>
      <c r="C288" s="55" t="s">
        <v>212</v>
      </c>
      <c r="D288" s="43">
        <f>(3.35*3.4+1.8*3.8+1.2*1.5+2.25*2.6+1.2*0.9+0.9*0.7+1.2*0.3+0.9*1.8+0.95*3+1.2*(3.35+2.25))*10.764</f>
        <v>421.30295999999998</v>
      </c>
      <c r="E288" s="43">
        <v>0</v>
      </c>
      <c r="F288" s="43">
        <f t="shared" si="33"/>
        <v>631.95443999999998</v>
      </c>
      <c r="G288" s="112" t="str">
        <f t="shared" ref="G288:G294" si="35">G287</f>
        <v>4th, 5th, 6th Floor</v>
      </c>
      <c r="H288" s="114"/>
      <c r="I288" s="37">
        <f>4100000/F288</f>
        <v>6487.8094693028825</v>
      </c>
      <c r="L288" s="38">
        <v>402</v>
      </c>
      <c r="M288" s="38">
        <v>602</v>
      </c>
      <c r="N288" s="38" t="str">
        <f t="shared" ref="N288:N294" si="36">L288&amp;""&amp;",..,"&amp;""&amp;M288</f>
        <v>402,..,602</v>
      </c>
    </row>
    <row r="289" spans="1:14" s="38" customFormat="1" ht="15.75" customHeight="1" x14ac:dyDescent="0.35">
      <c r="A289" s="112" t="str">
        <f t="shared" si="34"/>
        <v>403,..,603</v>
      </c>
      <c r="B289" s="114"/>
      <c r="C289" s="55" t="s">
        <v>211</v>
      </c>
      <c r="D289" s="43">
        <f>(3*4.2+2.25*1.8+2.75*3+1.2*0.9+1.2*1.7+1.85*2.25+1.2*(3+2.75)+0.25*2.4)*10.764</f>
        <v>427.14243000000005</v>
      </c>
      <c r="E289" s="43">
        <v>0</v>
      </c>
      <c r="F289" s="43">
        <f t="shared" si="33"/>
        <v>640.71364500000004</v>
      </c>
      <c r="G289" s="112" t="str">
        <f t="shared" si="35"/>
        <v>4th, 5th, 6th Floor</v>
      </c>
      <c r="H289" s="114"/>
      <c r="I289" s="37"/>
      <c r="L289" s="38">
        <v>403</v>
      </c>
      <c r="M289" s="38">
        <v>603</v>
      </c>
      <c r="N289" s="38" t="str">
        <f t="shared" si="36"/>
        <v>403,..,603</v>
      </c>
    </row>
    <row r="290" spans="1:14" s="38" customFormat="1" ht="15.75" customHeight="1" x14ac:dyDescent="0.35">
      <c r="A290" s="112" t="str">
        <f t="shared" si="34"/>
        <v>404,..,604</v>
      </c>
      <c r="B290" s="114"/>
      <c r="C290" s="55" t="s">
        <v>211</v>
      </c>
      <c r="D290" s="43">
        <f>(3*4.2+2.25*1.8+2.75*3+1.2*0.9+1.2*1.7+1.85*2.25+1.2*(3+2.75)+0.25*2.4)*10.764</f>
        <v>427.14243000000005</v>
      </c>
      <c r="E290" s="43">
        <v>0</v>
      </c>
      <c r="F290" s="43">
        <f t="shared" si="33"/>
        <v>640.71364500000004</v>
      </c>
      <c r="G290" s="112" t="str">
        <f t="shared" si="35"/>
        <v>4th, 5th, 6th Floor</v>
      </c>
      <c r="H290" s="114"/>
      <c r="I290" s="37"/>
      <c r="L290" s="38">
        <v>404</v>
      </c>
      <c r="M290" s="38">
        <v>604</v>
      </c>
      <c r="N290" s="38" t="str">
        <f t="shared" si="36"/>
        <v>404,..,604</v>
      </c>
    </row>
    <row r="291" spans="1:14" s="38" customFormat="1" ht="15.75" customHeight="1" x14ac:dyDescent="0.35">
      <c r="A291" s="112" t="str">
        <f t="shared" si="34"/>
        <v>405,..,605</v>
      </c>
      <c r="B291" s="114"/>
      <c r="C291" s="55" t="s">
        <v>212</v>
      </c>
      <c r="D291" s="43">
        <f>(3.2*3.36+1.8*3.8+1.2*1.5+2.25*2.6+1.2*0.9+1.2*0.3+0.9*0.75+0.95*3+1.2*(3.2+2.25))*10.764</f>
        <v>395.54470799999996</v>
      </c>
      <c r="E291" s="43">
        <v>0</v>
      </c>
      <c r="F291" s="43">
        <f t="shared" si="33"/>
        <v>593.31706199999996</v>
      </c>
      <c r="G291" s="112" t="str">
        <f t="shared" si="35"/>
        <v>4th, 5th, 6th Floor</v>
      </c>
      <c r="H291" s="114"/>
      <c r="I291" s="37"/>
      <c r="L291" s="38">
        <v>405</v>
      </c>
      <c r="M291" s="38">
        <v>605</v>
      </c>
      <c r="N291" s="38" t="str">
        <f t="shared" si="36"/>
        <v>405,..,605</v>
      </c>
    </row>
    <row r="292" spans="1:14" s="38" customFormat="1" x14ac:dyDescent="0.35">
      <c r="A292" s="112" t="str">
        <f t="shared" si="34"/>
        <v>406,..,606</v>
      </c>
      <c r="B292" s="114"/>
      <c r="C292" s="55" t="s">
        <v>212</v>
      </c>
      <c r="D292" s="43">
        <f>(3.2*3.36+1.8*3.8+1.2*1.5+2.25*2.6+1.2*0.9+1.2*0.3+0.9*0.75+0.95*3+1.2*(3.2+2.25))*10.764</f>
        <v>395.54470799999996</v>
      </c>
      <c r="E292" s="43">
        <v>0</v>
      </c>
      <c r="F292" s="43">
        <f t="shared" si="33"/>
        <v>593.31706199999996</v>
      </c>
      <c r="G292" s="112" t="str">
        <f t="shared" si="35"/>
        <v>4th, 5th, 6th Floor</v>
      </c>
      <c r="H292" s="114"/>
      <c r="I292" s="37"/>
      <c r="L292" s="38">
        <v>406</v>
      </c>
      <c r="M292" s="38">
        <v>606</v>
      </c>
      <c r="N292" s="38" t="str">
        <f t="shared" si="36"/>
        <v>406,..,606</v>
      </c>
    </row>
    <row r="293" spans="1:14" s="38" customFormat="1" ht="15.75" customHeight="1" x14ac:dyDescent="0.35">
      <c r="A293" s="112" t="str">
        <f t="shared" si="34"/>
        <v>407,..,607</v>
      </c>
      <c r="B293" s="114"/>
      <c r="C293" s="55" t="s">
        <v>211</v>
      </c>
      <c r="D293" s="43">
        <f>(3.45*4+2.1*2.6+2.1*1.2+1.2*1.95+2.75*3+1.95*2.75+0.9*2.9+1.2*(3+3)+2.15*2.75+0.25*2.45)*10.764</f>
        <v>581.98257000000001</v>
      </c>
      <c r="E293" s="43">
        <v>0</v>
      </c>
      <c r="F293" s="43">
        <f t="shared" si="33"/>
        <v>872.97385499999996</v>
      </c>
      <c r="G293" s="112" t="str">
        <f t="shared" si="35"/>
        <v>4th, 5th, 6th Floor</v>
      </c>
      <c r="H293" s="114"/>
      <c r="I293" s="37"/>
      <c r="L293" s="38">
        <v>407</v>
      </c>
      <c r="M293" s="38">
        <v>607</v>
      </c>
      <c r="N293" s="38" t="str">
        <f t="shared" si="36"/>
        <v>407,..,607</v>
      </c>
    </row>
    <row r="294" spans="1:14" s="38" customFormat="1" ht="15.75" customHeight="1" x14ac:dyDescent="0.35">
      <c r="A294" s="112" t="str">
        <f t="shared" si="34"/>
        <v>408,..,608</v>
      </c>
      <c r="B294" s="114"/>
      <c r="C294" s="55" t="s">
        <v>211</v>
      </c>
      <c r="D294" s="43">
        <f>(3.45*4+2.1*2.6+2.1*1.2+1.2*1.95+2.75*3+1.95*2.75+0.9*2.9+1.2*(3+3)+2.15*2.75+0.25*2.45)*10.764</f>
        <v>581.98257000000001</v>
      </c>
      <c r="E294" s="43">
        <v>0</v>
      </c>
      <c r="F294" s="43">
        <f t="shared" si="33"/>
        <v>872.97385499999996</v>
      </c>
      <c r="G294" s="112" t="str">
        <f t="shared" si="35"/>
        <v>4th, 5th, 6th Floor</v>
      </c>
      <c r="H294" s="114"/>
      <c r="I294" s="37"/>
      <c r="L294" s="38">
        <v>408</v>
      </c>
      <c r="M294" s="38">
        <v>608</v>
      </c>
      <c r="N294" s="38" t="str">
        <f t="shared" si="36"/>
        <v>408,..,608</v>
      </c>
    </row>
    <row r="295" spans="1:14" s="38" customFormat="1" x14ac:dyDescent="0.35">
      <c r="A295" s="117" t="s">
        <v>216</v>
      </c>
      <c r="B295" s="117"/>
      <c r="C295" s="117"/>
      <c r="D295" s="117"/>
      <c r="E295" s="117"/>
      <c r="F295" s="117"/>
      <c r="G295" s="117"/>
      <c r="H295" s="117"/>
      <c r="I295" s="37"/>
      <c r="L295" s="125"/>
      <c r="M295" s="125"/>
    </row>
    <row r="296" spans="1:14" s="38" customFormat="1" x14ac:dyDescent="0.35">
      <c r="A296" s="110">
        <f>LEFT(A295,SUM(LEN(A295)-LEN(SUBSTITUTE(A295,{"0","1","2","3","4","5","6","7","8","9"},""))))*100+1</f>
        <v>701</v>
      </c>
      <c r="B296" s="110"/>
      <c r="C296" s="55" t="s">
        <v>211</v>
      </c>
      <c r="D296" s="43">
        <f>(3.35*4+2.85*2.75+1.2*0.9+2.25*2.6+1.2*1.5+1.8*0.9+1.2*1.3+0.9*1.1)*10.764</f>
        <v>367.45605000000006</v>
      </c>
      <c r="E296" s="43">
        <v>0</v>
      </c>
      <c r="F296" s="43">
        <f t="shared" ref="F296:F303" si="37">D296*(($F$223)+1)+(IF(E296&lt;101,E296,IF(E296&lt;201,E296/2,IF(E296&lt;=301,E296/3,E296/4))))</f>
        <v>551.18407500000012</v>
      </c>
      <c r="G296" s="110" t="str">
        <f>A295</f>
        <v>7th Floor</v>
      </c>
      <c r="H296" s="110"/>
      <c r="I296" s="37">
        <f>(3.45*3.4+1.95*2.75+2.1*2.6+2.1*1.2+1.2*1.35+2.75*3+1.2*0.9+1.2*0.9+1.1*0.75+2.15*2.75)</f>
        <v>43.84</v>
      </c>
      <c r="N296" s="37"/>
    </row>
    <row r="297" spans="1:14" s="38" customFormat="1" x14ac:dyDescent="0.35">
      <c r="A297" s="110">
        <f t="shared" ref="A297:A303" si="38">A296+1</f>
        <v>702</v>
      </c>
      <c r="B297" s="110"/>
      <c r="C297" s="55" t="s">
        <v>211</v>
      </c>
      <c r="D297" s="43">
        <f>(3.35*4.2+2.85*2.75+1.2*0.9+2.25*2.6+1.2*1.5+1.8*0.9+1.2*1.3+0.9*1.1)*10.764</f>
        <v>374.66793000000001</v>
      </c>
      <c r="E297" s="43">
        <v>0</v>
      </c>
      <c r="F297" s="43">
        <f t="shared" si="37"/>
        <v>562.00189499999999</v>
      </c>
      <c r="G297" s="110" t="str">
        <f t="shared" ref="G297:G303" si="39">G296</f>
        <v>7th Floor</v>
      </c>
      <c r="H297" s="110"/>
      <c r="I297" s="37"/>
      <c r="L297" s="56"/>
      <c r="N297" s="37"/>
    </row>
    <row r="298" spans="1:14" s="38" customFormat="1" x14ac:dyDescent="0.35">
      <c r="A298" s="110">
        <f t="shared" si="38"/>
        <v>703</v>
      </c>
      <c r="B298" s="110"/>
      <c r="C298" s="55" t="s">
        <v>211</v>
      </c>
      <c r="D298" s="43">
        <f>(3*5.4+2.25*2.6+2.75*3+1.2*0.9+1.2*1.7+0.9*2.25)*10.764</f>
        <v>381.52997999999997</v>
      </c>
      <c r="E298" s="43">
        <v>0</v>
      </c>
      <c r="F298" s="43">
        <f t="shared" si="37"/>
        <v>572.29496999999992</v>
      </c>
      <c r="G298" s="110" t="str">
        <f t="shared" si="39"/>
        <v>7th Floor</v>
      </c>
      <c r="H298" s="110"/>
      <c r="I298" s="37"/>
      <c r="N298" s="37"/>
    </row>
    <row r="299" spans="1:14" s="38" customFormat="1" x14ac:dyDescent="0.35">
      <c r="A299" s="110">
        <f t="shared" si="38"/>
        <v>704</v>
      </c>
      <c r="B299" s="110"/>
      <c r="C299" s="55" t="s">
        <v>211</v>
      </c>
      <c r="D299" s="43">
        <f>(3.15*5.16+2.25*2.6+2.75*3+1.2*0.9+1.2*1.7+0.9*2.25)*10.764</f>
        <v>382.11123600000002</v>
      </c>
      <c r="E299" s="43">
        <v>0</v>
      </c>
      <c r="F299" s="43">
        <f t="shared" si="37"/>
        <v>573.16685400000006</v>
      </c>
      <c r="G299" s="110" t="str">
        <f t="shared" si="39"/>
        <v>7th Floor</v>
      </c>
      <c r="H299" s="110"/>
      <c r="I299" s="37"/>
      <c r="N299" s="37"/>
    </row>
    <row r="300" spans="1:14" s="38" customFormat="1" x14ac:dyDescent="0.35">
      <c r="A300" s="110">
        <f t="shared" si="38"/>
        <v>705</v>
      </c>
      <c r="B300" s="110"/>
      <c r="C300" s="55" t="s">
        <v>211</v>
      </c>
      <c r="D300" s="43">
        <f>(3.2*4.56+1.2*1.5+2.25*2.6+1.2*0.9+2.85*2.75+2.75*0.9+1.2*0.5)*10.764</f>
        <v>368.500158</v>
      </c>
      <c r="E300" s="43">
        <v>0</v>
      </c>
      <c r="F300" s="43">
        <f t="shared" si="37"/>
        <v>552.75023699999997</v>
      </c>
      <c r="G300" s="110" t="str">
        <f t="shared" si="39"/>
        <v>7th Floor</v>
      </c>
      <c r="H300" s="110"/>
      <c r="I300" s="37"/>
      <c r="N300" s="37"/>
    </row>
    <row r="301" spans="1:14" s="38" customFormat="1" x14ac:dyDescent="0.35">
      <c r="A301" s="110">
        <f t="shared" si="38"/>
        <v>706</v>
      </c>
      <c r="B301" s="110"/>
      <c r="C301" s="55" t="s">
        <v>211</v>
      </c>
      <c r="D301" s="43">
        <f>(3.2*4.56+1.2*1.5+2.25*2.6+1.2*0.9+2.85*2.75+2.75*0.9+1.2*0.5)*10.764</f>
        <v>368.500158</v>
      </c>
      <c r="E301" s="43">
        <v>0</v>
      </c>
      <c r="F301" s="43">
        <f t="shared" si="37"/>
        <v>552.75023699999997</v>
      </c>
      <c r="G301" s="110" t="str">
        <f t="shared" si="39"/>
        <v>7th Floor</v>
      </c>
      <c r="H301" s="110"/>
      <c r="I301" s="37"/>
      <c r="N301" s="37"/>
    </row>
    <row r="302" spans="1:14" s="38" customFormat="1" x14ac:dyDescent="0.35">
      <c r="A302" s="110">
        <f t="shared" si="38"/>
        <v>707</v>
      </c>
      <c r="B302" s="110"/>
      <c r="C302" s="55" t="s">
        <v>211</v>
      </c>
      <c r="D302" s="43">
        <f>(3.45*4+1.95*2.75+2.1*2.6+2.1*1.2+1.2*1.95+2.75*3+1.2*2.9+1.2*(3+3)+2.15*2.75+0.25*2.45)*10.764</f>
        <v>591.34724999999992</v>
      </c>
      <c r="E302" s="43">
        <v>0</v>
      </c>
      <c r="F302" s="43">
        <f t="shared" si="37"/>
        <v>887.02087499999993</v>
      </c>
      <c r="G302" s="110" t="str">
        <f t="shared" si="39"/>
        <v>7th Floor</v>
      </c>
      <c r="H302" s="110"/>
      <c r="I302" s="37">
        <f>5700000/F302</f>
        <v>6426.004348544785</v>
      </c>
      <c r="N302" s="37"/>
    </row>
    <row r="303" spans="1:14" s="38" customFormat="1" x14ac:dyDescent="0.35">
      <c r="A303" s="110">
        <f t="shared" si="38"/>
        <v>708</v>
      </c>
      <c r="B303" s="110"/>
      <c r="C303" s="55" t="s">
        <v>217</v>
      </c>
      <c r="D303" s="43">
        <f>(4.65*3.4+2.75*2.75+2.75*3+1.2*1.95+2.1*1.2+2.1*2.6+1.2*3+1.2*0.9+1.2*(3.5+3)+0.75*2.75)*10.764</f>
        <v>608.00454000000002</v>
      </c>
      <c r="E303" s="43">
        <v>0</v>
      </c>
      <c r="F303" s="43">
        <f t="shared" si="37"/>
        <v>912.00681000000009</v>
      </c>
      <c r="G303" s="110" t="str">
        <f t="shared" si="39"/>
        <v>7th Floor</v>
      </c>
      <c r="H303" s="110"/>
      <c r="I303" s="37">
        <f>(3.35*3.4+1.8*3.8+1.2*0.9+2.25*2.6+1.2*1.5+0.7*0.9+1.2*0.3+1.8*1)</f>
        <v>29.750000000000004</v>
      </c>
      <c r="J303" s="38">
        <f>6200000/F303</f>
        <v>6798.1948511985338</v>
      </c>
      <c r="N303" s="37"/>
    </row>
    <row r="304" spans="1:14" s="38" customFormat="1" x14ac:dyDescent="0.35">
      <c r="A304" s="118" t="s">
        <v>220</v>
      </c>
      <c r="B304" s="119"/>
      <c r="C304" s="119"/>
      <c r="D304" s="119"/>
      <c r="E304" s="119"/>
      <c r="F304" s="119"/>
      <c r="G304" s="119"/>
      <c r="H304" s="120"/>
      <c r="I304" s="37"/>
    </row>
    <row r="305" spans="1:14" s="38" customFormat="1" x14ac:dyDescent="0.35">
      <c r="A305" s="112" t="str">
        <f ca="1">(SUMPRODUCT(MID(0&amp;(LEFT(A304,SUM(LEN(A304)-LEN(SUBSTITUTE(A304,{"0","1","2"},""))))), LARGE(INDEX(ISNUMBER(--MID((LEFT(A304,SUM(LEN(A304)-LEN(SUBSTITUTE(A304,{"0","1","2"},""))))), ROW(INDIRECT("1:"&amp;LEN((LEFT(A304,SUM(LEN(A304)-LEN(SUBSTITUTE(A304,{"0","1","2"},"")))))))), 1)) * ROW(INDIRECT("1:"&amp;LEN((LEFT(A304,SUM(LEN(A304)-LEN(SUBSTITUTE(A304,{"0","1","2"},"")))))))), 0), ROW(INDIRECT("1:"&amp;LEN((LEFT(A304,SUM(LEN(A304)-LEN(SUBSTITUTE(A304,{"0","1","2"},"")))))))))+1, 1) * 10^ROW(INDIRECT("1:"&amp;LEN((LEFT(A304,SUM(LEN(A304)-LEN(SUBSTITUTE(A304,{"0","1","2"},""))))))))/10))*100+1&amp;""&amp;" &amp; "&amp;""&amp;(SUMPRODUCT(MID(0&amp;(--TRIM(RIGHT(SUBSTITUTE(LEFT(A304,_xlfn.AGGREGATE(16,6,FIND({0,1,2,3,4,5,6,7,8,9},A304,ROW(INDIRECT("1:"&amp;LEN(A304)))),1))," ",REPT(" ",LEN(A304))),LEN(A304)))), LARGE(INDEX(ISNUMBER(--MID((--TRIM(RIGHT(SUBSTITUTE(LEFT(A304,_xlfn.AGGREGATE(16,6,FIND({0,1,2,3,4,5,6,7,8,9},A304,ROW(INDIRECT("1:"&amp;LEN(A304)))),1))," ",REPT(" ",LEN(A304))),LEN(A304)))), ROW(INDIRECT("1:"&amp;LEN((--TRIM(RIGHT(SUBSTITUTE(LEFT(A304,_xlfn.AGGREGATE(16,6,FIND({0,1,2,3,4,5,6,7,8,9},A304,ROW(INDIRECT("1:"&amp;LEN(A304)))),1))," ",REPT(" ",LEN(A304))),LEN(A304))))))), 1)) * ROW(INDIRECT("1:"&amp;LEN((--TRIM(RIGHT(SUBSTITUTE(LEFT(A304,_xlfn.AGGREGATE(16,6,FIND({0,1,2,3,4,5,6,7,8,9},A304,ROW(INDIRECT("1:"&amp;LEN(A304)))),1))," ",REPT(" ",LEN(A304))),LEN(A304))))))), 0), ROW(INDIRECT("1:"&amp;LEN((--TRIM(RIGHT(SUBSTITUTE(LEFT(A304,_xlfn.AGGREGATE(16,6,FIND({0,1,2,3,4,5,6,7,8,9},A304,ROW(INDIRECT("1:"&amp;LEN(A304)))),1))," ",REPT(" ",LEN(A304))),LEN(A304))))))))+1, 1) * 10^ROW(INDIRECT("1:"&amp;LEN((--TRIM(RIGHT(SUBSTITUTE(LEFT(A304,_xlfn.AGGREGATE(16,6,FIND({0,1,2,3,4,5,6,7,8,9},A304,ROW(INDIRECT("1:"&amp;LEN(A304)))),1))," ",REPT(" ",LEN(A304))),LEN(A304)))))))/10))*100+1</f>
        <v>801 &amp; 1301</v>
      </c>
      <c r="B305" s="114"/>
      <c r="C305" s="55" t="s">
        <v>211</v>
      </c>
      <c r="D305" s="43">
        <f>(3.35*4+2.85*2.75+1.2*0.9+2.25*2.6+1.2*1.5+1.2*1.3+0.9*1+1*1.8)*10.764</f>
        <v>368.42480999999998</v>
      </c>
      <c r="E305" s="43">
        <v>0</v>
      </c>
      <c r="F305" s="43">
        <f>D305*(($F$223)+1)+(IF(E305&lt;101,E305,IF(E305&lt;201,E305/2,IF(E305&lt;=301,E305/3,E305/4))))</f>
        <v>552.63721499999997</v>
      </c>
      <c r="G305" s="112" t="str">
        <f>A304</f>
        <v>8th &amp; 13th Floor (Part Refuge Area)</v>
      </c>
      <c r="H305" s="114"/>
      <c r="I305" s="37"/>
    </row>
    <row r="306" spans="1:14" s="38" customFormat="1" x14ac:dyDescent="0.35">
      <c r="A306" s="112" t="str">
        <f ca="1">(SUMPRODUCT(MID(0&amp;(LEFT(A305,SUM(LEN(A305)-LEN(SUBSTITUTE(A305,{"0","1","2"},""))))), LARGE(INDEX(ISNUMBER(--MID((LEFT(A305,SUM(LEN(A305)-LEN(SUBSTITUTE(A305,{"0","1","2"},""))))), ROW(INDIRECT("1:"&amp;LEN((LEFT(A305,SUM(LEN(A305)-LEN(SUBSTITUTE(A305,{"0","1","2"},"")))))))), 1)) * ROW(INDIRECT("1:"&amp;LEN((LEFT(A305,SUM(LEN(A305)-LEN(SUBSTITUTE(A305,{"0","1","2"},"")))))))), 0), ROW(INDIRECT("1:"&amp;LEN((LEFT(A305,SUM(LEN(A305)-LEN(SUBSTITUTE(A305,{"0","1","2"},"")))))))))+1, 1) * 10^ROW(INDIRECT("1:"&amp;LEN((LEFT(A305,SUM(LEN(A305)-LEN(SUBSTITUTE(A305,{"0","1","2"},""))))))))/10))*1+1&amp;""&amp;" &amp; "&amp;""&amp;(SUMPRODUCT(MID(0&amp;(--TRIM(RIGHT(SUBSTITUTE(LEFT(A305,_xlfn.AGGREGATE(16,6,FIND({0,1,2,3,4,5,6,7,8,9},A305,ROW(INDIRECT("1:"&amp;LEN(A305)))),1))," ",REPT(" ",LEN(A305))),LEN(A305)))), LARGE(INDEX(ISNUMBER(--MID((--TRIM(RIGHT(SUBSTITUTE(LEFT(A305,_xlfn.AGGREGATE(16,6,FIND({0,1,2,3,4,5,6,7,8,9},A305,ROW(INDIRECT("1:"&amp;LEN(A305)))),1))," ",REPT(" ",LEN(A305))),LEN(A305)))), ROW(INDIRECT("1:"&amp;LEN((--TRIM(RIGHT(SUBSTITUTE(LEFT(A305,_xlfn.AGGREGATE(16,6,FIND({0,1,2,3,4,5,6,7,8,9},A305,ROW(INDIRECT("1:"&amp;LEN(A305)))),1))," ",REPT(" ",LEN(A305))),LEN(A305))))))), 1)) * ROW(INDIRECT("1:"&amp;LEN((--TRIM(RIGHT(SUBSTITUTE(LEFT(A305,_xlfn.AGGREGATE(16,6,FIND({0,1,2,3,4,5,6,7,8,9},A305,ROW(INDIRECT("1:"&amp;LEN(A305)))),1))," ",REPT(" ",LEN(A305))),LEN(A305))))))), 0), ROW(INDIRECT("1:"&amp;LEN((--TRIM(RIGHT(SUBSTITUTE(LEFT(A305,_xlfn.AGGREGATE(16,6,FIND({0,1,2,3,4,5,6,7,8,9},A305,ROW(INDIRECT("1:"&amp;LEN(A305)))),1))," ",REPT(" ",LEN(A305))),LEN(A305))))))))+1, 1) * 10^ROW(INDIRECT("1:"&amp;LEN((--TRIM(RIGHT(SUBSTITUTE(LEFT(A305,_xlfn.AGGREGATE(16,6,FIND({0,1,2,3,4,5,6,7,8,9},A305,ROW(INDIRECT("1:"&amp;LEN(A305)))),1))," ",REPT(" ",LEN(A305))),LEN(A305)))))))/10))*1+1</f>
        <v>802 &amp; 1302</v>
      </c>
      <c r="B306" s="114"/>
      <c r="C306" s="55" t="s">
        <v>211</v>
      </c>
      <c r="D306" s="43">
        <f>(3.35*4.2+2.85*2.75+1.2*0.9+2.25*2.6+1.2*1.5+1.2*1.3+0.9*1+1*1.8)*10.764</f>
        <v>375.63668999999993</v>
      </c>
      <c r="E306" s="43">
        <v>0</v>
      </c>
      <c r="F306" s="43">
        <f>D306*(($F$223)+1)+(IF(E306&lt;101,E306,IF(E306&lt;201,E306/2,IF(E306&lt;=301,E306/3,E306/4))))</f>
        <v>563.45503499999995</v>
      </c>
      <c r="G306" s="112" t="str">
        <f t="shared" ref="G306:G312" si="40">G305</f>
        <v>8th &amp; 13th Floor (Part Refuge Area)</v>
      </c>
      <c r="H306" s="114"/>
      <c r="I306" s="37"/>
    </row>
    <row r="307" spans="1:14" s="38" customFormat="1" x14ac:dyDescent="0.35">
      <c r="A307" s="112" t="str">
        <f ca="1">(SUMPRODUCT(MID(0&amp;(LEFT(A306,SUM(LEN(A306)-LEN(SUBSTITUTE(A306,{"0","1","2"},""))))), LARGE(INDEX(ISNUMBER(--MID((LEFT(A306,SUM(LEN(A306)-LEN(SUBSTITUTE(A306,{"0","1","2"},""))))), ROW(INDIRECT("1:"&amp;LEN((LEFT(A306,SUM(LEN(A306)-LEN(SUBSTITUTE(A306,{"0","1","2"},"")))))))), 1)) * ROW(INDIRECT("1:"&amp;LEN((LEFT(A306,SUM(LEN(A306)-LEN(SUBSTITUTE(A306,{"0","1","2"},"")))))))), 0), ROW(INDIRECT("1:"&amp;LEN((LEFT(A306,SUM(LEN(A306)-LEN(SUBSTITUTE(A306,{"0","1","2"},"")))))))))+1, 1) * 10^ROW(INDIRECT("1:"&amp;LEN((LEFT(A306,SUM(LEN(A306)-LEN(SUBSTITUTE(A306,{"0","1","2"},""))))))))/10))*1+1&amp;""&amp;" &amp; "&amp;""&amp;(SUMPRODUCT(MID(0&amp;(--TRIM(RIGHT(SUBSTITUTE(LEFT(A306,_xlfn.AGGREGATE(16,6,FIND({0,1,2,3,4,5,6,7,8,9},A306,ROW(INDIRECT("1:"&amp;LEN(A306)))),1))," ",REPT(" ",LEN(A306))),LEN(A306)))), LARGE(INDEX(ISNUMBER(--MID((--TRIM(RIGHT(SUBSTITUTE(LEFT(A306,_xlfn.AGGREGATE(16,6,FIND({0,1,2,3,4,5,6,7,8,9},A306,ROW(INDIRECT("1:"&amp;LEN(A306)))),1))," ",REPT(" ",LEN(A306))),LEN(A306)))), ROW(INDIRECT("1:"&amp;LEN((--TRIM(RIGHT(SUBSTITUTE(LEFT(A306,_xlfn.AGGREGATE(16,6,FIND({0,1,2,3,4,5,6,7,8,9},A306,ROW(INDIRECT("1:"&amp;LEN(A306)))),1))," ",REPT(" ",LEN(A306))),LEN(A306))))))), 1)) * ROW(INDIRECT("1:"&amp;LEN((--TRIM(RIGHT(SUBSTITUTE(LEFT(A306,_xlfn.AGGREGATE(16,6,FIND({0,1,2,3,4,5,6,7,8,9},A306,ROW(INDIRECT("1:"&amp;LEN(A306)))),1))," ",REPT(" ",LEN(A306))),LEN(A306))))))), 0), ROW(INDIRECT("1:"&amp;LEN((--TRIM(RIGHT(SUBSTITUTE(LEFT(A306,_xlfn.AGGREGATE(16,6,FIND({0,1,2,3,4,5,6,7,8,9},A306,ROW(INDIRECT("1:"&amp;LEN(A306)))),1))," ",REPT(" ",LEN(A306))),LEN(A306))))))))+1, 1) * 10^ROW(INDIRECT("1:"&amp;LEN((--TRIM(RIGHT(SUBSTITUTE(LEFT(A306,_xlfn.AGGREGATE(16,6,FIND({0,1,2,3,4,5,6,7,8,9},A306,ROW(INDIRECT("1:"&amp;LEN(A306)))),1))," ",REPT(" ",LEN(A306))),LEN(A306)))))))/10))*1+1</f>
        <v>803 &amp; 1303</v>
      </c>
      <c r="B307" s="114"/>
      <c r="C307" s="55" t="s">
        <v>211</v>
      </c>
      <c r="D307" s="43">
        <f>(3*5.4+2.25*2.6+2.75*3+1.2*0.9+1.2*1.7+0.9*2.25+0.3*1.2)*10.764</f>
        <v>385.40501999999998</v>
      </c>
      <c r="E307" s="43">
        <v>0</v>
      </c>
      <c r="F307" s="43">
        <f>D307*(($F$223)+1)+(IF(E307&lt;101,E307,IF(E307&lt;201,E307/2,IF(E307&lt;=301,E307/3,E307/4))))</f>
        <v>578.10753</v>
      </c>
      <c r="G307" s="112" t="str">
        <f t="shared" si="40"/>
        <v>8th &amp; 13th Floor (Part Refuge Area)</v>
      </c>
      <c r="H307" s="114"/>
      <c r="I307" s="37"/>
    </row>
    <row r="308" spans="1:14" s="38" customFormat="1" x14ac:dyDescent="0.35">
      <c r="A308" s="112" t="str">
        <f ca="1">(SUMPRODUCT(MID(0&amp;(LEFT(A307,SUM(LEN(A307)-LEN(SUBSTITUTE(A307,{"0","1","2"},""))))), LARGE(INDEX(ISNUMBER(--MID((LEFT(A307,SUM(LEN(A307)-LEN(SUBSTITUTE(A307,{"0","1","2"},""))))), ROW(INDIRECT("1:"&amp;LEN((LEFT(A307,SUM(LEN(A307)-LEN(SUBSTITUTE(A307,{"0","1","2"},"")))))))), 1)) * ROW(INDIRECT("1:"&amp;LEN((LEFT(A307,SUM(LEN(A307)-LEN(SUBSTITUTE(A307,{"0","1","2"},"")))))))), 0), ROW(INDIRECT("1:"&amp;LEN((LEFT(A307,SUM(LEN(A307)-LEN(SUBSTITUTE(A307,{"0","1","2"},"")))))))))+1, 1) * 10^ROW(INDIRECT("1:"&amp;LEN((LEFT(A307,SUM(LEN(A307)-LEN(SUBSTITUTE(A307,{"0","1","2"},""))))))))/10))*1+1&amp;""&amp;" &amp; "&amp;""&amp;(SUMPRODUCT(MID(0&amp;(--TRIM(RIGHT(SUBSTITUTE(LEFT(A307,_xlfn.AGGREGATE(16,6,FIND({0,1,2,3,4,5,6,7,8,9},A307,ROW(INDIRECT("1:"&amp;LEN(A307)))),1))," ",REPT(" ",LEN(A307))),LEN(A307)))), LARGE(INDEX(ISNUMBER(--MID((--TRIM(RIGHT(SUBSTITUTE(LEFT(A307,_xlfn.AGGREGATE(16,6,FIND({0,1,2,3,4,5,6,7,8,9},A307,ROW(INDIRECT("1:"&amp;LEN(A307)))),1))," ",REPT(" ",LEN(A307))),LEN(A307)))), ROW(INDIRECT("1:"&amp;LEN((--TRIM(RIGHT(SUBSTITUTE(LEFT(A307,_xlfn.AGGREGATE(16,6,FIND({0,1,2,3,4,5,6,7,8,9},A307,ROW(INDIRECT("1:"&amp;LEN(A307)))),1))," ",REPT(" ",LEN(A307))),LEN(A307))))))), 1)) * ROW(INDIRECT("1:"&amp;LEN((--TRIM(RIGHT(SUBSTITUTE(LEFT(A307,_xlfn.AGGREGATE(16,6,FIND({0,1,2,3,4,5,6,7,8,9},A307,ROW(INDIRECT("1:"&amp;LEN(A307)))),1))," ",REPT(" ",LEN(A307))),LEN(A307))))))), 0), ROW(INDIRECT("1:"&amp;LEN((--TRIM(RIGHT(SUBSTITUTE(LEFT(A307,_xlfn.AGGREGATE(16,6,FIND({0,1,2,3,4,5,6,7,8,9},A307,ROW(INDIRECT("1:"&amp;LEN(A307)))),1))," ",REPT(" ",LEN(A307))),LEN(A307))))))))+1, 1) * 10^ROW(INDIRECT("1:"&amp;LEN((--TRIM(RIGHT(SUBSTITUTE(LEFT(A307,_xlfn.AGGREGATE(16,6,FIND({0,1,2,3,4,5,6,7,8,9},A307,ROW(INDIRECT("1:"&amp;LEN(A307)))),1))," ",REPT(" ",LEN(A307))),LEN(A307)))))))/10))*1+1</f>
        <v>804 &amp; 1304</v>
      </c>
      <c r="B308" s="114"/>
      <c r="C308" s="55" t="s">
        <v>211</v>
      </c>
      <c r="D308" s="43">
        <f>(3.15*5.16+2.25*2.6+2.75*3+1.2*0.9+1.2*1.7+0.9*2.25+0.3*1.2)*10.764</f>
        <v>385.98627599999998</v>
      </c>
      <c r="E308" s="43">
        <v>0</v>
      </c>
      <c r="F308" s="43">
        <f>D308*(($F$223)+1)+(IF(E308&lt;101,E308,IF(E308&lt;201,E308/2,IF(E308&lt;=301,E308/3,E308/4))))</f>
        <v>578.97941399999991</v>
      </c>
      <c r="G308" s="112" t="str">
        <f t="shared" si="40"/>
        <v>8th &amp; 13th Floor (Part Refuge Area)</v>
      </c>
      <c r="H308" s="114"/>
      <c r="I308" s="37"/>
    </row>
    <row r="309" spans="1:14" s="38" customFormat="1" x14ac:dyDescent="0.35">
      <c r="A309" s="112" t="str">
        <f ca="1">(SUMPRODUCT(MID(0&amp;(LEFT(A308,SUM(LEN(A308)-LEN(SUBSTITUTE(A308,{"0","1","2"},""))))), LARGE(INDEX(ISNUMBER(--MID((LEFT(A308,SUM(LEN(A308)-LEN(SUBSTITUTE(A308,{"0","1","2"},""))))), ROW(INDIRECT("1:"&amp;LEN((LEFT(A308,SUM(LEN(A308)-LEN(SUBSTITUTE(A308,{"0","1","2"},"")))))))), 1)) * ROW(INDIRECT("1:"&amp;LEN((LEFT(A308,SUM(LEN(A308)-LEN(SUBSTITUTE(A308,{"0","1","2"},"")))))))), 0), ROW(INDIRECT("1:"&amp;LEN((LEFT(A308,SUM(LEN(A308)-LEN(SUBSTITUTE(A308,{"0","1","2"},"")))))))))+1, 1) * 10^ROW(INDIRECT("1:"&amp;LEN((LEFT(A308,SUM(LEN(A308)-LEN(SUBSTITUTE(A308,{"0","1","2"},""))))))))/10))*1+1&amp;""&amp;" &amp; "&amp;""&amp;(SUMPRODUCT(MID(0&amp;(--TRIM(RIGHT(SUBSTITUTE(LEFT(A308,_xlfn.AGGREGATE(16,6,FIND({0,1,2,3,4,5,6,7,8,9},A308,ROW(INDIRECT("1:"&amp;LEN(A308)))),1))," ",REPT(" ",LEN(A308))),LEN(A308)))), LARGE(INDEX(ISNUMBER(--MID((--TRIM(RIGHT(SUBSTITUTE(LEFT(A308,_xlfn.AGGREGATE(16,6,FIND({0,1,2,3,4,5,6,7,8,9},A308,ROW(INDIRECT("1:"&amp;LEN(A308)))),1))," ",REPT(" ",LEN(A308))),LEN(A308)))), ROW(INDIRECT("1:"&amp;LEN((--TRIM(RIGHT(SUBSTITUTE(LEFT(A308,_xlfn.AGGREGATE(16,6,FIND({0,1,2,3,4,5,6,7,8,9},A308,ROW(INDIRECT("1:"&amp;LEN(A308)))),1))," ",REPT(" ",LEN(A308))),LEN(A308))))))), 1)) * ROW(INDIRECT("1:"&amp;LEN((--TRIM(RIGHT(SUBSTITUTE(LEFT(A308,_xlfn.AGGREGATE(16,6,FIND({0,1,2,3,4,5,6,7,8,9},A308,ROW(INDIRECT("1:"&amp;LEN(A308)))),1))," ",REPT(" ",LEN(A308))),LEN(A308))))))), 0), ROW(INDIRECT("1:"&amp;LEN((--TRIM(RIGHT(SUBSTITUTE(LEFT(A308,_xlfn.AGGREGATE(16,6,FIND({0,1,2,3,4,5,6,7,8,9},A308,ROW(INDIRECT("1:"&amp;LEN(A308)))),1))," ",REPT(" ",LEN(A308))),LEN(A308))))))))+1, 1) * 10^ROW(INDIRECT("1:"&amp;LEN((--TRIM(RIGHT(SUBSTITUTE(LEFT(A308,_xlfn.AGGREGATE(16,6,FIND({0,1,2,3,4,5,6,7,8,9},A308,ROW(INDIRECT("1:"&amp;LEN(A308)))),1))," ",REPT(" ",LEN(A308))),LEN(A308)))))))/10))*1+1</f>
        <v>805 &amp; 1305</v>
      </c>
      <c r="B309" s="114"/>
      <c r="C309" s="55" t="s">
        <v>211</v>
      </c>
      <c r="D309" s="43">
        <f>(3.2*4.5+1.2*1.5+2.25*2.6+1.2*0.9+2.85*2.75+0.9*1.2+1.2*1.4)*10.764</f>
        <v>363.04280999999997</v>
      </c>
      <c r="E309" s="43">
        <v>0</v>
      </c>
      <c r="F309" s="43">
        <f>D309*(($F$223)+1)+(IF(E309&lt;101,E309,IF(E309&lt;201,E309/2,IF(E309&lt;=301,E309/3,E309/4))))</f>
        <v>544.56421499999999</v>
      </c>
      <c r="G309" s="112" t="str">
        <f t="shared" si="40"/>
        <v>8th &amp; 13th Floor (Part Refuge Area)</v>
      </c>
      <c r="H309" s="114"/>
      <c r="I309" s="37"/>
    </row>
    <row r="310" spans="1:14" s="38" customFormat="1" x14ac:dyDescent="0.35">
      <c r="A310" s="112" t="str">
        <f ca="1">(SUMPRODUCT(MID(0&amp;(LEFT(A309,SUM(LEN(A309)-LEN(SUBSTITUTE(A309,{"0","1","2"},""))))), LARGE(INDEX(ISNUMBER(--MID((LEFT(A309,SUM(LEN(A309)-LEN(SUBSTITUTE(A309,{"0","1","2"},""))))), ROW(INDIRECT("1:"&amp;LEN((LEFT(A309,SUM(LEN(A309)-LEN(SUBSTITUTE(A309,{"0","1","2"},"")))))))), 1)) * ROW(INDIRECT("1:"&amp;LEN((LEFT(A309,SUM(LEN(A309)-LEN(SUBSTITUTE(A309,{"0","1","2"},"")))))))), 0), ROW(INDIRECT("1:"&amp;LEN((LEFT(A309,SUM(LEN(A309)-LEN(SUBSTITUTE(A309,{"0","1","2"},"")))))))))+1, 1) * 10^ROW(INDIRECT("1:"&amp;LEN((LEFT(A309,SUM(LEN(A309)-LEN(SUBSTITUTE(A309,{"0","1","2"},""))))))))/10))*1+1&amp;""&amp;" &amp; "&amp;""&amp;(SUMPRODUCT(MID(0&amp;(--TRIM(RIGHT(SUBSTITUTE(LEFT(A309,_xlfn.AGGREGATE(16,6,FIND({0,1,2,3,4,5,6,7,8,9},A309,ROW(INDIRECT("1:"&amp;LEN(A309)))),1))," ",REPT(" ",LEN(A309))),LEN(A309)))), LARGE(INDEX(ISNUMBER(--MID((--TRIM(RIGHT(SUBSTITUTE(LEFT(A309,_xlfn.AGGREGATE(16,6,FIND({0,1,2,3,4,5,6,7,8,9},A309,ROW(INDIRECT("1:"&amp;LEN(A309)))),1))," ",REPT(" ",LEN(A309))),LEN(A309)))), ROW(INDIRECT("1:"&amp;LEN((--TRIM(RIGHT(SUBSTITUTE(LEFT(A309,_xlfn.AGGREGATE(16,6,FIND({0,1,2,3,4,5,6,7,8,9},A309,ROW(INDIRECT("1:"&amp;LEN(A309)))),1))," ",REPT(" ",LEN(A309))),LEN(A309))))))), 1)) * ROW(INDIRECT("1:"&amp;LEN((--TRIM(RIGHT(SUBSTITUTE(LEFT(A309,_xlfn.AGGREGATE(16,6,FIND({0,1,2,3,4,5,6,7,8,9},A309,ROW(INDIRECT("1:"&amp;LEN(A309)))),1))," ",REPT(" ",LEN(A309))),LEN(A309))))))), 0), ROW(INDIRECT("1:"&amp;LEN((--TRIM(RIGHT(SUBSTITUTE(LEFT(A309,_xlfn.AGGREGATE(16,6,FIND({0,1,2,3,4,5,6,7,8,9},A309,ROW(INDIRECT("1:"&amp;LEN(A309)))),1))," ",REPT(" ",LEN(A309))),LEN(A309))))))))+1, 1) * 10^ROW(INDIRECT("1:"&amp;LEN((--TRIM(RIGHT(SUBSTITUTE(LEFT(A309,_xlfn.AGGREGATE(16,6,FIND({0,1,2,3,4,5,6,7,8,9},A309,ROW(INDIRECT("1:"&amp;LEN(A309)))),1))," ",REPT(" ",LEN(A309))),LEN(A309)))))))/10))*1+1</f>
        <v>806 &amp; 1306</v>
      </c>
      <c r="B310" s="114"/>
      <c r="C310" s="121" t="s">
        <v>219</v>
      </c>
      <c r="D310" s="122"/>
      <c r="E310" s="122"/>
      <c r="F310" s="123"/>
      <c r="G310" s="112" t="str">
        <f t="shared" si="40"/>
        <v>8th &amp; 13th Floor (Part Refuge Area)</v>
      </c>
      <c r="H310" s="114"/>
      <c r="I310" s="37"/>
    </row>
    <row r="311" spans="1:14" s="38" customFormat="1" x14ac:dyDescent="0.35">
      <c r="A311" s="112" t="str">
        <f ca="1">(SUMPRODUCT(MID(0&amp;(LEFT(A310,SUM(LEN(A310)-LEN(SUBSTITUTE(A310,{"0","1","2"},""))))), LARGE(INDEX(ISNUMBER(--MID((LEFT(A310,SUM(LEN(A310)-LEN(SUBSTITUTE(A310,{"0","1","2"},""))))), ROW(INDIRECT("1:"&amp;LEN((LEFT(A310,SUM(LEN(A310)-LEN(SUBSTITUTE(A310,{"0","1","2"},"")))))))), 1)) * ROW(INDIRECT("1:"&amp;LEN((LEFT(A310,SUM(LEN(A310)-LEN(SUBSTITUTE(A310,{"0","1","2"},"")))))))), 0), ROW(INDIRECT("1:"&amp;LEN((LEFT(A310,SUM(LEN(A310)-LEN(SUBSTITUTE(A310,{"0","1","2"},"")))))))))+1, 1) * 10^ROW(INDIRECT("1:"&amp;LEN((LEFT(A310,SUM(LEN(A310)-LEN(SUBSTITUTE(A310,{"0","1","2"},""))))))))/10))*1+1&amp;""&amp;" &amp; "&amp;""&amp;(SUMPRODUCT(MID(0&amp;(--TRIM(RIGHT(SUBSTITUTE(LEFT(A310,_xlfn.AGGREGATE(16,6,FIND({0,1,2,3,4,5,6,7,8,9},A310,ROW(INDIRECT("1:"&amp;LEN(A310)))),1))," ",REPT(" ",LEN(A310))),LEN(A310)))), LARGE(INDEX(ISNUMBER(--MID((--TRIM(RIGHT(SUBSTITUTE(LEFT(A310,_xlfn.AGGREGATE(16,6,FIND({0,1,2,3,4,5,6,7,8,9},A310,ROW(INDIRECT("1:"&amp;LEN(A310)))),1))," ",REPT(" ",LEN(A310))),LEN(A310)))), ROW(INDIRECT("1:"&amp;LEN((--TRIM(RIGHT(SUBSTITUTE(LEFT(A310,_xlfn.AGGREGATE(16,6,FIND({0,1,2,3,4,5,6,7,8,9},A310,ROW(INDIRECT("1:"&amp;LEN(A310)))),1))," ",REPT(" ",LEN(A310))),LEN(A310))))))), 1)) * ROW(INDIRECT("1:"&amp;LEN((--TRIM(RIGHT(SUBSTITUTE(LEFT(A310,_xlfn.AGGREGATE(16,6,FIND({0,1,2,3,4,5,6,7,8,9},A310,ROW(INDIRECT("1:"&amp;LEN(A310)))),1))," ",REPT(" ",LEN(A310))),LEN(A310))))))), 0), ROW(INDIRECT("1:"&amp;LEN((--TRIM(RIGHT(SUBSTITUTE(LEFT(A310,_xlfn.AGGREGATE(16,6,FIND({0,1,2,3,4,5,6,7,8,9},A310,ROW(INDIRECT("1:"&amp;LEN(A310)))),1))," ",REPT(" ",LEN(A310))),LEN(A310))))))))+1, 1) * 10^ROW(INDIRECT("1:"&amp;LEN((--TRIM(RIGHT(SUBSTITUTE(LEFT(A310,_xlfn.AGGREGATE(16,6,FIND({0,1,2,3,4,5,6,7,8,9},A310,ROW(INDIRECT("1:"&amp;LEN(A310)))),1))," ",REPT(" ",LEN(A310))),LEN(A310)))))))/10))*1+1</f>
        <v>807 &amp; 1307</v>
      </c>
      <c r="B311" s="114"/>
      <c r="C311" s="55" t="s">
        <v>217</v>
      </c>
      <c r="D311" s="43">
        <f>(4.65*4+2.1*2.6+2.1*1.2+1.2*1.85+2.75*3+2.6*0.9+1.2*0.9+0.75*2.75)*10.764</f>
        <v>457.81982999999997</v>
      </c>
      <c r="E311" s="43">
        <v>0</v>
      </c>
      <c r="F311" s="43">
        <f>D311*(($F$223)+1)+(IF(E311&lt;101,E311,IF(E311&lt;201,E311/2,IF(E311&lt;=301,E311/3,E311/4))))</f>
        <v>686.72974499999998</v>
      </c>
      <c r="G311" s="112" t="str">
        <f t="shared" si="40"/>
        <v>8th &amp; 13th Floor (Part Refuge Area)</v>
      </c>
      <c r="H311" s="114"/>
      <c r="I311" s="37"/>
    </row>
    <row r="312" spans="1:14" s="38" customFormat="1" x14ac:dyDescent="0.35">
      <c r="A312" s="112" t="str">
        <f ca="1">(SUMPRODUCT(MID(0&amp;(LEFT(A311,SUM(LEN(A311)-LEN(SUBSTITUTE(A311,{"0","1","2"},""))))), LARGE(INDEX(ISNUMBER(--MID((LEFT(A311,SUM(LEN(A311)-LEN(SUBSTITUTE(A311,{"0","1","2"},""))))), ROW(INDIRECT("1:"&amp;LEN((LEFT(A311,SUM(LEN(A311)-LEN(SUBSTITUTE(A311,{"0","1","2"},"")))))))), 1)) * ROW(INDIRECT("1:"&amp;LEN((LEFT(A311,SUM(LEN(A311)-LEN(SUBSTITUTE(A311,{"0","1","2"},"")))))))), 0), ROW(INDIRECT("1:"&amp;LEN((LEFT(A311,SUM(LEN(A311)-LEN(SUBSTITUTE(A311,{"0","1","2"},"")))))))))+1, 1) * 10^ROW(INDIRECT("1:"&amp;LEN((LEFT(A311,SUM(LEN(A311)-LEN(SUBSTITUTE(A311,{"0","1","2"},""))))))))/10))*1+1&amp;""&amp;" &amp; "&amp;""&amp;(SUMPRODUCT(MID(0&amp;(--TRIM(RIGHT(SUBSTITUTE(LEFT(A311,_xlfn.AGGREGATE(16,6,FIND({0,1,2,3,4,5,6,7,8,9},A311,ROW(INDIRECT("1:"&amp;LEN(A311)))),1))," ",REPT(" ",LEN(A311))),LEN(A311)))), LARGE(INDEX(ISNUMBER(--MID((--TRIM(RIGHT(SUBSTITUTE(LEFT(A311,_xlfn.AGGREGATE(16,6,FIND({0,1,2,3,4,5,6,7,8,9},A311,ROW(INDIRECT("1:"&amp;LEN(A311)))),1))," ",REPT(" ",LEN(A311))),LEN(A311)))), ROW(INDIRECT("1:"&amp;LEN((--TRIM(RIGHT(SUBSTITUTE(LEFT(A311,_xlfn.AGGREGATE(16,6,FIND({0,1,2,3,4,5,6,7,8,9},A311,ROW(INDIRECT("1:"&amp;LEN(A311)))),1))," ",REPT(" ",LEN(A311))),LEN(A311))))))), 1)) * ROW(INDIRECT("1:"&amp;LEN((--TRIM(RIGHT(SUBSTITUTE(LEFT(A311,_xlfn.AGGREGATE(16,6,FIND({0,1,2,3,4,5,6,7,8,9},A311,ROW(INDIRECT("1:"&amp;LEN(A311)))),1))," ",REPT(" ",LEN(A311))),LEN(A311))))))), 0), ROW(INDIRECT("1:"&amp;LEN((--TRIM(RIGHT(SUBSTITUTE(LEFT(A311,_xlfn.AGGREGATE(16,6,FIND({0,1,2,3,4,5,6,7,8,9},A311,ROW(INDIRECT("1:"&amp;LEN(A311)))),1))," ",REPT(" ",LEN(A311))),LEN(A311))))))))+1, 1) * 10^ROW(INDIRECT("1:"&amp;LEN((--TRIM(RIGHT(SUBSTITUTE(LEFT(A311,_xlfn.AGGREGATE(16,6,FIND({0,1,2,3,4,5,6,7,8,9},A311,ROW(INDIRECT("1:"&amp;LEN(A311)))),1))," ",REPT(" ",LEN(A311))),LEN(A311)))))))/10))*1+1</f>
        <v>808 &amp; 1308</v>
      </c>
      <c r="B312" s="114"/>
      <c r="C312" s="55" t="s">
        <v>217</v>
      </c>
      <c r="D312" s="43">
        <f>(4.65*3.4+2.75*2.75+2.75*3+1.2*1.85+2.1*1.2+2.1*2.6+2.6*0.9+1.2*0.9+0.75*2.75)*10.764</f>
        <v>509.19102000000004</v>
      </c>
      <c r="E312" s="43">
        <v>0</v>
      </c>
      <c r="F312" s="43">
        <f>D312*(($F$223)+1)+(IF(E312&lt;101,E312,IF(E312&lt;201,E312/2,IF(E312&lt;=301,E312/3,E312/4))))</f>
        <v>763.78653000000008</v>
      </c>
      <c r="G312" s="112" t="str">
        <f t="shared" si="40"/>
        <v>8th &amp; 13th Floor (Part Refuge Area)</v>
      </c>
      <c r="H312" s="114"/>
      <c r="I312" s="37"/>
    </row>
    <row r="313" spans="1:14" s="38" customFormat="1" ht="15.75" customHeight="1" x14ac:dyDescent="0.35">
      <c r="A313" s="117" t="s">
        <v>218</v>
      </c>
      <c r="B313" s="117"/>
      <c r="C313" s="117"/>
      <c r="D313" s="117"/>
      <c r="E313" s="117"/>
      <c r="F313" s="117"/>
      <c r="G313" s="117"/>
      <c r="H313" s="117"/>
      <c r="I313" s="37"/>
    </row>
    <row r="314" spans="1:14" s="38" customFormat="1" x14ac:dyDescent="0.35">
      <c r="A314" s="110" t="str">
        <f>N314</f>
        <v>901,..,1401</v>
      </c>
      <c r="B314" s="110"/>
      <c r="C314" s="75" t="s">
        <v>211</v>
      </c>
      <c r="D314" s="74">
        <f>(3.35*4+2.85*2.75+1.2*0.9+2.25*2.6+1.2*1.5+1.2*1.3+0.9*1+1*1.8)*10.764</f>
        <v>368.42480999999998</v>
      </c>
      <c r="E314" s="74">
        <v>0</v>
      </c>
      <c r="F314" s="74">
        <f t="shared" ref="F314:F321" si="41">D314*(($F$223)+1)+(IF(E314&lt;101,E314,IF(E314&lt;201,E314/2,IF(E314&lt;=301,E314/3,E314/4))))</f>
        <v>552.63721499999997</v>
      </c>
      <c r="G314" s="110" t="str">
        <f>A313</f>
        <v>9th, 10th, 11th, 12th, 14th Floor</v>
      </c>
      <c r="H314" s="110"/>
      <c r="I314" s="37"/>
      <c r="L314" s="38">
        <v>901</v>
      </c>
      <c r="M314" s="38">
        <v>1401</v>
      </c>
      <c r="N314" s="38" t="str">
        <f>L314&amp;""&amp;",..,"&amp;""&amp;M314</f>
        <v>901,..,1401</v>
      </c>
    </row>
    <row r="315" spans="1:14" s="38" customFormat="1" x14ac:dyDescent="0.35">
      <c r="A315" s="110" t="str">
        <f t="shared" ref="A315:A321" si="42">N315</f>
        <v>902,..,1402</v>
      </c>
      <c r="B315" s="110"/>
      <c r="C315" s="75" t="s">
        <v>211</v>
      </c>
      <c r="D315" s="74">
        <f>(3.35*4.2+2.85*2.75+1.2*0.9+2.25*2.6+1.2*1.5+1.2*1.3+0.9*1+1*1.8)*10.764</f>
        <v>375.63668999999993</v>
      </c>
      <c r="E315" s="74">
        <v>0</v>
      </c>
      <c r="F315" s="74">
        <f t="shared" si="41"/>
        <v>563.45503499999995</v>
      </c>
      <c r="G315" s="110" t="str">
        <f t="shared" ref="G315:G321" si="43">G314</f>
        <v>9th, 10th, 11th, 12th, 14th Floor</v>
      </c>
      <c r="H315" s="110"/>
      <c r="I315" s="37"/>
      <c r="L315" s="38">
        <v>902</v>
      </c>
      <c r="M315" s="38">
        <v>1402</v>
      </c>
      <c r="N315" s="38" t="str">
        <f t="shared" ref="N315:N321" si="44">L315&amp;""&amp;",..,"&amp;""&amp;M315</f>
        <v>902,..,1402</v>
      </c>
    </row>
    <row r="316" spans="1:14" s="38" customFormat="1" ht="15.75" customHeight="1" x14ac:dyDescent="0.35">
      <c r="A316" s="110" t="str">
        <f t="shared" si="42"/>
        <v>903,..,1403</v>
      </c>
      <c r="B316" s="110"/>
      <c r="C316" s="75" t="s">
        <v>211</v>
      </c>
      <c r="D316" s="74">
        <f>(3*5.4+2.25*2.6+2.75*3+1.2*0.9+1.2*1.7+0.9*2.25+0.3*1.2)*10.764</f>
        <v>385.40501999999998</v>
      </c>
      <c r="E316" s="74">
        <v>0</v>
      </c>
      <c r="F316" s="74">
        <f t="shared" si="41"/>
        <v>578.10753</v>
      </c>
      <c r="G316" s="110" t="str">
        <f t="shared" si="43"/>
        <v>9th, 10th, 11th, 12th, 14th Floor</v>
      </c>
      <c r="H316" s="110"/>
      <c r="I316" s="37"/>
      <c r="L316" s="38">
        <v>903</v>
      </c>
      <c r="M316" s="38">
        <v>1403</v>
      </c>
      <c r="N316" s="38" t="str">
        <f t="shared" si="44"/>
        <v>903,..,1403</v>
      </c>
    </row>
    <row r="317" spans="1:14" s="38" customFormat="1" ht="15.75" customHeight="1" x14ac:dyDescent="0.35">
      <c r="A317" s="110" t="str">
        <f t="shared" si="42"/>
        <v>904,..,1404</v>
      </c>
      <c r="B317" s="110"/>
      <c r="C317" s="75" t="s">
        <v>211</v>
      </c>
      <c r="D317" s="74">
        <f>(3.15*5.16+2.25*2.6+2.75*3+1.2*0.9+1.2*1.7+0.9*2.25+0.3*1.2)*10.764</f>
        <v>385.98627599999998</v>
      </c>
      <c r="E317" s="74">
        <v>0</v>
      </c>
      <c r="F317" s="74">
        <f t="shared" si="41"/>
        <v>578.97941399999991</v>
      </c>
      <c r="G317" s="110" t="str">
        <f t="shared" si="43"/>
        <v>9th, 10th, 11th, 12th, 14th Floor</v>
      </c>
      <c r="H317" s="110"/>
      <c r="I317" s="37"/>
      <c r="L317" s="38">
        <v>904</v>
      </c>
      <c r="M317" s="38">
        <v>1404</v>
      </c>
      <c r="N317" s="38" t="str">
        <f t="shared" si="44"/>
        <v>904,..,1404</v>
      </c>
    </row>
    <row r="318" spans="1:14" s="38" customFormat="1" ht="15.75" customHeight="1" x14ac:dyDescent="0.35">
      <c r="A318" s="110" t="str">
        <f t="shared" si="42"/>
        <v>905,..,1405</v>
      </c>
      <c r="B318" s="110"/>
      <c r="C318" s="75" t="s">
        <v>211</v>
      </c>
      <c r="D318" s="74">
        <f>(3.2*4.5+1.2*1.5+2.25*2.6+1.2*0.9+2.85*2.75+0.9*1.2+1.2*1.4)*10.764</f>
        <v>363.04280999999997</v>
      </c>
      <c r="E318" s="74">
        <v>0</v>
      </c>
      <c r="F318" s="74">
        <f t="shared" si="41"/>
        <v>544.56421499999999</v>
      </c>
      <c r="G318" s="110" t="str">
        <f t="shared" si="43"/>
        <v>9th, 10th, 11th, 12th, 14th Floor</v>
      </c>
      <c r="H318" s="110"/>
      <c r="I318" s="37"/>
      <c r="L318" s="38">
        <v>905</v>
      </c>
      <c r="M318" s="38">
        <v>1405</v>
      </c>
      <c r="N318" s="38" t="str">
        <f t="shared" si="44"/>
        <v>905,..,1405</v>
      </c>
    </row>
    <row r="319" spans="1:14" s="38" customFormat="1" x14ac:dyDescent="0.35">
      <c r="A319" s="110" t="str">
        <f t="shared" si="42"/>
        <v>906,..,1406</v>
      </c>
      <c r="B319" s="110"/>
      <c r="C319" s="75" t="s">
        <v>211</v>
      </c>
      <c r="D319" s="74">
        <f>(3.2*4.5+1.2*1.5+2.25*2.6+1.2*0.9+2.85*2.75+0.9*1.2+1.2*1.4)*10.764</f>
        <v>363.04280999999997</v>
      </c>
      <c r="E319" s="74">
        <v>0</v>
      </c>
      <c r="F319" s="74">
        <f t="shared" si="41"/>
        <v>544.56421499999999</v>
      </c>
      <c r="G319" s="110" t="str">
        <f t="shared" si="43"/>
        <v>9th, 10th, 11th, 12th, 14th Floor</v>
      </c>
      <c r="H319" s="110"/>
      <c r="I319" s="37"/>
      <c r="L319" s="38">
        <v>906</v>
      </c>
      <c r="M319" s="38">
        <v>1406</v>
      </c>
      <c r="N319" s="38" t="str">
        <f t="shared" si="44"/>
        <v>906,..,1406</v>
      </c>
    </row>
    <row r="320" spans="1:14" s="38" customFormat="1" ht="15.75" customHeight="1" x14ac:dyDescent="0.35">
      <c r="A320" s="110" t="str">
        <f t="shared" si="42"/>
        <v>907,..,1407</v>
      </c>
      <c r="B320" s="110"/>
      <c r="C320" s="75" t="s">
        <v>217</v>
      </c>
      <c r="D320" s="74">
        <f>(4.65*4+2.1*2.6+2.1*1.2+1.2*1.85+2.75*3+2.6*0.9+1.2*0.9+0.75*2.75)*10.764</f>
        <v>457.81982999999997</v>
      </c>
      <c r="E320" s="74">
        <v>0</v>
      </c>
      <c r="F320" s="74">
        <f t="shared" si="41"/>
        <v>686.72974499999998</v>
      </c>
      <c r="G320" s="110" t="str">
        <f t="shared" si="43"/>
        <v>9th, 10th, 11th, 12th, 14th Floor</v>
      </c>
      <c r="H320" s="110"/>
      <c r="I320" s="37"/>
      <c r="L320" s="38">
        <v>907</v>
      </c>
      <c r="M320" s="38">
        <v>1407</v>
      </c>
      <c r="N320" s="38" t="str">
        <f t="shared" si="44"/>
        <v>907,..,1407</v>
      </c>
    </row>
    <row r="321" spans="1:14" s="38" customFormat="1" ht="15.75" customHeight="1" x14ac:dyDescent="0.35">
      <c r="A321" s="112" t="str">
        <f t="shared" si="42"/>
        <v>908,..,1408</v>
      </c>
      <c r="B321" s="114"/>
      <c r="C321" s="55" t="s">
        <v>217</v>
      </c>
      <c r="D321" s="43">
        <f>(4.65*3.4+2.75*2.75+2.75*3+1.2*1.85+2.1*1.2+2.1*2.6+2.6*0.9+1.2*0.9+0.75*2.75)*10.764</f>
        <v>509.19102000000004</v>
      </c>
      <c r="E321" s="43">
        <v>0</v>
      </c>
      <c r="F321" s="43">
        <f t="shared" si="41"/>
        <v>763.78653000000008</v>
      </c>
      <c r="G321" s="112" t="str">
        <f t="shared" si="43"/>
        <v>9th, 10th, 11th, 12th, 14th Floor</v>
      </c>
      <c r="H321" s="114"/>
      <c r="I321" s="37"/>
      <c r="L321" s="38">
        <v>908</v>
      </c>
      <c r="M321" s="38">
        <v>1408</v>
      </c>
      <c r="N321" s="38" t="str">
        <f t="shared" si="44"/>
        <v>908,..,1408</v>
      </c>
    </row>
    <row r="322" spans="1:14" x14ac:dyDescent="0.35">
      <c r="A322" s="124" t="s">
        <v>221</v>
      </c>
      <c r="B322" s="124"/>
      <c r="C322" s="124"/>
      <c r="D322" s="124"/>
      <c r="E322" s="124"/>
      <c r="F322" s="124"/>
      <c r="G322" s="124"/>
      <c r="H322" s="124"/>
    </row>
    <row r="323" spans="1:14" x14ac:dyDescent="0.35">
      <c r="A323" s="124" t="s">
        <v>207</v>
      </c>
      <c r="B323" s="124"/>
      <c r="C323" s="124"/>
      <c r="D323" s="124"/>
      <c r="E323" s="124"/>
      <c r="F323" s="124"/>
      <c r="G323" s="124"/>
      <c r="H323" s="124"/>
    </row>
    <row r="324" spans="1:14" x14ac:dyDescent="0.35">
      <c r="A324" s="124" t="s">
        <v>222</v>
      </c>
      <c r="B324" s="124"/>
      <c r="C324" s="124"/>
      <c r="D324" s="124"/>
      <c r="E324" s="124"/>
      <c r="F324" s="124"/>
      <c r="G324" s="124"/>
      <c r="H324" s="124"/>
    </row>
    <row r="325" spans="1:14" x14ac:dyDescent="0.35">
      <c r="A325" s="124" t="s">
        <v>223</v>
      </c>
      <c r="B325" s="124"/>
      <c r="C325" s="124"/>
      <c r="D325" s="124"/>
      <c r="E325" s="124"/>
      <c r="F325" s="124"/>
      <c r="G325" s="124"/>
      <c r="H325" s="124"/>
    </row>
    <row r="326" spans="1:14" x14ac:dyDescent="0.35">
      <c r="A326" s="124" t="s">
        <v>208</v>
      </c>
      <c r="B326" s="124"/>
      <c r="C326" s="124"/>
      <c r="D326" s="124"/>
      <c r="E326" s="124"/>
      <c r="F326" s="124"/>
      <c r="G326" s="124"/>
      <c r="H326" s="124"/>
    </row>
    <row r="327" spans="1:14" x14ac:dyDescent="0.35">
      <c r="A327" s="124" t="s">
        <v>224</v>
      </c>
      <c r="B327" s="124"/>
      <c r="C327" s="124"/>
      <c r="D327" s="124"/>
      <c r="E327" s="124"/>
      <c r="F327" s="124"/>
      <c r="G327" s="124"/>
      <c r="H327" s="124"/>
    </row>
    <row r="328" spans="1:14" s="38" customFormat="1" ht="15.75" customHeight="1" x14ac:dyDescent="0.35">
      <c r="A328" s="118" t="s">
        <v>209</v>
      </c>
      <c r="B328" s="119"/>
      <c r="C328" s="119"/>
      <c r="D328" s="119"/>
      <c r="E328" s="119"/>
      <c r="F328" s="119"/>
      <c r="G328" s="119"/>
      <c r="H328" s="120"/>
      <c r="I328" s="37"/>
    </row>
    <row r="329" spans="1:14" s="38" customFormat="1" x14ac:dyDescent="0.35">
      <c r="A329" s="112" t="str">
        <f ca="1">(SUMPRODUCT(MID(0&amp;(LEFT(A328,SUM(LEN(A328)-LEN(SUBSTITUTE(A328,{"0","1","2"},""))))), LARGE(INDEX(ISNUMBER(--MID((LEFT(A328,SUM(LEN(A328)-LEN(SUBSTITUTE(A328,{"0","1","2"},""))))), ROW(INDIRECT("1:"&amp;LEN((LEFT(A328,SUM(LEN(A328)-LEN(SUBSTITUTE(A328,{"0","1","2"},"")))))))), 1)) * ROW(INDIRECT("1:"&amp;LEN((LEFT(A328,SUM(LEN(A328)-LEN(SUBSTITUTE(A328,{"0","1","2"},"")))))))), 0), ROW(INDIRECT("1:"&amp;LEN((LEFT(A328,SUM(LEN(A328)-LEN(SUBSTITUTE(A328,{"0","1","2"},"")))))))))+1, 1) * 10^ROW(INDIRECT("1:"&amp;LEN((LEFT(A328,SUM(LEN(A328)-LEN(SUBSTITUTE(A328,{"0","1","2"},""))))))))/10))*100+1&amp;""&amp;" ,.., "&amp;""&amp;(SUMPRODUCT(MID(0&amp;(--TRIM(RIGHT(SUBSTITUTE(LEFT(A328,_xlfn.AGGREGATE(16,6,FIND({0,1,2,3,4,5,6,7,8,9},A328,ROW(INDIRECT("1:"&amp;LEN(A328)))),1))," ",REPT(" ",LEN(A328))),LEN(A328)))), LARGE(INDEX(ISNUMBER(--MID((--TRIM(RIGHT(SUBSTITUTE(LEFT(A328,_xlfn.AGGREGATE(16,6,FIND({0,1,2,3,4,5,6,7,8,9},A328,ROW(INDIRECT("1:"&amp;LEN(A328)))),1))," ",REPT(" ",LEN(A328))),LEN(A328)))), ROW(INDIRECT("1:"&amp;LEN((--TRIM(RIGHT(SUBSTITUTE(LEFT(A328,_xlfn.AGGREGATE(16,6,FIND({0,1,2,3,4,5,6,7,8,9},A328,ROW(INDIRECT("1:"&amp;LEN(A328)))),1))," ",REPT(" ",LEN(A328))),LEN(A328))))))), 1)) * ROW(INDIRECT("1:"&amp;LEN((--TRIM(RIGHT(SUBSTITUTE(LEFT(A328,_xlfn.AGGREGATE(16,6,FIND({0,1,2,3,4,5,6,7,8,9},A328,ROW(INDIRECT("1:"&amp;LEN(A328)))),1))," ",REPT(" ",LEN(A328))),LEN(A328))))))), 0), ROW(INDIRECT("1:"&amp;LEN((--TRIM(RIGHT(SUBSTITUTE(LEFT(A328,_xlfn.AGGREGATE(16,6,FIND({0,1,2,3,4,5,6,7,8,9},A328,ROW(INDIRECT("1:"&amp;LEN(A328)))),1))," ",REPT(" ",LEN(A328))),LEN(A328))))))))+1, 1) * 10^ROW(INDIRECT("1:"&amp;LEN((--TRIM(RIGHT(SUBSTITUTE(LEFT(A328,_xlfn.AGGREGATE(16,6,FIND({0,1,2,3,4,5,6,7,8,9},A328,ROW(INDIRECT("1:"&amp;LEN(A328)))),1))," ",REPT(" ",LEN(A328))),LEN(A328)))))))/10))*100+1</f>
        <v>301 ,.., 1701</v>
      </c>
      <c r="B329" s="114"/>
      <c r="C329" s="55" t="s">
        <v>211</v>
      </c>
      <c r="D329" s="43">
        <f>(4*3.35+0.91*1.71+2.25*2.85+2.75*3+1.25*1.73+1.25*1.73+0.9*2.75)*10.764</f>
        <v>392.00981040000005</v>
      </c>
      <c r="E329" s="43">
        <v>0</v>
      </c>
      <c r="F329" s="43">
        <f t="shared" ref="F329:F336" si="45">D329*(($F$223)+1)+(IF(E329&lt;101,E329,IF(E329&lt;201,E329/2,IF(E329&lt;=301,E329/3,E329/4))))</f>
        <v>588.01471560000005</v>
      </c>
      <c r="G329" s="112" t="str">
        <f>A328</f>
        <v xml:space="preserve">3rd to 7th, 9th to 12th, 14th to 17th Floor </v>
      </c>
      <c r="H329" s="114"/>
      <c r="I329" s="37"/>
    </row>
    <row r="330" spans="1:14" s="38" customFormat="1" x14ac:dyDescent="0.35">
      <c r="A330" s="112" t="str">
        <f ca="1">(SUMPRODUCT(MID(0&amp;(LEFT(A329,SUM(LEN(A329)-LEN(SUBSTITUTE(A329,{"0","1","2"},""))))), LARGE(INDEX(ISNUMBER(--MID((LEFT(A329,SUM(LEN(A329)-LEN(SUBSTITUTE(A329,{"0","1","2"},""))))), ROW(INDIRECT("1:"&amp;LEN((LEFT(A329,SUM(LEN(A329)-LEN(SUBSTITUTE(A329,{"0","1","2"},"")))))))), 1)) * ROW(INDIRECT("1:"&amp;LEN((LEFT(A329,SUM(LEN(A329)-LEN(SUBSTITUTE(A329,{"0","1","2"},"")))))))), 0), ROW(INDIRECT("1:"&amp;LEN((LEFT(A329,SUM(LEN(A329)-LEN(SUBSTITUTE(A329,{"0","1","2"},"")))))))))+1, 1) * 10^ROW(INDIRECT("1:"&amp;LEN((LEFT(A329,SUM(LEN(A329)-LEN(SUBSTITUTE(A329,{"0","1","2"},""))))))))/10))*1+1&amp;""&amp;" ,.., "&amp;""&amp;(SUMPRODUCT(MID(0&amp;(--TRIM(RIGHT(SUBSTITUTE(LEFT(A329,_xlfn.AGGREGATE(16,6,FIND({0,1,2,3,4,5,6,7,8,9},A329,ROW(INDIRECT("1:"&amp;LEN(A329)))),1))," ",REPT(" ",LEN(A329))),LEN(A329)))), LARGE(INDEX(ISNUMBER(--MID((--TRIM(RIGHT(SUBSTITUTE(LEFT(A329,_xlfn.AGGREGATE(16,6,FIND({0,1,2,3,4,5,6,7,8,9},A329,ROW(INDIRECT("1:"&amp;LEN(A329)))),1))," ",REPT(" ",LEN(A329))),LEN(A329)))), ROW(INDIRECT("1:"&amp;LEN((--TRIM(RIGHT(SUBSTITUTE(LEFT(A329,_xlfn.AGGREGATE(16,6,FIND({0,1,2,3,4,5,6,7,8,9},A329,ROW(INDIRECT("1:"&amp;LEN(A329)))),1))," ",REPT(" ",LEN(A329))),LEN(A329))))))), 1)) * ROW(INDIRECT("1:"&amp;LEN((--TRIM(RIGHT(SUBSTITUTE(LEFT(A329,_xlfn.AGGREGATE(16,6,FIND({0,1,2,3,4,5,6,7,8,9},A329,ROW(INDIRECT("1:"&amp;LEN(A329)))),1))," ",REPT(" ",LEN(A329))),LEN(A329))))))), 0), ROW(INDIRECT("1:"&amp;LEN((--TRIM(RIGHT(SUBSTITUTE(LEFT(A329,_xlfn.AGGREGATE(16,6,FIND({0,1,2,3,4,5,6,7,8,9},A329,ROW(INDIRECT("1:"&amp;LEN(A329)))),1))," ",REPT(" ",LEN(A329))),LEN(A329))))))))+1, 1) * 10^ROW(INDIRECT("1:"&amp;LEN((--TRIM(RIGHT(SUBSTITUTE(LEFT(A329,_xlfn.AGGREGATE(16,6,FIND({0,1,2,3,4,5,6,7,8,9},A329,ROW(INDIRECT("1:"&amp;LEN(A329)))),1))," ",REPT(" ",LEN(A329))),LEN(A329)))))))/10))*1+1</f>
        <v>302 ,.., 1702</v>
      </c>
      <c r="B330" s="114"/>
      <c r="C330" s="55" t="s">
        <v>211</v>
      </c>
      <c r="D330" s="43">
        <f>(4*3.35+0.91*1.71+2.25*2.85+2.75*3+1.25*1.73+1.25*1.73+0.9*2.75)*10.764</f>
        <v>392.00981040000005</v>
      </c>
      <c r="E330" s="43">
        <v>0</v>
      </c>
      <c r="F330" s="43">
        <f t="shared" si="45"/>
        <v>588.01471560000005</v>
      </c>
      <c r="G330" s="112" t="str">
        <f t="shared" ref="G330:G336" si="46">G329</f>
        <v xml:space="preserve">3rd to 7th, 9th to 12th, 14th to 17th Floor </v>
      </c>
      <c r="H330" s="114"/>
      <c r="I330" s="37"/>
    </row>
    <row r="331" spans="1:14" s="38" customFormat="1" ht="15.75" customHeight="1" x14ac:dyDescent="0.35">
      <c r="A331" s="112" t="str">
        <f ca="1">(SUMPRODUCT(MID(0&amp;(LEFT(A330,SUM(LEN(A330)-LEN(SUBSTITUTE(A330,{"0","1","2"},""))))), LARGE(INDEX(ISNUMBER(--MID((LEFT(A330,SUM(LEN(A330)-LEN(SUBSTITUTE(A330,{"0","1","2"},""))))), ROW(INDIRECT("1:"&amp;LEN((LEFT(A330,SUM(LEN(A330)-LEN(SUBSTITUTE(A330,{"0","1","2"},"")))))))), 1)) * ROW(INDIRECT("1:"&amp;LEN((LEFT(A330,SUM(LEN(A330)-LEN(SUBSTITUTE(A330,{"0","1","2"},"")))))))), 0), ROW(INDIRECT("1:"&amp;LEN((LEFT(A330,SUM(LEN(A330)-LEN(SUBSTITUTE(A330,{"0","1","2"},"")))))))))+1, 1) * 10^ROW(INDIRECT("1:"&amp;LEN((LEFT(A330,SUM(LEN(A330)-LEN(SUBSTITUTE(A330,{"0","1","2"},""))))))))/10))*1+1&amp;""&amp;" ,.., "&amp;""&amp;(SUMPRODUCT(MID(0&amp;(--TRIM(RIGHT(SUBSTITUTE(LEFT(A330,_xlfn.AGGREGATE(16,6,FIND({0,1,2,3,4,5,6,7,8,9},A330,ROW(INDIRECT("1:"&amp;LEN(A330)))),1))," ",REPT(" ",LEN(A330))),LEN(A330)))), LARGE(INDEX(ISNUMBER(--MID((--TRIM(RIGHT(SUBSTITUTE(LEFT(A330,_xlfn.AGGREGATE(16,6,FIND({0,1,2,3,4,5,6,7,8,9},A330,ROW(INDIRECT("1:"&amp;LEN(A330)))),1))," ",REPT(" ",LEN(A330))),LEN(A330)))), ROW(INDIRECT("1:"&amp;LEN((--TRIM(RIGHT(SUBSTITUTE(LEFT(A330,_xlfn.AGGREGATE(16,6,FIND({0,1,2,3,4,5,6,7,8,9},A330,ROW(INDIRECT("1:"&amp;LEN(A330)))),1))," ",REPT(" ",LEN(A330))),LEN(A330))))))), 1)) * ROW(INDIRECT("1:"&amp;LEN((--TRIM(RIGHT(SUBSTITUTE(LEFT(A330,_xlfn.AGGREGATE(16,6,FIND({0,1,2,3,4,5,6,7,8,9},A330,ROW(INDIRECT("1:"&amp;LEN(A330)))),1))," ",REPT(" ",LEN(A330))),LEN(A330))))))), 0), ROW(INDIRECT("1:"&amp;LEN((--TRIM(RIGHT(SUBSTITUTE(LEFT(A330,_xlfn.AGGREGATE(16,6,FIND({0,1,2,3,4,5,6,7,8,9},A330,ROW(INDIRECT("1:"&amp;LEN(A330)))),1))," ",REPT(" ",LEN(A330))),LEN(A330))))))))+1, 1) * 10^ROW(INDIRECT("1:"&amp;LEN((--TRIM(RIGHT(SUBSTITUTE(LEFT(A330,_xlfn.AGGREGATE(16,6,FIND({0,1,2,3,4,5,6,7,8,9},A330,ROW(INDIRECT("1:"&amp;LEN(A330)))),1))," ",REPT(" ",LEN(A330))),LEN(A330)))))))/10))*1+1</f>
        <v>303 ,.., 1703</v>
      </c>
      <c r="B331" s="114"/>
      <c r="C331" s="55" t="s">
        <v>211</v>
      </c>
      <c r="D331" s="43">
        <f>(4.8*3+2.6*2.25+3*2.75+1.2*1.85+1.7*1.2+1.2*1.75+0.9*1.3)*10.764</f>
        <v>387.82691999999997</v>
      </c>
      <c r="E331" s="43">
        <v>0</v>
      </c>
      <c r="F331" s="43">
        <f t="shared" si="45"/>
        <v>581.74037999999996</v>
      </c>
      <c r="G331" s="112" t="str">
        <f t="shared" si="46"/>
        <v xml:space="preserve">3rd to 7th, 9th to 12th, 14th to 17th Floor </v>
      </c>
      <c r="H331" s="114"/>
      <c r="I331" s="37"/>
    </row>
    <row r="332" spans="1:14" s="38" customFormat="1" ht="15.75" customHeight="1" x14ac:dyDescent="0.35">
      <c r="A332" s="112" t="str">
        <f ca="1">(SUMPRODUCT(MID(0&amp;(LEFT(A331,SUM(LEN(A331)-LEN(SUBSTITUTE(A331,{"0","1","2"},""))))), LARGE(INDEX(ISNUMBER(--MID((LEFT(A331,SUM(LEN(A331)-LEN(SUBSTITUTE(A331,{"0","1","2"},""))))), ROW(INDIRECT("1:"&amp;LEN((LEFT(A331,SUM(LEN(A331)-LEN(SUBSTITUTE(A331,{"0","1","2"},"")))))))), 1)) * ROW(INDIRECT("1:"&amp;LEN((LEFT(A331,SUM(LEN(A331)-LEN(SUBSTITUTE(A331,{"0","1","2"},"")))))))), 0), ROW(INDIRECT("1:"&amp;LEN((LEFT(A331,SUM(LEN(A331)-LEN(SUBSTITUTE(A331,{"0","1","2"},"")))))))))+1, 1) * 10^ROW(INDIRECT("1:"&amp;LEN((LEFT(A331,SUM(LEN(A331)-LEN(SUBSTITUTE(A331,{"0","1","2"},""))))))))/10))*1+1&amp;""&amp;" ,.., "&amp;""&amp;(SUMPRODUCT(MID(0&amp;(--TRIM(RIGHT(SUBSTITUTE(LEFT(A331,_xlfn.AGGREGATE(16,6,FIND({0,1,2,3,4,5,6,7,8,9},A331,ROW(INDIRECT("1:"&amp;LEN(A331)))),1))," ",REPT(" ",LEN(A331))),LEN(A331)))), LARGE(INDEX(ISNUMBER(--MID((--TRIM(RIGHT(SUBSTITUTE(LEFT(A331,_xlfn.AGGREGATE(16,6,FIND({0,1,2,3,4,5,6,7,8,9},A331,ROW(INDIRECT("1:"&amp;LEN(A331)))),1))," ",REPT(" ",LEN(A331))),LEN(A331)))), ROW(INDIRECT("1:"&amp;LEN((--TRIM(RIGHT(SUBSTITUTE(LEFT(A331,_xlfn.AGGREGATE(16,6,FIND({0,1,2,3,4,5,6,7,8,9},A331,ROW(INDIRECT("1:"&amp;LEN(A331)))),1))," ",REPT(" ",LEN(A331))),LEN(A331))))))), 1)) * ROW(INDIRECT("1:"&amp;LEN((--TRIM(RIGHT(SUBSTITUTE(LEFT(A331,_xlfn.AGGREGATE(16,6,FIND({0,1,2,3,4,5,6,7,8,9},A331,ROW(INDIRECT("1:"&amp;LEN(A331)))),1))," ",REPT(" ",LEN(A331))),LEN(A331))))))), 0), ROW(INDIRECT("1:"&amp;LEN((--TRIM(RIGHT(SUBSTITUTE(LEFT(A331,_xlfn.AGGREGATE(16,6,FIND({0,1,2,3,4,5,6,7,8,9},A331,ROW(INDIRECT("1:"&amp;LEN(A331)))),1))," ",REPT(" ",LEN(A331))),LEN(A331))))))))+1, 1) * 10^ROW(INDIRECT("1:"&amp;LEN((--TRIM(RIGHT(SUBSTITUTE(LEFT(A331,_xlfn.AGGREGATE(16,6,FIND({0,1,2,3,4,5,6,7,8,9},A331,ROW(INDIRECT("1:"&amp;LEN(A331)))),1))," ",REPT(" ",LEN(A331))),LEN(A331)))))))/10))*1+1</f>
        <v>304 ,.., 1704</v>
      </c>
      <c r="B332" s="114"/>
      <c r="C332" s="55" t="s">
        <v>211</v>
      </c>
      <c r="D332" s="43">
        <f>(4.8*3+2.6*2.25+3*2.75+1.2*1.85+1.7*1.2+1.2*1.75+0.9*1.3)*10.764</f>
        <v>387.82691999999997</v>
      </c>
      <c r="E332" s="43">
        <v>0</v>
      </c>
      <c r="F332" s="43">
        <f t="shared" si="45"/>
        <v>581.74037999999996</v>
      </c>
      <c r="G332" s="112" t="str">
        <f t="shared" si="46"/>
        <v xml:space="preserve">3rd to 7th, 9th to 12th, 14th to 17th Floor </v>
      </c>
      <c r="H332" s="114"/>
      <c r="I332" s="37"/>
    </row>
    <row r="333" spans="1:14" s="38" customFormat="1" ht="15.75" customHeight="1" x14ac:dyDescent="0.35">
      <c r="A333" s="112" t="str">
        <f ca="1">(SUMPRODUCT(MID(0&amp;(LEFT(A332,SUM(LEN(A332)-LEN(SUBSTITUTE(A332,{"0","1","2"},""))))), LARGE(INDEX(ISNUMBER(--MID((LEFT(A332,SUM(LEN(A332)-LEN(SUBSTITUTE(A332,{"0","1","2"},""))))), ROW(INDIRECT("1:"&amp;LEN((LEFT(A332,SUM(LEN(A332)-LEN(SUBSTITUTE(A332,{"0","1","2"},"")))))))), 1)) * ROW(INDIRECT("1:"&amp;LEN((LEFT(A332,SUM(LEN(A332)-LEN(SUBSTITUTE(A332,{"0","1","2"},"")))))))), 0), ROW(INDIRECT("1:"&amp;LEN((LEFT(A332,SUM(LEN(A332)-LEN(SUBSTITUTE(A332,{"0","1","2"},"")))))))))+1, 1) * 10^ROW(INDIRECT("1:"&amp;LEN((LEFT(A332,SUM(LEN(A332)-LEN(SUBSTITUTE(A332,{"0","1","2"},""))))))))/10))*1+1&amp;""&amp;" ,.., "&amp;""&amp;(SUMPRODUCT(MID(0&amp;(--TRIM(RIGHT(SUBSTITUTE(LEFT(A332,_xlfn.AGGREGATE(16,6,FIND({0,1,2,3,4,5,6,7,8,9},A332,ROW(INDIRECT("1:"&amp;LEN(A332)))),1))," ",REPT(" ",LEN(A332))),LEN(A332)))), LARGE(INDEX(ISNUMBER(--MID((--TRIM(RIGHT(SUBSTITUTE(LEFT(A332,_xlfn.AGGREGATE(16,6,FIND({0,1,2,3,4,5,6,7,8,9},A332,ROW(INDIRECT("1:"&amp;LEN(A332)))),1))," ",REPT(" ",LEN(A332))),LEN(A332)))), ROW(INDIRECT("1:"&amp;LEN((--TRIM(RIGHT(SUBSTITUTE(LEFT(A332,_xlfn.AGGREGATE(16,6,FIND({0,1,2,3,4,5,6,7,8,9},A332,ROW(INDIRECT("1:"&amp;LEN(A332)))),1))," ",REPT(" ",LEN(A332))),LEN(A332))))))), 1)) * ROW(INDIRECT("1:"&amp;LEN((--TRIM(RIGHT(SUBSTITUTE(LEFT(A332,_xlfn.AGGREGATE(16,6,FIND({0,1,2,3,4,5,6,7,8,9},A332,ROW(INDIRECT("1:"&amp;LEN(A332)))),1))," ",REPT(" ",LEN(A332))),LEN(A332))))))), 0), ROW(INDIRECT("1:"&amp;LEN((--TRIM(RIGHT(SUBSTITUTE(LEFT(A332,_xlfn.AGGREGATE(16,6,FIND({0,1,2,3,4,5,6,7,8,9},A332,ROW(INDIRECT("1:"&amp;LEN(A332)))),1))," ",REPT(" ",LEN(A332))),LEN(A332))))))))+1, 1) * 10^ROW(INDIRECT("1:"&amp;LEN((--TRIM(RIGHT(SUBSTITUTE(LEFT(A332,_xlfn.AGGREGATE(16,6,FIND({0,1,2,3,4,5,6,7,8,9},A332,ROW(INDIRECT("1:"&amp;LEN(A332)))),1))," ",REPT(" ",LEN(A332))),LEN(A332)))))))/10))*1+1</f>
        <v>305 ,.., 1705</v>
      </c>
      <c r="B333" s="114"/>
      <c r="C333" s="55" t="s">
        <v>211</v>
      </c>
      <c r="D333" s="43">
        <f>(4.6*3.2+2.75*2.85+2.3*2.6+1.7*1.5+1.2*0.9+2.3*0.9)*10.764</f>
        <v>368.53244999999993</v>
      </c>
      <c r="E333" s="43">
        <v>0</v>
      </c>
      <c r="F333" s="43">
        <f t="shared" si="45"/>
        <v>552.79867499999989</v>
      </c>
      <c r="G333" s="112" t="str">
        <f t="shared" si="46"/>
        <v xml:space="preserve">3rd to 7th, 9th to 12th, 14th to 17th Floor </v>
      </c>
      <c r="H333" s="114"/>
      <c r="I333" s="37"/>
    </row>
    <row r="334" spans="1:14" s="38" customFormat="1" ht="15.75" customHeight="1" x14ac:dyDescent="0.35">
      <c r="A334" s="112" t="str">
        <f ca="1">(SUMPRODUCT(MID(0&amp;(LEFT(A333,SUM(LEN(A333)-LEN(SUBSTITUTE(A333,{"0","1","2"},""))))), LARGE(INDEX(ISNUMBER(--MID((LEFT(A333,SUM(LEN(A333)-LEN(SUBSTITUTE(A333,{"0","1","2"},""))))), ROW(INDIRECT("1:"&amp;LEN((LEFT(A333,SUM(LEN(A333)-LEN(SUBSTITUTE(A333,{"0","1","2"},"")))))))), 1)) * ROW(INDIRECT("1:"&amp;LEN((LEFT(A333,SUM(LEN(A333)-LEN(SUBSTITUTE(A333,{"0","1","2"},"")))))))), 0), ROW(INDIRECT("1:"&amp;LEN((LEFT(A333,SUM(LEN(A333)-LEN(SUBSTITUTE(A333,{"0","1","2"},"")))))))))+1, 1) * 10^ROW(INDIRECT("1:"&amp;LEN((LEFT(A333,SUM(LEN(A333)-LEN(SUBSTITUTE(A333,{"0","1","2"},""))))))))/10))*1+1&amp;""&amp;" ,.., "&amp;""&amp;(SUMPRODUCT(MID(0&amp;(--TRIM(RIGHT(SUBSTITUTE(LEFT(A333,_xlfn.AGGREGATE(16,6,FIND({0,1,2,3,4,5,6,7,8,9},A333,ROW(INDIRECT("1:"&amp;LEN(A333)))),1))," ",REPT(" ",LEN(A333))),LEN(A333)))), LARGE(INDEX(ISNUMBER(--MID((--TRIM(RIGHT(SUBSTITUTE(LEFT(A333,_xlfn.AGGREGATE(16,6,FIND({0,1,2,3,4,5,6,7,8,9},A333,ROW(INDIRECT("1:"&amp;LEN(A333)))),1))," ",REPT(" ",LEN(A333))),LEN(A333)))), ROW(INDIRECT("1:"&amp;LEN((--TRIM(RIGHT(SUBSTITUTE(LEFT(A333,_xlfn.AGGREGATE(16,6,FIND({0,1,2,3,4,5,6,7,8,9},A333,ROW(INDIRECT("1:"&amp;LEN(A333)))),1))," ",REPT(" ",LEN(A333))),LEN(A333))))))), 1)) * ROW(INDIRECT("1:"&amp;LEN((--TRIM(RIGHT(SUBSTITUTE(LEFT(A333,_xlfn.AGGREGATE(16,6,FIND({0,1,2,3,4,5,6,7,8,9},A333,ROW(INDIRECT("1:"&amp;LEN(A333)))),1))," ",REPT(" ",LEN(A333))),LEN(A333))))))), 0), ROW(INDIRECT("1:"&amp;LEN((--TRIM(RIGHT(SUBSTITUTE(LEFT(A333,_xlfn.AGGREGATE(16,6,FIND({0,1,2,3,4,5,6,7,8,9},A333,ROW(INDIRECT("1:"&amp;LEN(A333)))),1))," ",REPT(" ",LEN(A333))),LEN(A333))))))))+1, 1) * 10^ROW(INDIRECT("1:"&amp;LEN((--TRIM(RIGHT(SUBSTITUTE(LEFT(A333,_xlfn.AGGREGATE(16,6,FIND({0,1,2,3,4,5,6,7,8,9},A333,ROW(INDIRECT("1:"&amp;LEN(A333)))),1))," ",REPT(" ",LEN(A333))),LEN(A333)))))))/10))*1+1</f>
        <v>306 ,.., 1706</v>
      </c>
      <c r="B334" s="114"/>
      <c r="C334" s="55" t="s">
        <v>211</v>
      </c>
      <c r="D334" s="43">
        <f>(4.6*3.2+2.75*2.85+2.3*2.6+1.7*1.5+1.2*0.9+2.3*0.9)*10.764</f>
        <v>368.53244999999993</v>
      </c>
      <c r="E334" s="43">
        <v>0</v>
      </c>
      <c r="F334" s="43">
        <f t="shared" si="45"/>
        <v>552.79867499999989</v>
      </c>
      <c r="G334" s="112" t="str">
        <f t="shared" si="46"/>
        <v xml:space="preserve">3rd to 7th, 9th to 12th, 14th to 17th Floor </v>
      </c>
      <c r="H334" s="114"/>
      <c r="I334" s="37"/>
    </row>
    <row r="335" spans="1:14" s="38" customFormat="1" ht="15.75" customHeight="1" x14ac:dyDescent="0.35">
      <c r="A335" s="112" t="str">
        <f ca="1">(SUMPRODUCT(MID(0&amp;(LEFT(A334,SUM(LEN(A334)-LEN(SUBSTITUTE(A334,{"0","1","2"},""))))), LARGE(INDEX(ISNUMBER(--MID((LEFT(A334,SUM(LEN(A334)-LEN(SUBSTITUTE(A334,{"0","1","2"},""))))), ROW(INDIRECT("1:"&amp;LEN((LEFT(A334,SUM(LEN(A334)-LEN(SUBSTITUTE(A334,{"0","1","2"},"")))))))), 1)) * ROW(INDIRECT("1:"&amp;LEN((LEFT(A334,SUM(LEN(A334)-LEN(SUBSTITUTE(A334,{"0","1","2"},"")))))))), 0), ROW(INDIRECT("1:"&amp;LEN((LEFT(A334,SUM(LEN(A334)-LEN(SUBSTITUTE(A334,{"0","1","2"},"")))))))))+1, 1) * 10^ROW(INDIRECT("1:"&amp;LEN((LEFT(A334,SUM(LEN(A334)-LEN(SUBSTITUTE(A334,{"0","1","2"},""))))))))/10))*1+1&amp;""&amp;" ,.., "&amp;""&amp;(SUMPRODUCT(MID(0&amp;(--TRIM(RIGHT(SUBSTITUTE(LEFT(A334,_xlfn.AGGREGATE(16,6,FIND({0,1,2,3,4,5,6,7,8,9},A334,ROW(INDIRECT("1:"&amp;LEN(A334)))),1))," ",REPT(" ",LEN(A334))),LEN(A334)))), LARGE(INDEX(ISNUMBER(--MID((--TRIM(RIGHT(SUBSTITUTE(LEFT(A334,_xlfn.AGGREGATE(16,6,FIND({0,1,2,3,4,5,6,7,8,9},A334,ROW(INDIRECT("1:"&amp;LEN(A334)))),1))," ",REPT(" ",LEN(A334))),LEN(A334)))), ROW(INDIRECT("1:"&amp;LEN((--TRIM(RIGHT(SUBSTITUTE(LEFT(A334,_xlfn.AGGREGATE(16,6,FIND({0,1,2,3,4,5,6,7,8,9},A334,ROW(INDIRECT("1:"&amp;LEN(A334)))),1))," ",REPT(" ",LEN(A334))),LEN(A334))))))), 1)) * ROW(INDIRECT("1:"&amp;LEN((--TRIM(RIGHT(SUBSTITUTE(LEFT(A334,_xlfn.AGGREGATE(16,6,FIND({0,1,2,3,4,5,6,7,8,9},A334,ROW(INDIRECT("1:"&amp;LEN(A334)))),1))," ",REPT(" ",LEN(A334))),LEN(A334))))))), 0), ROW(INDIRECT("1:"&amp;LEN((--TRIM(RIGHT(SUBSTITUTE(LEFT(A334,_xlfn.AGGREGATE(16,6,FIND({0,1,2,3,4,5,6,7,8,9},A334,ROW(INDIRECT("1:"&amp;LEN(A334)))),1))," ",REPT(" ",LEN(A334))),LEN(A334))))))))+1, 1) * 10^ROW(INDIRECT("1:"&amp;LEN((--TRIM(RIGHT(SUBSTITUTE(LEFT(A334,_xlfn.AGGREGATE(16,6,FIND({0,1,2,3,4,5,6,7,8,9},A334,ROW(INDIRECT("1:"&amp;LEN(A334)))),1))," ",REPT(" ",LEN(A334))),LEN(A334)))))))/10))*1+1</f>
        <v>307 ,.., 1707</v>
      </c>
      <c r="B335" s="114"/>
      <c r="C335" s="55" t="s">
        <v>217</v>
      </c>
      <c r="D335" s="43">
        <f>(4*4.65+2.75*2.75+3*2.75+2.1*1.2+1.2*2.1+2.6*2.1+1.2*3+1.2*0.9+2.6*1.2)*10.764</f>
        <v>567.39735000000007</v>
      </c>
      <c r="E335" s="43">
        <v>0</v>
      </c>
      <c r="F335" s="43">
        <f t="shared" si="45"/>
        <v>851.09602500000005</v>
      </c>
      <c r="G335" s="112" t="str">
        <f t="shared" si="46"/>
        <v xml:space="preserve">3rd to 7th, 9th to 12th, 14th to 17th Floor </v>
      </c>
      <c r="H335" s="114"/>
      <c r="I335" s="37"/>
    </row>
    <row r="336" spans="1:14" s="38" customFormat="1" ht="15.75" customHeight="1" x14ac:dyDescent="0.35">
      <c r="A336" s="112" t="str">
        <f ca="1">(SUMPRODUCT(MID(0&amp;(LEFT(A335,SUM(LEN(A335)-LEN(SUBSTITUTE(A335,{"0","1","2"},""))))), LARGE(INDEX(ISNUMBER(--MID((LEFT(A335,SUM(LEN(A335)-LEN(SUBSTITUTE(A335,{"0","1","2"},""))))), ROW(INDIRECT("1:"&amp;LEN((LEFT(A335,SUM(LEN(A335)-LEN(SUBSTITUTE(A335,{"0","1","2"},"")))))))), 1)) * ROW(INDIRECT("1:"&amp;LEN((LEFT(A335,SUM(LEN(A335)-LEN(SUBSTITUTE(A335,{"0","1","2"},"")))))))), 0), ROW(INDIRECT("1:"&amp;LEN((LEFT(A335,SUM(LEN(A335)-LEN(SUBSTITUTE(A335,{"0","1","2"},"")))))))))+1, 1) * 10^ROW(INDIRECT("1:"&amp;LEN((LEFT(A335,SUM(LEN(A335)-LEN(SUBSTITUTE(A335,{"0","1","2"},""))))))))/10))*1+1&amp;""&amp;" ,.., "&amp;""&amp;(SUMPRODUCT(MID(0&amp;(--TRIM(RIGHT(SUBSTITUTE(LEFT(A335,_xlfn.AGGREGATE(16,6,FIND({0,1,2,3,4,5,6,7,8,9},A335,ROW(INDIRECT("1:"&amp;LEN(A335)))),1))," ",REPT(" ",LEN(A335))),LEN(A335)))), LARGE(INDEX(ISNUMBER(--MID((--TRIM(RIGHT(SUBSTITUTE(LEFT(A335,_xlfn.AGGREGATE(16,6,FIND({0,1,2,3,4,5,6,7,8,9},A335,ROW(INDIRECT("1:"&amp;LEN(A335)))),1))," ",REPT(" ",LEN(A335))),LEN(A335)))), ROW(INDIRECT("1:"&amp;LEN((--TRIM(RIGHT(SUBSTITUTE(LEFT(A335,_xlfn.AGGREGATE(16,6,FIND({0,1,2,3,4,5,6,7,8,9},A335,ROW(INDIRECT("1:"&amp;LEN(A335)))),1))," ",REPT(" ",LEN(A335))),LEN(A335))))))), 1)) * ROW(INDIRECT("1:"&amp;LEN((--TRIM(RIGHT(SUBSTITUTE(LEFT(A335,_xlfn.AGGREGATE(16,6,FIND({0,1,2,3,4,5,6,7,8,9},A335,ROW(INDIRECT("1:"&amp;LEN(A335)))),1))," ",REPT(" ",LEN(A335))),LEN(A335))))))), 0), ROW(INDIRECT("1:"&amp;LEN((--TRIM(RIGHT(SUBSTITUTE(LEFT(A335,_xlfn.AGGREGATE(16,6,FIND({0,1,2,3,4,5,6,7,8,9},A335,ROW(INDIRECT("1:"&amp;LEN(A335)))),1))," ",REPT(" ",LEN(A335))),LEN(A335))))))))+1, 1) * 10^ROW(INDIRECT("1:"&amp;LEN((--TRIM(RIGHT(SUBSTITUTE(LEFT(A335,_xlfn.AGGREGATE(16,6,FIND({0,1,2,3,4,5,6,7,8,9},A335,ROW(INDIRECT("1:"&amp;LEN(A335)))),1))," ",REPT(" ",LEN(A335))),LEN(A335)))))))/10))*1+1</f>
        <v>308 ,.., 1708</v>
      </c>
      <c r="B336" s="114"/>
      <c r="C336" s="55" t="s">
        <v>217</v>
      </c>
      <c r="D336" s="43">
        <f>(3.4*4.65+2.6*2.1+2.75*2.75+2.1*1.2+3*2.75+1.2*2.1+2.6*1.2+0.9*1.2+1.2*3)*10.764</f>
        <v>537.36579000000006</v>
      </c>
      <c r="E336" s="43">
        <v>0</v>
      </c>
      <c r="F336" s="43">
        <f t="shared" si="45"/>
        <v>806.04868500000009</v>
      </c>
      <c r="G336" s="112" t="str">
        <f t="shared" si="46"/>
        <v xml:space="preserve">3rd to 7th, 9th to 12th, 14th to 17th Floor </v>
      </c>
      <c r="H336" s="114"/>
      <c r="I336" s="37"/>
    </row>
    <row r="337" spans="1:14" s="38" customFormat="1" x14ac:dyDescent="0.35">
      <c r="A337" s="118" t="s">
        <v>220</v>
      </c>
      <c r="B337" s="119"/>
      <c r="C337" s="119"/>
      <c r="D337" s="119"/>
      <c r="E337" s="119"/>
      <c r="F337" s="119"/>
      <c r="G337" s="119"/>
      <c r="H337" s="120"/>
      <c r="I337" s="37"/>
    </row>
    <row r="338" spans="1:14" s="38" customFormat="1" x14ac:dyDescent="0.35">
      <c r="A338" s="112" t="str">
        <f>N338</f>
        <v>801 &amp; 1301</v>
      </c>
      <c r="B338" s="114"/>
      <c r="C338" s="121" t="s">
        <v>219</v>
      </c>
      <c r="D338" s="122"/>
      <c r="E338" s="122"/>
      <c r="F338" s="123"/>
      <c r="G338" s="112" t="str">
        <f>A337</f>
        <v>8th &amp; 13th Floor (Part Refuge Area)</v>
      </c>
      <c r="H338" s="114"/>
      <c r="I338" s="37"/>
      <c r="L338" s="38">
        <v>801</v>
      </c>
      <c r="M338" s="38">
        <v>1301</v>
      </c>
      <c r="N338" s="38" t="str">
        <f>L338&amp;""&amp;" &amp; "&amp;""&amp;M338</f>
        <v>801 &amp; 1301</v>
      </c>
    </row>
    <row r="339" spans="1:14" s="38" customFormat="1" ht="15.75" customHeight="1" x14ac:dyDescent="0.35">
      <c r="A339" s="112" t="str">
        <f t="shared" ref="A339:A345" si="47">N339</f>
        <v>802 &amp; 1302</v>
      </c>
      <c r="B339" s="114"/>
      <c r="C339" s="55" t="s">
        <v>211</v>
      </c>
      <c r="D339" s="43">
        <f>(4*3.35+0.91*1.71+2.25*2.85+2.75*3+1.25*1.73+1.25*1.73+0.9*2.75)*10.764</f>
        <v>392.00981040000005</v>
      </c>
      <c r="E339" s="43">
        <v>0</v>
      </c>
      <c r="F339" s="43">
        <f t="shared" ref="F339:F345" si="48">D339*(($F$223)+1)+(IF(E339&lt;101,E339,IF(E339&lt;201,E339/2,IF(E339&lt;=301,E339/3,E339/4))))</f>
        <v>588.01471560000005</v>
      </c>
      <c r="G339" s="112" t="str">
        <f t="shared" ref="G339:G345" si="49">G338</f>
        <v>8th &amp; 13th Floor (Part Refuge Area)</v>
      </c>
      <c r="H339" s="114"/>
      <c r="I339" s="37"/>
      <c r="L339" s="38">
        <v>802</v>
      </c>
      <c r="M339" s="38">
        <v>1302</v>
      </c>
      <c r="N339" s="38" t="str">
        <f t="shared" ref="N339:N345" si="50">L339&amp;""&amp;" &amp; "&amp;""&amp;M339</f>
        <v>802 &amp; 1302</v>
      </c>
    </row>
    <row r="340" spans="1:14" s="38" customFormat="1" ht="15.75" customHeight="1" x14ac:dyDescent="0.35">
      <c r="A340" s="112" t="str">
        <f t="shared" si="47"/>
        <v>803 &amp; 1303</v>
      </c>
      <c r="B340" s="114"/>
      <c r="C340" s="55" t="s">
        <v>211</v>
      </c>
      <c r="D340" s="43">
        <f>(4.8*3+2.6*2.25+3*2.75+1.2*1.85+1.7*1.2+1.2*1.75+0.9*1.3)*10.764</f>
        <v>387.82691999999997</v>
      </c>
      <c r="E340" s="43">
        <v>0</v>
      </c>
      <c r="F340" s="43">
        <f t="shared" si="48"/>
        <v>581.74037999999996</v>
      </c>
      <c r="G340" s="112" t="str">
        <f t="shared" si="49"/>
        <v>8th &amp; 13th Floor (Part Refuge Area)</v>
      </c>
      <c r="H340" s="114"/>
      <c r="I340" s="37"/>
      <c r="L340" s="38">
        <v>803</v>
      </c>
      <c r="M340" s="38">
        <v>1303</v>
      </c>
      <c r="N340" s="38" t="str">
        <f t="shared" si="50"/>
        <v>803 &amp; 1303</v>
      </c>
    </row>
    <row r="341" spans="1:14" s="38" customFormat="1" ht="15.75" customHeight="1" x14ac:dyDescent="0.35">
      <c r="A341" s="112" t="str">
        <f t="shared" si="47"/>
        <v>804 &amp; 1304</v>
      </c>
      <c r="B341" s="114"/>
      <c r="C341" s="55" t="s">
        <v>211</v>
      </c>
      <c r="D341" s="43">
        <f>(4.8*3+2.6*2.25+3*2.75+1.2*1.85+1.7*1.2+1.2*1.75+0.9*1.3)*10.764</f>
        <v>387.82691999999997</v>
      </c>
      <c r="E341" s="43">
        <v>0</v>
      </c>
      <c r="F341" s="43">
        <f t="shared" si="48"/>
        <v>581.74037999999996</v>
      </c>
      <c r="G341" s="112" t="str">
        <f t="shared" si="49"/>
        <v>8th &amp; 13th Floor (Part Refuge Area)</v>
      </c>
      <c r="H341" s="114"/>
      <c r="I341" s="37"/>
      <c r="L341" s="38">
        <v>804</v>
      </c>
      <c r="M341" s="38">
        <v>1304</v>
      </c>
      <c r="N341" s="38" t="str">
        <f t="shared" si="50"/>
        <v>804 &amp; 1304</v>
      </c>
    </row>
    <row r="342" spans="1:14" s="38" customFormat="1" ht="15.75" customHeight="1" x14ac:dyDescent="0.35">
      <c r="A342" s="112" t="str">
        <f t="shared" si="47"/>
        <v>805 &amp; 1305</v>
      </c>
      <c r="B342" s="114"/>
      <c r="C342" s="55" t="s">
        <v>211</v>
      </c>
      <c r="D342" s="43">
        <f>(4.6*3.2+2.75*2.85+2.3*2.6+1.7*1.5+1.2*0.9+2.3*0.9)*10.764</f>
        <v>368.53244999999993</v>
      </c>
      <c r="E342" s="43">
        <v>0</v>
      </c>
      <c r="F342" s="43">
        <f t="shared" si="48"/>
        <v>552.79867499999989</v>
      </c>
      <c r="G342" s="112" t="str">
        <f t="shared" si="49"/>
        <v>8th &amp; 13th Floor (Part Refuge Area)</v>
      </c>
      <c r="H342" s="114"/>
      <c r="I342" s="37"/>
      <c r="L342" s="38">
        <v>805</v>
      </c>
      <c r="M342" s="38">
        <v>1305</v>
      </c>
      <c r="N342" s="38" t="str">
        <f t="shared" si="50"/>
        <v>805 &amp; 1305</v>
      </c>
    </row>
    <row r="343" spans="1:14" s="38" customFormat="1" ht="15.75" customHeight="1" x14ac:dyDescent="0.35">
      <c r="A343" s="112" t="str">
        <f t="shared" si="47"/>
        <v>806 &amp; 1306</v>
      </c>
      <c r="B343" s="114"/>
      <c r="C343" s="55" t="s">
        <v>211</v>
      </c>
      <c r="D343" s="43">
        <f>(4.6*3.2+2.75*2.85+2.3*2.6+1.7*1.5+1.2*0.9+2.3*0.9)*10.764</f>
        <v>368.53244999999993</v>
      </c>
      <c r="E343" s="43">
        <v>0</v>
      </c>
      <c r="F343" s="43">
        <f t="shared" si="48"/>
        <v>552.79867499999989</v>
      </c>
      <c r="G343" s="112" t="str">
        <f t="shared" si="49"/>
        <v>8th &amp; 13th Floor (Part Refuge Area)</v>
      </c>
      <c r="H343" s="114"/>
      <c r="I343" s="37"/>
      <c r="L343" s="38">
        <v>806</v>
      </c>
      <c r="M343" s="38">
        <v>1306</v>
      </c>
      <c r="N343" s="38" t="str">
        <f t="shared" si="50"/>
        <v>806 &amp; 1306</v>
      </c>
    </row>
    <row r="344" spans="1:14" s="38" customFormat="1" ht="15.75" customHeight="1" x14ac:dyDescent="0.35">
      <c r="A344" s="112" t="str">
        <f t="shared" si="47"/>
        <v>807 &amp; 1307</v>
      </c>
      <c r="B344" s="114"/>
      <c r="C344" s="55" t="s">
        <v>217</v>
      </c>
      <c r="D344" s="43">
        <f>(4*4.65+2.75*2.75+3*2.75+2.1*1.2+1.2*2.1+2.6*2.1+1.2*3+1.2*0.9+2.6*1.2)*10.764</f>
        <v>567.39735000000007</v>
      </c>
      <c r="E344" s="43">
        <v>0</v>
      </c>
      <c r="F344" s="43">
        <f t="shared" si="48"/>
        <v>851.09602500000005</v>
      </c>
      <c r="G344" s="112" t="str">
        <f t="shared" si="49"/>
        <v>8th &amp; 13th Floor (Part Refuge Area)</v>
      </c>
      <c r="H344" s="114"/>
      <c r="I344" s="37"/>
      <c r="L344" s="38">
        <v>807</v>
      </c>
      <c r="M344" s="38">
        <v>1307</v>
      </c>
      <c r="N344" s="38" t="str">
        <f t="shared" si="50"/>
        <v>807 &amp; 1307</v>
      </c>
    </row>
    <row r="345" spans="1:14" s="38" customFormat="1" ht="15.75" customHeight="1" x14ac:dyDescent="0.35">
      <c r="A345" s="112" t="str">
        <f t="shared" si="47"/>
        <v>808 &amp; 1308</v>
      </c>
      <c r="B345" s="114"/>
      <c r="C345" s="55" t="s">
        <v>217</v>
      </c>
      <c r="D345" s="43">
        <f>(3.4*4.65+2.6*2.1+2.75*2.75+2.1*1.2+3*2.75+1.2*2.1+2.6*1.2+0.9*1.2+1.2*3)*10.764</f>
        <v>537.36579000000006</v>
      </c>
      <c r="E345" s="43">
        <v>0</v>
      </c>
      <c r="F345" s="43">
        <f t="shared" si="48"/>
        <v>806.04868500000009</v>
      </c>
      <c r="G345" s="112" t="str">
        <f t="shared" si="49"/>
        <v>8th &amp; 13th Floor (Part Refuge Area)</v>
      </c>
      <c r="H345" s="114"/>
      <c r="I345" s="37"/>
      <c r="L345" s="38">
        <v>808</v>
      </c>
      <c r="M345" s="38">
        <v>1308</v>
      </c>
      <c r="N345" s="38" t="str">
        <f t="shared" si="50"/>
        <v>808 &amp; 1308</v>
      </c>
    </row>
    <row r="346" spans="1:14" s="38" customFormat="1" x14ac:dyDescent="0.35">
      <c r="A346" s="118" t="s">
        <v>225</v>
      </c>
      <c r="B346" s="119"/>
      <c r="C346" s="119"/>
      <c r="D346" s="119"/>
      <c r="E346" s="119"/>
      <c r="F346" s="119"/>
      <c r="G346" s="119"/>
      <c r="H346" s="120"/>
      <c r="I346" s="37"/>
    </row>
    <row r="347" spans="1:14" s="38" customFormat="1" x14ac:dyDescent="0.35">
      <c r="A347" s="112">
        <v>1801</v>
      </c>
      <c r="B347" s="114"/>
      <c r="C347" s="121" t="s">
        <v>219</v>
      </c>
      <c r="D347" s="122"/>
      <c r="E347" s="122"/>
      <c r="F347" s="123"/>
      <c r="G347" s="112" t="str">
        <f>A346</f>
        <v>18th Floor (Part Refuge Area)</v>
      </c>
      <c r="H347" s="114"/>
      <c r="I347" s="37"/>
      <c r="L347" s="38">
        <v>801</v>
      </c>
      <c r="M347" s="38">
        <v>1301</v>
      </c>
      <c r="N347" s="38" t="str">
        <f>L347&amp;""&amp;" &amp; "&amp;""&amp;M347</f>
        <v>801 &amp; 1301</v>
      </c>
    </row>
    <row r="348" spans="1:14" s="38" customFormat="1" ht="15.75" customHeight="1" x14ac:dyDescent="0.35">
      <c r="A348" s="112">
        <v>1802</v>
      </c>
      <c r="B348" s="114"/>
      <c r="C348" s="55" t="s">
        <v>211</v>
      </c>
      <c r="D348" s="43">
        <f>(4*3.35+0.91*1.71+2.25*2.85+2.75*3+1.25*1.73+1.25*1.73+0.9*2.75)*10.764</f>
        <v>392.00981040000005</v>
      </c>
      <c r="E348" s="43">
        <v>0</v>
      </c>
      <c r="F348" s="43">
        <f t="shared" ref="F348:F354" si="51">D348*(($F$223)+1)+(IF(E348&lt;101,E348,IF(E348&lt;201,E348/2,IF(E348&lt;=301,E348/3,E348/4))))</f>
        <v>588.01471560000005</v>
      </c>
      <c r="G348" s="112" t="str">
        <f t="shared" ref="G348:G354" si="52">G347</f>
        <v>18th Floor (Part Refuge Area)</v>
      </c>
      <c r="H348" s="114"/>
      <c r="I348" s="37"/>
      <c r="L348" s="38">
        <v>802</v>
      </c>
      <c r="M348" s="38">
        <v>1302</v>
      </c>
      <c r="N348" s="38" t="str">
        <f t="shared" ref="N348:N354" si="53">L348&amp;""&amp;" &amp; "&amp;""&amp;M348</f>
        <v>802 &amp; 1302</v>
      </c>
    </row>
    <row r="349" spans="1:14" s="38" customFormat="1" ht="15.75" customHeight="1" x14ac:dyDescent="0.35">
      <c r="A349" s="112">
        <v>1803</v>
      </c>
      <c r="B349" s="114"/>
      <c r="C349" s="55" t="s">
        <v>211</v>
      </c>
      <c r="D349" s="43">
        <f>(4.8*3+2.6*2.25+3*2.75+1.2*1.85+1.7*1.2+1.2*1.75+0.9*1.3)*10.764</f>
        <v>387.82691999999997</v>
      </c>
      <c r="E349" s="43">
        <v>0</v>
      </c>
      <c r="F349" s="43">
        <f t="shared" si="51"/>
        <v>581.74037999999996</v>
      </c>
      <c r="G349" s="112" t="str">
        <f t="shared" si="52"/>
        <v>18th Floor (Part Refuge Area)</v>
      </c>
      <c r="H349" s="114"/>
      <c r="I349" s="37"/>
      <c r="L349" s="38">
        <v>803</v>
      </c>
      <c r="M349" s="38">
        <v>1303</v>
      </c>
      <c r="N349" s="38" t="str">
        <f t="shared" si="53"/>
        <v>803 &amp; 1303</v>
      </c>
    </row>
    <row r="350" spans="1:14" s="38" customFormat="1" ht="15.75" customHeight="1" x14ac:dyDescent="0.35">
      <c r="A350" s="112">
        <v>1804</v>
      </c>
      <c r="B350" s="114"/>
      <c r="C350" s="55" t="s">
        <v>211</v>
      </c>
      <c r="D350" s="43">
        <f>(4.8*3+2.6*2.25+3*2.75+1.2*1.85+1.7*1.2+1.2*1.75+0.9*1.3)*10.764</f>
        <v>387.82691999999997</v>
      </c>
      <c r="E350" s="43">
        <v>0</v>
      </c>
      <c r="F350" s="43">
        <f t="shared" si="51"/>
        <v>581.74037999999996</v>
      </c>
      <c r="G350" s="112" t="str">
        <f t="shared" si="52"/>
        <v>18th Floor (Part Refuge Area)</v>
      </c>
      <c r="H350" s="114"/>
      <c r="I350" s="37"/>
      <c r="L350" s="38">
        <v>804</v>
      </c>
      <c r="M350" s="38">
        <v>1304</v>
      </c>
      <c r="N350" s="38" t="str">
        <f t="shared" si="53"/>
        <v>804 &amp; 1304</v>
      </c>
    </row>
    <row r="351" spans="1:14" s="38" customFormat="1" ht="15.75" customHeight="1" x14ac:dyDescent="0.35">
      <c r="A351" s="112">
        <v>1805</v>
      </c>
      <c r="B351" s="114"/>
      <c r="C351" s="55" t="s">
        <v>211</v>
      </c>
      <c r="D351" s="43">
        <f>(4.6*3.2+2.75*2.85+2.3*2.6+1.7*1.5+1.2*0.9+2.3*0.9)*10.764</f>
        <v>368.53244999999993</v>
      </c>
      <c r="E351" s="43">
        <v>0</v>
      </c>
      <c r="F351" s="43">
        <f t="shared" si="51"/>
        <v>552.79867499999989</v>
      </c>
      <c r="G351" s="112" t="str">
        <f t="shared" si="52"/>
        <v>18th Floor (Part Refuge Area)</v>
      </c>
      <c r="H351" s="114"/>
      <c r="I351" s="37"/>
      <c r="L351" s="38">
        <v>805</v>
      </c>
      <c r="M351" s="38">
        <v>1305</v>
      </c>
      <c r="N351" s="38" t="str">
        <f t="shared" si="53"/>
        <v>805 &amp; 1305</v>
      </c>
    </row>
    <row r="352" spans="1:14" s="38" customFormat="1" ht="15.75" customHeight="1" x14ac:dyDescent="0.35">
      <c r="A352" s="112">
        <v>1806</v>
      </c>
      <c r="B352" s="114"/>
      <c r="C352" s="55" t="s">
        <v>211</v>
      </c>
      <c r="D352" s="43">
        <f>(4.6*3.2+2.75*2.85+2.3*2.6+1.7*1.5+1.2*0.9+2.3*0.9)*10.764</f>
        <v>368.53244999999993</v>
      </c>
      <c r="E352" s="43">
        <v>0</v>
      </c>
      <c r="F352" s="43">
        <f t="shared" si="51"/>
        <v>552.79867499999989</v>
      </c>
      <c r="G352" s="112" t="str">
        <f t="shared" si="52"/>
        <v>18th Floor (Part Refuge Area)</v>
      </c>
      <c r="H352" s="114"/>
      <c r="I352" s="37"/>
      <c r="L352" s="38">
        <v>806</v>
      </c>
      <c r="M352" s="38">
        <v>1306</v>
      </c>
      <c r="N352" s="38" t="str">
        <f t="shared" si="53"/>
        <v>806 &amp; 1306</v>
      </c>
    </row>
    <row r="353" spans="1:14" s="38" customFormat="1" ht="15.75" customHeight="1" x14ac:dyDescent="0.35">
      <c r="A353" s="112">
        <v>1807</v>
      </c>
      <c r="B353" s="114"/>
      <c r="C353" s="55" t="s">
        <v>217</v>
      </c>
      <c r="D353" s="43">
        <f>(4*4.65+2.75*2.75+3*2.75+2.1*1.2+1.2*2.1+2.6*2.1+1.2*3+1.2*0.9+2.6*1.2)*10.764</f>
        <v>567.39735000000007</v>
      </c>
      <c r="E353" s="43">
        <v>0</v>
      </c>
      <c r="F353" s="43">
        <f t="shared" si="51"/>
        <v>851.09602500000005</v>
      </c>
      <c r="G353" s="112" t="str">
        <f t="shared" si="52"/>
        <v>18th Floor (Part Refuge Area)</v>
      </c>
      <c r="H353" s="114"/>
      <c r="I353" s="37"/>
      <c r="L353" s="38">
        <v>807</v>
      </c>
      <c r="M353" s="38">
        <v>1307</v>
      </c>
      <c r="N353" s="38" t="str">
        <f t="shared" si="53"/>
        <v>807 &amp; 1307</v>
      </c>
    </row>
    <row r="354" spans="1:14" s="38" customFormat="1" ht="15.75" customHeight="1" x14ac:dyDescent="0.35">
      <c r="A354" s="112">
        <v>1808</v>
      </c>
      <c r="B354" s="114"/>
      <c r="C354" s="55" t="s">
        <v>217</v>
      </c>
      <c r="D354" s="43">
        <f>(3.4*4.65+2.6*2.1+2.75*2.75+2.1*1.2+3*2.75+1.2*2.1+2.6*1.2+0.9*1.2+1.2*3)*10.764</f>
        <v>537.36579000000006</v>
      </c>
      <c r="E354" s="43">
        <v>0</v>
      </c>
      <c r="F354" s="43">
        <f t="shared" si="51"/>
        <v>806.04868500000009</v>
      </c>
      <c r="G354" s="112" t="str">
        <f t="shared" si="52"/>
        <v>18th Floor (Part Refuge Area)</v>
      </c>
      <c r="H354" s="114"/>
      <c r="I354" s="37"/>
      <c r="L354" s="38">
        <v>808</v>
      </c>
      <c r="M354" s="38">
        <v>1308</v>
      </c>
      <c r="N354" s="38" t="str">
        <f t="shared" si="53"/>
        <v>808 &amp; 1308</v>
      </c>
    </row>
    <row r="355" spans="1:14" s="38" customFormat="1" ht="15.75" customHeight="1" x14ac:dyDescent="0.35">
      <c r="A355" s="117" t="s">
        <v>226</v>
      </c>
      <c r="B355" s="117"/>
      <c r="C355" s="117"/>
      <c r="D355" s="117"/>
      <c r="E355" s="117"/>
      <c r="F355" s="117"/>
      <c r="G355" s="117"/>
      <c r="H355" s="117"/>
      <c r="I355" s="37"/>
    </row>
    <row r="356" spans="1:14" s="38" customFormat="1" x14ac:dyDescent="0.35">
      <c r="A356" s="110">
        <v>1901</v>
      </c>
      <c r="B356" s="110"/>
      <c r="C356" s="75" t="s">
        <v>211</v>
      </c>
      <c r="D356" s="74">
        <f>(4*3.35+0.91*1.71+2.25*2.85+2.75*3+1.25*1.73+1.25*1.73+0.9*2.75)*10.764</f>
        <v>392.00981040000005</v>
      </c>
      <c r="E356" s="74">
        <v>0</v>
      </c>
      <c r="F356" s="74">
        <f t="shared" ref="F356:F363" si="54">D356*(($F$223)+1)+(IF(E356&lt;101,E356,IF(E356&lt;201,E356/2,IF(E356&lt;=301,E356/3,E356/4))))</f>
        <v>588.01471560000005</v>
      </c>
      <c r="G356" s="110" t="str">
        <f>A355</f>
        <v>19th Floor</v>
      </c>
      <c r="H356" s="110"/>
      <c r="I356" s="37"/>
    </row>
    <row r="357" spans="1:14" s="38" customFormat="1" x14ac:dyDescent="0.35">
      <c r="A357" s="110">
        <v>1902</v>
      </c>
      <c r="B357" s="110"/>
      <c r="C357" s="75" t="s">
        <v>211</v>
      </c>
      <c r="D357" s="74">
        <f>(4*3.35+0.91*1.71+2.25*2.85+2.75*3+1.25*1.73+1.25*1.73+0.9*2.75)*10.764</f>
        <v>392.00981040000005</v>
      </c>
      <c r="E357" s="74">
        <v>0</v>
      </c>
      <c r="F357" s="74">
        <f t="shared" si="54"/>
        <v>588.01471560000005</v>
      </c>
      <c r="G357" s="110" t="str">
        <f t="shared" ref="G357:G363" si="55">G356</f>
        <v>19th Floor</v>
      </c>
      <c r="H357" s="110"/>
      <c r="I357" s="37"/>
    </row>
    <row r="358" spans="1:14" s="38" customFormat="1" ht="15.75" customHeight="1" x14ac:dyDescent="0.35">
      <c r="A358" s="110">
        <v>1903</v>
      </c>
      <c r="B358" s="110"/>
      <c r="C358" s="75" t="s">
        <v>211</v>
      </c>
      <c r="D358" s="74">
        <f>(4.8*3+2.6*2.25+3*2.75+1.2*1.85+1.7*1.2+1.2*1.75+0.9*1.3)*10.764</f>
        <v>387.82691999999997</v>
      </c>
      <c r="E358" s="74">
        <v>0</v>
      </c>
      <c r="F358" s="74">
        <f t="shared" si="54"/>
        <v>581.74037999999996</v>
      </c>
      <c r="G358" s="110" t="str">
        <f t="shared" si="55"/>
        <v>19th Floor</v>
      </c>
      <c r="H358" s="110"/>
      <c r="I358" s="37"/>
    </row>
    <row r="359" spans="1:14" s="38" customFormat="1" ht="15.75" customHeight="1" x14ac:dyDescent="0.35">
      <c r="A359" s="110">
        <v>1904</v>
      </c>
      <c r="B359" s="110"/>
      <c r="C359" s="75" t="s">
        <v>211</v>
      </c>
      <c r="D359" s="74">
        <f>(4.8*3+2.6*2.25+3*2.75+1.2*1.85+1.7*1.2+1.2*1.75+0.9*1.3)*10.764</f>
        <v>387.82691999999997</v>
      </c>
      <c r="E359" s="74">
        <v>0</v>
      </c>
      <c r="F359" s="74">
        <f t="shared" si="54"/>
        <v>581.74037999999996</v>
      </c>
      <c r="G359" s="110" t="str">
        <f t="shared" si="55"/>
        <v>19th Floor</v>
      </c>
      <c r="H359" s="110"/>
      <c r="I359" s="37"/>
    </row>
    <row r="360" spans="1:14" s="38" customFormat="1" ht="15.75" customHeight="1" x14ac:dyDescent="0.35">
      <c r="A360" s="110">
        <v>1905</v>
      </c>
      <c r="B360" s="110"/>
      <c r="C360" s="75" t="s">
        <v>211</v>
      </c>
      <c r="D360" s="74">
        <f>(4.6*3.2+2.75*2.85+2.3*2.6+1.7*1.5+1.2*0.9+2.3*0.9)*10.764</f>
        <v>368.53244999999993</v>
      </c>
      <c r="E360" s="74">
        <v>0</v>
      </c>
      <c r="F360" s="74">
        <f t="shared" si="54"/>
        <v>552.79867499999989</v>
      </c>
      <c r="G360" s="110" t="str">
        <f t="shared" si="55"/>
        <v>19th Floor</v>
      </c>
      <c r="H360" s="110"/>
      <c r="I360" s="37"/>
    </row>
    <row r="361" spans="1:14" s="38" customFormat="1" ht="15.75" customHeight="1" x14ac:dyDescent="0.35">
      <c r="A361" s="110">
        <v>1906</v>
      </c>
      <c r="B361" s="110"/>
      <c r="C361" s="75" t="s">
        <v>211</v>
      </c>
      <c r="D361" s="74">
        <f>(4.6*3.2+2.75*2.85+2.3*2.6+1.7*1.5+1.2*0.9+2.3*0.9)*10.764</f>
        <v>368.53244999999993</v>
      </c>
      <c r="E361" s="74">
        <v>0</v>
      </c>
      <c r="F361" s="74">
        <f t="shared" si="54"/>
        <v>552.79867499999989</v>
      </c>
      <c r="G361" s="110" t="str">
        <f t="shared" si="55"/>
        <v>19th Floor</v>
      </c>
      <c r="H361" s="110"/>
      <c r="I361" s="37"/>
    </row>
    <row r="362" spans="1:14" s="38" customFormat="1" ht="15.75" customHeight="1" x14ac:dyDescent="0.35">
      <c r="A362" s="110">
        <v>1907</v>
      </c>
      <c r="B362" s="110"/>
      <c r="C362" s="75" t="s">
        <v>217</v>
      </c>
      <c r="D362" s="74">
        <f>(4*4.65+2.75*2.75+3*2.75+2.1*1.2+1.2*2.1+2.6*2.1+1.2*3+1.2*0.9+2.6*1.2)*10.764</f>
        <v>567.39735000000007</v>
      </c>
      <c r="E362" s="74">
        <v>0</v>
      </c>
      <c r="F362" s="74">
        <f t="shared" si="54"/>
        <v>851.09602500000005</v>
      </c>
      <c r="G362" s="110" t="str">
        <f t="shared" si="55"/>
        <v>19th Floor</v>
      </c>
      <c r="H362" s="110"/>
      <c r="I362" s="37"/>
    </row>
    <row r="363" spans="1:14" s="38" customFormat="1" ht="15.75" customHeight="1" x14ac:dyDescent="0.35">
      <c r="A363" s="110">
        <v>1908</v>
      </c>
      <c r="B363" s="110"/>
      <c r="C363" s="75" t="s">
        <v>217</v>
      </c>
      <c r="D363" s="74">
        <f>(3.4*4.65+2.6*2.1+2.75*2.75+2.1*1.2+3*2.75+1.2*2.1+2.6*1.2+0.9*1.2+1.2*3)*10.764</f>
        <v>537.36579000000006</v>
      </c>
      <c r="E363" s="74">
        <v>0</v>
      </c>
      <c r="F363" s="74">
        <f t="shared" si="54"/>
        <v>806.04868500000009</v>
      </c>
      <c r="G363" s="110" t="str">
        <f t="shared" si="55"/>
        <v>19th Floor</v>
      </c>
      <c r="H363" s="110"/>
      <c r="I363" s="37"/>
    </row>
    <row r="364" spans="1:14" s="38" customFormat="1" ht="15.75" customHeight="1" x14ac:dyDescent="0.35">
      <c r="A364" s="117" t="s">
        <v>228</v>
      </c>
      <c r="B364" s="117"/>
      <c r="C364" s="117"/>
      <c r="D364" s="117"/>
      <c r="E364" s="117"/>
      <c r="F364" s="117"/>
      <c r="G364" s="117"/>
      <c r="H364" s="117"/>
      <c r="I364" s="37"/>
    </row>
    <row r="365" spans="1:14" s="38" customFormat="1" x14ac:dyDescent="0.35">
      <c r="A365" s="112">
        <v>2001</v>
      </c>
      <c r="B365" s="114"/>
      <c r="C365" s="55" t="s">
        <v>211</v>
      </c>
      <c r="D365" s="43">
        <f>(4*3.35+0.91*1.71+2.25*2.85+2.75*3+1.25*1.73+1.25*1.73+0.9*2.75)*10.764</f>
        <v>392.00981040000005</v>
      </c>
      <c r="E365" s="43">
        <v>0</v>
      </c>
      <c r="F365" s="43">
        <f>D365*(($F$223)+1)+(IF(E365&lt;101,E365,IF(E365&lt;201,E365/2,IF(E365&lt;=301,E365/3,E365/4))))</f>
        <v>588.01471560000005</v>
      </c>
      <c r="G365" s="112" t="str">
        <f>A364</f>
        <v>20th Floor (Part Terrace Area)</v>
      </c>
      <c r="H365" s="114"/>
      <c r="I365" s="37"/>
    </row>
    <row r="366" spans="1:14" s="38" customFormat="1" x14ac:dyDescent="0.35">
      <c r="A366" s="112">
        <v>2002</v>
      </c>
      <c r="B366" s="114"/>
      <c r="C366" s="55" t="s">
        <v>211</v>
      </c>
      <c r="D366" s="43">
        <f>(4*3.35+0.91*1.71+2.25*2.85+2.75*3+1.25*1.73+1.25*1.73+0.9*2.75)*10.764</f>
        <v>392.00981040000005</v>
      </c>
      <c r="E366" s="43">
        <v>0</v>
      </c>
      <c r="F366" s="43">
        <f>D366*(($F$223)+1)+(IF(E366&lt;101,E366,IF(E366&lt;201,E366/2,IF(E366&lt;=301,E366/3,E366/4))))</f>
        <v>588.01471560000005</v>
      </c>
      <c r="G366" s="112" t="str">
        <f t="shared" ref="G366:G372" si="56">G365</f>
        <v>20th Floor (Part Terrace Area)</v>
      </c>
      <c r="H366" s="114"/>
      <c r="I366" s="37"/>
    </row>
    <row r="367" spans="1:14" s="38" customFormat="1" ht="15.75" customHeight="1" x14ac:dyDescent="0.35">
      <c r="A367" s="112">
        <v>2003</v>
      </c>
      <c r="B367" s="114"/>
      <c r="C367" s="55" t="s">
        <v>211</v>
      </c>
      <c r="D367" s="43">
        <f>(4.8*3+2.6*2.25+3*2.75+1.2*1.85+1.7*1.2+1.2*1.75+0.9*1.3)*10.764</f>
        <v>387.82691999999997</v>
      </c>
      <c r="E367" s="43">
        <v>0</v>
      </c>
      <c r="F367" s="43">
        <f>D367*(($F$223)+1)+(IF(E367&lt;101,E367,IF(E367&lt;201,E367/2,IF(E367&lt;=301,E367/3,E367/4))))</f>
        <v>581.74037999999996</v>
      </c>
      <c r="G367" s="112" t="str">
        <f t="shared" si="56"/>
        <v>20th Floor (Part Terrace Area)</v>
      </c>
      <c r="H367" s="114"/>
      <c r="I367" s="37"/>
    </row>
    <row r="368" spans="1:14" s="38" customFormat="1" ht="15.75" customHeight="1" x14ac:dyDescent="0.35">
      <c r="A368" s="112">
        <v>2004</v>
      </c>
      <c r="B368" s="114"/>
      <c r="C368" s="55" t="s">
        <v>211</v>
      </c>
      <c r="D368" s="43">
        <f>(4.8*3+2.6*2.25+3*2.75+1.2*1.85+1.7*1.2+1.2*1.75+0.9*1.3)*10.764</f>
        <v>387.82691999999997</v>
      </c>
      <c r="E368" s="43">
        <v>0</v>
      </c>
      <c r="F368" s="43">
        <f>D368*(($F$223)+1)+(IF(E368&lt;101,E368,IF(E368&lt;201,E368/2,IF(E368&lt;=301,E368/3,E368/4))))</f>
        <v>581.74037999999996</v>
      </c>
      <c r="G368" s="112" t="str">
        <f t="shared" si="56"/>
        <v>20th Floor (Part Terrace Area)</v>
      </c>
      <c r="H368" s="114"/>
      <c r="I368" s="37"/>
    </row>
    <row r="369" spans="1:9" s="38" customFormat="1" ht="15.75" customHeight="1" x14ac:dyDescent="0.35">
      <c r="A369" s="112">
        <v>2005</v>
      </c>
      <c r="B369" s="114"/>
      <c r="C369" s="55" t="s">
        <v>211</v>
      </c>
      <c r="D369" s="43">
        <f>(4.6*3.2+2.75*2.85+2.3*2.6+1.7*1.5+1.2*0.9+2.3*0.9)*10.764</f>
        <v>368.53244999999993</v>
      </c>
      <c r="E369" s="43">
        <v>0</v>
      </c>
      <c r="F369" s="43">
        <f>D369*(($F$223)+1)+(IF(E369&lt;101,E369,IF(E369&lt;201,E369/2,IF(E369&lt;=301,E369/3,E369/4))))</f>
        <v>552.79867499999989</v>
      </c>
      <c r="G369" s="112" t="str">
        <f t="shared" si="56"/>
        <v>20th Floor (Part Terrace Area)</v>
      </c>
      <c r="H369" s="114"/>
      <c r="I369" s="37"/>
    </row>
    <row r="370" spans="1:9" s="38" customFormat="1" ht="15.75" customHeight="1" x14ac:dyDescent="0.35">
      <c r="A370" s="112">
        <v>2006</v>
      </c>
      <c r="B370" s="114"/>
      <c r="C370" s="121" t="s">
        <v>227</v>
      </c>
      <c r="D370" s="122"/>
      <c r="E370" s="122"/>
      <c r="F370" s="123"/>
      <c r="G370" s="112" t="str">
        <f t="shared" si="56"/>
        <v>20th Floor (Part Terrace Area)</v>
      </c>
      <c r="H370" s="114"/>
      <c r="I370" s="37"/>
    </row>
    <row r="371" spans="1:9" s="38" customFormat="1" ht="15.75" customHeight="1" x14ac:dyDescent="0.35">
      <c r="A371" s="112">
        <v>2007</v>
      </c>
      <c r="B371" s="114"/>
      <c r="C371" s="55" t="s">
        <v>211</v>
      </c>
      <c r="D371" s="43">
        <f>(4*4.65+2.6*2.1+1.2*2.1+2.75*2.75+1.2*2.6)*10.764</f>
        <v>401.09354999999994</v>
      </c>
      <c r="E371" s="43">
        <f>(3.2*5.5)*10.764</f>
        <v>189.44640000000001</v>
      </c>
      <c r="F371" s="43">
        <f>D371*(($F$223)+1)+(IF(E371&lt;101,E371,IF(E371&lt;201,E371/2,IF(E371&lt;=301,E371/3,E371/4))))</f>
        <v>696.36352499999987</v>
      </c>
      <c r="G371" s="112" t="str">
        <f t="shared" si="56"/>
        <v>20th Floor (Part Terrace Area)</v>
      </c>
      <c r="H371" s="114"/>
      <c r="I371" s="37"/>
    </row>
    <row r="372" spans="1:9" s="38" customFormat="1" ht="15.75" customHeight="1" x14ac:dyDescent="0.35">
      <c r="A372" s="112">
        <v>2008</v>
      </c>
      <c r="B372" s="114"/>
      <c r="C372" s="55" t="s">
        <v>217</v>
      </c>
      <c r="D372" s="43">
        <f>(3.4*4.65+2.6*2.1+2.75*2.75+2.1*1.2+3*2.75+1.2*2.1+2.6*1.2+0.9*1.2+1.2*3)*10.764</f>
        <v>537.36579000000006</v>
      </c>
      <c r="E372" s="43">
        <v>0</v>
      </c>
      <c r="F372" s="43">
        <f>D372*(($F$223)+1)+(IF(E372&lt;101,E372,IF(E372&lt;201,E372/2,IF(E372&lt;=301,E372/3,E372/4))))</f>
        <v>806.04868500000009</v>
      </c>
      <c r="G372" s="112" t="str">
        <f t="shared" si="56"/>
        <v>20th Floor (Part Terrace Area)</v>
      </c>
      <c r="H372" s="114"/>
      <c r="I372" s="37"/>
    </row>
    <row r="373" spans="1:9" x14ac:dyDescent="0.35">
      <c r="A373" s="124" t="s">
        <v>213</v>
      </c>
      <c r="B373" s="124"/>
      <c r="C373" s="124"/>
      <c r="D373" s="124"/>
      <c r="E373" s="124"/>
      <c r="F373" s="124"/>
      <c r="G373" s="124"/>
      <c r="H373" s="124"/>
    </row>
    <row r="374" spans="1:9" x14ac:dyDescent="0.35">
      <c r="A374" s="124" t="s">
        <v>222</v>
      </c>
      <c r="B374" s="124"/>
      <c r="C374" s="124"/>
      <c r="D374" s="124"/>
      <c r="E374" s="124"/>
      <c r="F374" s="124"/>
      <c r="G374" s="124"/>
      <c r="H374" s="124"/>
    </row>
    <row r="375" spans="1:9" x14ac:dyDescent="0.35">
      <c r="A375" s="124" t="s">
        <v>223</v>
      </c>
      <c r="B375" s="124"/>
      <c r="C375" s="124"/>
      <c r="D375" s="124"/>
      <c r="E375" s="124"/>
      <c r="F375" s="124"/>
      <c r="G375" s="124"/>
      <c r="H375" s="124"/>
    </row>
    <row r="376" spans="1:9" x14ac:dyDescent="0.35">
      <c r="A376" s="124" t="s">
        <v>208</v>
      </c>
      <c r="B376" s="124"/>
      <c r="C376" s="124"/>
      <c r="D376" s="124"/>
      <c r="E376" s="124"/>
      <c r="F376" s="124"/>
      <c r="G376" s="124"/>
      <c r="H376" s="124"/>
    </row>
    <row r="377" spans="1:9" x14ac:dyDescent="0.35">
      <c r="A377" s="124" t="s">
        <v>224</v>
      </c>
      <c r="B377" s="124"/>
      <c r="C377" s="124"/>
      <c r="D377" s="124"/>
      <c r="E377" s="124"/>
      <c r="F377" s="124"/>
      <c r="G377" s="124"/>
      <c r="H377" s="124"/>
    </row>
    <row r="378" spans="1:9" s="38" customFormat="1" ht="15.75" customHeight="1" x14ac:dyDescent="0.35">
      <c r="A378" s="118" t="s">
        <v>209</v>
      </c>
      <c r="B378" s="119"/>
      <c r="C378" s="119"/>
      <c r="D378" s="119"/>
      <c r="E378" s="119"/>
      <c r="F378" s="119"/>
      <c r="G378" s="119"/>
      <c r="H378" s="120"/>
      <c r="I378" s="37"/>
    </row>
    <row r="379" spans="1:9" s="38" customFormat="1" x14ac:dyDescent="0.35">
      <c r="A379" s="112" t="str">
        <f ca="1">(SUMPRODUCT(MID(0&amp;(LEFT(A378,SUM(LEN(A378)-LEN(SUBSTITUTE(A378,{"0","1","2"},""))))), LARGE(INDEX(ISNUMBER(--MID((LEFT(A378,SUM(LEN(A378)-LEN(SUBSTITUTE(A378,{"0","1","2"},""))))), ROW(INDIRECT("1:"&amp;LEN((LEFT(A378,SUM(LEN(A378)-LEN(SUBSTITUTE(A378,{"0","1","2"},"")))))))), 1)) * ROW(INDIRECT("1:"&amp;LEN((LEFT(A378,SUM(LEN(A378)-LEN(SUBSTITUTE(A378,{"0","1","2"},"")))))))), 0), ROW(INDIRECT("1:"&amp;LEN((LEFT(A378,SUM(LEN(A378)-LEN(SUBSTITUTE(A378,{"0","1","2"},"")))))))))+1, 1) * 10^ROW(INDIRECT("1:"&amp;LEN((LEFT(A378,SUM(LEN(A378)-LEN(SUBSTITUTE(A378,{"0","1","2"},""))))))))/10))*100+1&amp;""&amp;" ,.., "&amp;""&amp;(SUMPRODUCT(MID(0&amp;(--TRIM(RIGHT(SUBSTITUTE(LEFT(A378,_xlfn.AGGREGATE(16,6,FIND({0,1,2,3,4,5,6,7,8,9},A378,ROW(INDIRECT("1:"&amp;LEN(A378)))),1))," ",REPT(" ",LEN(A378))),LEN(A378)))), LARGE(INDEX(ISNUMBER(--MID((--TRIM(RIGHT(SUBSTITUTE(LEFT(A378,_xlfn.AGGREGATE(16,6,FIND({0,1,2,3,4,5,6,7,8,9},A378,ROW(INDIRECT("1:"&amp;LEN(A378)))),1))," ",REPT(" ",LEN(A378))),LEN(A378)))), ROW(INDIRECT("1:"&amp;LEN((--TRIM(RIGHT(SUBSTITUTE(LEFT(A378,_xlfn.AGGREGATE(16,6,FIND({0,1,2,3,4,5,6,7,8,9},A378,ROW(INDIRECT("1:"&amp;LEN(A378)))),1))," ",REPT(" ",LEN(A378))),LEN(A378))))))), 1)) * ROW(INDIRECT("1:"&amp;LEN((--TRIM(RIGHT(SUBSTITUTE(LEFT(A378,_xlfn.AGGREGATE(16,6,FIND({0,1,2,3,4,5,6,7,8,9},A378,ROW(INDIRECT("1:"&amp;LEN(A378)))),1))," ",REPT(" ",LEN(A378))),LEN(A378))))))), 0), ROW(INDIRECT("1:"&amp;LEN((--TRIM(RIGHT(SUBSTITUTE(LEFT(A378,_xlfn.AGGREGATE(16,6,FIND({0,1,2,3,4,5,6,7,8,9},A378,ROW(INDIRECT("1:"&amp;LEN(A378)))),1))," ",REPT(" ",LEN(A378))),LEN(A378))))))))+1, 1) * 10^ROW(INDIRECT("1:"&amp;LEN((--TRIM(RIGHT(SUBSTITUTE(LEFT(A378,_xlfn.AGGREGATE(16,6,FIND({0,1,2,3,4,5,6,7,8,9},A378,ROW(INDIRECT("1:"&amp;LEN(A378)))),1))," ",REPT(" ",LEN(A378))),LEN(A378)))))))/10))*100+1</f>
        <v>301 ,.., 1701</v>
      </c>
      <c r="B379" s="114"/>
      <c r="C379" s="55" t="s">
        <v>217</v>
      </c>
      <c r="D379" s="43">
        <f>(5.4*3.3+3*3+2.25*2.6+3*3+1.2*2+2*1.2+1.2*3+1.2*2.25)*10.764</f>
        <v>568.01628000000005</v>
      </c>
      <c r="E379" s="43">
        <v>0</v>
      </c>
      <c r="F379" s="43">
        <f>D379*(($F$223)+1)+(IF(E379&lt;101,E379,IF(E379&lt;201,E379/2,IF(E379&lt;=301,E379/3,E379/4))))</f>
        <v>852.02442000000008</v>
      </c>
      <c r="G379" s="112" t="str">
        <f>A378</f>
        <v xml:space="preserve">3rd to 7th, 9th to 12th, 14th to 17th Floor </v>
      </c>
      <c r="H379" s="114"/>
      <c r="I379" s="37"/>
    </row>
    <row r="380" spans="1:9" s="38" customFormat="1" x14ac:dyDescent="0.35">
      <c r="A380" s="112" t="str">
        <f ca="1">(SUMPRODUCT(MID(0&amp;(LEFT(A379,SUM(LEN(A379)-LEN(SUBSTITUTE(A379,{"0","1","2"},""))))), LARGE(INDEX(ISNUMBER(--MID((LEFT(A379,SUM(LEN(A379)-LEN(SUBSTITUTE(A379,{"0","1","2"},""))))), ROW(INDIRECT("1:"&amp;LEN((LEFT(A379,SUM(LEN(A379)-LEN(SUBSTITUTE(A379,{"0","1","2"},"")))))))), 1)) * ROW(INDIRECT("1:"&amp;LEN((LEFT(A379,SUM(LEN(A379)-LEN(SUBSTITUTE(A379,{"0","1","2"},"")))))))), 0), ROW(INDIRECT("1:"&amp;LEN((LEFT(A379,SUM(LEN(A379)-LEN(SUBSTITUTE(A379,{"0","1","2"},"")))))))))+1, 1) * 10^ROW(INDIRECT("1:"&amp;LEN((LEFT(A379,SUM(LEN(A379)-LEN(SUBSTITUTE(A379,{"0","1","2"},""))))))))/10))*1+1&amp;""&amp;" ,.., "&amp;""&amp;(SUMPRODUCT(MID(0&amp;(--TRIM(RIGHT(SUBSTITUTE(LEFT(A379,_xlfn.AGGREGATE(16,6,FIND({0,1,2,3,4,5,6,7,8,9},A379,ROW(INDIRECT("1:"&amp;LEN(A379)))),1))," ",REPT(" ",LEN(A379))),LEN(A379)))), LARGE(INDEX(ISNUMBER(--MID((--TRIM(RIGHT(SUBSTITUTE(LEFT(A379,_xlfn.AGGREGATE(16,6,FIND({0,1,2,3,4,5,6,7,8,9},A379,ROW(INDIRECT("1:"&amp;LEN(A379)))),1))," ",REPT(" ",LEN(A379))),LEN(A379)))), ROW(INDIRECT("1:"&amp;LEN((--TRIM(RIGHT(SUBSTITUTE(LEFT(A379,_xlfn.AGGREGATE(16,6,FIND({0,1,2,3,4,5,6,7,8,9},A379,ROW(INDIRECT("1:"&amp;LEN(A379)))),1))," ",REPT(" ",LEN(A379))),LEN(A379))))))), 1)) * ROW(INDIRECT("1:"&amp;LEN((--TRIM(RIGHT(SUBSTITUTE(LEFT(A379,_xlfn.AGGREGATE(16,6,FIND({0,1,2,3,4,5,6,7,8,9},A379,ROW(INDIRECT("1:"&amp;LEN(A379)))),1))," ",REPT(" ",LEN(A379))),LEN(A379))))))), 0), ROW(INDIRECT("1:"&amp;LEN((--TRIM(RIGHT(SUBSTITUTE(LEFT(A379,_xlfn.AGGREGATE(16,6,FIND({0,1,2,3,4,5,6,7,8,9},A379,ROW(INDIRECT("1:"&amp;LEN(A379)))),1))," ",REPT(" ",LEN(A379))),LEN(A379))))))))+1, 1) * 10^ROW(INDIRECT("1:"&amp;LEN((--TRIM(RIGHT(SUBSTITUTE(LEFT(A379,_xlfn.AGGREGATE(16,6,FIND({0,1,2,3,4,5,6,7,8,9},A379,ROW(INDIRECT("1:"&amp;LEN(A379)))),1))," ",REPT(" ",LEN(A379))),LEN(A379)))))))/10))*1+1</f>
        <v>302 ,.., 1702</v>
      </c>
      <c r="B380" s="114"/>
      <c r="C380" s="55" t="s">
        <v>211</v>
      </c>
      <c r="D380" s="43">
        <f>(3.05*4.25+2.25*2.75+3.9*2.75+2.1*1.2+2.25*1.2+0.9*2.25)*10.764</f>
        <v>399.55968000000001</v>
      </c>
      <c r="E380" s="43">
        <v>0</v>
      </c>
      <c r="F380" s="43">
        <f>D380*(($F$223)+1)+(IF(E380&lt;101,E380,IF(E380&lt;201,E380/2,IF(E380&lt;=301,E380/3,E380/4))))</f>
        <v>599.33951999999999</v>
      </c>
      <c r="G380" s="112" t="str">
        <f t="shared" ref="G380:G382" si="57">G379</f>
        <v xml:space="preserve">3rd to 7th, 9th to 12th, 14th to 17th Floor </v>
      </c>
      <c r="H380" s="114"/>
      <c r="I380" s="37"/>
    </row>
    <row r="381" spans="1:9" s="38" customFormat="1" ht="15.75" customHeight="1" x14ac:dyDescent="0.35">
      <c r="A381" s="112" t="str">
        <f ca="1">(SUMPRODUCT(MID(0&amp;(LEFT(A380,SUM(LEN(A380)-LEN(SUBSTITUTE(A380,{"0","1","2"},""))))), LARGE(INDEX(ISNUMBER(--MID((LEFT(A380,SUM(LEN(A380)-LEN(SUBSTITUTE(A380,{"0","1","2"},""))))), ROW(INDIRECT("1:"&amp;LEN((LEFT(A380,SUM(LEN(A380)-LEN(SUBSTITUTE(A380,{"0","1","2"},"")))))))), 1)) * ROW(INDIRECT("1:"&amp;LEN((LEFT(A380,SUM(LEN(A380)-LEN(SUBSTITUTE(A380,{"0","1","2"},"")))))))), 0), ROW(INDIRECT("1:"&amp;LEN((LEFT(A380,SUM(LEN(A380)-LEN(SUBSTITUTE(A380,{"0","1","2"},"")))))))))+1, 1) * 10^ROW(INDIRECT("1:"&amp;LEN((LEFT(A380,SUM(LEN(A380)-LEN(SUBSTITUTE(A380,{"0","1","2"},""))))))))/10))*1+1&amp;""&amp;" ,.., "&amp;""&amp;(SUMPRODUCT(MID(0&amp;(--TRIM(RIGHT(SUBSTITUTE(LEFT(A380,_xlfn.AGGREGATE(16,6,FIND({0,1,2,3,4,5,6,7,8,9},A380,ROW(INDIRECT("1:"&amp;LEN(A380)))),1))," ",REPT(" ",LEN(A380))),LEN(A380)))), LARGE(INDEX(ISNUMBER(--MID((--TRIM(RIGHT(SUBSTITUTE(LEFT(A380,_xlfn.AGGREGATE(16,6,FIND({0,1,2,3,4,5,6,7,8,9},A380,ROW(INDIRECT("1:"&amp;LEN(A380)))),1))," ",REPT(" ",LEN(A380))),LEN(A380)))), ROW(INDIRECT("1:"&amp;LEN((--TRIM(RIGHT(SUBSTITUTE(LEFT(A380,_xlfn.AGGREGATE(16,6,FIND({0,1,2,3,4,5,6,7,8,9},A380,ROW(INDIRECT("1:"&amp;LEN(A380)))),1))," ",REPT(" ",LEN(A380))),LEN(A380))))))), 1)) * ROW(INDIRECT("1:"&amp;LEN((--TRIM(RIGHT(SUBSTITUTE(LEFT(A380,_xlfn.AGGREGATE(16,6,FIND({0,1,2,3,4,5,6,7,8,9},A380,ROW(INDIRECT("1:"&amp;LEN(A380)))),1))," ",REPT(" ",LEN(A380))),LEN(A380))))))), 0), ROW(INDIRECT("1:"&amp;LEN((--TRIM(RIGHT(SUBSTITUTE(LEFT(A380,_xlfn.AGGREGATE(16,6,FIND({0,1,2,3,4,5,6,7,8,9},A380,ROW(INDIRECT("1:"&amp;LEN(A380)))),1))," ",REPT(" ",LEN(A380))),LEN(A380))))))))+1, 1) * 10^ROW(INDIRECT("1:"&amp;LEN((--TRIM(RIGHT(SUBSTITUTE(LEFT(A380,_xlfn.AGGREGATE(16,6,FIND({0,1,2,3,4,5,6,7,8,9},A380,ROW(INDIRECT("1:"&amp;LEN(A380)))),1))," ",REPT(" ",LEN(A380))),LEN(A380)))))))/10))*1+1</f>
        <v>303 ,.., 1703</v>
      </c>
      <c r="B381" s="114"/>
      <c r="C381" s="55" t="s">
        <v>211</v>
      </c>
      <c r="D381" s="43">
        <f>(4.2*3.05+2.75*3.35+2*1.2+2.25*2.75+1.2*2+1.2*2.25)*10.764</f>
        <v>384.38243999999997</v>
      </c>
      <c r="E381" s="43">
        <v>0</v>
      </c>
      <c r="F381" s="43">
        <f>D381*(($F$223)+1)+(IF(E381&lt;101,E381,IF(E381&lt;201,E381/2,IF(E381&lt;=301,E381/3,E381/4))))</f>
        <v>576.57366000000002</v>
      </c>
      <c r="G381" s="112" t="str">
        <f t="shared" si="57"/>
        <v xml:space="preserve">3rd to 7th, 9th to 12th, 14th to 17th Floor </v>
      </c>
      <c r="H381" s="114"/>
      <c r="I381" s="37"/>
    </row>
    <row r="382" spans="1:9" s="38" customFormat="1" ht="15.75" customHeight="1" x14ac:dyDescent="0.35">
      <c r="A382" s="112" t="str">
        <f ca="1">(SUMPRODUCT(MID(0&amp;(LEFT(A381,SUM(LEN(A381)-LEN(SUBSTITUTE(A381,{"0","1","2"},""))))), LARGE(INDEX(ISNUMBER(--MID((LEFT(A381,SUM(LEN(A381)-LEN(SUBSTITUTE(A381,{"0","1","2"},""))))), ROW(INDIRECT("1:"&amp;LEN((LEFT(A381,SUM(LEN(A381)-LEN(SUBSTITUTE(A381,{"0","1","2"},"")))))))), 1)) * ROW(INDIRECT("1:"&amp;LEN((LEFT(A381,SUM(LEN(A381)-LEN(SUBSTITUTE(A381,{"0","1","2"},"")))))))), 0), ROW(INDIRECT("1:"&amp;LEN((LEFT(A381,SUM(LEN(A381)-LEN(SUBSTITUTE(A381,{"0","1","2"},"")))))))))+1, 1) * 10^ROW(INDIRECT("1:"&amp;LEN((LEFT(A381,SUM(LEN(A381)-LEN(SUBSTITUTE(A381,{"0","1","2"},""))))))))/10))*1+1&amp;""&amp;" ,.., "&amp;""&amp;(SUMPRODUCT(MID(0&amp;(--TRIM(RIGHT(SUBSTITUTE(LEFT(A381,_xlfn.AGGREGATE(16,6,FIND({0,1,2,3,4,5,6,7,8,9},A381,ROW(INDIRECT("1:"&amp;LEN(A381)))),1))," ",REPT(" ",LEN(A381))),LEN(A381)))), LARGE(INDEX(ISNUMBER(--MID((--TRIM(RIGHT(SUBSTITUTE(LEFT(A381,_xlfn.AGGREGATE(16,6,FIND({0,1,2,3,4,5,6,7,8,9},A381,ROW(INDIRECT("1:"&amp;LEN(A381)))),1))," ",REPT(" ",LEN(A381))),LEN(A381)))), ROW(INDIRECT("1:"&amp;LEN((--TRIM(RIGHT(SUBSTITUTE(LEFT(A381,_xlfn.AGGREGATE(16,6,FIND({0,1,2,3,4,5,6,7,8,9},A381,ROW(INDIRECT("1:"&amp;LEN(A381)))),1))," ",REPT(" ",LEN(A381))),LEN(A381))))))), 1)) * ROW(INDIRECT("1:"&amp;LEN((--TRIM(RIGHT(SUBSTITUTE(LEFT(A381,_xlfn.AGGREGATE(16,6,FIND({0,1,2,3,4,5,6,7,8,9},A381,ROW(INDIRECT("1:"&amp;LEN(A381)))),1))," ",REPT(" ",LEN(A381))),LEN(A381))))))), 0), ROW(INDIRECT("1:"&amp;LEN((--TRIM(RIGHT(SUBSTITUTE(LEFT(A381,_xlfn.AGGREGATE(16,6,FIND({0,1,2,3,4,5,6,7,8,9},A381,ROW(INDIRECT("1:"&amp;LEN(A381)))),1))," ",REPT(" ",LEN(A381))),LEN(A381))))))))+1, 1) * 10^ROW(INDIRECT("1:"&amp;LEN((--TRIM(RIGHT(SUBSTITUTE(LEFT(A381,_xlfn.AGGREGATE(16,6,FIND({0,1,2,3,4,5,6,7,8,9},A381,ROW(INDIRECT("1:"&amp;LEN(A381)))),1))," ",REPT(" ",LEN(A381))),LEN(A381)))))))/10))*1+1</f>
        <v>304 ,.., 1704</v>
      </c>
      <c r="B382" s="114"/>
      <c r="C382" s="55" t="s">
        <v>217</v>
      </c>
      <c r="D382" s="43">
        <f>(5.4*3.3+3*3+2.25*2.6+3*3+2*1.2+1.2*3+2*1.2+0.9*2.25)*10.764</f>
        <v>560.7505799999999</v>
      </c>
      <c r="E382" s="43">
        <v>0</v>
      </c>
      <c r="F382" s="43">
        <f>D382*(($F$223)+1)+(IF(E382&lt;101,E382,IF(E382&lt;201,E382/2,IF(E382&lt;=301,E382/3,E382/4))))</f>
        <v>841.12586999999985</v>
      </c>
      <c r="G382" s="112" t="str">
        <f t="shared" si="57"/>
        <v xml:space="preserve">3rd to 7th, 9th to 12th, 14th to 17th Floor </v>
      </c>
      <c r="H382" s="114"/>
      <c r="I382" s="37"/>
    </row>
    <row r="383" spans="1:9" s="38" customFormat="1" x14ac:dyDescent="0.35">
      <c r="A383" s="118" t="s">
        <v>220</v>
      </c>
      <c r="B383" s="119"/>
      <c r="C383" s="119"/>
      <c r="D383" s="119"/>
      <c r="E383" s="119"/>
      <c r="F383" s="119"/>
      <c r="G383" s="119"/>
      <c r="H383" s="120"/>
      <c r="I383" s="37"/>
    </row>
    <row r="384" spans="1:9" s="38" customFormat="1" x14ac:dyDescent="0.35">
      <c r="A384" s="112" t="str">
        <f ca="1">(SUMPRODUCT(MID(0&amp;(LEFT(A383,SUM(LEN(A383)-LEN(SUBSTITUTE(A383,{"0","1","2"},""))))), LARGE(INDEX(ISNUMBER(--MID((LEFT(A383,SUM(LEN(A383)-LEN(SUBSTITUTE(A383,{"0","1","2"},""))))), ROW(INDIRECT("1:"&amp;LEN((LEFT(A383,SUM(LEN(A383)-LEN(SUBSTITUTE(A383,{"0","1","2"},"")))))))), 1)) * ROW(INDIRECT("1:"&amp;LEN((LEFT(A383,SUM(LEN(A383)-LEN(SUBSTITUTE(A383,{"0","1","2"},"")))))))), 0), ROW(INDIRECT("1:"&amp;LEN((LEFT(A383,SUM(LEN(A383)-LEN(SUBSTITUTE(A383,{"0","1","2"},"")))))))))+1, 1) * 10^ROW(INDIRECT("1:"&amp;LEN((LEFT(A383,SUM(LEN(A383)-LEN(SUBSTITUTE(A383,{"0","1","2"},""))))))))/10))*100+1&amp;""&amp;" &amp; "&amp;""&amp;(SUMPRODUCT(MID(0&amp;(--TRIM(RIGHT(SUBSTITUTE(LEFT(A383,_xlfn.AGGREGATE(16,6,FIND({0,1,2,3,4,5,6,7,8,9},A383,ROW(INDIRECT("1:"&amp;LEN(A383)))),1))," ",REPT(" ",LEN(A383))),LEN(A383)))), LARGE(INDEX(ISNUMBER(--MID((--TRIM(RIGHT(SUBSTITUTE(LEFT(A383,_xlfn.AGGREGATE(16,6,FIND({0,1,2,3,4,5,6,7,8,9},A383,ROW(INDIRECT("1:"&amp;LEN(A383)))),1))," ",REPT(" ",LEN(A383))),LEN(A383)))), ROW(INDIRECT("1:"&amp;LEN((--TRIM(RIGHT(SUBSTITUTE(LEFT(A383,_xlfn.AGGREGATE(16,6,FIND({0,1,2,3,4,5,6,7,8,9},A383,ROW(INDIRECT("1:"&amp;LEN(A383)))),1))," ",REPT(" ",LEN(A383))),LEN(A383))))))), 1)) * ROW(INDIRECT("1:"&amp;LEN((--TRIM(RIGHT(SUBSTITUTE(LEFT(A383,_xlfn.AGGREGATE(16,6,FIND({0,1,2,3,4,5,6,7,8,9},A383,ROW(INDIRECT("1:"&amp;LEN(A383)))),1))," ",REPT(" ",LEN(A383))),LEN(A383))))))), 0), ROW(INDIRECT("1:"&amp;LEN((--TRIM(RIGHT(SUBSTITUTE(LEFT(A383,_xlfn.AGGREGATE(16,6,FIND({0,1,2,3,4,5,6,7,8,9},A383,ROW(INDIRECT("1:"&amp;LEN(A383)))),1))," ",REPT(" ",LEN(A383))),LEN(A383))))))))+1, 1) * 10^ROW(INDIRECT("1:"&amp;LEN((--TRIM(RIGHT(SUBSTITUTE(LEFT(A383,_xlfn.AGGREGATE(16,6,FIND({0,1,2,3,4,5,6,7,8,9},A383,ROW(INDIRECT("1:"&amp;LEN(A383)))),1))," ",REPT(" ",LEN(A383))),LEN(A383)))))))/10))*100+1</f>
        <v>801 &amp; 1301</v>
      </c>
      <c r="B384" s="114"/>
      <c r="C384" s="121" t="s">
        <v>219</v>
      </c>
      <c r="D384" s="122"/>
      <c r="E384" s="122"/>
      <c r="F384" s="123"/>
      <c r="G384" s="112" t="str">
        <f>A383</f>
        <v>8th &amp; 13th Floor (Part Refuge Area)</v>
      </c>
      <c r="H384" s="114"/>
      <c r="I384" s="37"/>
    </row>
    <row r="385" spans="1:9" s="38" customFormat="1" x14ac:dyDescent="0.35">
      <c r="A385" s="112" t="str">
        <f ca="1">(SUMPRODUCT(MID(0&amp;(LEFT(A384,SUM(LEN(A384)-LEN(SUBSTITUTE(A384,{"0","1","2"},""))))), LARGE(INDEX(ISNUMBER(--MID((LEFT(A384,SUM(LEN(A384)-LEN(SUBSTITUTE(A384,{"0","1","2"},""))))), ROW(INDIRECT("1:"&amp;LEN((LEFT(A384,SUM(LEN(A384)-LEN(SUBSTITUTE(A384,{"0","1","2"},"")))))))), 1)) * ROW(INDIRECT("1:"&amp;LEN((LEFT(A384,SUM(LEN(A384)-LEN(SUBSTITUTE(A384,{"0","1","2"},"")))))))), 0), ROW(INDIRECT("1:"&amp;LEN((LEFT(A384,SUM(LEN(A384)-LEN(SUBSTITUTE(A384,{"0","1","2"},"")))))))))+1, 1) * 10^ROW(INDIRECT("1:"&amp;LEN((LEFT(A384,SUM(LEN(A384)-LEN(SUBSTITUTE(A384,{"0","1","2"},""))))))))/10))*1+1&amp;""&amp;" &amp; "&amp;""&amp;(SUMPRODUCT(MID(0&amp;(--TRIM(RIGHT(SUBSTITUTE(LEFT(A384,_xlfn.AGGREGATE(16,6,FIND({0,1,2,3,4,5,6,7,8,9},A384,ROW(INDIRECT("1:"&amp;LEN(A384)))),1))," ",REPT(" ",LEN(A384))),LEN(A384)))), LARGE(INDEX(ISNUMBER(--MID((--TRIM(RIGHT(SUBSTITUTE(LEFT(A384,_xlfn.AGGREGATE(16,6,FIND({0,1,2,3,4,5,6,7,8,9},A384,ROW(INDIRECT("1:"&amp;LEN(A384)))),1))," ",REPT(" ",LEN(A384))),LEN(A384)))), ROW(INDIRECT("1:"&amp;LEN((--TRIM(RIGHT(SUBSTITUTE(LEFT(A384,_xlfn.AGGREGATE(16,6,FIND({0,1,2,3,4,5,6,7,8,9},A384,ROW(INDIRECT("1:"&amp;LEN(A384)))),1))," ",REPT(" ",LEN(A384))),LEN(A384))))))), 1)) * ROW(INDIRECT("1:"&amp;LEN((--TRIM(RIGHT(SUBSTITUTE(LEFT(A384,_xlfn.AGGREGATE(16,6,FIND({0,1,2,3,4,5,6,7,8,9},A384,ROW(INDIRECT("1:"&amp;LEN(A384)))),1))," ",REPT(" ",LEN(A384))),LEN(A384))))))), 0), ROW(INDIRECT("1:"&amp;LEN((--TRIM(RIGHT(SUBSTITUTE(LEFT(A384,_xlfn.AGGREGATE(16,6,FIND({0,1,2,3,4,5,6,7,8,9},A384,ROW(INDIRECT("1:"&amp;LEN(A384)))),1))," ",REPT(" ",LEN(A384))),LEN(A384))))))))+1, 1) * 10^ROW(INDIRECT("1:"&amp;LEN((--TRIM(RIGHT(SUBSTITUTE(LEFT(A384,_xlfn.AGGREGATE(16,6,FIND({0,1,2,3,4,5,6,7,8,9},A384,ROW(INDIRECT("1:"&amp;LEN(A384)))),1))," ",REPT(" ",LEN(A384))),LEN(A384)))))))/10))*1+1</f>
        <v>802 &amp; 1302</v>
      </c>
      <c r="B385" s="114"/>
      <c r="C385" s="55" t="s">
        <v>217</v>
      </c>
      <c r="D385" s="43">
        <f>(3.05*4.25+2.75*3.3+2.25*2.75+0.9*2.25+2.25*1.2+3.9*2.75+2.1*1.2)*10.764</f>
        <v>497.24297999999999</v>
      </c>
      <c r="E385" s="43">
        <v>0</v>
      </c>
      <c r="F385" s="43">
        <f>D385*(($F$223)+1)+(IF(E385&lt;101,E385,IF(E385&lt;201,E385/2,IF(E385&lt;=301,E385/3,E385/4))))</f>
        <v>745.86446999999998</v>
      </c>
      <c r="G385" s="112" t="str">
        <f t="shared" ref="G385:G387" si="58">G384</f>
        <v>8th &amp; 13th Floor (Part Refuge Area)</v>
      </c>
      <c r="H385" s="114"/>
      <c r="I385" s="37"/>
    </row>
    <row r="386" spans="1:9" s="38" customFormat="1" x14ac:dyDescent="0.35">
      <c r="A386" s="112" t="str">
        <f ca="1">(SUMPRODUCT(MID(0&amp;(LEFT(A385,SUM(LEN(A385)-LEN(SUBSTITUTE(A385,{"0","1","2"},""))))), LARGE(INDEX(ISNUMBER(--MID((LEFT(A385,SUM(LEN(A385)-LEN(SUBSTITUTE(A385,{"0","1","2"},""))))), ROW(INDIRECT("1:"&amp;LEN((LEFT(A385,SUM(LEN(A385)-LEN(SUBSTITUTE(A385,{"0","1","2"},"")))))))), 1)) * ROW(INDIRECT("1:"&amp;LEN((LEFT(A385,SUM(LEN(A385)-LEN(SUBSTITUTE(A385,{"0","1","2"},"")))))))), 0), ROW(INDIRECT("1:"&amp;LEN((LEFT(A385,SUM(LEN(A385)-LEN(SUBSTITUTE(A385,{"0","1","2"},"")))))))))+1, 1) * 10^ROW(INDIRECT("1:"&amp;LEN((LEFT(A385,SUM(LEN(A385)-LEN(SUBSTITUTE(A385,{"0","1","2"},""))))))))/10))*1+1&amp;""&amp;" &amp; "&amp;""&amp;(SUMPRODUCT(MID(0&amp;(--TRIM(RIGHT(SUBSTITUTE(LEFT(A385,_xlfn.AGGREGATE(16,6,FIND({0,1,2,3,4,5,6,7,8,9},A385,ROW(INDIRECT("1:"&amp;LEN(A385)))),1))," ",REPT(" ",LEN(A385))),LEN(A385)))), LARGE(INDEX(ISNUMBER(--MID((--TRIM(RIGHT(SUBSTITUTE(LEFT(A385,_xlfn.AGGREGATE(16,6,FIND({0,1,2,3,4,5,6,7,8,9},A385,ROW(INDIRECT("1:"&amp;LEN(A385)))),1))," ",REPT(" ",LEN(A385))),LEN(A385)))), ROW(INDIRECT("1:"&amp;LEN((--TRIM(RIGHT(SUBSTITUTE(LEFT(A385,_xlfn.AGGREGATE(16,6,FIND({0,1,2,3,4,5,6,7,8,9},A385,ROW(INDIRECT("1:"&amp;LEN(A385)))),1))," ",REPT(" ",LEN(A385))),LEN(A385))))))), 1)) * ROW(INDIRECT("1:"&amp;LEN((--TRIM(RIGHT(SUBSTITUTE(LEFT(A385,_xlfn.AGGREGATE(16,6,FIND({0,1,2,3,4,5,6,7,8,9},A385,ROW(INDIRECT("1:"&amp;LEN(A385)))),1))," ",REPT(" ",LEN(A385))),LEN(A385))))))), 0), ROW(INDIRECT("1:"&amp;LEN((--TRIM(RIGHT(SUBSTITUTE(LEFT(A385,_xlfn.AGGREGATE(16,6,FIND({0,1,2,3,4,5,6,7,8,9},A385,ROW(INDIRECT("1:"&amp;LEN(A385)))),1))," ",REPT(" ",LEN(A385))),LEN(A385))))))))+1, 1) * 10^ROW(INDIRECT("1:"&amp;LEN((--TRIM(RIGHT(SUBSTITUTE(LEFT(A385,_xlfn.AGGREGATE(16,6,FIND({0,1,2,3,4,5,6,7,8,9},A385,ROW(INDIRECT("1:"&amp;LEN(A385)))),1))," ",REPT(" ",LEN(A385))),LEN(A385)))))))/10))*1+1</f>
        <v>803 &amp; 1303</v>
      </c>
      <c r="B386" s="114"/>
      <c r="C386" s="55" t="s">
        <v>211</v>
      </c>
      <c r="D386" s="43">
        <f>(4.2*3.05+1.2*2.1+2.25*2.75+2.75*3.35+2*1.2)*10.764</f>
        <v>356.61131999999992</v>
      </c>
      <c r="E386" s="43">
        <v>0</v>
      </c>
      <c r="F386" s="43">
        <f>D386*(($F$223)+1)+(IF(E386&lt;101,E386,IF(E386&lt;201,E386/2,IF(E386&lt;=301,E386/3,E386/4))))</f>
        <v>534.91697999999985</v>
      </c>
      <c r="G386" s="112" t="str">
        <f t="shared" si="58"/>
        <v>8th &amp; 13th Floor (Part Refuge Area)</v>
      </c>
      <c r="H386" s="114"/>
      <c r="I386" s="37"/>
    </row>
    <row r="387" spans="1:9" s="38" customFormat="1" x14ac:dyDescent="0.35">
      <c r="A387" s="112" t="str">
        <f ca="1">(SUMPRODUCT(MID(0&amp;(LEFT(A386,SUM(LEN(A386)-LEN(SUBSTITUTE(A386,{"0","1","2"},""))))), LARGE(INDEX(ISNUMBER(--MID((LEFT(A386,SUM(LEN(A386)-LEN(SUBSTITUTE(A386,{"0","1","2"},""))))), ROW(INDIRECT("1:"&amp;LEN((LEFT(A386,SUM(LEN(A386)-LEN(SUBSTITUTE(A386,{"0","1","2"},"")))))))), 1)) * ROW(INDIRECT("1:"&amp;LEN((LEFT(A386,SUM(LEN(A386)-LEN(SUBSTITUTE(A386,{"0","1","2"},"")))))))), 0), ROW(INDIRECT("1:"&amp;LEN((LEFT(A386,SUM(LEN(A386)-LEN(SUBSTITUTE(A386,{"0","1","2"},"")))))))))+1, 1) * 10^ROW(INDIRECT("1:"&amp;LEN((LEFT(A386,SUM(LEN(A386)-LEN(SUBSTITUTE(A386,{"0","1","2"},""))))))))/10))*1+1&amp;""&amp;" &amp; "&amp;""&amp;(SUMPRODUCT(MID(0&amp;(--TRIM(RIGHT(SUBSTITUTE(LEFT(A386,_xlfn.AGGREGATE(16,6,FIND({0,1,2,3,4,5,6,7,8,9},A386,ROW(INDIRECT("1:"&amp;LEN(A386)))),1))," ",REPT(" ",LEN(A386))),LEN(A386)))), LARGE(INDEX(ISNUMBER(--MID((--TRIM(RIGHT(SUBSTITUTE(LEFT(A386,_xlfn.AGGREGATE(16,6,FIND({0,1,2,3,4,5,6,7,8,9},A386,ROW(INDIRECT("1:"&amp;LEN(A386)))),1))," ",REPT(" ",LEN(A386))),LEN(A386)))), ROW(INDIRECT("1:"&amp;LEN((--TRIM(RIGHT(SUBSTITUTE(LEFT(A386,_xlfn.AGGREGATE(16,6,FIND({0,1,2,3,4,5,6,7,8,9},A386,ROW(INDIRECT("1:"&amp;LEN(A386)))),1))," ",REPT(" ",LEN(A386))),LEN(A386))))))), 1)) * ROW(INDIRECT("1:"&amp;LEN((--TRIM(RIGHT(SUBSTITUTE(LEFT(A386,_xlfn.AGGREGATE(16,6,FIND({0,1,2,3,4,5,6,7,8,9},A386,ROW(INDIRECT("1:"&amp;LEN(A386)))),1))," ",REPT(" ",LEN(A386))),LEN(A386))))))), 0), ROW(INDIRECT("1:"&amp;LEN((--TRIM(RIGHT(SUBSTITUTE(LEFT(A386,_xlfn.AGGREGATE(16,6,FIND({0,1,2,3,4,5,6,7,8,9},A386,ROW(INDIRECT("1:"&amp;LEN(A386)))),1))," ",REPT(" ",LEN(A386))),LEN(A386))))))))+1, 1) * 10^ROW(INDIRECT("1:"&amp;LEN((--TRIM(RIGHT(SUBSTITUTE(LEFT(A386,_xlfn.AGGREGATE(16,6,FIND({0,1,2,3,4,5,6,7,8,9},A386,ROW(INDIRECT("1:"&amp;LEN(A386)))),1))," ",REPT(" ",LEN(A386))),LEN(A386)))))))/10))*1+1</f>
        <v>804 &amp; 1304</v>
      </c>
      <c r="B387" s="114"/>
      <c r="C387" s="55" t="s">
        <v>217</v>
      </c>
      <c r="D387" s="43">
        <f>(5.4*3.3+3*3+2.25*2.6+3*3+2.1*1.2+1.2*3+0.9*2.25)*10.764</f>
        <v>536.20866000000001</v>
      </c>
      <c r="E387" s="43">
        <v>0</v>
      </c>
      <c r="F387" s="43">
        <f>D387*(($F$223)+1)+(IF(E387&lt;101,E387,IF(E387&lt;201,E387/2,IF(E387&lt;=301,E387/3,E387/4))))</f>
        <v>804.31299000000001</v>
      </c>
      <c r="G387" s="112" t="str">
        <f t="shared" si="58"/>
        <v>8th &amp; 13th Floor (Part Refuge Area)</v>
      </c>
      <c r="H387" s="114"/>
      <c r="I387" s="37"/>
    </row>
    <row r="388" spans="1:9" s="38" customFormat="1" x14ac:dyDescent="0.35">
      <c r="A388" s="118" t="s">
        <v>225</v>
      </c>
      <c r="B388" s="119"/>
      <c r="C388" s="119"/>
      <c r="D388" s="119"/>
      <c r="E388" s="119"/>
      <c r="F388" s="119"/>
      <c r="G388" s="119"/>
      <c r="H388" s="120"/>
      <c r="I388" s="37"/>
    </row>
    <row r="389" spans="1:9" s="38" customFormat="1" x14ac:dyDescent="0.35">
      <c r="A389" s="112">
        <v>1801</v>
      </c>
      <c r="B389" s="114"/>
      <c r="C389" s="121" t="s">
        <v>219</v>
      </c>
      <c r="D389" s="122"/>
      <c r="E389" s="122"/>
      <c r="F389" s="123"/>
      <c r="G389" s="112" t="str">
        <f>A388</f>
        <v>18th Floor (Part Refuge Area)</v>
      </c>
      <c r="H389" s="114"/>
      <c r="I389" s="37"/>
    </row>
    <row r="390" spans="1:9" s="38" customFormat="1" x14ac:dyDescent="0.35">
      <c r="A390" s="112">
        <v>1802</v>
      </c>
      <c r="B390" s="114"/>
      <c r="C390" s="55" t="s">
        <v>217</v>
      </c>
      <c r="D390" s="43">
        <f>(3.05*4.25+2.75*3.3+2.25*2.75+0.9*2.25+2.25*1.2+3.9*2.75+2.1*1.2)*10.764</f>
        <v>497.24297999999999</v>
      </c>
      <c r="E390" s="43">
        <v>0</v>
      </c>
      <c r="F390" s="43">
        <f>D390*(($F$223)+1)+(IF(E390&lt;101,E390,IF(E390&lt;201,E390/2,IF(E390&lt;=301,E390/3,E390/4))))</f>
        <v>745.86446999999998</v>
      </c>
      <c r="G390" s="112" t="str">
        <f t="shared" ref="G390:G392" si="59">G389</f>
        <v>18th Floor (Part Refuge Area)</v>
      </c>
      <c r="H390" s="114"/>
      <c r="I390" s="37"/>
    </row>
    <row r="391" spans="1:9" s="38" customFormat="1" ht="15.75" customHeight="1" x14ac:dyDescent="0.35">
      <c r="A391" s="112">
        <v>1803</v>
      </c>
      <c r="B391" s="114"/>
      <c r="C391" s="55" t="s">
        <v>211</v>
      </c>
      <c r="D391" s="43">
        <f>(4.2*3.05+1.2*2.1+2.25*2.75+2.75*3.35+2*1.2)*10.764</f>
        <v>356.61131999999992</v>
      </c>
      <c r="E391" s="43">
        <v>0</v>
      </c>
      <c r="F391" s="43">
        <f>D391*(($F$223)+1)+(IF(E391&lt;101,E391,IF(E391&lt;201,E391/2,IF(E391&lt;=301,E391/3,E391/4))))</f>
        <v>534.91697999999985</v>
      </c>
      <c r="G391" s="112" t="str">
        <f t="shared" si="59"/>
        <v>18th Floor (Part Refuge Area)</v>
      </c>
      <c r="H391" s="114"/>
      <c r="I391" s="37"/>
    </row>
    <row r="392" spans="1:9" s="38" customFormat="1" ht="15.75" customHeight="1" x14ac:dyDescent="0.35">
      <c r="A392" s="112">
        <v>1804</v>
      </c>
      <c r="B392" s="114"/>
      <c r="C392" s="55" t="s">
        <v>217</v>
      </c>
      <c r="D392" s="43">
        <f>(5.4*3.3+3*3+2.25*2.6+3*3+2.1*1.2+1.2*3+0.9*2.25)*10.764</f>
        <v>536.20866000000001</v>
      </c>
      <c r="E392" s="43">
        <v>0</v>
      </c>
      <c r="F392" s="43">
        <f>D392*(($F$223)+1)+(IF(E392&lt;101,E392,IF(E392&lt;201,E392/2,IF(E392&lt;=301,E392/3,E392/4))))</f>
        <v>804.31299000000001</v>
      </c>
      <c r="G392" s="112" t="str">
        <f t="shared" si="59"/>
        <v>18th Floor (Part Refuge Area)</v>
      </c>
      <c r="H392" s="114"/>
      <c r="I392" s="37"/>
    </row>
    <row r="393" spans="1:9" s="38" customFormat="1" ht="15.75" customHeight="1" x14ac:dyDescent="0.35">
      <c r="A393" s="118" t="s">
        <v>226</v>
      </c>
      <c r="B393" s="119"/>
      <c r="C393" s="119"/>
      <c r="D393" s="119"/>
      <c r="E393" s="119"/>
      <c r="F393" s="119"/>
      <c r="G393" s="119"/>
      <c r="H393" s="120"/>
      <c r="I393" s="37"/>
    </row>
    <row r="394" spans="1:9" s="38" customFormat="1" x14ac:dyDescent="0.35">
      <c r="A394" s="112">
        <v>1901</v>
      </c>
      <c r="B394" s="114"/>
      <c r="C394" s="55" t="s">
        <v>217</v>
      </c>
      <c r="D394" s="43">
        <f>(5.4*3.3+3*3+2.25*2.6+3*3+1.2*2+2*1.2+1.2*3+1.2*2.25)*10.764</f>
        <v>568.01628000000005</v>
      </c>
      <c r="E394" s="43">
        <v>0</v>
      </c>
      <c r="F394" s="43">
        <f t="shared" ref="F394:F397" si="60">D394*(($F$223)+1)+(IF(E394&lt;101,E394,IF(E394&lt;201,E394/2,IF(E394&lt;=301,E394/3,E394/4))))</f>
        <v>852.02442000000008</v>
      </c>
      <c r="G394" s="112" t="str">
        <f>A393</f>
        <v>19th Floor</v>
      </c>
      <c r="H394" s="114"/>
      <c r="I394" s="37"/>
    </row>
    <row r="395" spans="1:9" s="38" customFormat="1" x14ac:dyDescent="0.35">
      <c r="A395" s="112">
        <v>1902</v>
      </c>
      <c r="B395" s="114"/>
      <c r="C395" s="55" t="s">
        <v>211</v>
      </c>
      <c r="D395" s="43">
        <f>(3.05*4.25+2.25*2.75+3.9*2.75+2.1*1.2+2.25*1.2+0.9*2.25)*10.764</f>
        <v>399.55968000000001</v>
      </c>
      <c r="E395" s="43">
        <v>0</v>
      </c>
      <c r="F395" s="43">
        <f t="shared" si="60"/>
        <v>599.33951999999999</v>
      </c>
      <c r="G395" s="112" t="str">
        <f t="shared" ref="G395:G397" si="61">G394</f>
        <v>19th Floor</v>
      </c>
      <c r="H395" s="114"/>
      <c r="I395" s="37"/>
    </row>
    <row r="396" spans="1:9" s="38" customFormat="1" ht="15.75" customHeight="1" x14ac:dyDescent="0.35">
      <c r="A396" s="112">
        <v>1903</v>
      </c>
      <c r="B396" s="114"/>
      <c r="C396" s="55" t="s">
        <v>211</v>
      </c>
      <c r="D396" s="43">
        <f>(4.2*3.05+2.75*3.35+2*1.2+2.25*2.75+1.2*2+1.2*2.25)*10.764</f>
        <v>384.38243999999997</v>
      </c>
      <c r="E396" s="43">
        <v>0</v>
      </c>
      <c r="F396" s="43">
        <f t="shared" si="60"/>
        <v>576.57366000000002</v>
      </c>
      <c r="G396" s="112" t="str">
        <f t="shared" si="61"/>
        <v>19th Floor</v>
      </c>
      <c r="H396" s="114"/>
      <c r="I396" s="37"/>
    </row>
    <row r="397" spans="1:9" s="38" customFormat="1" ht="15.75" customHeight="1" x14ac:dyDescent="0.35">
      <c r="A397" s="112">
        <v>1904</v>
      </c>
      <c r="B397" s="114"/>
      <c r="C397" s="55" t="s">
        <v>217</v>
      </c>
      <c r="D397" s="43">
        <f>(5.4*3.3+3*3+2.25*2.6+3*3+2*1.2+1.2*3+2*1.2+0.9*2.25)*10.764</f>
        <v>560.7505799999999</v>
      </c>
      <c r="E397" s="43">
        <v>0</v>
      </c>
      <c r="F397" s="43">
        <f t="shared" si="60"/>
        <v>841.12586999999985</v>
      </c>
      <c r="G397" s="112" t="str">
        <f t="shared" si="61"/>
        <v>19th Floor</v>
      </c>
      <c r="H397" s="114"/>
      <c r="I397" s="37"/>
    </row>
    <row r="398" spans="1:9" s="38" customFormat="1" ht="15.75" customHeight="1" x14ac:dyDescent="0.35">
      <c r="A398" s="117" t="s">
        <v>228</v>
      </c>
      <c r="B398" s="117"/>
      <c r="C398" s="117"/>
      <c r="D398" s="117"/>
      <c r="E398" s="117"/>
      <c r="F398" s="117"/>
      <c r="G398" s="117"/>
      <c r="H398" s="117"/>
      <c r="I398" s="37"/>
    </row>
    <row r="399" spans="1:9" s="38" customFormat="1" x14ac:dyDescent="0.35">
      <c r="A399" s="110">
        <v>2001</v>
      </c>
      <c r="B399" s="110"/>
      <c r="C399" s="75" t="s">
        <v>217</v>
      </c>
      <c r="D399" s="74">
        <f>(5.4*3.3+3*3+2.25*2.6+3*3+1.2*2+2*1.2+1.2*3+1.2*2.25)*10.764</f>
        <v>568.01628000000005</v>
      </c>
      <c r="E399" s="74">
        <v>0</v>
      </c>
      <c r="F399" s="74">
        <f>D399*(($F$223)+1)+(IF(E399&lt;101,E399,IF(E399&lt;201,E399/2,IF(E399&lt;=301,E399/3,E399/4))))</f>
        <v>852.02442000000008</v>
      </c>
      <c r="G399" s="110" t="str">
        <f>A398</f>
        <v>20th Floor (Part Terrace Area)</v>
      </c>
      <c r="H399" s="110"/>
      <c r="I399" s="37"/>
    </row>
    <row r="400" spans="1:9" s="38" customFormat="1" x14ac:dyDescent="0.35">
      <c r="A400" s="110">
        <v>2002</v>
      </c>
      <c r="B400" s="110"/>
      <c r="C400" s="75" t="s">
        <v>211</v>
      </c>
      <c r="D400" s="74">
        <f>(3.05*4.25+2.25*2.75+3.9*2.75+2.1*1.2+2.25*1.2+0.9*2.25)*10.764</f>
        <v>399.55968000000001</v>
      </c>
      <c r="E400" s="74">
        <v>0</v>
      </c>
      <c r="F400" s="74">
        <f>D400*(($F$223)+1)+(IF(E400&lt;101,E400,IF(E400&lt;201,E400/2,IF(E400&lt;=301,E400/3,E400/4))))</f>
        <v>599.33951999999999</v>
      </c>
      <c r="G400" s="110" t="str">
        <f t="shared" ref="G400:G402" si="62">G399</f>
        <v>20th Floor (Part Terrace Area)</v>
      </c>
      <c r="H400" s="110"/>
      <c r="I400" s="37"/>
    </row>
    <row r="401" spans="1:14" s="38" customFormat="1" ht="15.75" customHeight="1" x14ac:dyDescent="0.35">
      <c r="A401" s="110">
        <v>2003</v>
      </c>
      <c r="B401" s="110"/>
      <c r="C401" s="111" t="s">
        <v>227</v>
      </c>
      <c r="D401" s="111"/>
      <c r="E401" s="111"/>
      <c r="F401" s="111"/>
      <c r="G401" s="110" t="str">
        <f t="shared" si="62"/>
        <v>20th Floor (Part Terrace Area)</v>
      </c>
      <c r="H401" s="110"/>
      <c r="I401" s="37"/>
    </row>
    <row r="402" spans="1:14" s="38" customFormat="1" ht="15.75" customHeight="1" x14ac:dyDescent="0.35">
      <c r="A402" s="110">
        <v>2004</v>
      </c>
      <c r="B402" s="110"/>
      <c r="C402" s="75" t="s">
        <v>217</v>
      </c>
      <c r="D402" s="74">
        <f>(5.4*3.3+3*3+2.25*2.6+3*3+2*1.2+1.2*3+2*1.2+0.9*2.25)*10.764</f>
        <v>560.7505799999999</v>
      </c>
      <c r="E402" s="74">
        <v>0</v>
      </c>
      <c r="F402" s="74">
        <f>D402*(($F$223)+1)+(IF(E402&lt;101,E402,IF(E402&lt;201,E402/2,IF(E402&lt;=301,E402/3,E402/4))))</f>
        <v>841.12586999999985</v>
      </c>
      <c r="G402" s="110" t="str">
        <f t="shared" si="62"/>
        <v>20th Floor (Part Terrace Area)</v>
      </c>
      <c r="H402" s="110"/>
      <c r="I402" s="37"/>
    </row>
    <row r="403" spans="1:14" s="38" customFormat="1" hidden="1" x14ac:dyDescent="0.35">
      <c r="A403" s="117" t="s">
        <v>174</v>
      </c>
      <c r="B403" s="117"/>
      <c r="C403" s="117"/>
      <c r="D403" s="117"/>
      <c r="E403" s="117"/>
      <c r="F403" s="117"/>
      <c r="G403" s="117"/>
      <c r="H403" s="117"/>
      <c r="J403" s="37"/>
    </row>
    <row r="404" spans="1:14" s="38" customFormat="1" hidden="1" x14ac:dyDescent="0.35">
      <c r="A404" s="110">
        <v>1</v>
      </c>
      <c r="B404" s="110"/>
      <c r="C404" s="75"/>
      <c r="D404" s="74"/>
      <c r="E404" s="74">
        <v>0</v>
      </c>
      <c r="F404" s="74">
        <f>D404*(($F$223)+1)+(IF(E404&lt;101,E404,IF(E404&lt;201,E404/2,IF(E404&lt;=301,E404/3,E404/4))))</f>
        <v>0</v>
      </c>
      <c r="G404" s="110" t="str">
        <f>A403</f>
        <v>1st to 7th &amp; 9th to 11th Floor for Residentail</v>
      </c>
      <c r="H404" s="110"/>
      <c r="I404" s="37"/>
      <c r="L404" s="125"/>
      <c r="M404" s="125"/>
      <c r="N404" s="37"/>
    </row>
    <row r="405" spans="1:14" s="38" customFormat="1" hidden="1" x14ac:dyDescent="0.35">
      <c r="A405" s="110">
        <f t="shared" ref="A405:A409" si="63">A404+1</f>
        <v>2</v>
      </c>
      <c r="B405" s="110"/>
      <c r="C405" s="75"/>
      <c r="D405" s="74"/>
      <c r="E405" s="74">
        <v>0</v>
      </c>
      <c r="F405" s="74">
        <f>D405*(($F$223)+1)+(IF(E405&lt;101,E405,IF(E405&lt;201,E405/2,IF(E405&lt;=301,E405/3,E405/4))))</f>
        <v>0</v>
      </c>
      <c r="G405" s="110" t="str">
        <f t="shared" ref="G405:G409" si="64">G404</f>
        <v>1st to 7th &amp; 9th to 11th Floor for Residentail</v>
      </c>
      <c r="H405" s="110"/>
      <c r="I405" s="37"/>
      <c r="L405" s="125"/>
      <c r="M405" s="125"/>
      <c r="N405" s="37"/>
    </row>
    <row r="406" spans="1:14" s="38" customFormat="1" hidden="1" x14ac:dyDescent="0.35">
      <c r="A406" s="110">
        <f t="shared" si="63"/>
        <v>3</v>
      </c>
      <c r="B406" s="110"/>
      <c r="C406" s="75"/>
      <c r="D406" s="74"/>
      <c r="E406" s="74">
        <v>0</v>
      </c>
      <c r="F406" s="74">
        <f t="shared" ref="F406:F409" si="65">D406*(($F$223)+1)+(IF(E406&lt;101,E406,IF(E406&lt;201,E406/2,IF(E406&lt;=301,E406/3,E406/4))))</f>
        <v>0</v>
      </c>
      <c r="G406" s="110" t="str">
        <f t="shared" si="64"/>
        <v>1st to 7th &amp; 9th to 11th Floor for Residentail</v>
      </c>
      <c r="H406" s="110"/>
      <c r="I406" s="37"/>
      <c r="L406" s="125"/>
      <c r="M406" s="125"/>
      <c r="N406" s="37"/>
    </row>
    <row r="407" spans="1:14" s="38" customFormat="1" hidden="1" x14ac:dyDescent="0.35">
      <c r="A407" s="110">
        <f t="shared" si="63"/>
        <v>4</v>
      </c>
      <c r="B407" s="110"/>
      <c r="C407" s="75"/>
      <c r="D407" s="74"/>
      <c r="E407" s="74">
        <v>0</v>
      </c>
      <c r="F407" s="74">
        <f t="shared" si="65"/>
        <v>0</v>
      </c>
      <c r="G407" s="110" t="str">
        <f t="shared" si="64"/>
        <v>1st to 7th &amp; 9th to 11th Floor for Residentail</v>
      </c>
      <c r="H407" s="110"/>
      <c r="I407" s="37"/>
      <c r="L407" s="125"/>
      <c r="M407" s="125"/>
      <c r="N407" s="37"/>
    </row>
    <row r="408" spans="1:14" s="38" customFormat="1" hidden="1" x14ac:dyDescent="0.35">
      <c r="A408" s="110">
        <f t="shared" si="63"/>
        <v>5</v>
      </c>
      <c r="B408" s="110"/>
      <c r="C408" s="75"/>
      <c r="D408" s="74"/>
      <c r="E408" s="74">
        <v>0</v>
      </c>
      <c r="F408" s="74">
        <f t="shared" si="65"/>
        <v>0</v>
      </c>
      <c r="G408" s="110" t="str">
        <f t="shared" si="64"/>
        <v>1st to 7th &amp; 9th to 11th Floor for Residentail</v>
      </c>
      <c r="H408" s="110"/>
      <c r="I408" s="37"/>
      <c r="L408" s="125"/>
      <c r="M408" s="125"/>
      <c r="N408" s="37"/>
    </row>
    <row r="409" spans="1:14" s="38" customFormat="1" hidden="1" x14ac:dyDescent="0.35">
      <c r="A409" s="110">
        <f t="shared" si="63"/>
        <v>6</v>
      </c>
      <c r="B409" s="110"/>
      <c r="C409" s="75"/>
      <c r="D409" s="74"/>
      <c r="E409" s="74">
        <v>0</v>
      </c>
      <c r="F409" s="74">
        <f t="shared" si="65"/>
        <v>0</v>
      </c>
      <c r="G409" s="110" t="str">
        <f t="shared" si="64"/>
        <v>1st to 7th &amp; 9th to 11th Floor for Residentail</v>
      </c>
      <c r="H409" s="110"/>
      <c r="I409" s="37"/>
      <c r="L409" s="125"/>
      <c r="M409" s="125"/>
      <c r="N409" s="37"/>
    </row>
    <row r="410" spans="1:14" s="38" customFormat="1" hidden="1" x14ac:dyDescent="0.35">
      <c r="A410" s="117" t="s">
        <v>210</v>
      </c>
      <c r="B410" s="117"/>
      <c r="C410" s="117"/>
      <c r="D410" s="117"/>
      <c r="E410" s="117"/>
      <c r="F410" s="117"/>
      <c r="G410" s="117"/>
      <c r="H410" s="117"/>
      <c r="I410" s="37"/>
      <c r="L410" s="125"/>
      <c r="M410" s="125"/>
    </row>
    <row r="411" spans="1:14" s="38" customFormat="1" hidden="1" x14ac:dyDescent="0.35">
      <c r="A411" s="110">
        <f>LEFT(A410,SUM(LEN(A410)-LEN(SUBSTITUTE(A410,{"0","1","2","3","4","5","6","7","8","9"},""))))*100+1</f>
        <v>301</v>
      </c>
      <c r="B411" s="110"/>
      <c r="C411" s="75"/>
      <c r="D411" s="74"/>
      <c r="E411" s="74">
        <v>0</v>
      </c>
      <c r="F411" s="74">
        <f t="shared" ref="F411:F412" si="66">D411*(($F$223)+1)+(IF(E411&lt;101,E411,IF(E411&lt;201,E411/2,IF(E411&lt;=301,E411/3,E411/4))))</f>
        <v>0</v>
      </c>
      <c r="G411" s="110" t="str">
        <f>A410</f>
        <v>3rd Floor for Residential</v>
      </c>
      <c r="H411" s="110"/>
      <c r="I411" s="37"/>
      <c r="N411" s="37"/>
    </row>
    <row r="412" spans="1:14" s="38" customFormat="1" hidden="1" x14ac:dyDescent="0.35">
      <c r="A412" s="110">
        <f>A411+1</f>
        <v>302</v>
      </c>
      <c r="B412" s="110"/>
      <c r="C412" s="75"/>
      <c r="D412" s="74"/>
      <c r="E412" s="74">
        <v>0</v>
      </c>
      <c r="F412" s="74">
        <f t="shared" si="66"/>
        <v>0</v>
      </c>
      <c r="G412" s="110" t="str">
        <f>G411</f>
        <v>3rd Floor for Residential</v>
      </c>
      <c r="H412" s="110"/>
      <c r="I412" s="37"/>
      <c r="L412" s="56"/>
      <c r="N412" s="37"/>
    </row>
    <row r="413" spans="1:14" s="38" customFormat="1" hidden="1" x14ac:dyDescent="0.35">
      <c r="A413" s="110">
        <f>A412+1</f>
        <v>303</v>
      </c>
      <c r="B413" s="110"/>
      <c r="C413" s="75"/>
      <c r="D413" s="74"/>
      <c r="E413" s="74">
        <v>0</v>
      </c>
      <c r="F413" s="74">
        <f>D413*(($F$223)+1)+(IF(E413&lt;101,E413,IF(E413&lt;201,E413/2,IF(E413&lt;=301,E413/3,E413/4))))</f>
        <v>0</v>
      </c>
      <c r="G413" s="110" t="str">
        <f>G412</f>
        <v>3rd Floor for Residential</v>
      </c>
      <c r="H413" s="110"/>
      <c r="I413" s="37"/>
      <c r="N413" s="37"/>
    </row>
    <row r="414" spans="1:14" s="38" customFormat="1" hidden="1" x14ac:dyDescent="0.35">
      <c r="A414" s="110">
        <f>A413+1</f>
        <v>304</v>
      </c>
      <c r="B414" s="110"/>
      <c r="C414" s="75"/>
      <c r="D414" s="74"/>
      <c r="E414" s="74">
        <v>0</v>
      </c>
      <c r="F414" s="74">
        <f>D414*(($F$223)+1)+(IF(E414&lt;101,E414,IF(E414&lt;201,E414/2,IF(E414&lt;=301,E414/3,E414/4))))</f>
        <v>0</v>
      </c>
      <c r="G414" s="110" t="str">
        <f>G413</f>
        <v>3rd Floor for Residential</v>
      </c>
      <c r="H414" s="110"/>
      <c r="I414" s="37"/>
      <c r="N414" s="37"/>
    </row>
    <row r="415" spans="1:14" s="38" customFormat="1" hidden="1" x14ac:dyDescent="0.35">
      <c r="A415" s="110">
        <f>A414+1</f>
        <v>305</v>
      </c>
      <c r="B415" s="110"/>
      <c r="C415" s="75"/>
      <c r="D415" s="74"/>
      <c r="E415" s="74">
        <v>0</v>
      </c>
      <c r="F415" s="74">
        <f>D415*(($F$223)+1)+(IF(E415&lt;101,E415,IF(E415&lt;201,E415/2,IF(E415&lt;=301,E415/3,E415/4))))</f>
        <v>0</v>
      </c>
      <c r="G415" s="110" t="str">
        <f>G414</f>
        <v>3rd Floor for Residential</v>
      </c>
      <c r="H415" s="110"/>
      <c r="I415" s="37"/>
      <c r="N415" s="37"/>
    </row>
    <row r="416" spans="1:14" s="38" customFormat="1" ht="15.75" hidden="1" customHeight="1" x14ac:dyDescent="0.35">
      <c r="A416" s="117" t="s">
        <v>156</v>
      </c>
      <c r="B416" s="117"/>
      <c r="C416" s="117"/>
      <c r="D416" s="117"/>
      <c r="E416" s="117"/>
      <c r="F416" s="117"/>
      <c r="G416" s="117"/>
      <c r="H416" s="117"/>
      <c r="I416" s="37"/>
    </row>
    <row r="417" spans="1:9" s="38" customFormat="1" hidden="1" x14ac:dyDescent="0.35">
      <c r="A417" s="110" t="str">
        <f ca="1">(SUMPRODUCT(MID(0&amp;(LEFT(A416,SUM(LEN(A416)-LEN(SUBSTITUTE(A416,{"0","1","2"},""))))), LARGE(INDEX(ISNUMBER(--MID((LEFT(A416,SUM(LEN(A416)-LEN(SUBSTITUTE(A416,{"0","1","2"},""))))), ROW(INDIRECT("1:"&amp;LEN((LEFT(A416,SUM(LEN(A416)-LEN(SUBSTITUTE(A416,{"0","1","2"},"")))))))), 1)) * ROW(INDIRECT("1:"&amp;LEN((LEFT(A416,SUM(LEN(A416)-LEN(SUBSTITUTE(A416,{"0","1","2"},"")))))))), 0), ROW(INDIRECT("1:"&amp;LEN((LEFT(A416,SUM(LEN(A416)-LEN(SUBSTITUTE(A416,{"0","1","2"},"")))))))))+1, 1) * 10^ROW(INDIRECT("1:"&amp;LEN((LEFT(A416,SUM(LEN(A416)-LEN(SUBSTITUTE(A416,{"0","1","2"},""))))))))/10))*100+1&amp;""&amp;" ,.., "&amp;""&amp;(SUMPRODUCT(MID(0&amp;(--TRIM(RIGHT(SUBSTITUTE(LEFT(A416,_xlfn.AGGREGATE(16,6,FIND({0,1,2,3,4,5,6,7,8,9},A416,ROW(INDIRECT("1:"&amp;LEN(A416)))),1))," ",REPT(" ",LEN(A416))),LEN(A416)))), LARGE(INDEX(ISNUMBER(--MID((--TRIM(RIGHT(SUBSTITUTE(LEFT(A416,_xlfn.AGGREGATE(16,6,FIND({0,1,2,3,4,5,6,7,8,9},A416,ROW(INDIRECT("1:"&amp;LEN(A416)))),1))," ",REPT(" ",LEN(A416))),LEN(A416)))), ROW(INDIRECT("1:"&amp;LEN((--TRIM(RIGHT(SUBSTITUTE(LEFT(A416,_xlfn.AGGREGATE(16,6,FIND({0,1,2,3,4,5,6,7,8,9},A416,ROW(INDIRECT("1:"&amp;LEN(A416)))),1))," ",REPT(" ",LEN(A416))),LEN(A416))))))), 1)) * ROW(INDIRECT("1:"&amp;LEN((--TRIM(RIGHT(SUBSTITUTE(LEFT(A416,_xlfn.AGGREGATE(16,6,FIND({0,1,2,3,4,5,6,7,8,9},A416,ROW(INDIRECT("1:"&amp;LEN(A416)))),1))," ",REPT(" ",LEN(A416))),LEN(A416))))))), 0), ROW(INDIRECT("1:"&amp;LEN((--TRIM(RIGHT(SUBSTITUTE(LEFT(A416,_xlfn.AGGREGATE(16,6,FIND({0,1,2,3,4,5,6,7,8,9},A416,ROW(INDIRECT("1:"&amp;LEN(A416)))),1))," ",REPT(" ",LEN(A416))),LEN(A416))))))))+1, 1) * 10^ROW(INDIRECT("1:"&amp;LEN((--TRIM(RIGHT(SUBSTITUTE(LEFT(A416,_xlfn.AGGREGATE(16,6,FIND({0,1,2,3,4,5,6,7,8,9},A416,ROW(INDIRECT("1:"&amp;LEN(A416)))),1))," ",REPT(" ",LEN(A416))),LEN(A416)))))))/10))*100+1</f>
        <v>301 ,.., 1501</v>
      </c>
      <c r="B417" s="110"/>
      <c r="C417" s="75"/>
      <c r="D417" s="74"/>
      <c r="E417" s="74">
        <v>0</v>
      </c>
      <c r="F417" s="74">
        <f>D417*(($F$223)+1)+(IF(E417&lt;101,E417,IF(E417&lt;201,E417/2,IF(E417&lt;=301,E417/3,E417/4))))</f>
        <v>0</v>
      </c>
      <c r="G417" s="110" t="str">
        <f>A416</f>
        <v>3rd, 5th, 7th, 9th, 11th, 13th, 15th Floor</v>
      </c>
      <c r="H417" s="110"/>
      <c r="I417" s="37"/>
    </row>
    <row r="418" spans="1:9" s="38" customFormat="1" hidden="1" x14ac:dyDescent="0.35">
      <c r="A418" s="110" t="str">
        <f ca="1">(SUMPRODUCT(MID(0&amp;(LEFT(A417,SUM(LEN(A417)-LEN(SUBSTITUTE(A417,{"0","1","2"},""))))), LARGE(INDEX(ISNUMBER(--MID((LEFT(A417,SUM(LEN(A417)-LEN(SUBSTITUTE(A417,{"0","1","2"},""))))), ROW(INDIRECT("1:"&amp;LEN((LEFT(A417,SUM(LEN(A417)-LEN(SUBSTITUTE(A417,{"0","1","2"},"")))))))), 1)) * ROW(INDIRECT("1:"&amp;LEN((LEFT(A417,SUM(LEN(A417)-LEN(SUBSTITUTE(A417,{"0","1","2"},"")))))))), 0), ROW(INDIRECT("1:"&amp;LEN((LEFT(A417,SUM(LEN(A417)-LEN(SUBSTITUTE(A417,{"0","1","2"},"")))))))))+1, 1) * 10^ROW(INDIRECT("1:"&amp;LEN((LEFT(A417,SUM(LEN(A417)-LEN(SUBSTITUTE(A417,{"0","1","2"},""))))))))/10))*1+1&amp;""&amp;" ,.., "&amp;""&amp;(SUMPRODUCT(MID(0&amp;(--TRIM(RIGHT(SUBSTITUTE(LEFT(A417,_xlfn.AGGREGATE(16,6,FIND({0,1,2,3,4,5,6,7,8,9},A417,ROW(INDIRECT("1:"&amp;LEN(A417)))),1))," ",REPT(" ",LEN(A417))),LEN(A417)))), LARGE(INDEX(ISNUMBER(--MID((--TRIM(RIGHT(SUBSTITUTE(LEFT(A417,_xlfn.AGGREGATE(16,6,FIND({0,1,2,3,4,5,6,7,8,9},A417,ROW(INDIRECT("1:"&amp;LEN(A417)))),1))," ",REPT(" ",LEN(A417))),LEN(A417)))), ROW(INDIRECT("1:"&amp;LEN((--TRIM(RIGHT(SUBSTITUTE(LEFT(A417,_xlfn.AGGREGATE(16,6,FIND({0,1,2,3,4,5,6,7,8,9},A417,ROW(INDIRECT("1:"&amp;LEN(A417)))),1))," ",REPT(" ",LEN(A417))),LEN(A417))))))), 1)) * ROW(INDIRECT("1:"&amp;LEN((--TRIM(RIGHT(SUBSTITUTE(LEFT(A417,_xlfn.AGGREGATE(16,6,FIND({0,1,2,3,4,5,6,7,8,9},A417,ROW(INDIRECT("1:"&amp;LEN(A417)))),1))," ",REPT(" ",LEN(A417))),LEN(A417))))))), 0), ROW(INDIRECT("1:"&amp;LEN((--TRIM(RIGHT(SUBSTITUTE(LEFT(A417,_xlfn.AGGREGATE(16,6,FIND({0,1,2,3,4,5,6,7,8,9},A417,ROW(INDIRECT("1:"&amp;LEN(A417)))),1))," ",REPT(" ",LEN(A417))),LEN(A417))))))))+1, 1) * 10^ROW(INDIRECT("1:"&amp;LEN((--TRIM(RIGHT(SUBSTITUTE(LEFT(A417,_xlfn.AGGREGATE(16,6,FIND({0,1,2,3,4,5,6,7,8,9},A417,ROW(INDIRECT("1:"&amp;LEN(A417)))),1))," ",REPT(" ",LEN(A417))),LEN(A417)))))))/10))*1+1</f>
        <v>302 ,.., 1502</v>
      </c>
      <c r="B418" s="110"/>
      <c r="C418" s="75"/>
      <c r="D418" s="74"/>
      <c r="E418" s="74">
        <v>0</v>
      </c>
      <c r="F418" s="74">
        <f>D418*(($F$223)+1)+(IF(E418&lt;101,E418,IF(E418&lt;201,E418/2,IF(E418&lt;=301,E418/3,E418/4))))</f>
        <v>0</v>
      </c>
      <c r="G418" s="110" t="str">
        <f>G417</f>
        <v>3rd, 5th, 7th, 9th, 11th, 13th, 15th Floor</v>
      </c>
      <c r="H418" s="110"/>
      <c r="I418" s="37"/>
    </row>
    <row r="419" spans="1:9" s="38" customFormat="1" ht="15.75" hidden="1" customHeight="1" x14ac:dyDescent="0.35">
      <c r="A419" s="110" t="str">
        <f ca="1">(SUMPRODUCT(MID(0&amp;(LEFT(A418,SUM(LEN(A418)-LEN(SUBSTITUTE(A418,{"0","1","2"},""))))), LARGE(INDEX(ISNUMBER(--MID((LEFT(A418,SUM(LEN(A418)-LEN(SUBSTITUTE(A418,{"0","1","2"},""))))), ROW(INDIRECT("1:"&amp;LEN((LEFT(A418,SUM(LEN(A418)-LEN(SUBSTITUTE(A418,{"0","1","2"},"")))))))), 1)) * ROW(INDIRECT("1:"&amp;LEN((LEFT(A418,SUM(LEN(A418)-LEN(SUBSTITUTE(A418,{"0","1","2"},"")))))))), 0), ROW(INDIRECT("1:"&amp;LEN((LEFT(A418,SUM(LEN(A418)-LEN(SUBSTITUTE(A418,{"0","1","2"},"")))))))))+1, 1) * 10^ROW(INDIRECT("1:"&amp;LEN((LEFT(A418,SUM(LEN(A418)-LEN(SUBSTITUTE(A418,{"0","1","2"},""))))))))/10))*1+1&amp;""&amp;" ,.., "&amp;""&amp;(SUMPRODUCT(MID(0&amp;(--TRIM(RIGHT(SUBSTITUTE(LEFT(A418,_xlfn.AGGREGATE(16,6,FIND({0,1,2,3,4,5,6,7,8,9},A418,ROW(INDIRECT("1:"&amp;LEN(A418)))),1))," ",REPT(" ",LEN(A418))),LEN(A418)))), LARGE(INDEX(ISNUMBER(--MID((--TRIM(RIGHT(SUBSTITUTE(LEFT(A418,_xlfn.AGGREGATE(16,6,FIND({0,1,2,3,4,5,6,7,8,9},A418,ROW(INDIRECT("1:"&amp;LEN(A418)))),1))," ",REPT(" ",LEN(A418))),LEN(A418)))), ROW(INDIRECT("1:"&amp;LEN((--TRIM(RIGHT(SUBSTITUTE(LEFT(A418,_xlfn.AGGREGATE(16,6,FIND({0,1,2,3,4,5,6,7,8,9},A418,ROW(INDIRECT("1:"&amp;LEN(A418)))),1))," ",REPT(" ",LEN(A418))),LEN(A418))))))), 1)) * ROW(INDIRECT("1:"&amp;LEN((--TRIM(RIGHT(SUBSTITUTE(LEFT(A418,_xlfn.AGGREGATE(16,6,FIND({0,1,2,3,4,5,6,7,8,9},A418,ROW(INDIRECT("1:"&amp;LEN(A418)))),1))," ",REPT(" ",LEN(A418))),LEN(A418))))))), 0), ROW(INDIRECT("1:"&amp;LEN((--TRIM(RIGHT(SUBSTITUTE(LEFT(A418,_xlfn.AGGREGATE(16,6,FIND({0,1,2,3,4,5,6,7,8,9},A418,ROW(INDIRECT("1:"&amp;LEN(A418)))),1))," ",REPT(" ",LEN(A418))),LEN(A418))))))))+1, 1) * 10^ROW(INDIRECT("1:"&amp;LEN((--TRIM(RIGHT(SUBSTITUTE(LEFT(A418,_xlfn.AGGREGATE(16,6,FIND({0,1,2,3,4,5,6,7,8,9},A418,ROW(INDIRECT("1:"&amp;LEN(A418)))),1))," ",REPT(" ",LEN(A418))),LEN(A418)))))))/10))*1+1</f>
        <v>303 ,.., 1503</v>
      </c>
      <c r="B419" s="110"/>
      <c r="C419" s="75"/>
      <c r="D419" s="74"/>
      <c r="E419" s="74">
        <v>0</v>
      </c>
      <c r="F419" s="74">
        <f>D419*(($F$223)+1)+(IF(E419&lt;101,E419,IF(E419&lt;201,E419/2,IF(E419&lt;=301,E419/3,E419/4))))</f>
        <v>0</v>
      </c>
      <c r="G419" s="110" t="str">
        <f>G418</f>
        <v>3rd, 5th, 7th, 9th, 11th, 13th, 15th Floor</v>
      </c>
      <c r="H419" s="110"/>
      <c r="I419" s="37"/>
    </row>
    <row r="420" spans="1:9" s="38" customFormat="1" ht="15.75" hidden="1" customHeight="1" x14ac:dyDescent="0.35">
      <c r="A420" s="110" t="str">
        <f ca="1">(SUMPRODUCT(MID(0&amp;(LEFT(A419,SUM(LEN(A419)-LEN(SUBSTITUTE(A419,{"0","1","2"},""))))), LARGE(INDEX(ISNUMBER(--MID((LEFT(A419,SUM(LEN(A419)-LEN(SUBSTITUTE(A419,{"0","1","2"},""))))), ROW(INDIRECT("1:"&amp;LEN((LEFT(A419,SUM(LEN(A419)-LEN(SUBSTITUTE(A419,{"0","1","2"},"")))))))), 1)) * ROW(INDIRECT("1:"&amp;LEN((LEFT(A419,SUM(LEN(A419)-LEN(SUBSTITUTE(A419,{"0","1","2"},"")))))))), 0), ROW(INDIRECT("1:"&amp;LEN((LEFT(A419,SUM(LEN(A419)-LEN(SUBSTITUTE(A419,{"0","1","2"},"")))))))))+1, 1) * 10^ROW(INDIRECT("1:"&amp;LEN((LEFT(A419,SUM(LEN(A419)-LEN(SUBSTITUTE(A419,{"0","1","2"},""))))))))/10))*1+1&amp;""&amp;" ,.., "&amp;""&amp;(SUMPRODUCT(MID(0&amp;(--TRIM(RIGHT(SUBSTITUTE(LEFT(A419,_xlfn.AGGREGATE(16,6,FIND({0,1,2,3,4,5,6,7,8,9},A419,ROW(INDIRECT("1:"&amp;LEN(A419)))),1))," ",REPT(" ",LEN(A419))),LEN(A419)))), LARGE(INDEX(ISNUMBER(--MID((--TRIM(RIGHT(SUBSTITUTE(LEFT(A419,_xlfn.AGGREGATE(16,6,FIND({0,1,2,3,4,5,6,7,8,9},A419,ROW(INDIRECT("1:"&amp;LEN(A419)))),1))," ",REPT(" ",LEN(A419))),LEN(A419)))), ROW(INDIRECT("1:"&amp;LEN((--TRIM(RIGHT(SUBSTITUTE(LEFT(A419,_xlfn.AGGREGATE(16,6,FIND({0,1,2,3,4,5,6,7,8,9},A419,ROW(INDIRECT("1:"&amp;LEN(A419)))),1))," ",REPT(" ",LEN(A419))),LEN(A419))))))), 1)) * ROW(INDIRECT("1:"&amp;LEN((--TRIM(RIGHT(SUBSTITUTE(LEFT(A419,_xlfn.AGGREGATE(16,6,FIND({0,1,2,3,4,5,6,7,8,9},A419,ROW(INDIRECT("1:"&amp;LEN(A419)))),1))," ",REPT(" ",LEN(A419))),LEN(A419))))))), 0), ROW(INDIRECT("1:"&amp;LEN((--TRIM(RIGHT(SUBSTITUTE(LEFT(A419,_xlfn.AGGREGATE(16,6,FIND({0,1,2,3,4,5,6,7,8,9},A419,ROW(INDIRECT("1:"&amp;LEN(A419)))),1))," ",REPT(" ",LEN(A419))),LEN(A419))))))))+1, 1) * 10^ROW(INDIRECT("1:"&amp;LEN((--TRIM(RIGHT(SUBSTITUTE(LEFT(A419,_xlfn.AGGREGATE(16,6,FIND({0,1,2,3,4,5,6,7,8,9},A419,ROW(INDIRECT("1:"&amp;LEN(A419)))),1))," ",REPT(" ",LEN(A419))),LEN(A419)))))))/10))*1+1</f>
        <v>304 ,.., 1504</v>
      </c>
      <c r="B420" s="110"/>
      <c r="C420" s="75"/>
      <c r="D420" s="74"/>
      <c r="E420" s="74">
        <v>0</v>
      </c>
      <c r="F420" s="74">
        <f>D420*(($F$223)+1)+(IF(E420&lt;101,E420,IF(E420&lt;201,E420/2,IF(E420&lt;=301,E420/3,E420/4))))</f>
        <v>0</v>
      </c>
      <c r="G420" s="110" t="str">
        <f>G419</f>
        <v>3rd, 5th, 7th, 9th, 11th, 13th, 15th Floor</v>
      </c>
      <c r="H420" s="110"/>
      <c r="I420" s="37"/>
    </row>
    <row r="421" spans="1:9" s="38" customFormat="1" ht="15.75" hidden="1" customHeight="1" x14ac:dyDescent="0.35">
      <c r="A421" s="110" t="str">
        <f ca="1">(SUMPRODUCT(MID(0&amp;(LEFT(A420,SUM(LEN(A420)-LEN(SUBSTITUTE(A420,{"0","1","2"},""))))), LARGE(INDEX(ISNUMBER(--MID((LEFT(A420,SUM(LEN(A420)-LEN(SUBSTITUTE(A420,{"0","1","2"},""))))), ROW(INDIRECT("1:"&amp;LEN((LEFT(A420,SUM(LEN(A420)-LEN(SUBSTITUTE(A420,{"0","1","2"},"")))))))), 1)) * ROW(INDIRECT("1:"&amp;LEN((LEFT(A420,SUM(LEN(A420)-LEN(SUBSTITUTE(A420,{"0","1","2"},"")))))))), 0), ROW(INDIRECT("1:"&amp;LEN((LEFT(A420,SUM(LEN(A420)-LEN(SUBSTITUTE(A420,{"0","1","2"},"")))))))))+1, 1) * 10^ROW(INDIRECT("1:"&amp;LEN((LEFT(A420,SUM(LEN(A420)-LEN(SUBSTITUTE(A420,{"0","1","2"},""))))))))/10))*1+1&amp;""&amp;" ,.., "&amp;""&amp;(SUMPRODUCT(MID(0&amp;(--TRIM(RIGHT(SUBSTITUTE(LEFT(A420,_xlfn.AGGREGATE(16,6,FIND({0,1,2,3,4,5,6,7,8,9},A420,ROW(INDIRECT("1:"&amp;LEN(A420)))),1))," ",REPT(" ",LEN(A420))),LEN(A420)))), LARGE(INDEX(ISNUMBER(--MID((--TRIM(RIGHT(SUBSTITUTE(LEFT(A420,_xlfn.AGGREGATE(16,6,FIND({0,1,2,3,4,5,6,7,8,9},A420,ROW(INDIRECT("1:"&amp;LEN(A420)))),1))," ",REPT(" ",LEN(A420))),LEN(A420)))), ROW(INDIRECT("1:"&amp;LEN((--TRIM(RIGHT(SUBSTITUTE(LEFT(A420,_xlfn.AGGREGATE(16,6,FIND({0,1,2,3,4,5,6,7,8,9},A420,ROW(INDIRECT("1:"&amp;LEN(A420)))),1))," ",REPT(" ",LEN(A420))),LEN(A420))))))), 1)) * ROW(INDIRECT("1:"&amp;LEN((--TRIM(RIGHT(SUBSTITUTE(LEFT(A420,_xlfn.AGGREGATE(16,6,FIND({0,1,2,3,4,5,6,7,8,9},A420,ROW(INDIRECT("1:"&amp;LEN(A420)))),1))," ",REPT(" ",LEN(A420))),LEN(A420))))))), 0), ROW(INDIRECT("1:"&amp;LEN((--TRIM(RIGHT(SUBSTITUTE(LEFT(A420,_xlfn.AGGREGATE(16,6,FIND({0,1,2,3,4,5,6,7,8,9},A420,ROW(INDIRECT("1:"&amp;LEN(A420)))),1))," ",REPT(" ",LEN(A420))),LEN(A420))))))))+1, 1) * 10^ROW(INDIRECT("1:"&amp;LEN((--TRIM(RIGHT(SUBSTITUTE(LEFT(A420,_xlfn.AGGREGATE(16,6,FIND({0,1,2,3,4,5,6,7,8,9},A420,ROW(INDIRECT("1:"&amp;LEN(A420)))),1))," ",REPT(" ",LEN(A420))),LEN(A420)))))))/10))*1+1</f>
        <v>305 ,.., 1505</v>
      </c>
      <c r="B421" s="110"/>
      <c r="C421" s="75"/>
      <c r="D421" s="74"/>
      <c r="E421" s="74">
        <v>0</v>
      </c>
      <c r="F421" s="74">
        <f>D421*(($F$223)+1)+(IF(E421&lt;101,E421,IF(E421&lt;201,E421/2,IF(E421&lt;=301,E421/3,E421/4))))</f>
        <v>0</v>
      </c>
      <c r="G421" s="110" t="str">
        <f>G420</f>
        <v>3rd, 5th, 7th, 9th, 11th, 13th, 15th Floor</v>
      </c>
      <c r="H421" s="110"/>
      <c r="I421" s="37"/>
    </row>
    <row r="422" spans="1:9" s="38" customFormat="1" hidden="1" x14ac:dyDescent="0.35">
      <c r="A422" s="117" t="s">
        <v>150</v>
      </c>
      <c r="B422" s="117"/>
      <c r="C422" s="117"/>
      <c r="D422" s="117"/>
      <c r="E422" s="117"/>
      <c r="F422" s="117"/>
      <c r="G422" s="117"/>
      <c r="H422" s="117"/>
      <c r="I422" s="37"/>
    </row>
    <row r="423" spans="1:9" s="38" customFormat="1" hidden="1" x14ac:dyDescent="0.35">
      <c r="A423" s="110" t="str">
        <f ca="1">(SUMPRODUCT(MID(0&amp;(LEFT(A422,SUM(LEN(A422)-LEN(SUBSTITUTE(A422,{"0","1","2"},""))))), LARGE(INDEX(ISNUMBER(--MID((LEFT(A422,SUM(LEN(A422)-LEN(SUBSTITUTE(A422,{"0","1","2"},""))))), ROW(INDIRECT("1:"&amp;LEN((LEFT(A422,SUM(LEN(A422)-LEN(SUBSTITUTE(A422,{"0","1","2"},"")))))))), 1)) * ROW(INDIRECT("1:"&amp;LEN((LEFT(A422,SUM(LEN(A422)-LEN(SUBSTITUTE(A422,{"0","1","2"},"")))))))), 0), ROW(INDIRECT("1:"&amp;LEN((LEFT(A422,SUM(LEN(A422)-LEN(SUBSTITUTE(A422,{"0","1","2"},"")))))))))+1, 1) * 10^ROW(INDIRECT("1:"&amp;LEN((LEFT(A422,SUM(LEN(A422)-LEN(SUBSTITUTE(A422,{"0","1","2"},""))))))))/10))*100+1&amp;""&amp;" to "&amp;""&amp;(SUMPRODUCT(MID(0&amp;(--TRIM(RIGHT(SUBSTITUTE(LEFT(A422,_xlfn.AGGREGATE(16,6,FIND({0,1,2,3,4,5,6,7,8,9},A422,ROW(INDIRECT("1:"&amp;LEN(A422)))),1))," ",REPT(" ",LEN(A422))),LEN(A422)))), LARGE(INDEX(ISNUMBER(--MID((--TRIM(RIGHT(SUBSTITUTE(LEFT(A422,_xlfn.AGGREGATE(16,6,FIND({0,1,2,3,4,5,6,7,8,9},A422,ROW(INDIRECT("1:"&amp;LEN(A422)))),1))," ",REPT(" ",LEN(A422))),LEN(A422)))), ROW(INDIRECT("1:"&amp;LEN((--TRIM(RIGHT(SUBSTITUTE(LEFT(A422,_xlfn.AGGREGATE(16,6,FIND({0,1,2,3,4,5,6,7,8,9},A422,ROW(INDIRECT("1:"&amp;LEN(A422)))),1))," ",REPT(" ",LEN(A422))),LEN(A422))))))), 1)) * ROW(INDIRECT("1:"&amp;LEN((--TRIM(RIGHT(SUBSTITUTE(LEFT(A422,_xlfn.AGGREGATE(16,6,FIND({0,1,2,3,4,5,6,7,8,9},A422,ROW(INDIRECT("1:"&amp;LEN(A422)))),1))," ",REPT(" ",LEN(A422))),LEN(A422))))))), 0), ROW(INDIRECT("1:"&amp;LEN((--TRIM(RIGHT(SUBSTITUTE(LEFT(A422,_xlfn.AGGREGATE(16,6,FIND({0,1,2,3,4,5,6,7,8,9},A422,ROW(INDIRECT("1:"&amp;LEN(A422)))),1))," ",REPT(" ",LEN(A422))),LEN(A422))))))))+1, 1) * 10^ROW(INDIRECT("1:"&amp;LEN((--TRIM(RIGHT(SUBSTITUTE(LEFT(A422,_xlfn.AGGREGATE(16,6,FIND({0,1,2,3,4,5,6,7,8,9},A422,ROW(INDIRECT("1:"&amp;LEN(A422)))),1))," ",REPT(" ",LEN(A422))),LEN(A422)))))))/10))*100+1</f>
        <v>201 to 501</v>
      </c>
      <c r="B423" s="110"/>
      <c r="C423" s="75"/>
      <c r="D423" s="74"/>
      <c r="E423" s="74">
        <v>0</v>
      </c>
      <c r="F423" s="74">
        <f>D423*(($F$223)+1)+(IF(E423&lt;101,E423,IF(E423&lt;201,E423/2,IF(E423&lt;=301,E423/3,E423/4))))</f>
        <v>0</v>
      </c>
      <c r="G423" s="110" t="str">
        <f>A422</f>
        <v>2nd to 5th Floor</v>
      </c>
      <c r="H423" s="110"/>
      <c r="I423" s="37"/>
    </row>
    <row r="424" spans="1:9" s="38" customFormat="1" hidden="1" x14ac:dyDescent="0.35">
      <c r="A424" s="110" t="str">
        <f ca="1">(SUMPRODUCT(MID(0&amp;(LEFT(A423,SUM(LEN(A423)-LEN(SUBSTITUTE(A423,{"0","1","2"},""))))), LARGE(INDEX(ISNUMBER(--MID((LEFT(A423,SUM(LEN(A423)-LEN(SUBSTITUTE(A423,{"0","1","2"},""))))), ROW(INDIRECT("1:"&amp;LEN((LEFT(A423,SUM(LEN(A423)-LEN(SUBSTITUTE(A423,{"0","1","2"},"")))))))), 1)) * ROW(INDIRECT("1:"&amp;LEN((LEFT(A423,SUM(LEN(A423)-LEN(SUBSTITUTE(A423,{"0","1","2"},"")))))))), 0), ROW(INDIRECT("1:"&amp;LEN((LEFT(A423,SUM(LEN(A423)-LEN(SUBSTITUTE(A423,{"0","1","2"},"")))))))))+1, 1) * 10^ROW(INDIRECT("1:"&amp;LEN((LEFT(A423,SUM(LEN(A423)-LEN(SUBSTITUTE(A423,{"0","1","2"},""))))))))/10))*1+1&amp;""&amp;" to "&amp;""&amp;(SUMPRODUCT(MID(0&amp;(--TRIM(RIGHT(SUBSTITUTE(LEFT(A423,_xlfn.AGGREGATE(16,6,FIND({0,1,2,3,4,5,6,7,8,9},A423,ROW(INDIRECT("1:"&amp;LEN(A423)))),1))," ",REPT(" ",LEN(A423))),LEN(A423)))), LARGE(INDEX(ISNUMBER(--MID((--TRIM(RIGHT(SUBSTITUTE(LEFT(A423,_xlfn.AGGREGATE(16,6,FIND({0,1,2,3,4,5,6,7,8,9},A423,ROW(INDIRECT("1:"&amp;LEN(A423)))),1))," ",REPT(" ",LEN(A423))),LEN(A423)))), ROW(INDIRECT("1:"&amp;LEN((--TRIM(RIGHT(SUBSTITUTE(LEFT(A423,_xlfn.AGGREGATE(16,6,FIND({0,1,2,3,4,5,6,7,8,9},A423,ROW(INDIRECT("1:"&amp;LEN(A423)))),1))," ",REPT(" ",LEN(A423))),LEN(A423))))))), 1)) * ROW(INDIRECT("1:"&amp;LEN((--TRIM(RIGHT(SUBSTITUTE(LEFT(A423,_xlfn.AGGREGATE(16,6,FIND({0,1,2,3,4,5,6,7,8,9},A423,ROW(INDIRECT("1:"&amp;LEN(A423)))),1))," ",REPT(" ",LEN(A423))),LEN(A423))))))), 0), ROW(INDIRECT("1:"&amp;LEN((--TRIM(RIGHT(SUBSTITUTE(LEFT(A423,_xlfn.AGGREGATE(16,6,FIND({0,1,2,3,4,5,6,7,8,9},A423,ROW(INDIRECT("1:"&amp;LEN(A423)))),1))," ",REPT(" ",LEN(A423))),LEN(A423))))))))+1, 1) * 10^ROW(INDIRECT("1:"&amp;LEN((--TRIM(RIGHT(SUBSTITUTE(LEFT(A423,_xlfn.AGGREGATE(16,6,FIND({0,1,2,3,4,5,6,7,8,9},A423,ROW(INDIRECT("1:"&amp;LEN(A423)))),1))," ",REPT(" ",LEN(A423))),LEN(A423)))))))/10))*1+1</f>
        <v>202 to 502</v>
      </c>
      <c r="B424" s="110"/>
      <c r="C424" s="75"/>
      <c r="D424" s="74"/>
      <c r="E424" s="74">
        <v>0</v>
      </c>
      <c r="F424" s="74">
        <f>D424*(($F$223)+1)+(IF(E424&lt;101,E424,IF(E424&lt;201,E424/2,IF(E424&lt;=301,E424/3,E424/4))))</f>
        <v>0</v>
      </c>
      <c r="G424" s="110" t="str">
        <f>G423</f>
        <v>2nd to 5th Floor</v>
      </c>
      <c r="H424" s="110"/>
      <c r="I424" s="37"/>
    </row>
    <row r="425" spans="1:9" s="38" customFormat="1" hidden="1" x14ac:dyDescent="0.35">
      <c r="A425" s="110" t="str">
        <f ca="1">(SUMPRODUCT(MID(0&amp;(LEFT(A424,SUM(LEN(A424)-LEN(SUBSTITUTE(A424,{"0","1","2"},""))))), LARGE(INDEX(ISNUMBER(--MID((LEFT(A424,SUM(LEN(A424)-LEN(SUBSTITUTE(A424,{"0","1","2"},""))))), ROW(INDIRECT("1:"&amp;LEN((LEFT(A424,SUM(LEN(A424)-LEN(SUBSTITUTE(A424,{"0","1","2"},"")))))))), 1)) * ROW(INDIRECT("1:"&amp;LEN((LEFT(A424,SUM(LEN(A424)-LEN(SUBSTITUTE(A424,{"0","1","2"},"")))))))), 0), ROW(INDIRECT("1:"&amp;LEN((LEFT(A424,SUM(LEN(A424)-LEN(SUBSTITUTE(A424,{"0","1","2"},"")))))))))+1, 1) * 10^ROW(INDIRECT("1:"&amp;LEN((LEFT(A424,SUM(LEN(A424)-LEN(SUBSTITUTE(A424,{"0","1","2"},""))))))))/10))*1+1&amp;""&amp;" to "&amp;""&amp;(SUMPRODUCT(MID(0&amp;(--TRIM(RIGHT(SUBSTITUTE(LEFT(A424,_xlfn.AGGREGATE(16,6,FIND({0,1,2,3,4,5,6,7,8,9},A424,ROW(INDIRECT("1:"&amp;LEN(A424)))),1))," ",REPT(" ",LEN(A424))),LEN(A424)))), LARGE(INDEX(ISNUMBER(--MID((--TRIM(RIGHT(SUBSTITUTE(LEFT(A424,_xlfn.AGGREGATE(16,6,FIND({0,1,2,3,4,5,6,7,8,9},A424,ROW(INDIRECT("1:"&amp;LEN(A424)))),1))," ",REPT(" ",LEN(A424))),LEN(A424)))), ROW(INDIRECT("1:"&amp;LEN((--TRIM(RIGHT(SUBSTITUTE(LEFT(A424,_xlfn.AGGREGATE(16,6,FIND({0,1,2,3,4,5,6,7,8,9},A424,ROW(INDIRECT("1:"&amp;LEN(A424)))),1))," ",REPT(" ",LEN(A424))),LEN(A424))))))), 1)) * ROW(INDIRECT("1:"&amp;LEN((--TRIM(RIGHT(SUBSTITUTE(LEFT(A424,_xlfn.AGGREGATE(16,6,FIND({0,1,2,3,4,5,6,7,8,9},A424,ROW(INDIRECT("1:"&amp;LEN(A424)))),1))," ",REPT(" ",LEN(A424))),LEN(A424))))))), 0), ROW(INDIRECT("1:"&amp;LEN((--TRIM(RIGHT(SUBSTITUTE(LEFT(A424,_xlfn.AGGREGATE(16,6,FIND({0,1,2,3,4,5,6,7,8,9},A424,ROW(INDIRECT("1:"&amp;LEN(A424)))),1))," ",REPT(" ",LEN(A424))),LEN(A424))))))))+1, 1) * 10^ROW(INDIRECT("1:"&amp;LEN((--TRIM(RIGHT(SUBSTITUTE(LEFT(A424,_xlfn.AGGREGATE(16,6,FIND({0,1,2,3,4,5,6,7,8,9},A424,ROW(INDIRECT("1:"&amp;LEN(A424)))),1))," ",REPT(" ",LEN(A424))),LEN(A424)))))))/10))*1+1</f>
        <v>203 to 503</v>
      </c>
      <c r="B425" s="110"/>
      <c r="C425" s="75"/>
      <c r="D425" s="74"/>
      <c r="E425" s="74">
        <v>0</v>
      </c>
      <c r="F425" s="74">
        <f>D425*(($F$223)+1)+(IF(E425&lt;101,E425,IF(E425&lt;201,E425/2,IF(E425&lt;=301,E425/3,E425/4))))</f>
        <v>0</v>
      </c>
      <c r="G425" s="110" t="str">
        <f>G424</f>
        <v>2nd to 5th Floor</v>
      </c>
      <c r="H425" s="110"/>
      <c r="I425" s="37"/>
    </row>
    <row r="426" spans="1:9" s="38" customFormat="1" hidden="1" x14ac:dyDescent="0.35">
      <c r="A426" s="110" t="str">
        <f ca="1">(SUMPRODUCT(MID(0&amp;(LEFT(A425,SUM(LEN(A425)-LEN(SUBSTITUTE(A425,{"0","1","2"},""))))), LARGE(INDEX(ISNUMBER(--MID((LEFT(A425,SUM(LEN(A425)-LEN(SUBSTITUTE(A425,{"0","1","2"},""))))), ROW(INDIRECT("1:"&amp;LEN((LEFT(A425,SUM(LEN(A425)-LEN(SUBSTITUTE(A425,{"0","1","2"},"")))))))), 1)) * ROW(INDIRECT("1:"&amp;LEN((LEFT(A425,SUM(LEN(A425)-LEN(SUBSTITUTE(A425,{"0","1","2"},"")))))))), 0), ROW(INDIRECT("1:"&amp;LEN((LEFT(A425,SUM(LEN(A425)-LEN(SUBSTITUTE(A425,{"0","1","2"},"")))))))))+1, 1) * 10^ROW(INDIRECT("1:"&amp;LEN((LEFT(A425,SUM(LEN(A425)-LEN(SUBSTITUTE(A425,{"0","1","2"},""))))))))/10))*1+1&amp;""&amp;" to "&amp;""&amp;(SUMPRODUCT(MID(0&amp;(--TRIM(RIGHT(SUBSTITUTE(LEFT(A425,_xlfn.AGGREGATE(16,6,FIND({0,1,2,3,4,5,6,7,8,9},A425,ROW(INDIRECT("1:"&amp;LEN(A425)))),1))," ",REPT(" ",LEN(A425))),LEN(A425)))), LARGE(INDEX(ISNUMBER(--MID((--TRIM(RIGHT(SUBSTITUTE(LEFT(A425,_xlfn.AGGREGATE(16,6,FIND({0,1,2,3,4,5,6,7,8,9},A425,ROW(INDIRECT("1:"&amp;LEN(A425)))),1))," ",REPT(" ",LEN(A425))),LEN(A425)))), ROW(INDIRECT("1:"&amp;LEN((--TRIM(RIGHT(SUBSTITUTE(LEFT(A425,_xlfn.AGGREGATE(16,6,FIND({0,1,2,3,4,5,6,7,8,9},A425,ROW(INDIRECT("1:"&amp;LEN(A425)))),1))," ",REPT(" ",LEN(A425))),LEN(A425))))))), 1)) * ROW(INDIRECT("1:"&amp;LEN((--TRIM(RIGHT(SUBSTITUTE(LEFT(A425,_xlfn.AGGREGATE(16,6,FIND({0,1,2,3,4,5,6,7,8,9},A425,ROW(INDIRECT("1:"&amp;LEN(A425)))),1))," ",REPT(" ",LEN(A425))),LEN(A425))))))), 0), ROW(INDIRECT("1:"&amp;LEN((--TRIM(RIGHT(SUBSTITUTE(LEFT(A425,_xlfn.AGGREGATE(16,6,FIND({0,1,2,3,4,5,6,7,8,9},A425,ROW(INDIRECT("1:"&amp;LEN(A425)))),1))," ",REPT(" ",LEN(A425))),LEN(A425))))))))+1, 1) * 10^ROW(INDIRECT("1:"&amp;LEN((--TRIM(RIGHT(SUBSTITUTE(LEFT(A425,_xlfn.AGGREGATE(16,6,FIND({0,1,2,3,4,5,6,7,8,9},A425,ROW(INDIRECT("1:"&amp;LEN(A425)))),1))," ",REPT(" ",LEN(A425))),LEN(A425)))))))/10))*1+1</f>
        <v>204 to 504</v>
      </c>
      <c r="B426" s="110"/>
      <c r="C426" s="75"/>
      <c r="D426" s="74"/>
      <c r="E426" s="74">
        <v>0</v>
      </c>
      <c r="F426" s="74">
        <f>D426*(($F$223)+1)+(IF(E426&lt;101,E426,IF(E426&lt;201,E426/2,IF(E426&lt;=301,E426/3,E426/4))))</f>
        <v>0</v>
      </c>
      <c r="G426" s="110" t="str">
        <f>G425</f>
        <v>2nd to 5th Floor</v>
      </c>
      <c r="H426" s="110"/>
      <c r="I426" s="37"/>
    </row>
    <row r="427" spans="1:9" s="38" customFormat="1" hidden="1" x14ac:dyDescent="0.35">
      <c r="A427" s="110" t="str">
        <f ca="1">(SUMPRODUCT(MID(0&amp;(LEFT(A426,SUM(LEN(A426)-LEN(SUBSTITUTE(A426,{"0","1","2"},""))))), LARGE(INDEX(ISNUMBER(--MID((LEFT(A426,SUM(LEN(A426)-LEN(SUBSTITUTE(A426,{"0","1","2"},""))))), ROW(INDIRECT("1:"&amp;LEN((LEFT(A426,SUM(LEN(A426)-LEN(SUBSTITUTE(A426,{"0","1","2"},"")))))))), 1)) * ROW(INDIRECT("1:"&amp;LEN((LEFT(A426,SUM(LEN(A426)-LEN(SUBSTITUTE(A426,{"0","1","2"},"")))))))), 0), ROW(INDIRECT("1:"&amp;LEN((LEFT(A426,SUM(LEN(A426)-LEN(SUBSTITUTE(A426,{"0","1","2"},"")))))))))+1, 1) * 10^ROW(INDIRECT("1:"&amp;LEN((LEFT(A426,SUM(LEN(A426)-LEN(SUBSTITUTE(A426,{"0","1","2"},""))))))))/10))*1+1&amp;""&amp;" to "&amp;""&amp;(SUMPRODUCT(MID(0&amp;(--TRIM(RIGHT(SUBSTITUTE(LEFT(A426,_xlfn.AGGREGATE(16,6,FIND({0,1,2,3,4,5,6,7,8,9},A426,ROW(INDIRECT("1:"&amp;LEN(A426)))),1))," ",REPT(" ",LEN(A426))),LEN(A426)))), LARGE(INDEX(ISNUMBER(--MID((--TRIM(RIGHT(SUBSTITUTE(LEFT(A426,_xlfn.AGGREGATE(16,6,FIND({0,1,2,3,4,5,6,7,8,9},A426,ROW(INDIRECT("1:"&amp;LEN(A426)))),1))," ",REPT(" ",LEN(A426))),LEN(A426)))), ROW(INDIRECT("1:"&amp;LEN((--TRIM(RIGHT(SUBSTITUTE(LEFT(A426,_xlfn.AGGREGATE(16,6,FIND({0,1,2,3,4,5,6,7,8,9},A426,ROW(INDIRECT("1:"&amp;LEN(A426)))),1))," ",REPT(" ",LEN(A426))),LEN(A426))))))), 1)) * ROW(INDIRECT("1:"&amp;LEN((--TRIM(RIGHT(SUBSTITUTE(LEFT(A426,_xlfn.AGGREGATE(16,6,FIND({0,1,2,3,4,5,6,7,8,9},A426,ROW(INDIRECT("1:"&amp;LEN(A426)))),1))," ",REPT(" ",LEN(A426))),LEN(A426))))))), 0), ROW(INDIRECT("1:"&amp;LEN((--TRIM(RIGHT(SUBSTITUTE(LEFT(A426,_xlfn.AGGREGATE(16,6,FIND({0,1,2,3,4,5,6,7,8,9},A426,ROW(INDIRECT("1:"&amp;LEN(A426)))),1))," ",REPT(" ",LEN(A426))),LEN(A426))))))))+1, 1) * 10^ROW(INDIRECT("1:"&amp;LEN((--TRIM(RIGHT(SUBSTITUTE(LEFT(A426,_xlfn.AGGREGATE(16,6,FIND({0,1,2,3,4,5,6,7,8,9},A426,ROW(INDIRECT("1:"&amp;LEN(A426)))),1))," ",REPT(" ",LEN(A426))),LEN(A426)))))))/10))*1+1</f>
        <v>205 to 505</v>
      </c>
      <c r="B427" s="110"/>
      <c r="C427" s="75"/>
      <c r="D427" s="74"/>
      <c r="E427" s="74">
        <v>0</v>
      </c>
      <c r="F427" s="74">
        <f>D427*(($F$223)+1)+(IF(E427&lt;101,E427,IF(E427&lt;201,E427/2,IF(E427&lt;=301,E427/3,E427/4))))</f>
        <v>0</v>
      </c>
      <c r="G427" s="110" t="str">
        <f>G426</f>
        <v>2nd to 5th Floor</v>
      </c>
      <c r="H427" s="110"/>
      <c r="I427" s="37"/>
    </row>
    <row r="428" spans="1:9" s="38" customFormat="1" hidden="1" x14ac:dyDescent="0.35">
      <c r="A428" s="117" t="s">
        <v>151</v>
      </c>
      <c r="B428" s="117"/>
      <c r="C428" s="117"/>
      <c r="D428" s="117"/>
      <c r="E428" s="117"/>
      <c r="F428" s="117"/>
      <c r="G428" s="117"/>
      <c r="H428" s="117"/>
      <c r="I428" s="37"/>
    </row>
    <row r="429" spans="1:9" s="38" customFormat="1" hidden="1" x14ac:dyDescent="0.35">
      <c r="A429" s="110" t="str">
        <f ca="1">(SUMPRODUCT(MID(0&amp;(LEFT(A428,SUM(LEN(A428)-LEN(SUBSTITUTE(A428,{"0","1","2"},""))))), LARGE(INDEX(ISNUMBER(--MID((LEFT(A428,SUM(LEN(A428)-LEN(SUBSTITUTE(A428,{"0","1","2"},""))))), ROW(INDIRECT("1:"&amp;LEN((LEFT(A428,SUM(LEN(A428)-LEN(SUBSTITUTE(A428,{"0","1","2"},"")))))))), 1)) * ROW(INDIRECT("1:"&amp;LEN((LEFT(A428,SUM(LEN(A428)-LEN(SUBSTITUTE(A428,{"0","1","2"},"")))))))), 0), ROW(INDIRECT("1:"&amp;LEN((LEFT(A428,SUM(LEN(A428)-LEN(SUBSTITUTE(A428,{"0","1","2"},"")))))))))+1, 1) * 10^ROW(INDIRECT("1:"&amp;LEN((LEFT(A428,SUM(LEN(A428)-LEN(SUBSTITUTE(A428,{"0","1","2"},""))))))))/10))*100+1&amp;""&amp;" &amp; "&amp;""&amp;(SUMPRODUCT(MID(0&amp;(--TRIM(RIGHT(SUBSTITUTE(LEFT(A428,_xlfn.AGGREGATE(16,6,FIND({0,1,2,3,4,5,6,7,8,9},A428,ROW(INDIRECT("1:"&amp;LEN(A428)))),1))," ",REPT(" ",LEN(A428))),LEN(A428)))), LARGE(INDEX(ISNUMBER(--MID((--TRIM(RIGHT(SUBSTITUTE(LEFT(A428,_xlfn.AGGREGATE(16,6,FIND({0,1,2,3,4,5,6,7,8,9},A428,ROW(INDIRECT("1:"&amp;LEN(A428)))),1))," ",REPT(" ",LEN(A428))),LEN(A428)))), ROW(INDIRECT("1:"&amp;LEN((--TRIM(RIGHT(SUBSTITUTE(LEFT(A428,_xlfn.AGGREGATE(16,6,FIND({0,1,2,3,4,5,6,7,8,9},A428,ROW(INDIRECT("1:"&amp;LEN(A428)))),1))," ",REPT(" ",LEN(A428))),LEN(A428))))))), 1)) * ROW(INDIRECT("1:"&amp;LEN((--TRIM(RIGHT(SUBSTITUTE(LEFT(A428,_xlfn.AGGREGATE(16,6,FIND({0,1,2,3,4,5,6,7,8,9},A428,ROW(INDIRECT("1:"&amp;LEN(A428)))),1))," ",REPT(" ",LEN(A428))),LEN(A428))))))), 0), ROW(INDIRECT("1:"&amp;LEN((--TRIM(RIGHT(SUBSTITUTE(LEFT(A428,_xlfn.AGGREGATE(16,6,FIND({0,1,2,3,4,5,6,7,8,9},A428,ROW(INDIRECT("1:"&amp;LEN(A428)))),1))," ",REPT(" ",LEN(A428))),LEN(A428))))))))+1, 1) * 10^ROW(INDIRECT("1:"&amp;LEN((--TRIM(RIGHT(SUBSTITUTE(LEFT(A428,_xlfn.AGGREGATE(16,6,FIND({0,1,2,3,4,5,6,7,8,9},A428,ROW(INDIRECT("1:"&amp;LEN(A428)))),1))," ",REPT(" ",LEN(A428))),LEN(A428)))))))/10))*100+1</f>
        <v>201 &amp; 501</v>
      </c>
      <c r="B429" s="110"/>
      <c r="C429" s="75"/>
      <c r="D429" s="74"/>
      <c r="E429" s="74">
        <v>0</v>
      </c>
      <c r="F429" s="74">
        <f>D429*(($F$223)+1)+(IF(E429&lt;101,E429,IF(E429&lt;201,E429/2,IF(E429&lt;=301,E429/3,E429/4))))</f>
        <v>0</v>
      </c>
      <c r="G429" s="110" t="str">
        <f>A428</f>
        <v>2nd &amp; 5th Floor</v>
      </c>
      <c r="H429" s="110"/>
      <c r="I429" s="37"/>
    </row>
    <row r="430" spans="1:9" s="38" customFormat="1" hidden="1" x14ac:dyDescent="0.35">
      <c r="A430" s="110" t="str">
        <f ca="1">(SUMPRODUCT(MID(0&amp;(LEFT(A429,SUM(LEN(A429)-LEN(SUBSTITUTE(A429,{"0","1","2"},""))))), LARGE(INDEX(ISNUMBER(--MID((LEFT(A429,SUM(LEN(A429)-LEN(SUBSTITUTE(A429,{"0","1","2"},""))))), ROW(INDIRECT("1:"&amp;LEN((LEFT(A429,SUM(LEN(A429)-LEN(SUBSTITUTE(A429,{"0","1","2"},"")))))))), 1)) * ROW(INDIRECT("1:"&amp;LEN((LEFT(A429,SUM(LEN(A429)-LEN(SUBSTITUTE(A429,{"0","1","2"},"")))))))), 0), ROW(INDIRECT("1:"&amp;LEN((LEFT(A429,SUM(LEN(A429)-LEN(SUBSTITUTE(A429,{"0","1","2"},"")))))))))+1, 1) * 10^ROW(INDIRECT("1:"&amp;LEN((LEFT(A429,SUM(LEN(A429)-LEN(SUBSTITUTE(A429,{"0","1","2"},""))))))))/10))*1+1&amp;""&amp;" &amp; "&amp;""&amp;(SUMPRODUCT(MID(0&amp;(--TRIM(RIGHT(SUBSTITUTE(LEFT(A429,_xlfn.AGGREGATE(16,6,FIND({0,1,2,3,4,5,6,7,8,9},A429,ROW(INDIRECT("1:"&amp;LEN(A429)))),1))," ",REPT(" ",LEN(A429))),LEN(A429)))), LARGE(INDEX(ISNUMBER(--MID((--TRIM(RIGHT(SUBSTITUTE(LEFT(A429,_xlfn.AGGREGATE(16,6,FIND({0,1,2,3,4,5,6,7,8,9},A429,ROW(INDIRECT("1:"&amp;LEN(A429)))),1))," ",REPT(" ",LEN(A429))),LEN(A429)))), ROW(INDIRECT("1:"&amp;LEN((--TRIM(RIGHT(SUBSTITUTE(LEFT(A429,_xlfn.AGGREGATE(16,6,FIND({0,1,2,3,4,5,6,7,8,9},A429,ROW(INDIRECT("1:"&amp;LEN(A429)))),1))," ",REPT(" ",LEN(A429))),LEN(A429))))))), 1)) * ROW(INDIRECT("1:"&amp;LEN((--TRIM(RIGHT(SUBSTITUTE(LEFT(A429,_xlfn.AGGREGATE(16,6,FIND({0,1,2,3,4,5,6,7,8,9},A429,ROW(INDIRECT("1:"&amp;LEN(A429)))),1))," ",REPT(" ",LEN(A429))),LEN(A429))))))), 0), ROW(INDIRECT("1:"&amp;LEN((--TRIM(RIGHT(SUBSTITUTE(LEFT(A429,_xlfn.AGGREGATE(16,6,FIND({0,1,2,3,4,5,6,7,8,9},A429,ROW(INDIRECT("1:"&amp;LEN(A429)))),1))," ",REPT(" ",LEN(A429))),LEN(A429))))))))+1, 1) * 10^ROW(INDIRECT("1:"&amp;LEN((--TRIM(RIGHT(SUBSTITUTE(LEFT(A429,_xlfn.AGGREGATE(16,6,FIND({0,1,2,3,4,5,6,7,8,9},A429,ROW(INDIRECT("1:"&amp;LEN(A429)))),1))," ",REPT(" ",LEN(A429))),LEN(A429)))))))/10))*1+1</f>
        <v>202 &amp; 502</v>
      </c>
      <c r="B430" s="110"/>
      <c r="C430" s="75"/>
      <c r="D430" s="74"/>
      <c r="E430" s="74">
        <v>0</v>
      </c>
      <c r="F430" s="74">
        <f>D430*(($F$223)+1)+(IF(E430&lt;101,E430,IF(E430&lt;201,E430/2,IF(E430&lt;=301,E430/3,E430/4))))</f>
        <v>0</v>
      </c>
      <c r="G430" s="110" t="str">
        <f t="shared" ref="G430:G433" si="67">G429</f>
        <v>2nd &amp; 5th Floor</v>
      </c>
      <c r="H430" s="110"/>
      <c r="I430" s="37"/>
    </row>
    <row r="431" spans="1:9" s="38" customFormat="1" hidden="1" x14ac:dyDescent="0.35">
      <c r="A431" s="110" t="str">
        <f ca="1">(SUMPRODUCT(MID(0&amp;(LEFT(A430,SUM(LEN(A430)-LEN(SUBSTITUTE(A430,{"0","1","2"},""))))), LARGE(INDEX(ISNUMBER(--MID((LEFT(A430,SUM(LEN(A430)-LEN(SUBSTITUTE(A430,{"0","1","2"},""))))), ROW(INDIRECT("1:"&amp;LEN((LEFT(A430,SUM(LEN(A430)-LEN(SUBSTITUTE(A430,{"0","1","2"},"")))))))), 1)) * ROW(INDIRECT("1:"&amp;LEN((LEFT(A430,SUM(LEN(A430)-LEN(SUBSTITUTE(A430,{"0","1","2"},"")))))))), 0), ROW(INDIRECT("1:"&amp;LEN((LEFT(A430,SUM(LEN(A430)-LEN(SUBSTITUTE(A430,{"0","1","2"},"")))))))))+1, 1) * 10^ROW(INDIRECT("1:"&amp;LEN((LEFT(A430,SUM(LEN(A430)-LEN(SUBSTITUTE(A430,{"0","1","2"},""))))))))/10))*1+1&amp;""&amp;" &amp; "&amp;""&amp;(SUMPRODUCT(MID(0&amp;(--TRIM(RIGHT(SUBSTITUTE(LEFT(A430,_xlfn.AGGREGATE(16,6,FIND({0,1,2,3,4,5,6,7,8,9},A430,ROW(INDIRECT("1:"&amp;LEN(A430)))),1))," ",REPT(" ",LEN(A430))),LEN(A430)))), LARGE(INDEX(ISNUMBER(--MID((--TRIM(RIGHT(SUBSTITUTE(LEFT(A430,_xlfn.AGGREGATE(16,6,FIND({0,1,2,3,4,5,6,7,8,9},A430,ROW(INDIRECT("1:"&amp;LEN(A430)))),1))," ",REPT(" ",LEN(A430))),LEN(A430)))), ROW(INDIRECT("1:"&amp;LEN((--TRIM(RIGHT(SUBSTITUTE(LEFT(A430,_xlfn.AGGREGATE(16,6,FIND({0,1,2,3,4,5,6,7,8,9},A430,ROW(INDIRECT("1:"&amp;LEN(A430)))),1))," ",REPT(" ",LEN(A430))),LEN(A430))))))), 1)) * ROW(INDIRECT("1:"&amp;LEN((--TRIM(RIGHT(SUBSTITUTE(LEFT(A430,_xlfn.AGGREGATE(16,6,FIND({0,1,2,3,4,5,6,7,8,9},A430,ROW(INDIRECT("1:"&amp;LEN(A430)))),1))," ",REPT(" ",LEN(A430))),LEN(A430))))))), 0), ROW(INDIRECT("1:"&amp;LEN((--TRIM(RIGHT(SUBSTITUTE(LEFT(A430,_xlfn.AGGREGATE(16,6,FIND({0,1,2,3,4,5,6,7,8,9},A430,ROW(INDIRECT("1:"&amp;LEN(A430)))),1))," ",REPT(" ",LEN(A430))),LEN(A430))))))))+1, 1) * 10^ROW(INDIRECT("1:"&amp;LEN((--TRIM(RIGHT(SUBSTITUTE(LEFT(A430,_xlfn.AGGREGATE(16,6,FIND({0,1,2,3,4,5,6,7,8,9},A430,ROW(INDIRECT("1:"&amp;LEN(A430)))),1))," ",REPT(" ",LEN(A430))),LEN(A430)))))))/10))*1+1</f>
        <v>203 &amp; 503</v>
      </c>
      <c r="B431" s="110"/>
      <c r="C431" s="75"/>
      <c r="D431" s="74"/>
      <c r="E431" s="74">
        <v>0</v>
      </c>
      <c r="F431" s="74">
        <f>D431*(($F$223)+1)+(IF(E431&lt;101,E431,IF(E431&lt;201,E431/2,IF(E431&lt;=301,E431/3,E431/4))))</f>
        <v>0</v>
      </c>
      <c r="G431" s="110" t="str">
        <f t="shared" si="67"/>
        <v>2nd &amp; 5th Floor</v>
      </c>
      <c r="H431" s="110"/>
      <c r="I431" s="37"/>
    </row>
    <row r="432" spans="1:9" s="38" customFormat="1" hidden="1" x14ac:dyDescent="0.35">
      <c r="A432" s="110" t="str">
        <f ca="1">(SUMPRODUCT(MID(0&amp;(LEFT(A431,SUM(LEN(A431)-LEN(SUBSTITUTE(A431,{"0","1","2"},""))))), LARGE(INDEX(ISNUMBER(--MID((LEFT(A431,SUM(LEN(A431)-LEN(SUBSTITUTE(A431,{"0","1","2"},""))))), ROW(INDIRECT("1:"&amp;LEN((LEFT(A431,SUM(LEN(A431)-LEN(SUBSTITUTE(A431,{"0","1","2"},"")))))))), 1)) * ROW(INDIRECT("1:"&amp;LEN((LEFT(A431,SUM(LEN(A431)-LEN(SUBSTITUTE(A431,{"0","1","2"},"")))))))), 0), ROW(INDIRECT("1:"&amp;LEN((LEFT(A431,SUM(LEN(A431)-LEN(SUBSTITUTE(A431,{"0","1","2"},"")))))))))+1, 1) * 10^ROW(INDIRECT("1:"&amp;LEN((LEFT(A431,SUM(LEN(A431)-LEN(SUBSTITUTE(A431,{"0","1","2"},""))))))))/10))*1+1&amp;""&amp;" &amp; "&amp;""&amp;(SUMPRODUCT(MID(0&amp;(--TRIM(RIGHT(SUBSTITUTE(LEFT(A431,_xlfn.AGGREGATE(16,6,FIND({0,1,2,3,4,5,6,7,8,9},A431,ROW(INDIRECT("1:"&amp;LEN(A431)))),1))," ",REPT(" ",LEN(A431))),LEN(A431)))), LARGE(INDEX(ISNUMBER(--MID((--TRIM(RIGHT(SUBSTITUTE(LEFT(A431,_xlfn.AGGREGATE(16,6,FIND({0,1,2,3,4,5,6,7,8,9},A431,ROW(INDIRECT("1:"&amp;LEN(A431)))),1))," ",REPT(" ",LEN(A431))),LEN(A431)))), ROW(INDIRECT("1:"&amp;LEN((--TRIM(RIGHT(SUBSTITUTE(LEFT(A431,_xlfn.AGGREGATE(16,6,FIND({0,1,2,3,4,5,6,7,8,9},A431,ROW(INDIRECT("1:"&amp;LEN(A431)))),1))," ",REPT(" ",LEN(A431))),LEN(A431))))))), 1)) * ROW(INDIRECT("1:"&amp;LEN((--TRIM(RIGHT(SUBSTITUTE(LEFT(A431,_xlfn.AGGREGATE(16,6,FIND({0,1,2,3,4,5,6,7,8,9},A431,ROW(INDIRECT("1:"&amp;LEN(A431)))),1))," ",REPT(" ",LEN(A431))),LEN(A431))))))), 0), ROW(INDIRECT("1:"&amp;LEN((--TRIM(RIGHT(SUBSTITUTE(LEFT(A431,_xlfn.AGGREGATE(16,6,FIND({0,1,2,3,4,5,6,7,8,9},A431,ROW(INDIRECT("1:"&amp;LEN(A431)))),1))," ",REPT(" ",LEN(A431))),LEN(A431))))))))+1, 1) * 10^ROW(INDIRECT("1:"&amp;LEN((--TRIM(RIGHT(SUBSTITUTE(LEFT(A431,_xlfn.AGGREGATE(16,6,FIND({0,1,2,3,4,5,6,7,8,9},A431,ROW(INDIRECT("1:"&amp;LEN(A431)))),1))," ",REPT(" ",LEN(A431))),LEN(A431)))))))/10))*1+1</f>
        <v>204 &amp; 504</v>
      </c>
      <c r="B432" s="110"/>
      <c r="C432" s="75"/>
      <c r="D432" s="74"/>
      <c r="E432" s="74">
        <v>0</v>
      </c>
      <c r="F432" s="74">
        <f>D432*(($F$223)+1)+(IF(E432&lt;101,E432,IF(E432&lt;201,E432/2,IF(E432&lt;=301,E432/3,E432/4))))</f>
        <v>0</v>
      </c>
      <c r="G432" s="110" t="str">
        <f t="shared" si="67"/>
        <v>2nd &amp; 5th Floor</v>
      </c>
      <c r="H432" s="110"/>
      <c r="I432" s="37"/>
    </row>
    <row r="433" spans="1:9" s="38" customFormat="1" hidden="1" x14ac:dyDescent="0.35">
      <c r="A433" s="110" t="str">
        <f ca="1">(SUMPRODUCT(MID(0&amp;(LEFT(A432,SUM(LEN(A432)-LEN(SUBSTITUTE(A432,{"0","1","2"},""))))), LARGE(INDEX(ISNUMBER(--MID((LEFT(A432,SUM(LEN(A432)-LEN(SUBSTITUTE(A432,{"0","1","2"},""))))), ROW(INDIRECT("1:"&amp;LEN((LEFT(A432,SUM(LEN(A432)-LEN(SUBSTITUTE(A432,{"0","1","2"},"")))))))), 1)) * ROW(INDIRECT("1:"&amp;LEN((LEFT(A432,SUM(LEN(A432)-LEN(SUBSTITUTE(A432,{"0","1","2"},"")))))))), 0), ROW(INDIRECT("1:"&amp;LEN((LEFT(A432,SUM(LEN(A432)-LEN(SUBSTITUTE(A432,{"0","1","2"},"")))))))))+1, 1) * 10^ROW(INDIRECT("1:"&amp;LEN((LEFT(A432,SUM(LEN(A432)-LEN(SUBSTITUTE(A432,{"0","1","2"},""))))))))/10))*1+1&amp;""&amp;" &amp; "&amp;""&amp;(SUMPRODUCT(MID(0&amp;(--TRIM(RIGHT(SUBSTITUTE(LEFT(A432,_xlfn.AGGREGATE(16,6,FIND({0,1,2,3,4,5,6,7,8,9},A432,ROW(INDIRECT("1:"&amp;LEN(A432)))),1))," ",REPT(" ",LEN(A432))),LEN(A432)))), LARGE(INDEX(ISNUMBER(--MID((--TRIM(RIGHT(SUBSTITUTE(LEFT(A432,_xlfn.AGGREGATE(16,6,FIND({0,1,2,3,4,5,6,7,8,9},A432,ROW(INDIRECT("1:"&amp;LEN(A432)))),1))," ",REPT(" ",LEN(A432))),LEN(A432)))), ROW(INDIRECT("1:"&amp;LEN((--TRIM(RIGHT(SUBSTITUTE(LEFT(A432,_xlfn.AGGREGATE(16,6,FIND({0,1,2,3,4,5,6,7,8,9},A432,ROW(INDIRECT("1:"&amp;LEN(A432)))),1))," ",REPT(" ",LEN(A432))),LEN(A432))))))), 1)) * ROW(INDIRECT("1:"&amp;LEN((--TRIM(RIGHT(SUBSTITUTE(LEFT(A432,_xlfn.AGGREGATE(16,6,FIND({0,1,2,3,4,5,6,7,8,9},A432,ROW(INDIRECT("1:"&amp;LEN(A432)))),1))," ",REPT(" ",LEN(A432))),LEN(A432))))))), 0), ROW(INDIRECT("1:"&amp;LEN((--TRIM(RIGHT(SUBSTITUTE(LEFT(A432,_xlfn.AGGREGATE(16,6,FIND({0,1,2,3,4,5,6,7,8,9},A432,ROW(INDIRECT("1:"&amp;LEN(A432)))),1))," ",REPT(" ",LEN(A432))),LEN(A432))))))))+1, 1) * 10^ROW(INDIRECT("1:"&amp;LEN((--TRIM(RIGHT(SUBSTITUTE(LEFT(A432,_xlfn.AGGREGATE(16,6,FIND({0,1,2,3,4,5,6,7,8,9},A432,ROW(INDIRECT("1:"&amp;LEN(A432)))),1))," ",REPT(" ",LEN(A432))),LEN(A432)))))))/10))*1+1</f>
        <v>205 &amp; 505</v>
      </c>
      <c r="B433" s="110"/>
      <c r="C433" s="75"/>
      <c r="D433" s="74"/>
      <c r="E433" s="74">
        <v>0</v>
      </c>
      <c r="F433" s="74">
        <f>D433*(($F$223)+1)+(IF(E433&lt;101,E433,IF(E433&lt;201,E433/2,IF(E433&lt;=301,E433/3,E433/4))))</f>
        <v>0</v>
      </c>
      <c r="G433" s="110" t="str">
        <f t="shared" si="67"/>
        <v>2nd &amp; 5th Floor</v>
      </c>
      <c r="H433" s="110"/>
      <c r="I433" s="37"/>
    </row>
    <row r="434" spans="1:9" s="36" customFormat="1" x14ac:dyDescent="0.35">
      <c r="A434" s="251" t="s">
        <v>69</v>
      </c>
      <c r="B434" s="251"/>
      <c r="C434" s="251"/>
      <c r="D434" s="251"/>
      <c r="E434" s="251"/>
      <c r="F434" s="251"/>
      <c r="G434" s="251"/>
      <c r="H434" s="251"/>
    </row>
    <row r="435" spans="1:9" s="36" customFormat="1" ht="49" customHeight="1" x14ac:dyDescent="0.35">
      <c r="A435" s="57" t="s">
        <v>160</v>
      </c>
      <c r="B435" s="252" t="s">
        <v>252</v>
      </c>
      <c r="C435" s="252"/>
      <c r="D435" s="252"/>
      <c r="E435" s="252"/>
      <c r="F435" s="252"/>
      <c r="G435" s="252"/>
      <c r="H435" s="252"/>
    </row>
    <row r="436" spans="1:9" s="36" customFormat="1" x14ac:dyDescent="0.35">
      <c r="A436" s="57" t="s">
        <v>160</v>
      </c>
      <c r="B436" s="82" t="str">
        <f>(IF(F222="Saleable area Loading :","We have considered Saleable area of Flats as per our Calculation.","We considered Saleable area of Flat as per Builder area Sheet."))</f>
        <v>We have considered Saleable area of Flats as per our Calculation.</v>
      </c>
      <c r="C436" s="83"/>
      <c r="D436" s="83"/>
      <c r="E436" s="83"/>
      <c r="F436" s="83"/>
      <c r="G436" s="83"/>
      <c r="H436" s="84"/>
    </row>
    <row r="437" spans="1:9" s="36" customFormat="1" x14ac:dyDescent="0.35">
      <c r="A437" s="57" t="s">
        <v>160</v>
      </c>
      <c r="B437" s="82" t="str">
        <f>(IF(F166="Saleable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437" s="83"/>
      <c r="D437" s="83"/>
      <c r="E437" s="83"/>
      <c r="F437" s="83"/>
      <c r="G437" s="83"/>
      <c r="H437" s="84"/>
    </row>
    <row r="438" spans="1:9" s="36" customFormat="1" x14ac:dyDescent="0.35">
      <c r="A438" s="57" t="s">
        <v>160</v>
      </c>
      <c r="B438" s="82" t="s">
        <v>126</v>
      </c>
      <c r="C438" s="83"/>
      <c r="D438" s="83"/>
      <c r="E438" s="83"/>
      <c r="F438" s="83"/>
      <c r="G438" s="83"/>
      <c r="H438" s="84"/>
    </row>
    <row r="439" spans="1:9" s="36" customFormat="1" x14ac:dyDescent="0.35">
      <c r="A439" s="57" t="s">
        <v>160</v>
      </c>
      <c r="B439" s="82" t="s">
        <v>127</v>
      </c>
      <c r="C439" s="83"/>
      <c r="D439" s="83"/>
      <c r="E439" s="83"/>
      <c r="F439" s="83"/>
      <c r="G439" s="83"/>
      <c r="H439" s="84"/>
    </row>
    <row r="440" spans="1:9" s="36" customFormat="1" x14ac:dyDescent="0.35">
      <c r="A440" s="57" t="s">
        <v>160</v>
      </c>
      <c r="B440" s="82" t="s">
        <v>159</v>
      </c>
      <c r="C440" s="83"/>
      <c r="D440" s="83"/>
      <c r="E440" s="83"/>
      <c r="F440" s="83"/>
      <c r="G440" s="83"/>
      <c r="H440" s="84"/>
    </row>
    <row r="441" spans="1:9" s="36" customFormat="1" x14ac:dyDescent="0.35">
      <c r="A441" s="57" t="s">
        <v>160</v>
      </c>
      <c r="B441" s="82" t="s">
        <v>128</v>
      </c>
      <c r="C441" s="83"/>
      <c r="D441" s="83"/>
      <c r="E441" s="83"/>
      <c r="F441" s="83"/>
      <c r="G441" s="83"/>
      <c r="H441" s="84"/>
    </row>
    <row r="442" spans="1:9" s="36" customFormat="1" x14ac:dyDescent="0.35">
      <c r="A442" s="47" t="s">
        <v>160</v>
      </c>
      <c r="B442" s="211" t="s">
        <v>129</v>
      </c>
      <c r="C442" s="212"/>
      <c r="D442" s="212"/>
      <c r="E442" s="212"/>
      <c r="F442" s="212"/>
      <c r="G442" s="212"/>
      <c r="H442" s="213"/>
    </row>
    <row r="443" spans="1:9" s="58" customFormat="1" hidden="1" x14ac:dyDescent="0.35">
      <c r="A443" s="57" t="s">
        <v>160</v>
      </c>
      <c r="B443" s="82" t="s">
        <v>194</v>
      </c>
      <c r="C443" s="83"/>
      <c r="D443" s="83"/>
      <c r="E443" s="83"/>
      <c r="F443" s="83"/>
      <c r="G443" s="83"/>
      <c r="H443" s="84"/>
    </row>
    <row r="444" spans="1:9" s="58" customFormat="1" ht="33.75" customHeight="1" x14ac:dyDescent="0.35">
      <c r="A444" s="57" t="s">
        <v>160</v>
      </c>
      <c r="B444" s="82" t="s">
        <v>229</v>
      </c>
      <c r="C444" s="83"/>
      <c r="D444" s="83"/>
      <c r="E444" s="83"/>
      <c r="F444" s="83"/>
      <c r="G444" s="83"/>
      <c r="H444" s="84"/>
    </row>
    <row r="445" spans="1:9" s="58" customFormat="1" x14ac:dyDescent="0.35">
      <c r="A445" s="57" t="s">
        <v>160</v>
      </c>
      <c r="B445" s="82" t="s">
        <v>238</v>
      </c>
      <c r="C445" s="83"/>
      <c r="D445" s="83"/>
      <c r="E445" s="83"/>
      <c r="F445" s="83"/>
      <c r="G445" s="83"/>
      <c r="H445" s="84"/>
    </row>
    <row r="446" spans="1:9" s="58" customFormat="1" x14ac:dyDescent="0.35">
      <c r="A446" s="57" t="s">
        <v>160</v>
      </c>
      <c r="B446" s="82" t="s">
        <v>239</v>
      </c>
      <c r="C446" s="83"/>
      <c r="D446" s="83"/>
      <c r="E446" s="83"/>
      <c r="F446" s="83"/>
      <c r="G446" s="83"/>
      <c r="H446" s="84"/>
    </row>
    <row r="447" spans="1:9" s="58" customFormat="1" x14ac:dyDescent="0.35">
      <c r="A447" s="57" t="s">
        <v>160</v>
      </c>
      <c r="B447" s="79" t="s">
        <v>251</v>
      </c>
      <c r="C447" s="80"/>
      <c r="D447" s="80"/>
      <c r="E447" s="80"/>
      <c r="F447" s="80"/>
      <c r="G447" s="80"/>
      <c r="H447" s="81"/>
    </row>
    <row r="448" spans="1:9" s="36" customFormat="1" ht="31.5" customHeight="1" x14ac:dyDescent="0.35">
      <c r="A448" s="70" t="s">
        <v>160</v>
      </c>
      <c r="B448" s="134" t="s">
        <v>245</v>
      </c>
      <c r="C448" s="135"/>
      <c r="D448" s="135"/>
      <c r="E448" s="135"/>
      <c r="F448" s="135"/>
      <c r="G448" s="135"/>
      <c r="H448" s="136"/>
    </row>
    <row r="449" spans="1:8" s="58" customFormat="1" x14ac:dyDescent="0.35">
      <c r="A449" s="57" t="s">
        <v>160</v>
      </c>
      <c r="B449" s="79" t="s">
        <v>254</v>
      </c>
      <c r="C449" s="80"/>
      <c r="D449" s="80"/>
      <c r="E449" s="80"/>
      <c r="F449" s="80"/>
      <c r="G449" s="80"/>
      <c r="H449" s="81"/>
    </row>
    <row r="450" spans="1:8" x14ac:dyDescent="0.35">
      <c r="A450" s="210" t="s">
        <v>62</v>
      </c>
      <c r="B450" s="210"/>
      <c r="C450" s="210"/>
      <c r="D450" s="210"/>
      <c r="E450" s="210"/>
      <c r="F450" s="210"/>
      <c r="G450" s="210"/>
      <c r="H450" s="210"/>
    </row>
    <row r="451" spans="1:8" x14ac:dyDescent="0.35">
      <c r="A451" s="131" t="s">
        <v>63</v>
      </c>
      <c r="B451" s="131"/>
      <c r="C451" s="131"/>
      <c r="D451" s="131"/>
      <c r="E451" s="131"/>
      <c r="F451" s="131"/>
      <c r="G451" s="131"/>
      <c r="H451" s="131"/>
    </row>
    <row r="452" spans="1:8" ht="15.75" customHeight="1" x14ac:dyDescent="0.35">
      <c r="A452" s="242" t="s">
        <v>64</v>
      </c>
      <c r="B452" s="242"/>
      <c r="C452" s="242"/>
      <c r="D452" s="242"/>
      <c r="E452" s="242"/>
      <c r="F452" s="242"/>
      <c r="G452" s="242"/>
      <c r="H452" s="242"/>
    </row>
    <row r="453" spans="1:8" x14ac:dyDescent="0.35">
      <c r="A453" s="131" t="s">
        <v>65</v>
      </c>
      <c r="B453" s="131"/>
      <c r="C453" s="131"/>
      <c r="D453" s="131"/>
      <c r="E453" s="131"/>
      <c r="F453" s="131"/>
      <c r="G453" s="131"/>
      <c r="H453" s="131"/>
    </row>
    <row r="454" spans="1:8" x14ac:dyDescent="0.35">
      <c r="A454" s="131" t="s">
        <v>66</v>
      </c>
      <c r="B454" s="131"/>
      <c r="C454" s="131"/>
      <c r="D454" s="131"/>
      <c r="E454" s="131"/>
      <c r="F454" s="131"/>
      <c r="G454" s="131"/>
      <c r="H454" s="131"/>
    </row>
    <row r="455" spans="1:8" x14ac:dyDescent="0.35">
      <c r="A455" s="131" t="s">
        <v>130</v>
      </c>
      <c r="B455" s="131"/>
      <c r="C455" s="131"/>
      <c r="D455" s="131"/>
      <c r="E455" s="131"/>
      <c r="F455" s="131"/>
      <c r="G455" s="131"/>
      <c r="H455" s="131"/>
    </row>
    <row r="456" spans="1:8" ht="32.25" customHeight="1" x14ac:dyDescent="0.35">
      <c r="A456" s="181" t="s">
        <v>131</v>
      </c>
      <c r="B456" s="181"/>
      <c r="C456" s="181"/>
      <c r="D456" s="181"/>
      <c r="E456" s="181"/>
      <c r="F456" s="181"/>
      <c r="G456" s="181"/>
      <c r="H456" s="181"/>
    </row>
    <row r="457" spans="1:8" x14ac:dyDescent="0.35">
      <c r="A457" s="208" t="s">
        <v>78</v>
      </c>
      <c r="B457" s="208"/>
      <c r="C457" s="208" t="s">
        <v>247</v>
      </c>
      <c r="D457" s="208"/>
      <c r="E457" s="208" t="s">
        <v>107</v>
      </c>
      <c r="F457" s="208"/>
      <c r="G457" s="209" t="s">
        <v>250</v>
      </c>
      <c r="H457" s="209"/>
    </row>
    <row r="458" spans="1:8" x14ac:dyDescent="0.35">
      <c r="A458" s="207" t="s">
        <v>80</v>
      </c>
      <c r="B458" s="207"/>
      <c r="C458" s="207"/>
      <c r="D458" s="207"/>
      <c r="E458" s="207"/>
      <c r="F458" s="207"/>
      <c r="G458" s="207"/>
      <c r="H458" s="207"/>
    </row>
    <row r="459" spans="1:8" x14ac:dyDescent="0.35">
      <c r="A459" s="207"/>
      <c r="B459" s="207"/>
      <c r="C459" s="207"/>
      <c r="D459" s="207"/>
      <c r="E459" s="207"/>
      <c r="F459" s="207"/>
      <c r="G459" s="207"/>
      <c r="H459" s="207"/>
    </row>
    <row r="460" spans="1:8" x14ac:dyDescent="0.35">
      <c r="A460" s="207"/>
      <c r="B460" s="207"/>
      <c r="C460" s="207"/>
      <c r="D460" s="207"/>
      <c r="E460" s="207"/>
      <c r="F460" s="207"/>
      <c r="G460" s="207"/>
      <c r="H460" s="207"/>
    </row>
    <row r="461" spans="1:8" x14ac:dyDescent="0.35">
      <c r="A461" s="207"/>
      <c r="B461" s="207"/>
      <c r="C461" s="207"/>
      <c r="D461" s="207"/>
      <c r="E461" s="207"/>
      <c r="F461" s="207"/>
      <c r="G461" s="207"/>
      <c r="H461" s="207"/>
    </row>
    <row r="462" spans="1:8" x14ac:dyDescent="0.35">
      <c r="A462" s="39" t="s">
        <v>67</v>
      </c>
      <c r="B462" s="40"/>
      <c r="C462" s="40"/>
      <c r="D462" s="39" t="str">
        <f>E8</f>
        <v>Yashraj Paradise</v>
      </c>
      <c r="F462" s="40"/>
      <c r="G462" s="40"/>
      <c r="H462" s="40"/>
    </row>
    <row r="463" spans="1:8" x14ac:dyDescent="0.35">
      <c r="A463" s="40"/>
      <c r="B463" s="40"/>
      <c r="C463" s="40"/>
      <c r="D463" s="40"/>
      <c r="E463" s="40"/>
      <c r="F463" s="40"/>
      <c r="G463" s="40"/>
      <c r="H463" s="40"/>
    </row>
    <row r="464" spans="1:8" x14ac:dyDescent="0.35">
      <c r="A464" s="40"/>
      <c r="B464" s="40"/>
      <c r="C464" s="40"/>
      <c r="D464" s="40"/>
      <c r="E464" s="40"/>
      <c r="F464" s="40"/>
      <c r="G464" s="40"/>
      <c r="H464" s="40"/>
    </row>
    <row r="465" ht="15" customHeight="1" x14ac:dyDescent="0.35"/>
    <row r="504" spans="1:8" x14ac:dyDescent="0.35">
      <c r="A504" s="39" t="s">
        <v>241</v>
      </c>
      <c r="B504" s="40"/>
      <c r="C504" s="40"/>
      <c r="D504" s="39"/>
      <c r="F504" s="40"/>
      <c r="G504" s="40"/>
      <c r="H504" s="40"/>
    </row>
    <row r="505" spans="1:8" x14ac:dyDescent="0.35">
      <c r="A505" s="40"/>
      <c r="B505" s="40"/>
      <c r="C505" s="40"/>
      <c r="D505" s="40"/>
      <c r="E505" s="40"/>
      <c r="F505" s="40"/>
      <c r="G505" s="40"/>
      <c r="H505" s="40"/>
    </row>
    <row r="506" spans="1:8" x14ac:dyDescent="0.35">
      <c r="A506" s="40"/>
      <c r="B506" s="40"/>
      <c r="C506" s="40"/>
      <c r="D506" s="40"/>
      <c r="E506" s="40"/>
      <c r="F506" s="40"/>
      <c r="G506" s="40"/>
      <c r="H506" s="40"/>
    </row>
    <row r="507" spans="1:8" ht="15" customHeight="1" x14ac:dyDescent="0.35"/>
    <row r="546" spans="1:1" x14ac:dyDescent="0.35">
      <c r="A546" s="42" t="s">
        <v>68</v>
      </c>
    </row>
  </sheetData>
  <mergeCells count="885">
    <mergeCell ref="B445:H445"/>
    <mergeCell ref="B436:H436"/>
    <mergeCell ref="L277:M277"/>
    <mergeCell ref="A278:B278"/>
    <mergeCell ref="G278:H278"/>
    <mergeCell ref="A279:B279"/>
    <mergeCell ref="G279:H279"/>
    <mergeCell ref="A280:B280"/>
    <mergeCell ref="G280:H280"/>
    <mergeCell ref="A281:B281"/>
    <mergeCell ref="G281:H281"/>
    <mergeCell ref="L410:M410"/>
    <mergeCell ref="L407:M407"/>
    <mergeCell ref="L404:M404"/>
    <mergeCell ref="L405:M405"/>
    <mergeCell ref="L406:M406"/>
    <mergeCell ref="G433:H433"/>
    <mergeCell ref="A432:B432"/>
    <mergeCell ref="G432:H432"/>
    <mergeCell ref="B435:H435"/>
    <mergeCell ref="G404:H404"/>
    <mergeCell ref="A405:B405"/>
    <mergeCell ref="G405:H405"/>
    <mergeCell ref="A406:B406"/>
    <mergeCell ref="G406:H406"/>
    <mergeCell ref="G423:H423"/>
    <mergeCell ref="A421:B421"/>
    <mergeCell ref="G425:H425"/>
    <mergeCell ref="A424:B424"/>
    <mergeCell ref="A425:B425"/>
    <mergeCell ref="A434:H434"/>
    <mergeCell ref="A426:B426"/>
    <mergeCell ref="A427:B427"/>
    <mergeCell ref="G412:H412"/>
    <mergeCell ref="E40:H40"/>
    <mergeCell ref="A40:D40"/>
    <mergeCell ref="A455:H455"/>
    <mergeCell ref="A452:H452"/>
    <mergeCell ref="G426:H426"/>
    <mergeCell ref="A411:B411"/>
    <mergeCell ref="A157:B157"/>
    <mergeCell ref="D222:D223"/>
    <mergeCell ref="E222:E223"/>
    <mergeCell ref="G222:H223"/>
    <mergeCell ref="A103:B103"/>
    <mergeCell ref="A104:B104"/>
    <mergeCell ref="A105:B105"/>
    <mergeCell ref="A95:B95"/>
    <mergeCell ref="C95:H95"/>
    <mergeCell ref="A119:B119"/>
    <mergeCell ref="A76:B76"/>
    <mergeCell ref="F138:H138"/>
    <mergeCell ref="G153:H153"/>
    <mergeCell ref="A122:B122"/>
    <mergeCell ref="D59:H59"/>
    <mergeCell ref="A57:C59"/>
    <mergeCell ref="B447:H447"/>
    <mergeCell ref="A123:B123"/>
    <mergeCell ref="A51:B52"/>
    <mergeCell ref="C52:H52"/>
    <mergeCell ref="C50:H50"/>
    <mergeCell ref="A64:C64"/>
    <mergeCell ref="D64:H64"/>
    <mergeCell ref="A65:C65"/>
    <mergeCell ref="D65:H65"/>
    <mergeCell ref="B438:H438"/>
    <mergeCell ref="B439:H439"/>
    <mergeCell ref="G429:H429"/>
    <mergeCell ref="G427:H427"/>
    <mergeCell ref="C123:H123"/>
    <mergeCell ref="A125:B125"/>
    <mergeCell ref="C125:H125"/>
    <mergeCell ref="A126:B126"/>
    <mergeCell ref="E126:F126"/>
    <mergeCell ref="G126:H126"/>
    <mergeCell ref="A127:B127"/>
    <mergeCell ref="E127:F136"/>
    <mergeCell ref="G127:H136"/>
    <mergeCell ref="A128:B128"/>
    <mergeCell ref="A129:B129"/>
    <mergeCell ref="A130:B130"/>
    <mergeCell ref="A131:B131"/>
    <mergeCell ref="A164:H164"/>
    <mergeCell ref="G413:H413"/>
    <mergeCell ref="G424:H424"/>
    <mergeCell ref="A418:B418"/>
    <mergeCell ref="A165:H165"/>
    <mergeCell ref="A162:B162"/>
    <mergeCell ref="B444:H444"/>
    <mergeCell ref="A47:B47"/>
    <mergeCell ref="C47:E47"/>
    <mergeCell ref="G47:H47"/>
    <mergeCell ref="A284:B284"/>
    <mergeCell ref="G49:H49"/>
    <mergeCell ref="D54:H54"/>
    <mergeCell ref="C49:E49"/>
    <mergeCell ref="D57:H57"/>
    <mergeCell ref="D58:H58"/>
    <mergeCell ref="C48:E48"/>
    <mergeCell ref="C51:E51"/>
    <mergeCell ref="A48:B48"/>
    <mergeCell ref="A53:H53"/>
    <mergeCell ref="A54:C54"/>
    <mergeCell ref="A55:C55"/>
    <mergeCell ref="D55:H55"/>
    <mergeCell ref="G51:H51"/>
    <mergeCell ref="B441:H441"/>
    <mergeCell ref="B437:H437"/>
    <mergeCell ref="A431:B431"/>
    <mergeCell ref="G431:H431"/>
    <mergeCell ref="G430:H430"/>
    <mergeCell ref="A428:H428"/>
    <mergeCell ref="A429:B429"/>
    <mergeCell ref="A430:B430"/>
    <mergeCell ref="A433:B433"/>
    <mergeCell ref="A458:H461"/>
    <mergeCell ref="A457:B457"/>
    <mergeCell ref="E457:F457"/>
    <mergeCell ref="C457:D457"/>
    <mergeCell ref="G457:H457"/>
    <mergeCell ref="A151:H151"/>
    <mergeCell ref="A149:E149"/>
    <mergeCell ref="F149:H149"/>
    <mergeCell ref="A150:E150"/>
    <mergeCell ref="F150:H150"/>
    <mergeCell ref="A410:H410"/>
    <mergeCell ref="A419:B419"/>
    <mergeCell ref="A153:B153"/>
    <mergeCell ref="A453:H453"/>
    <mergeCell ref="A156:H156"/>
    <mergeCell ref="A456:H456"/>
    <mergeCell ref="A454:H454"/>
    <mergeCell ref="A450:H450"/>
    <mergeCell ref="A451:H451"/>
    <mergeCell ref="E157:F157"/>
    <mergeCell ref="B442:H442"/>
    <mergeCell ref="B443:H443"/>
    <mergeCell ref="G212:H212"/>
    <mergeCell ref="G210:H210"/>
    <mergeCell ref="A75:B75"/>
    <mergeCell ref="A62:C62"/>
    <mergeCell ref="D62:H62"/>
    <mergeCell ref="C69:H69"/>
    <mergeCell ref="A72:B72"/>
    <mergeCell ref="A74:B74"/>
    <mergeCell ref="E70:F70"/>
    <mergeCell ref="A63:C63"/>
    <mergeCell ref="D63:H63"/>
    <mergeCell ref="A66:C66"/>
    <mergeCell ref="D66:H66"/>
    <mergeCell ref="A71:B71"/>
    <mergeCell ref="G70:H7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20:D21"/>
    <mergeCell ref="E20:H21"/>
    <mergeCell ref="E12:H12"/>
    <mergeCell ref="A13:B13"/>
    <mergeCell ref="C13:H13"/>
    <mergeCell ref="C14:H14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C30:E30"/>
    <mergeCell ref="F33:H33"/>
    <mergeCell ref="A97:B97"/>
    <mergeCell ref="C97:H97"/>
    <mergeCell ref="A98:B98"/>
    <mergeCell ref="E98:F98"/>
    <mergeCell ref="F34:H34"/>
    <mergeCell ref="A36:B36"/>
    <mergeCell ref="F30:H30"/>
    <mergeCell ref="A31:B31"/>
    <mergeCell ref="A30:B30"/>
    <mergeCell ref="C31:E31"/>
    <mergeCell ref="A32:B32"/>
    <mergeCell ref="C32:E32"/>
    <mergeCell ref="A35:H35"/>
    <mergeCell ref="A34:B34"/>
    <mergeCell ref="C34:E34"/>
    <mergeCell ref="C36:H36"/>
    <mergeCell ref="A43:D43"/>
    <mergeCell ref="A44:D44"/>
    <mergeCell ref="A45:H45"/>
    <mergeCell ref="D56:H56"/>
    <mergeCell ref="A56:C56"/>
    <mergeCell ref="G48:H48"/>
    <mergeCell ref="A49:B50"/>
    <mergeCell ref="A77:B77"/>
    <mergeCell ref="A39:D39"/>
    <mergeCell ref="E39:H39"/>
    <mergeCell ref="F31:H31"/>
    <mergeCell ref="F32:H32"/>
    <mergeCell ref="A38:H38"/>
    <mergeCell ref="A60:C60"/>
    <mergeCell ref="A61:C61"/>
    <mergeCell ref="D60:H60"/>
    <mergeCell ref="E71:F80"/>
    <mergeCell ref="G71:H80"/>
    <mergeCell ref="A79:B79"/>
    <mergeCell ref="A80:B80"/>
    <mergeCell ref="D61:H61"/>
    <mergeCell ref="A41:D41"/>
    <mergeCell ref="E41:H41"/>
    <mergeCell ref="E42:H42"/>
    <mergeCell ref="E43:H43"/>
    <mergeCell ref="E44:H44"/>
    <mergeCell ref="A42:D42"/>
    <mergeCell ref="A70:B70"/>
    <mergeCell ref="A73:B73"/>
    <mergeCell ref="A69:B69"/>
    <mergeCell ref="A67:B67"/>
    <mergeCell ref="C67:H67"/>
    <mergeCell ref="L213:M213"/>
    <mergeCell ref="L212:M212"/>
    <mergeCell ref="L211:M211"/>
    <mergeCell ref="L210:M210"/>
    <mergeCell ref="A78:B78"/>
    <mergeCell ref="C158:D158"/>
    <mergeCell ref="E158:F158"/>
    <mergeCell ref="G158:H158"/>
    <mergeCell ref="F144:H144"/>
    <mergeCell ref="A138:E138"/>
    <mergeCell ref="A109:B109"/>
    <mergeCell ref="C109:H109"/>
    <mergeCell ref="A209:H209"/>
    <mergeCell ref="E166:E167"/>
    <mergeCell ref="G166:H167"/>
    <mergeCell ref="A99:B99"/>
    <mergeCell ref="E99:F108"/>
    <mergeCell ref="A106:B106"/>
    <mergeCell ref="A107:B107"/>
    <mergeCell ref="A108:B108"/>
    <mergeCell ref="A113:B113"/>
    <mergeCell ref="E113:F122"/>
    <mergeCell ref="F137:H137"/>
    <mergeCell ref="F142:H142"/>
    <mergeCell ref="A382:B382"/>
    <mergeCell ref="G382:H382"/>
    <mergeCell ref="A347:B347"/>
    <mergeCell ref="A415:B415"/>
    <mergeCell ref="A412:B412"/>
    <mergeCell ref="A413:B413"/>
    <mergeCell ref="A423:B423"/>
    <mergeCell ref="A414:B414"/>
    <mergeCell ref="G415:H415"/>
    <mergeCell ref="G421:H421"/>
    <mergeCell ref="G420:H420"/>
    <mergeCell ref="G347:H347"/>
    <mergeCell ref="A420:B420"/>
    <mergeCell ref="A417:B417"/>
    <mergeCell ref="G407:H407"/>
    <mergeCell ref="A404:B404"/>
    <mergeCell ref="A348:B348"/>
    <mergeCell ref="G348:H348"/>
    <mergeCell ref="A349:B349"/>
    <mergeCell ref="G349:H349"/>
    <mergeCell ref="A350:B350"/>
    <mergeCell ref="G350:H350"/>
    <mergeCell ref="A422:H422"/>
    <mergeCell ref="A416:H416"/>
    <mergeCell ref="E152:F152"/>
    <mergeCell ref="A152:B152"/>
    <mergeCell ref="F145:H145"/>
    <mergeCell ref="C152:D152"/>
    <mergeCell ref="F148:H148"/>
    <mergeCell ref="F146:H146"/>
    <mergeCell ref="G152:H152"/>
    <mergeCell ref="A147:E147"/>
    <mergeCell ref="C153:D153"/>
    <mergeCell ref="E153:F153"/>
    <mergeCell ref="B166:B167"/>
    <mergeCell ref="A166:A167"/>
    <mergeCell ref="C222:C223"/>
    <mergeCell ref="C162:D162"/>
    <mergeCell ref="A403:H403"/>
    <mergeCell ref="E162:F162"/>
    <mergeCell ref="A214:B214"/>
    <mergeCell ref="G214:H214"/>
    <mergeCell ref="A168:H168"/>
    <mergeCell ref="G284:H284"/>
    <mergeCell ref="G381:H381"/>
    <mergeCell ref="A169:H169"/>
    <mergeCell ref="A170:H170"/>
    <mergeCell ref="A171:B171"/>
    <mergeCell ref="G171:H171"/>
    <mergeCell ref="A175:B175"/>
    <mergeCell ref="G175:H175"/>
    <mergeCell ref="A179:B179"/>
    <mergeCell ref="G179:H179"/>
    <mergeCell ref="A183:B183"/>
    <mergeCell ref="G183:H183"/>
    <mergeCell ref="A187:B187"/>
    <mergeCell ref="G187:H187"/>
    <mergeCell ref="A191:B191"/>
    <mergeCell ref="G98:H98"/>
    <mergeCell ref="A143:E143"/>
    <mergeCell ref="F143:H143"/>
    <mergeCell ref="A144:E144"/>
    <mergeCell ref="A146:E146"/>
    <mergeCell ref="F140:H140"/>
    <mergeCell ref="A145:E145"/>
    <mergeCell ref="A116:B116"/>
    <mergeCell ref="A117:B117"/>
    <mergeCell ref="A118:B118"/>
    <mergeCell ref="A120:B120"/>
    <mergeCell ref="A121:B121"/>
    <mergeCell ref="A137:E137"/>
    <mergeCell ref="G113:H122"/>
    <mergeCell ref="A111:B111"/>
    <mergeCell ref="C111:H111"/>
    <mergeCell ref="A112:B112"/>
    <mergeCell ref="E112:F112"/>
    <mergeCell ref="A132:B132"/>
    <mergeCell ref="A133:B133"/>
    <mergeCell ref="A134:B134"/>
    <mergeCell ref="A135:B135"/>
    <mergeCell ref="A136:B136"/>
    <mergeCell ref="A142:E142"/>
    <mergeCell ref="F141:H141"/>
    <mergeCell ref="G112:H112"/>
    <mergeCell ref="F147:H147"/>
    <mergeCell ref="A407:B407"/>
    <mergeCell ref="A154:B154"/>
    <mergeCell ref="G419:H419"/>
    <mergeCell ref="G417:H417"/>
    <mergeCell ref="A148:E148"/>
    <mergeCell ref="G162:H162"/>
    <mergeCell ref="C154:D154"/>
    <mergeCell ref="E154:F154"/>
    <mergeCell ref="G154:H154"/>
    <mergeCell ref="A155:B155"/>
    <mergeCell ref="C155:D155"/>
    <mergeCell ref="E155:F155"/>
    <mergeCell ref="G155:H155"/>
    <mergeCell ref="C159:D159"/>
    <mergeCell ref="E159:F159"/>
    <mergeCell ref="G159:H159"/>
    <mergeCell ref="C157:D157"/>
    <mergeCell ref="G157:H157"/>
    <mergeCell ref="A140:E140"/>
    <mergeCell ref="C166:C167"/>
    <mergeCell ref="A205:H205"/>
    <mergeCell ref="A15:B15"/>
    <mergeCell ref="C15:H15"/>
    <mergeCell ref="A37:B37"/>
    <mergeCell ref="C37:H37"/>
    <mergeCell ref="B448:H448"/>
    <mergeCell ref="A46:B46"/>
    <mergeCell ref="C46:H46"/>
    <mergeCell ref="B440:H440"/>
    <mergeCell ref="A114:B114"/>
    <mergeCell ref="A115:B115"/>
    <mergeCell ref="G99:H108"/>
    <mergeCell ref="A100:B100"/>
    <mergeCell ref="A101:B101"/>
    <mergeCell ref="A102:B102"/>
    <mergeCell ref="F139:H139"/>
    <mergeCell ref="A139:E139"/>
    <mergeCell ref="G418:H418"/>
    <mergeCell ref="G414:H414"/>
    <mergeCell ref="G411:H411"/>
    <mergeCell ref="D166:D167"/>
    <mergeCell ref="A141:E141"/>
    <mergeCell ref="A210:B210"/>
    <mergeCell ref="A211:B211"/>
    <mergeCell ref="A212:B212"/>
    <mergeCell ref="L214:M214"/>
    <mergeCell ref="A215:B215"/>
    <mergeCell ref="G215:H215"/>
    <mergeCell ref="L215:M215"/>
    <mergeCell ref="A216:B216"/>
    <mergeCell ref="G216:H216"/>
    <mergeCell ref="L216:M216"/>
    <mergeCell ref="A217:B217"/>
    <mergeCell ref="G217:H217"/>
    <mergeCell ref="L217:M217"/>
    <mergeCell ref="L218:M218"/>
    <mergeCell ref="A219:B219"/>
    <mergeCell ref="G219:H219"/>
    <mergeCell ref="L219:M219"/>
    <mergeCell ref="A409:B409"/>
    <mergeCell ref="G409:H409"/>
    <mergeCell ref="L409:M409"/>
    <mergeCell ref="A220:B220"/>
    <mergeCell ref="G220:H220"/>
    <mergeCell ref="L220:M220"/>
    <mergeCell ref="A221:B221"/>
    <mergeCell ref="G221:H221"/>
    <mergeCell ref="L221:M221"/>
    <mergeCell ref="A408:B408"/>
    <mergeCell ref="G408:H408"/>
    <mergeCell ref="L408:M408"/>
    <mergeCell ref="A378:H378"/>
    <mergeCell ref="A379:B379"/>
    <mergeCell ref="G379:H379"/>
    <mergeCell ref="A380:B380"/>
    <mergeCell ref="G380:H380"/>
    <mergeCell ref="A381:B381"/>
    <mergeCell ref="A273:H273"/>
    <mergeCell ref="A274:H274"/>
    <mergeCell ref="L171:M171"/>
    <mergeCell ref="A172:B172"/>
    <mergeCell ref="G172:H172"/>
    <mergeCell ref="L172:M172"/>
    <mergeCell ref="A173:B173"/>
    <mergeCell ref="G173:H173"/>
    <mergeCell ref="L173:M173"/>
    <mergeCell ref="A174:B174"/>
    <mergeCell ref="G174:H174"/>
    <mergeCell ref="L174:M174"/>
    <mergeCell ref="L175:M175"/>
    <mergeCell ref="A176:B176"/>
    <mergeCell ref="G176:H176"/>
    <mergeCell ref="L176:M176"/>
    <mergeCell ref="A177:B177"/>
    <mergeCell ref="G177:H177"/>
    <mergeCell ref="L177:M177"/>
    <mergeCell ref="A178:B178"/>
    <mergeCell ref="G178:H178"/>
    <mergeCell ref="L178:M178"/>
    <mergeCell ref="L179:M179"/>
    <mergeCell ref="A180:B180"/>
    <mergeCell ref="G180:H180"/>
    <mergeCell ref="L180:M180"/>
    <mergeCell ref="A181:B181"/>
    <mergeCell ref="G181:H181"/>
    <mergeCell ref="L181:M181"/>
    <mergeCell ref="A182:B182"/>
    <mergeCell ref="G182:H182"/>
    <mergeCell ref="L182:M182"/>
    <mergeCell ref="L183:M183"/>
    <mergeCell ref="A184:B184"/>
    <mergeCell ref="G184:H184"/>
    <mergeCell ref="L184:M184"/>
    <mergeCell ref="A185:B185"/>
    <mergeCell ref="G185:H185"/>
    <mergeCell ref="L185:M185"/>
    <mergeCell ref="A186:B186"/>
    <mergeCell ref="G186:H186"/>
    <mergeCell ref="L186:M186"/>
    <mergeCell ref="L187:M187"/>
    <mergeCell ref="A188:B188"/>
    <mergeCell ref="G188:H188"/>
    <mergeCell ref="L188:M188"/>
    <mergeCell ref="A189:B189"/>
    <mergeCell ref="G189:H189"/>
    <mergeCell ref="L189:M189"/>
    <mergeCell ref="A190:B190"/>
    <mergeCell ref="G190:H190"/>
    <mergeCell ref="L190:M190"/>
    <mergeCell ref="G191:H191"/>
    <mergeCell ref="L191:M191"/>
    <mergeCell ref="A192:B192"/>
    <mergeCell ref="G192:H192"/>
    <mergeCell ref="L192:M192"/>
    <mergeCell ref="A193:B193"/>
    <mergeCell ref="G193:H193"/>
    <mergeCell ref="L193:M193"/>
    <mergeCell ref="A194:B194"/>
    <mergeCell ref="G194:H194"/>
    <mergeCell ref="L194:M194"/>
    <mergeCell ref="A195:B195"/>
    <mergeCell ref="G195:H195"/>
    <mergeCell ref="L195:M195"/>
    <mergeCell ref="A199:B199"/>
    <mergeCell ref="G199:H199"/>
    <mergeCell ref="L199:M199"/>
    <mergeCell ref="A200:B200"/>
    <mergeCell ref="G200:H200"/>
    <mergeCell ref="L200:M200"/>
    <mergeCell ref="A201:B201"/>
    <mergeCell ref="G201:H201"/>
    <mergeCell ref="L201:M201"/>
    <mergeCell ref="A196:B196"/>
    <mergeCell ref="G196:H196"/>
    <mergeCell ref="L196:M196"/>
    <mergeCell ref="A197:B197"/>
    <mergeCell ref="G197:H197"/>
    <mergeCell ref="L197:M197"/>
    <mergeCell ref="A198:B198"/>
    <mergeCell ref="G198:H198"/>
    <mergeCell ref="L198:M198"/>
    <mergeCell ref="A203:B203"/>
    <mergeCell ref="G203:H203"/>
    <mergeCell ref="L203:M203"/>
    <mergeCell ref="A204:B204"/>
    <mergeCell ref="G204:H204"/>
    <mergeCell ref="L204:M204"/>
    <mergeCell ref="A202:B202"/>
    <mergeCell ref="G202:H202"/>
    <mergeCell ref="L202:M202"/>
    <mergeCell ref="A206:H206"/>
    <mergeCell ref="A207:H207"/>
    <mergeCell ref="A208:H208"/>
    <mergeCell ref="A224:H224"/>
    <mergeCell ref="A225:H225"/>
    <mergeCell ref="A226:H226"/>
    <mergeCell ref="A227:H227"/>
    <mergeCell ref="A218:B218"/>
    <mergeCell ref="G218:H218"/>
    <mergeCell ref="A222:A223"/>
    <mergeCell ref="A213:B213"/>
    <mergeCell ref="B222:B223"/>
    <mergeCell ref="G211:H211"/>
    <mergeCell ref="G213:H213"/>
    <mergeCell ref="A376:H376"/>
    <mergeCell ref="A377:H377"/>
    <mergeCell ref="A359:B359"/>
    <mergeCell ref="G359:H359"/>
    <mergeCell ref="A360:B360"/>
    <mergeCell ref="G360:H360"/>
    <mergeCell ref="A363:B363"/>
    <mergeCell ref="G363:H363"/>
    <mergeCell ref="C370:F370"/>
    <mergeCell ref="A228:H228"/>
    <mergeCell ref="L228:M228"/>
    <mergeCell ref="A229:B229"/>
    <mergeCell ref="G229:H229"/>
    <mergeCell ref="A230:B230"/>
    <mergeCell ref="G230:H230"/>
    <mergeCell ref="A231:B231"/>
    <mergeCell ref="G231:H231"/>
    <mergeCell ref="A232:B232"/>
    <mergeCell ref="G232:H232"/>
    <mergeCell ref="A233:B233"/>
    <mergeCell ref="G233:H233"/>
    <mergeCell ref="A234:B234"/>
    <mergeCell ref="G234:H234"/>
    <mergeCell ref="A235:B235"/>
    <mergeCell ref="G235:H235"/>
    <mergeCell ref="A236:B236"/>
    <mergeCell ref="G236:H236"/>
    <mergeCell ref="A275:H275"/>
    <mergeCell ref="A237:H237"/>
    <mergeCell ref="A238:B238"/>
    <mergeCell ref="G238:H238"/>
    <mergeCell ref="A239:B239"/>
    <mergeCell ref="G239:H239"/>
    <mergeCell ref="A240:B240"/>
    <mergeCell ref="G240:H240"/>
    <mergeCell ref="A241:B241"/>
    <mergeCell ref="G241:H241"/>
    <mergeCell ref="G288:H288"/>
    <mergeCell ref="A289:B289"/>
    <mergeCell ref="G289:H289"/>
    <mergeCell ref="A290:B290"/>
    <mergeCell ref="G290:H290"/>
    <mergeCell ref="A242:B242"/>
    <mergeCell ref="G242:H242"/>
    <mergeCell ref="A243:B243"/>
    <mergeCell ref="G243:H243"/>
    <mergeCell ref="A244:B244"/>
    <mergeCell ref="G244:H244"/>
    <mergeCell ref="A245:B245"/>
    <mergeCell ref="G245:H245"/>
    <mergeCell ref="G282:H282"/>
    <mergeCell ref="A283:B283"/>
    <mergeCell ref="G283:H283"/>
    <mergeCell ref="A285:B285"/>
    <mergeCell ref="G285:H285"/>
    <mergeCell ref="A276:H276"/>
    <mergeCell ref="A277:H277"/>
    <mergeCell ref="A282:B282"/>
    <mergeCell ref="A291:B291"/>
    <mergeCell ref="G291:H291"/>
    <mergeCell ref="A292:B292"/>
    <mergeCell ref="G292:H292"/>
    <mergeCell ref="A293:B293"/>
    <mergeCell ref="G293:H293"/>
    <mergeCell ref="A294:B294"/>
    <mergeCell ref="G294:H294"/>
    <mergeCell ref="A246:H246"/>
    <mergeCell ref="A251:B251"/>
    <mergeCell ref="G251:H251"/>
    <mergeCell ref="A252:B252"/>
    <mergeCell ref="G252:H252"/>
    <mergeCell ref="A253:B253"/>
    <mergeCell ref="G253:H253"/>
    <mergeCell ref="A254:B254"/>
    <mergeCell ref="G254:H254"/>
    <mergeCell ref="G272:H272"/>
    <mergeCell ref="G263:H263"/>
    <mergeCell ref="C258:F258"/>
    <mergeCell ref="A286:H286"/>
    <mergeCell ref="A287:B287"/>
    <mergeCell ref="G287:H287"/>
    <mergeCell ref="A288:B288"/>
    <mergeCell ref="L246:M246"/>
    <mergeCell ref="A247:B247"/>
    <mergeCell ref="G247:H247"/>
    <mergeCell ref="A248:B248"/>
    <mergeCell ref="G248:H248"/>
    <mergeCell ref="A249:B249"/>
    <mergeCell ref="G249:H249"/>
    <mergeCell ref="A250:B250"/>
    <mergeCell ref="G250:H250"/>
    <mergeCell ref="A295:H295"/>
    <mergeCell ref="L295:M295"/>
    <mergeCell ref="A296:B296"/>
    <mergeCell ref="G296:H296"/>
    <mergeCell ref="A297:B297"/>
    <mergeCell ref="G297:H297"/>
    <mergeCell ref="A298:B298"/>
    <mergeCell ref="G298:H298"/>
    <mergeCell ref="A299:B299"/>
    <mergeCell ref="G299:H299"/>
    <mergeCell ref="A300:B300"/>
    <mergeCell ref="G300:H300"/>
    <mergeCell ref="A301:B301"/>
    <mergeCell ref="G301:H301"/>
    <mergeCell ref="A302:B302"/>
    <mergeCell ref="G302:H302"/>
    <mergeCell ref="A303:B303"/>
    <mergeCell ref="G303:H303"/>
    <mergeCell ref="A264:H264"/>
    <mergeCell ref="A265:B265"/>
    <mergeCell ref="G265:H265"/>
    <mergeCell ref="A266:B266"/>
    <mergeCell ref="G266:H266"/>
    <mergeCell ref="A267:B267"/>
    <mergeCell ref="G267:H267"/>
    <mergeCell ref="A268:B268"/>
    <mergeCell ref="G268:H268"/>
    <mergeCell ref="A269:B269"/>
    <mergeCell ref="G269:H269"/>
    <mergeCell ref="A270:B270"/>
    <mergeCell ref="G270:H270"/>
    <mergeCell ref="A271:B271"/>
    <mergeCell ref="G271:H271"/>
    <mergeCell ref="A272:B272"/>
    <mergeCell ref="A313:H313"/>
    <mergeCell ref="A314:B314"/>
    <mergeCell ref="G314:H314"/>
    <mergeCell ref="A315:B315"/>
    <mergeCell ref="G315:H315"/>
    <mergeCell ref="A316:B316"/>
    <mergeCell ref="G316:H316"/>
    <mergeCell ref="A317:B317"/>
    <mergeCell ref="G317:H317"/>
    <mergeCell ref="A318:B318"/>
    <mergeCell ref="G318:H318"/>
    <mergeCell ref="A319:B319"/>
    <mergeCell ref="G319:H319"/>
    <mergeCell ref="A320:B320"/>
    <mergeCell ref="G320:H320"/>
    <mergeCell ref="A321:B321"/>
    <mergeCell ref="G321:H321"/>
    <mergeCell ref="A255:H255"/>
    <mergeCell ref="A256:B256"/>
    <mergeCell ref="G256:H256"/>
    <mergeCell ref="A257:B257"/>
    <mergeCell ref="G257:H257"/>
    <mergeCell ref="A258:B258"/>
    <mergeCell ref="G258:H258"/>
    <mergeCell ref="A259:B259"/>
    <mergeCell ref="G259:H259"/>
    <mergeCell ref="A260:B260"/>
    <mergeCell ref="G260:H260"/>
    <mergeCell ref="A261:B261"/>
    <mergeCell ref="G261:H261"/>
    <mergeCell ref="A262:B262"/>
    <mergeCell ref="G262:H262"/>
    <mergeCell ref="A263:B263"/>
    <mergeCell ref="A304:H304"/>
    <mergeCell ref="A305:B305"/>
    <mergeCell ref="G305:H305"/>
    <mergeCell ref="A306:B306"/>
    <mergeCell ref="G306:H306"/>
    <mergeCell ref="A307:B307"/>
    <mergeCell ref="G307:H307"/>
    <mergeCell ref="A308:B308"/>
    <mergeCell ref="G308:H308"/>
    <mergeCell ref="A309:B309"/>
    <mergeCell ref="G309:H309"/>
    <mergeCell ref="A310:B310"/>
    <mergeCell ref="G310:H310"/>
    <mergeCell ref="A311:B311"/>
    <mergeCell ref="G311:H311"/>
    <mergeCell ref="A312:B312"/>
    <mergeCell ref="G312:H312"/>
    <mergeCell ref="C310:F310"/>
    <mergeCell ref="A322:H322"/>
    <mergeCell ref="A323:H323"/>
    <mergeCell ref="A324:H324"/>
    <mergeCell ref="A325:H325"/>
    <mergeCell ref="A326:H326"/>
    <mergeCell ref="A327:H327"/>
    <mergeCell ref="A373:H373"/>
    <mergeCell ref="A374:H374"/>
    <mergeCell ref="A375:H375"/>
    <mergeCell ref="A340:B340"/>
    <mergeCell ref="G340:H340"/>
    <mergeCell ref="A341:B341"/>
    <mergeCell ref="G341:H341"/>
    <mergeCell ref="A342:B342"/>
    <mergeCell ref="G342:H342"/>
    <mergeCell ref="A343:B343"/>
    <mergeCell ref="G343:H343"/>
    <mergeCell ref="A344:B344"/>
    <mergeCell ref="G344:H344"/>
    <mergeCell ref="A345:B345"/>
    <mergeCell ref="G345:H345"/>
    <mergeCell ref="C338:F338"/>
    <mergeCell ref="A362:B362"/>
    <mergeCell ref="G362:H362"/>
    <mergeCell ref="A328:H328"/>
    <mergeCell ref="A329:B329"/>
    <mergeCell ref="G329:H329"/>
    <mergeCell ref="A330:B330"/>
    <mergeCell ref="G330:H330"/>
    <mergeCell ref="A331:B331"/>
    <mergeCell ref="G331:H331"/>
    <mergeCell ref="A332:B332"/>
    <mergeCell ref="G332:H332"/>
    <mergeCell ref="A333:B333"/>
    <mergeCell ref="G333:H333"/>
    <mergeCell ref="A334:B334"/>
    <mergeCell ref="G334:H334"/>
    <mergeCell ref="A335:B335"/>
    <mergeCell ref="G335:H335"/>
    <mergeCell ref="A336:B336"/>
    <mergeCell ref="G336:H336"/>
    <mergeCell ref="A337:H337"/>
    <mergeCell ref="A338:B338"/>
    <mergeCell ref="G338:H338"/>
    <mergeCell ref="A339:B339"/>
    <mergeCell ref="G339:H339"/>
    <mergeCell ref="A361:B361"/>
    <mergeCell ref="G361:H361"/>
    <mergeCell ref="C384:F384"/>
    <mergeCell ref="A346:H346"/>
    <mergeCell ref="C347:F347"/>
    <mergeCell ref="A351:B351"/>
    <mergeCell ref="G351:H351"/>
    <mergeCell ref="A352:B352"/>
    <mergeCell ref="G352:H352"/>
    <mergeCell ref="A353:B353"/>
    <mergeCell ref="G353:H353"/>
    <mergeCell ref="A354:B354"/>
    <mergeCell ref="G354:H354"/>
    <mergeCell ref="A355:H355"/>
    <mergeCell ref="A356:B356"/>
    <mergeCell ref="G356:H356"/>
    <mergeCell ref="A357:B357"/>
    <mergeCell ref="G357:H357"/>
    <mergeCell ref="A358:B358"/>
    <mergeCell ref="G358:H358"/>
    <mergeCell ref="A395:B395"/>
    <mergeCell ref="G395:H395"/>
    <mergeCell ref="A396:B396"/>
    <mergeCell ref="G396:H396"/>
    <mergeCell ref="A388:H388"/>
    <mergeCell ref="A389:B389"/>
    <mergeCell ref="C389:F389"/>
    <mergeCell ref="G389:H389"/>
    <mergeCell ref="A390:B390"/>
    <mergeCell ref="G390:H390"/>
    <mergeCell ref="A391:B391"/>
    <mergeCell ref="G391:H391"/>
    <mergeCell ref="A392:B392"/>
    <mergeCell ref="G392:H392"/>
    <mergeCell ref="A385:B385"/>
    <mergeCell ref="G385:H385"/>
    <mergeCell ref="A397:B397"/>
    <mergeCell ref="G397:H397"/>
    <mergeCell ref="A364:H364"/>
    <mergeCell ref="A365:B365"/>
    <mergeCell ref="G365:H365"/>
    <mergeCell ref="A366:B366"/>
    <mergeCell ref="G366:H366"/>
    <mergeCell ref="A367:B367"/>
    <mergeCell ref="G367:H367"/>
    <mergeCell ref="A368:B368"/>
    <mergeCell ref="G368:H368"/>
    <mergeCell ref="A369:B369"/>
    <mergeCell ref="G369:H369"/>
    <mergeCell ref="A370:B370"/>
    <mergeCell ref="G370:H370"/>
    <mergeCell ref="A371:B371"/>
    <mergeCell ref="G371:H371"/>
    <mergeCell ref="A372:B372"/>
    <mergeCell ref="G372:H372"/>
    <mergeCell ref="A393:H393"/>
    <mergeCell ref="A394:B394"/>
    <mergeCell ref="G394:H394"/>
    <mergeCell ref="A401:B401"/>
    <mergeCell ref="G401:H401"/>
    <mergeCell ref="A402:B402"/>
    <mergeCell ref="G402:H402"/>
    <mergeCell ref="C401:F401"/>
    <mergeCell ref="A163:H163"/>
    <mergeCell ref="C160:D160"/>
    <mergeCell ref="E160:F160"/>
    <mergeCell ref="G160:H160"/>
    <mergeCell ref="C161:D161"/>
    <mergeCell ref="E161:F161"/>
    <mergeCell ref="G161:H161"/>
    <mergeCell ref="A386:B386"/>
    <mergeCell ref="G386:H386"/>
    <mergeCell ref="A387:B387"/>
    <mergeCell ref="G387:H387"/>
    <mergeCell ref="A398:H398"/>
    <mergeCell ref="A399:B399"/>
    <mergeCell ref="G399:H399"/>
    <mergeCell ref="A400:B400"/>
    <mergeCell ref="G400:H400"/>
    <mergeCell ref="A383:H383"/>
    <mergeCell ref="A384:B384"/>
    <mergeCell ref="G384:H384"/>
    <mergeCell ref="I61:M61"/>
    <mergeCell ref="B449:H449"/>
    <mergeCell ref="B446:H446"/>
    <mergeCell ref="A81:B81"/>
    <mergeCell ref="C81:H81"/>
    <mergeCell ref="A83:B83"/>
    <mergeCell ref="C83:H83"/>
    <mergeCell ref="A84:B84"/>
    <mergeCell ref="E84:F84"/>
    <mergeCell ref="G84:H84"/>
    <mergeCell ref="A85:B85"/>
    <mergeCell ref="E85:F94"/>
    <mergeCell ref="G85:H94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158:A159"/>
    <mergeCell ref="A160:A161"/>
  </mergeCells>
  <hyperlinks>
    <hyperlink ref="C37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6" max="16383" man="1"/>
    <brk id="461" max="16383" man="1"/>
    <brk id="503" max="16383" man="1"/>
    <brk id="545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25" zoomScale="85" zoomScaleNormal="85" workbookViewId="0">
      <selection activeCell="B37" sqref="B37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253" t="s">
        <v>108</v>
      </c>
      <c r="C3" s="253"/>
      <c r="D3" s="253"/>
      <c r="E3" s="253"/>
      <c r="F3" s="253"/>
      <c r="G3" s="253"/>
      <c r="H3" s="253"/>
    </row>
    <row r="4" spans="1:9" x14ac:dyDescent="0.35">
      <c r="A4" s="2"/>
      <c r="B4" s="3" t="s">
        <v>109</v>
      </c>
      <c r="C4" s="3" t="s">
        <v>110</v>
      </c>
      <c r="D4" s="3" t="s">
        <v>70</v>
      </c>
      <c r="E4" s="3" t="s">
        <v>111</v>
      </c>
      <c r="F4" s="3" t="s">
        <v>117</v>
      </c>
      <c r="G4" s="3" t="s">
        <v>118</v>
      </c>
      <c r="H4" s="3" t="s">
        <v>112</v>
      </c>
    </row>
    <row r="5" spans="1:9" ht="15" customHeight="1" x14ac:dyDescent="0.35">
      <c r="A5" s="2"/>
      <c r="B5" s="5" t="s">
        <v>113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113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113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113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113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114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114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115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116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2025-08-28T15:40:59Z</cp:lastPrinted>
  <dcterms:created xsi:type="dcterms:W3CDTF">2019-07-16T09:29:46Z</dcterms:created>
  <dcterms:modified xsi:type="dcterms:W3CDTF">2025-08-28T15:41:33Z</dcterms:modified>
</cp:coreProperties>
</file>