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C-51\Downloads\kornark vayu\"/>
    </mc:Choice>
  </mc:AlternateContent>
  <bookViews>
    <workbookView xWindow="-120" yWindow="-120" windowWidth="20730" windowHeight="11160"/>
  </bookViews>
  <sheets>
    <sheet name="Report" sheetId="3" r:id="rId1"/>
    <sheet name="Construction table" sheetId="4" r:id="rId2"/>
    <sheet name="Remarks" sheetId="5" r:id="rId3"/>
    <sheet name="Area Calculation" sheetId="6" r:id="rId4"/>
  </sheets>
  <definedNames>
    <definedName name="_xlnm.Print_Area" localSheetId="0">Report!$A$1:$H$331</definedName>
  </definedNames>
  <calcPr calcId="152511"/>
  <extLs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J158" i="3" l="1"/>
  <c r="I147" i="3"/>
  <c r="I144" i="3"/>
  <c r="I158" i="3"/>
  <c r="J148" i="3"/>
  <c r="I138" i="3"/>
  <c r="I148" i="3"/>
  <c r="I154" i="3"/>
  <c r="I137" i="3"/>
  <c r="I156" i="3"/>
  <c r="L110" i="3" l="1"/>
  <c r="I111" i="3"/>
  <c r="J111" i="3"/>
  <c r="I110" i="3"/>
  <c r="I109" i="3"/>
  <c r="I21" i="3" l="1"/>
  <c r="I136" i="3"/>
  <c r="I142" i="3" l="1"/>
  <c r="E160" i="3" l="1"/>
  <c r="E159" i="3"/>
  <c r="E158" i="3"/>
  <c r="E157" i="3"/>
  <c r="E156" i="3"/>
  <c r="E155" i="3"/>
  <c r="E154" i="3"/>
  <c r="E153" i="3"/>
  <c r="H160" i="3"/>
  <c r="H159" i="3"/>
  <c r="E148" i="3"/>
  <c r="K147" i="3" s="1"/>
  <c r="E147" i="3"/>
  <c r="K146" i="3" s="1"/>
  <c r="E146" i="3"/>
  <c r="K145" i="3" s="1"/>
  <c r="E145" i="3"/>
  <c r="K144" i="3" s="1"/>
  <c r="E144" i="3"/>
  <c r="K143" i="3" s="1"/>
  <c r="E143" i="3"/>
  <c r="K142" i="3" s="1"/>
  <c r="E142" i="3"/>
  <c r="K141" i="3" s="1"/>
  <c r="E141" i="3"/>
  <c r="K140" i="3" s="1"/>
  <c r="E140" i="3"/>
  <c r="K139" i="3" s="1"/>
  <c r="E139" i="3"/>
  <c r="K138" i="3" s="1"/>
  <c r="E138" i="3"/>
  <c r="K137" i="3" s="1"/>
  <c r="E137" i="3"/>
  <c r="A152" i="3"/>
  <c r="A153" i="3" s="1"/>
  <c r="A154" i="3" s="1"/>
  <c r="A155" i="3" s="1"/>
  <c r="A156" i="3" s="1"/>
  <c r="A157" i="3" s="1"/>
  <c r="A158" i="3" s="1"/>
  <c r="A159" i="3" s="1"/>
  <c r="A160" i="3" s="1"/>
  <c r="A161" i="3" s="1"/>
  <c r="A162" i="3" s="1"/>
  <c r="K136" i="3" l="1"/>
  <c r="E125" i="3"/>
  <c r="E126" i="3" s="1"/>
  <c r="E127" i="3" s="1"/>
  <c r="H147" i="3"/>
  <c r="L146" i="3" s="1"/>
  <c r="H148" i="3"/>
  <c r="L147" i="3" s="1"/>
  <c r="H146" i="3"/>
  <c r="L145" i="3" s="1"/>
  <c r="H145" i="3"/>
  <c r="L144" i="3" s="1"/>
  <c r="G116" i="3" l="1"/>
  <c r="G115" i="3"/>
  <c r="H53" i="3" l="1"/>
  <c r="C53" i="3"/>
  <c r="C17" i="3"/>
  <c r="D195" i="3"/>
  <c r="D193" i="3"/>
  <c r="H137" i="3"/>
  <c r="H138" i="3"/>
  <c r="L137" i="3" s="1"/>
  <c r="H139" i="3"/>
  <c r="L138" i="3" s="1"/>
  <c r="H140" i="3"/>
  <c r="L139" i="3" s="1"/>
  <c r="H141" i="3"/>
  <c r="L140" i="3" s="1"/>
  <c r="A62" i="3"/>
  <c r="L136" i="3" l="1"/>
  <c r="L41" i="6"/>
  <c r="I41" i="6"/>
  <c r="E41" i="6"/>
  <c r="L40" i="6"/>
  <c r="I40" i="6"/>
  <c r="E40" i="6"/>
  <c r="L39" i="6"/>
  <c r="I39" i="6"/>
  <c r="E39" i="6"/>
  <c r="L38" i="6"/>
  <c r="I38" i="6"/>
  <c r="E38" i="6"/>
  <c r="L37" i="6"/>
  <c r="I37" i="6"/>
  <c r="E37" i="6"/>
  <c r="L36" i="6"/>
  <c r="I36" i="6"/>
  <c r="E36" i="6"/>
  <c r="L35" i="6"/>
  <c r="I35" i="6"/>
  <c r="E35" i="6"/>
  <c r="L34" i="6"/>
  <c r="I34" i="6"/>
  <c r="E34" i="6"/>
  <c r="L33" i="6"/>
  <c r="I33" i="6"/>
  <c r="E33" i="6"/>
  <c r="L32" i="6"/>
  <c r="I32" i="6"/>
  <c r="E32" i="6"/>
  <c r="L31" i="6"/>
  <c r="I31" i="6"/>
  <c r="E31" i="6"/>
  <c r="L30" i="6"/>
  <c r="I30" i="6"/>
  <c r="E30" i="6"/>
  <c r="L29" i="6"/>
  <c r="I29" i="6"/>
  <c r="E29" i="6"/>
  <c r="L28" i="6"/>
  <c r="I28" i="6"/>
  <c r="E28" i="6"/>
  <c r="L27" i="6"/>
  <c r="I27" i="6"/>
  <c r="E27" i="6"/>
  <c r="L26" i="6"/>
  <c r="I26" i="6"/>
  <c r="E26" i="6"/>
  <c r="L25" i="6"/>
  <c r="I25" i="6"/>
  <c r="E25" i="6"/>
  <c r="L24" i="6"/>
  <c r="I24" i="6"/>
  <c r="E24" i="6"/>
  <c r="L23" i="6"/>
  <c r="I23" i="6"/>
  <c r="E23" i="6"/>
  <c r="L22" i="6"/>
  <c r="I22" i="6"/>
  <c r="E22" i="6"/>
  <c r="L21" i="6"/>
  <c r="I21" i="6"/>
  <c r="E21" i="6"/>
  <c r="L20" i="6"/>
  <c r="I20" i="6"/>
  <c r="E20" i="6"/>
  <c r="L19" i="6"/>
  <c r="I19" i="6"/>
  <c r="E19" i="6"/>
  <c r="L18" i="6"/>
  <c r="I18" i="6"/>
  <c r="E18" i="6"/>
  <c r="L17" i="6"/>
  <c r="I17" i="6"/>
  <c r="E17" i="6"/>
  <c r="L16" i="6"/>
  <c r="I16" i="6"/>
  <c r="E16" i="6"/>
  <c r="L15" i="6"/>
  <c r="I15" i="6"/>
  <c r="E15" i="6"/>
  <c r="L14" i="6"/>
  <c r="I14" i="6"/>
  <c r="E14" i="6"/>
  <c r="L13" i="6"/>
  <c r="I13" i="6"/>
  <c r="E13" i="6"/>
  <c r="L12" i="6"/>
  <c r="I12" i="6"/>
  <c r="E12" i="6"/>
  <c r="L11" i="6"/>
  <c r="I11" i="6"/>
  <c r="E11" i="6"/>
  <c r="L10" i="6"/>
  <c r="I10" i="6"/>
  <c r="E10" i="6"/>
  <c r="L9" i="6"/>
  <c r="I9" i="6"/>
  <c r="E9" i="6"/>
  <c r="L8" i="6"/>
  <c r="I8" i="6"/>
  <c r="E8" i="6"/>
  <c r="L7" i="6"/>
  <c r="I7" i="6"/>
  <c r="E7" i="6"/>
  <c r="L6" i="6"/>
  <c r="I6" i="6"/>
  <c r="E6" i="6"/>
  <c r="E42" i="6" s="1"/>
  <c r="I42" i="6" l="1"/>
  <c r="H42" i="6" s="1"/>
  <c r="L42" i="6"/>
  <c r="K42" i="6" s="1"/>
  <c r="E44" i="6"/>
  <c r="D42" i="6"/>
  <c r="D44" i="6" s="1"/>
  <c r="C26" i="3" l="1"/>
  <c r="C18" i="3"/>
  <c r="H180" i="3"/>
  <c r="H179" i="3"/>
  <c r="H178" i="3"/>
  <c r="H177" i="3"/>
  <c r="H176" i="3"/>
  <c r="H175" i="3"/>
  <c r="H174" i="3"/>
  <c r="H173" i="3"/>
  <c r="H171" i="3"/>
  <c r="H170" i="3"/>
  <c r="H169" i="3"/>
  <c r="H168" i="3"/>
  <c r="H167" i="3"/>
  <c r="H166" i="3"/>
  <c r="H165" i="3"/>
  <c r="H164" i="3"/>
  <c r="H158" i="3"/>
  <c r="H157" i="3"/>
  <c r="H156" i="3"/>
  <c r="H155" i="3"/>
  <c r="H154" i="3"/>
  <c r="H153" i="3"/>
  <c r="H142" i="3"/>
  <c r="H143" i="3"/>
  <c r="L142" i="3" s="1"/>
  <c r="H144" i="3"/>
  <c r="L143" i="3" s="1"/>
  <c r="L141" i="3" l="1"/>
  <c r="G125" i="3"/>
  <c r="G126" i="3" s="1"/>
  <c r="G127" i="3" s="1"/>
  <c r="G122" i="3"/>
  <c r="E122" i="3"/>
  <c r="A94" i="3"/>
  <c r="D95" i="3" s="1"/>
  <c r="J104" i="3" s="1"/>
  <c r="A78" i="3"/>
  <c r="D79" i="3" s="1"/>
  <c r="D63" i="3"/>
  <c r="J103" i="3" l="1"/>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H79" i="3"/>
  <c r="F38" i="4" l="1"/>
  <c r="G38" i="4"/>
  <c r="E18" i="4"/>
  <c r="E15" i="4"/>
  <c r="E17" i="4"/>
  <c r="E11" i="4"/>
  <c r="K6" i="4"/>
  <c r="E9" i="4"/>
  <c r="K8" i="4"/>
  <c r="C7" i="4" s="1"/>
  <c r="E14" i="4"/>
  <c r="E12" i="4"/>
  <c r="E16" i="4"/>
  <c r="E10" i="4"/>
  <c r="K9" i="4"/>
  <c r="K10" i="4" s="1"/>
  <c r="K11" i="4" s="1"/>
  <c r="E13" i="4"/>
  <c r="K7" i="4"/>
  <c r="J88" i="3"/>
  <c r="J87" i="3"/>
  <c r="K12" i="4" l="1"/>
  <c r="K16" i="4" s="1"/>
  <c r="C8" i="4" s="1"/>
  <c r="E8" i="4" s="1"/>
  <c r="E7" i="4"/>
  <c r="A138" i="3"/>
  <c r="A139" i="3" s="1"/>
  <c r="A140" i="3" s="1"/>
  <c r="A141" i="3" s="1"/>
  <c r="A142" i="3" s="1"/>
  <c r="A143" i="3" s="1"/>
  <c r="A144" i="3" s="1"/>
  <c r="A145" i="3" s="1"/>
  <c r="A146" i="3" s="1"/>
  <c r="A147" i="3" s="1"/>
  <c r="A148" i="3" s="1"/>
  <c r="F7" i="4" l="1"/>
  <c r="J4" i="4" s="1"/>
  <c r="H7" i="4" s="1"/>
  <c r="G4" i="3" l="1"/>
  <c r="H122" i="3" l="1"/>
  <c r="D194" i="3" l="1"/>
  <c r="G117" i="3"/>
  <c r="J72" i="3"/>
  <c r="J71" i="3"/>
  <c r="H63" i="3"/>
  <c r="J67" i="3" l="1"/>
  <c r="D72" i="3"/>
  <c r="D69" i="3"/>
  <c r="D67" i="3"/>
  <c r="J65" i="3"/>
  <c r="D76" i="3"/>
  <c r="D74" i="3"/>
  <c r="D71" i="3"/>
  <c r="D68" i="3"/>
  <c r="J66" i="3"/>
  <c r="J64" i="3"/>
  <c r="D75" i="3"/>
  <c r="D73" i="3"/>
  <c r="D70" i="3"/>
  <c r="D92" i="3" l="1"/>
  <c r="D84" i="3"/>
  <c r="D87" i="3"/>
  <c r="J81" i="3"/>
  <c r="D91" i="3"/>
  <c r="D85" i="3"/>
  <c r="J80" i="3"/>
  <c r="D90" i="3"/>
  <c r="J83" i="3"/>
  <c r="J84" i="3" s="1"/>
  <c r="D89" i="3"/>
  <c r="D83" i="3"/>
  <c r="J82" i="3"/>
  <c r="C81" i="3" s="1"/>
  <c r="D88" i="3"/>
  <c r="D86" i="3"/>
  <c r="J68" i="3"/>
  <c r="J73" i="3" s="1"/>
  <c r="D81" i="3" l="1"/>
  <c r="J85" i="3"/>
  <c r="J89" i="3"/>
  <c r="J86" i="3"/>
  <c r="J69" i="3"/>
  <c r="H95" i="3"/>
  <c r="J90" i="3" l="1"/>
  <c r="C82" i="3" s="1"/>
  <c r="D108" i="3"/>
  <c r="D107" i="3"/>
  <c r="D101" i="3"/>
  <c r="J98" i="3"/>
  <c r="C97" i="3" s="1"/>
  <c r="D103" i="3"/>
  <c r="D102" i="3"/>
  <c r="J96" i="3"/>
  <c r="D106" i="3"/>
  <c r="D100" i="3"/>
  <c r="J99" i="3"/>
  <c r="J100" i="3" s="1"/>
  <c r="J101" i="3" s="1"/>
  <c r="J102" i="3" s="1"/>
  <c r="D105" i="3"/>
  <c r="D99" i="3"/>
  <c r="J97" i="3"/>
  <c r="D104" i="3"/>
  <c r="J70" i="3"/>
  <c r="D82" i="3" l="1"/>
  <c r="E81" i="3"/>
  <c r="I78" i="3" s="1"/>
  <c r="G81" i="3" s="1"/>
  <c r="J105" i="3"/>
  <c r="J106" i="3" s="1"/>
  <c r="C98" i="3" s="1"/>
  <c r="D98" i="3" s="1"/>
  <c r="D97" i="3"/>
  <c r="J74" i="3"/>
  <c r="U173" i="3"/>
  <c r="V173" i="3"/>
  <c r="V151" i="3"/>
  <c r="V164" i="3"/>
  <c r="U164" i="3"/>
  <c r="U151" i="3"/>
  <c r="D65" i="3" l="1"/>
  <c r="E97" i="3"/>
  <c r="I94" i="3" s="1"/>
  <c r="G97" i="3" s="1"/>
  <c r="E65" i="3"/>
  <c r="G109" i="3" s="1"/>
  <c r="T173" i="3"/>
  <c r="U174" i="3"/>
  <c r="V174" i="3"/>
  <c r="V175" i="3" s="1"/>
  <c r="V176" i="3" s="1"/>
  <c r="V177" i="3" s="1"/>
  <c r="V178" i="3" s="1"/>
  <c r="V179" i="3" s="1"/>
  <c r="V180" i="3" s="1"/>
  <c r="T164" i="3"/>
  <c r="U165" i="3"/>
  <c r="V165" i="3"/>
  <c r="V166" i="3" s="1"/>
  <c r="V167" i="3" s="1"/>
  <c r="V168" i="3" s="1"/>
  <c r="V169" i="3" s="1"/>
  <c r="V170" i="3" s="1"/>
  <c r="V171" i="3" s="1"/>
  <c r="V152" i="3"/>
  <c r="V153" i="3" s="1"/>
  <c r="V154" i="3" s="1"/>
  <c r="V155" i="3" s="1"/>
  <c r="V156" i="3" s="1"/>
  <c r="V157" i="3" s="1"/>
  <c r="V158" i="3" s="1"/>
  <c r="V159" i="3" s="1"/>
  <c r="V160" i="3" s="1"/>
  <c r="V161" i="3" s="1"/>
  <c r="V162" i="3" s="1"/>
  <c r="U152" i="3"/>
  <c r="T151" i="3"/>
  <c r="D66" i="3" l="1"/>
  <c r="I62" i="3"/>
  <c r="G65" i="3" s="1"/>
  <c r="A173" i="3"/>
  <c r="A164" i="3"/>
  <c r="T174" i="3"/>
  <c r="A174" i="3" s="1"/>
  <c r="U175" i="3"/>
  <c r="T175" i="3" s="1"/>
  <c r="T165" i="3"/>
  <c r="A165" i="3" s="1"/>
  <c r="U166" i="3"/>
  <c r="T166" i="3" s="1"/>
  <c r="U153" i="3"/>
  <c r="T152" i="3"/>
  <c r="A175" i="3" l="1"/>
  <c r="A166" i="3"/>
  <c r="U176" i="3"/>
  <c r="T176" i="3" s="1"/>
  <c r="U167" i="3"/>
  <c r="T167" i="3" s="1"/>
  <c r="U154" i="3"/>
  <c r="T153" i="3"/>
  <c r="A176" i="3" l="1"/>
  <c r="A167" i="3"/>
  <c r="U177" i="3"/>
  <c r="T177" i="3" s="1"/>
  <c r="U168" i="3"/>
  <c r="T168" i="3" s="1"/>
  <c r="U155" i="3"/>
  <c r="T154" i="3"/>
  <c r="A177" i="3" l="1"/>
  <c r="A168" i="3"/>
  <c r="U178" i="3"/>
  <c r="T178" i="3" s="1"/>
  <c r="U169" i="3"/>
  <c r="T169" i="3" s="1"/>
  <c r="U156" i="3"/>
  <c r="T155" i="3"/>
  <c r="A178" i="3" l="1"/>
  <c r="A169" i="3"/>
  <c r="U179" i="3"/>
  <c r="T179" i="3" s="1"/>
  <c r="U170" i="3"/>
  <c r="T170" i="3" s="1"/>
  <c r="U157" i="3"/>
  <c r="T156" i="3"/>
  <c r="A179" i="3" l="1"/>
  <c r="A170" i="3"/>
  <c r="U180" i="3"/>
  <c r="T180" i="3" s="1"/>
  <c r="U171" i="3"/>
  <c r="T171" i="3" s="1"/>
  <c r="U158" i="3"/>
  <c r="U159" i="3" s="1"/>
  <c r="T157" i="3"/>
  <c r="T159" i="3" l="1"/>
  <c r="U160" i="3"/>
  <c r="A180" i="3"/>
  <c r="A171" i="3"/>
  <c r="T158" i="3"/>
  <c r="U161" i="3" l="1"/>
  <c r="T160" i="3"/>
  <c r="T161" i="3" l="1"/>
  <c r="U162" i="3"/>
  <c r="T162" i="3" s="1"/>
</calcChain>
</file>

<file path=xl/comments1.xml><?xml version="1.0" encoding="utf-8"?>
<comments xmlns="http://schemas.openxmlformats.org/spreadsheetml/2006/main">
  <authors>
    <author>SACHIN</author>
  </authors>
  <commentList>
    <comment ref="C9" authorId="0" shapeId="0">
      <text>
        <r>
          <rPr>
            <b/>
            <sz val="18"/>
            <color indexed="81"/>
            <rFont val="Tahoma"/>
            <family val="2"/>
          </rPr>
          <t>SACHIN:</t>
        </r>
        <r>
          <rPr>
            <sz val="18"/>
            <color indexed="81"/>
            <rFont val="Tahoma"/>
            <family val="2"/>
          </rPr>
          <t xml:space="preserve">
As per initiation Mail</t>
        </r>
      </text>
    </comment>
    <comment ref="C10" authorId="0" shapeId="0">
      <text>
        <r>
          <rPr>
            <b/>
            <sz val="9"/>
            <color indexed="81"/>
            <rFont val="Tahoma"/>
            <family val="2"/>
          </rPr>
          <t>SACHIN:</t>
        </r>
        <r>
          <rPr>
            <sz val="9"/>
            <color indexed="81"/>
            <rFont val="Tahoma"/>
            <family val="2"/>
          </rPr>
          <t xml:space="preserve">
As per plans</t>
        </r>
      </text>
    </comment>
    <comment ref="C11" authorId="0" shapeId="0">
      <text>
        <r>
          <rPr>
            <b/>
            <sz val="9"/>
            <color indexed="81"/>
            <rFont val="Tahoma"/>
            <family val="2"/>
          </rPr>
          <t>SACHIN:</t>
        </r>
        <r>
          <rPr>
            <sz val="9"/>
            <color indexed="81"/>
            <rFont val="Tahoma"/>
            <family val="2"/>
          </rPr>
          <t xml:space="preserve">
As per maps</t>
        </r>
      </text>
    </comment>
    <comment ref="C17" authorId="0" shapeId="0">
      <text>
        <r>
          <rPr>
            <b/>
            <sz val="12"/>
            <color indexed="81"/>
            <rFont val="Tahoma"/>
            <family val="2"/>
          </rPr>
          <t>Maybe same as RERA Registration Validity or different</t>
        </r>
      </text>
    </comment>
    <comment ref="G17" authorId="0" shapeId="0">
      <text>
        <r>
          <rPr>
            <b/>
            <sz val="18"/>
            <color indexed="81"/>
            <rFont val="Tahoma"/>
            <family val="2"/>
          </rPr>
          <t>From Rera</t>
        </r>
      </text>
    </comment>
    <comment ref="G20" authorId="0" shapeId="0">
      <text>
        <r>
          <rPr>
            <b/>
            <sz val="16"/>
            <color indexed="81"/>
            <rFont val="Tahoma"/>
            <family val="2"/>
          </rPr>
          <t>From RERA</t>
        </r>
      </text>
    </comment>
    <comment ref="G21" authorId="0" shapeId="0">
      <text>
        <r>
          <rPr>
            <b/>
            <sz val="16"/>
            <color indexed="81"/>
            <rFont val="Tahoma"/>
            <family val="2"/>
          </rPr>
          <t>From RERA</t>
        </r>
      </text>
    </comment>
    <comment ref="G27" authorId="0" shapeId="0">
      <text>
        <r>
          <rPr>
            <b/>
            <sz val="12"/>
            <color indexed="81"/>
            <rFont val="Tahoma"/>
            <family val="2"/>
          </rPr>
          <t>SACHIN:</t>
        </r>
        <r>
          <rPr>
            <sz val="12"/>
            <color indexed="81"/>
            <rFont val="Tahoma"/>
            <family val="2"/>
          </rPr>
          <t xml:space="preserve">
Road size should be in metre</t>
        </r>
      </text>
    </comment>
    <comment ref="G115" authorId="0" shapeId="0">
      <text>
        <r>
          <rPr>
            <b/>
            <sz val="16"/>
            <color indexed="81"/>
            <rFont val="Tahoma"/>
            <family val="2"/>
          </rPr>
          <t>Ready Recknor</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<sst xmlns="http://schemas.openxmlformats.org/spreadsheetml/2006/main" count="628" uniqueCount="379">
  <si>
    <t>Boundaries</t>
  </si>
  <si>
    <t>North</t>
  </si>
  <si>
    <t>East</t>
  </si>
  <si>
    <t>West</t>
  </si>
  <si>
    <t>:</t>
  </si>
  <si>
    <t>As per Actual at site</t>
  </si>
  <si>
    <t>South</t>
  </si>
  <si>
    <t>As per Site / Actual</t>
  </si>
  <si>
    <t>Government Guideline/ Circle rate for Land (Rs per sqft)</t>
  </si>
  <si>
    <t>Authorized Signatory Name &amp; Signature</t>
  </si>
  <si>
    <t>Name of Valuation Agency</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</si>
  <si>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</si>
  <si>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</si>
  <si>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</si>
  <si>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</si>
  <si>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</si>
  <si>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</si>
  <si>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</si>
  <si>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</si>
  <si>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</si>
  <si>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</si>
  <si>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</si>
  <si>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</si>
  <si>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</si>
  <si>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</si>
  <si>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</si>
  <si>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</si>
  <si>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</si>
  <si>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</si>
  <si>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</si>
  <si>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</si>
  <si>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</si>
  <si>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</si>
  <si>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</si>
  <si>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</si>
  <si>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</si>
  <si>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</si>
  <si>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</si>
  <si>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</si>
  <si>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</si>
  <si>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</si>
  <si>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</si>
  <si>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</si>
  <si>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</si>
  <si>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</si>
  <si>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</si>
  <si>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</si>
  <si>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</si>
  <si>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</si>
  <si>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</si>
  <si>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</si>
  <si>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</si>
  <si>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</si>
  <si>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</si>
  <si>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</si>
  <si>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</si>
  <si>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</si>
  <si>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</si>
  <si>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</si>
  <si>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</si>
  <si>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</si>
  <si>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</si>
  <si>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</si>
  <si>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</si>
  <si>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</si>
  <si>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</si>
  <si>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</si>
  <si>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</si>
  <si>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</si>
  <si>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</si>
  <si>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</si>
  <si>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</si>
  <si>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</si>
  <si>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</si>
  <si>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</si>
  <si>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Car Parking Charges</t>
  </si>
  <si>
    <t>Site &amp; Building/Tower Photographs</t>
  </si>
  <si>
    <t>Location Cum Root Map (Satelite View)</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</si>
  <si>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</si>
  <si>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</si>
  <si>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</si>
  <si>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</si>
  <si>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</si>
  <si>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</si>
  <si>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</si>
  <si>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</si>
  <si>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</si>
  <si>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</si>
  <si>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</si>
  <si>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Sale</t>
  </si>
  <si>
    <t>Description</t>
  </si>
  <si>
    <t>Gross Carpet area</t>
  </si>
  <si>
    <t>Attached Terrace area</t>
  </si>
  <si>
    <t>Permissible Built up Area (In Sq.Mt)</t>
  </si>
  <si>
    <t>Proposed Built up Area (In Sq.Mt)</t>
  </si>
  <si>
    <t>Plot Area (In Sq.Mt)</t>
  </si>
  <si>
    <t>-</t>
  </si>
  <si>
    <t>Yes</t>
  </si>
  <si>
    <t>III</t>
  </si>
  <si>
    <t>No</t>
  </si>
  <si>
    <t>Low</t>
  </si>
  <si>
    <t>None</t>
  </si>
  <si>
    <t>Other Charges</t>
  </si>
  <si>
    <t>Ground</t>
  </si>
  <si>
    <t>Plinth</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</si>
  <si>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</si>
  <si>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</si>
  <si>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</si>
  <si>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</si>
  <si>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</si>
  <si>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</si>
  <si>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</si>
  <si>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</si>
  <si>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</si>
  <si>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</si>
  <si>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</si>
  <si>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</si>
  <si>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</si>
  <si>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</si>
  <si>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</si>
  <si>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</si>
  <si>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</si>
  <si>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</si>
  <si>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</si>
  <si>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</si>
  <si>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</si>
  <si>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</si>
  <si>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</si>
  <si>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</si>
  <si>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</si>
  <si>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</si>
  <si>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</si>
  <si>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</si>
  <si>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</si>
  <si>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</si>
  <si>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</si>
  <si>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</si>
  <si>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</si>
  <si>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</si>
  <si>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</si>
  <si>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</si>
  <si>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</si>
  <si>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</si>
  <si>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</si>
  <si>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</si>
  <si>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</si>
  <si>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</si>
  <si>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</si>
  <si>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</si>
  <si>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</si>
  <si>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</si>
  <si>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</si>
  <si>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</si>
  <si>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</si>
  <si>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</si>
  <si>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Total</t>
  </si>
  <si>
    <t>Rate of Flat Per Sq. Ft. 
(on Carpet area)</t>
  </si>
  <si>
    <t>Floor Rise Per Sq. Ft.
(on Carpet area)</t>
  </si>
  <si>
    <t>Date &amp; Time of Site Visit</t>
  </si>
  <si>
    <t>On Carpet area</t>
  </si>
  <si>
    <t>Location Link</t>
  </si>
  <si>
    <t xml:space="preserve">Layout </t>
  </si>
  <si>
    <t>Latitude, Longitude</t>
  </si>
  <si>
    <t>Landmark</t>
  </si>
  <si>
    <t>Total Gross 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</si>
  <si>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</si>
  <si>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</si>
  <si>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</si>
  <si>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</si>
  <si>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</si>
  <si>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</si>
  <si>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</si>
  <si>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</si>
  <si>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</si>
  <si>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</si>
  <si>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</si>
  <si>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</si>
  <si>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</si>
  <si>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</si>
  <si>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</si>
  <si>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</si>
  <si>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</si>
  <si>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</si>
  <si>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</si>
  <si>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</si>
  <si>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</si>
  <si>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</si>
  <si>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</si>
  <si>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</si>
  <si>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</si>
  <si>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</si>
  <si>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</si>
  <si>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</si>
  <si>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</si>
  <si>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</si>
  <si>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</si>
  <si>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</si>
  <si>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</si>
  <si>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</si>
  <si>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</si>
  <si>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</si>
  <si>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</si>
  <si>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</si>
  <si>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</si>
  <si>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</si>
  <si>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</si>
  <si>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</si>
  <si>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</si>
  <si>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</si>
  <si>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</si>
  <si>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</si>
  <si>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</si>
  <si>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</si>
  <si>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</si>
  <si>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</si>
  <si>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</si>
  <si>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</si>
  <si>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</si>
  <si>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</si>
  <si>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</si>
  <si>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</si>
  <si>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</si>
  <si>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</si>
  <si>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</si>
  <si>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</si>
  <si>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</si>
  <si>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</si>
  <si>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As per Layout</t>
  </si>
  <si>
    <t>Boundaries Matching
(If No, then reason thereon)</t>
  </si>
  <si>
    <t xml:space="preserve">Date: </t>
  </si>
  <si>
    <t xml:space="preserve">Date: 
</t>
  </si>
  <si>
    <t>Unit Details, Nomenclature and Area Details (Flats)</t>
  </si>
  <si>
    <t>Flat No.
(Approved
Plan)</t>
  </si>
  <si>
    <t>Flat No.
(Sale Plan)</t>
  </si>
  <si>
    <t>Sale /         Rehab /           PAP</t>
  </si>
  <si>
    <t>Balcony Area</t>
  </si>
  <si>
    <t>*</t>
  </si>
  <si>
    <t xml:space="preserve">We considered Carpet area as per Approved Plan.
</t>
  </si>
  <si>
    <t xml:space="preserve">We have considered rate by verifying it from market inquire.
</t>
  </si>
  <si>
    <t xml:space="preserve">Car parking is subjected to authentic documentation.
</t>
  </si>
  <si>
    <t>As the project is redevelopement project but rehab statement or rehab flats is not mentioned approved layout plan &amp; floor plan.</t>
  </si>
  <si>
    <t>Remark for NOCs</t>
  </si>
  <si>
    <t>Net Plot Area (In Sq.Mt)</t>
  </si>
  <si>
    <t>Unit Details, Nomenclature and Area Details (Commercial)</t>
  </si>
  <si>
    <t>Grand Total</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</si>
  <si>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</si>
  <si>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</si>
  <si>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</si>
  <si>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</si>
  <si>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</si>
  <si>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</si>
  <si>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</si>
  <si>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theme="1"/>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</si>
  <si>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</si>
  <si>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</si>
  <si>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</si>
  <si>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</si>
  <si>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</si>
  <si>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</si>
  <si>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</si>
  <si>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</si>
  <si>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As building have received First CC on 08/05/2015 still building is still under construction.</t>
  </si>
  <si>
    <t>Since the project has received first CC on 17/01/2020, But construction work of Wing A is not yet started. Please provide revised approved CC for Wing A.</t>
  </si>
  <si>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</si>
  <si>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theme="1"/>
        <rFont val="Calibri"/>
        <family val="2"/>
      </rPr>
      <t>, 5 shops &amp; 6 Flats are Rehab Flats. The same letter is attached below.</t>
    </r>
  </si>
  <si>
    <t>High tension lines are passing nearby project Project Name. Please provide Power Noc.</t>
  </si>
  <si>
    <t>As Flat No. 201, 202, 203 &amp; 204 consists of large terrace area but dimension of that area is not mentioned. Therefore we have not considered terrace area for that flat.</t>
  </si>
  <si>
    <t>Electric Lines are passing above the project</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</si>
  <si>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</si>
  <si>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</si>
  <si>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</si>
  <si>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 xml:space="preserve">Floor No </t>
  </si>
  <si>
    <t>Flat</t>
  </si>
  <si>
    <t>Discription</t>
  </si>
  <si>
    <t>Carpet</t>
  </si>
  <si>
    <t>Fungible</t>
  </si>
  <si>
    <t>Terrace</t>
  </si>
  <si>
    <t>L</t>
  </si>
  <si>
    <t>W</t>
  </si>
  <si>
    <t>A</t>
  </si>
  <si>
    <t>Hall</t>
  </si>
  <si>
    <t>Balcony</t>
  </si>
  <si>
    <t>CB</t>
  </si>
  <si>
    <t>kitch</t>
  </si>
  <si>
    <t>FB</t>
  </si>
  <si>
    <t>Bed1</t>
  </si>
  <si>
    <t>Bed2</t>
  </si>
  <si>
    <t>Bed3</t>
  </si>
  <si>
    <t>Bed4</t>
  </si>
  <si>
    <t>DB</t>
  </si>
  <si>
    <t>toilet2</t>
  </si>
  <si>
    <t>toilet3</t>
  </si>
  <si>
    <t>toilet4</t>
  </si>
  <si>
    <t>passage1</t>
  </si>
  <si>
    <t>passage2</t>
  </si>
  <si>
    <t>passage3</t>
  </si>
  <si>
    <t>passage4</t>
  </si>
  <si>
    <t>Servant room</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</si>
  <si>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</si>
  <si>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</si>
  <si>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</si>
  <si>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</si>
  <si>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 xml:space="preserve">Tower 2 </t>
  </si>
  <si>
    <t xml:space="preserve">Tower 3 </t>
  </si>
  <si>
    <t xml:space="preserve">Tower 4 </t>
  </si>
  <si>
    <t>Upper</t>
  </si>
  <si>
    <t>Bitumen</t>
  </si>
  <si>
    <t>7 RCC
3Brick 
2 plaster</t>
  </si>
  <si>
    <t>Mr. Suraj Khare</t>
  </si>
  <si>
    <t>P51800080319</t>
  </si>
  <si>
    <t>Konark Vaayu</t>
  </si>
  <si>
    <t>White Berry Buildtech LLP</t>
  </si>
  <si>
    <t>Mumbai-RO Thane</t>
  </si>
  <si>
    <t>13th Floor, B - 1305, Kohinoor Square, Plot No. 46, N.C. Kelkar Marg, Opp. Shivsena Bhavan, Dadar(W), Mumbai, Maharashtra, India, 400028.</t>
  </si>
  <si>
    <t>Konark Vaayu, Ganesh Nagar, off Swami Vivekananda Road, opposite to DLH UDAKA, Best Nagar, Goregaon West, Mumbai, Maharashtra 400104</t>
  </si>
  <si>
    <t xml:space="preserve">White Berry Buildtech LLP (Konark Developers)
</t>
  </si>
  <si>
    <t>Proposed Slum Rehablitation Scheme on Plot Bearing CTS No. 22/A/3, 22/A/4 (Pt), 22/A/5, 22/A/6, 22/A/7A (Pt) &amp; 22/A/12(Pt) of Village Goregaon, Tal- Malad, Near Siddhivinayak Temple, Oshiwara Bridge, SV Road, Goregaon (W), in Mumbai Suburban District</t>
  </si>
  <si>
    <t>Slum Rehabilitation Authority (SRA)</t>
  </si>
  <si>
    <t>ICICI BANK LIMITED
IFSC Code - ICIC0001209</t>
  </si>
  <si>
    <t>19.151349,72.842650</t>
  </si>
  <si>
    <t>https://maps.app.goo.gl/nnkwup6JSinfDnG67</t>
  </si>
  <si>
    <t>Goregaon Pearl CHS</t>
  </si>
  <si>
    <t>Kids’ Play Area, Indoor Games Arena, Mini Theatre, Yoga And Zumba Zone, Temple Within Premises, Senior Citizens’ Zone, Guest Room, Kids’ Pool</t>
  </si>
  <si>
    <t>https://www.konark-vaayu-salesoffice.com/?gad_source=1&amp;gad_campaignid=22851379851&amp;gbraid=0AAAAA-P9vJ7SwkDxOcm--OpGMCAoXnaSI&amp;gclid=EAIaIQobChMI0_DDzYKtjwMVa6NmAh0sVy8yEAAYAiAAEgLC__D_BwE#amenities</t>
  </si>
  <si>
    <t>18.30m</t>
  </si>
  <si>
    <t>About 0.7KM from GM International School</t>
  </si>
  <si>
    <t>0.45 KM from Best Nagar (Goregaon- W) Bus Stop</t>
  </si>
  <si>
    <t>About 1.4K from  SRV Hospital - Goregaon</t>
  </si>
  <si>
    <t>1. Approx. 1.4KM from Harmony Mall.
2. Approx. 3.1KM from Inorbit Mall.</t>
  </si>
  <si>
    <t>1.3KM from Ram Mandir Railway Station
2.3KM from Goregaon Railway Station</t>
  </si>
  <si>
    <t>ADJ CTS No. 21</t>
  </si>
  <si>
    <t>CTS No. 22A/4 / ADJ Road</t>
  </si>
  <si>
    <t>ADJ CTS No. 1 / ADJ Nalla</t>
  </si>
  <si>
    <t>Goregaon CHS /Slum / Swami Vivekananda Rd</t>
  </si>
  <si>
    <t>BEST Nagar- 1 CHS</t>
  </si>
  <si>
    <t>Road No. 6</t>
  </si>
  <si>
    <t>ADJ CTS No. 22/A/13 / 18.30M Wide Existing Road</t>
  </si>
  <si>
    <t>Slum / Nalla</t>
  </si>
  <si>
    <t>Building No. 1</t>
  </si>
  <si>
    <t>P-S/MHADA/0024/20060502/AP/RB-1</t>
  </si>
  <si>
    <t>This C.C is granted for work up to Plinth C.C. including basement.</t>
  </si>
  <si>
    <t xml:space="preserve">JUHU/WEST/B/110924/1338261
</t>
  </si>
  <si>
    <t>Site Elevation in mtr (AMSL) = 6.2m
Top Elevation in mtr (AMSL) = 137.23m</t>
  </si>
  <si>
    <t xml:space="preserve">Valid Upto Date: 
</t>
  </si>
  <si>
    <t>SIA/MH/INFRA2/438230/2023
CTS No. 22/A/3, 22/A/4 (Pt), 22/A/5, 22/A/6, 22/A/7A (Pt) &amp; 22/A/12(Pt)
Plot Area = 11092.05 Sqm,
Relocate MHADA =1114.15 Sqm
Balance Plot Area = 9977.90 Sqm
Proposed BUA = 75352.83 Sqm
Rehab Building 1 = B + G/St + 1st to 22nd Floor
Sale/ Rehab Building 2 = G + 1st to 23rd Floor 
Sale Building. 3 = G + 1st to 39th Floor
Composite Building 5 = G + 1st to 5th Floor</t>
  </si>
  <si>
    <t>v</t>
  </si>
  <si>
    <t>Not Started</t>
  </si>
  <si>
    <t>Mr. Sumit Mane Sales
8693863541</t>
  </si>
  <si>
    <t>28/08/2025 at 2:00PM</t>
  </si>
  <si>
    <t>Approved Layout Plan, RERA certificate, EC, Airport NOC, Cost sheet</t>
  </si>
  <si>
    <t>Sale Building No. 1</t>
  </si>
  <si>
    <t>Ground Floor For Entrance Lobby, BMS Room &amp; Parking</t>
  </si>
  <si>
    <t>B + G + 1st to 40th Floor</t>
  </si>
  <si>
    <t>B + G + 1st to 51st Floor</t>
  </si>
  <si>
    <t>1st to 8th Podium Floor For Parking</t>
  </si>
  <si>
    <t>9th Podium Floor For Refuge Area &amp; Fitness Center</t>
  </si>
  <si>
    <t>10th Floor For Amenity (Fitness Center, Swimming Pool, Kids Pool &amp; Ganesh Mandir)</t>
  </si>
  <si>
    <t>2BHK</t>
  </si>
  <si>
    <t>1BHK</t>
  </si>
  <si>
    <t>3BHK</t>
  </si>
  <si>
    <t>11th to 15th, 17th to 22nd, 24th to 29th, 31st to 36th &amp; 38th to 40th Floor For Residential</t>
  </si>
  <si>
    <t>16th, 23rd, 30th &amp; 37th Floor (Part Refuge Area)</t>
  </si>
  <si>
    <t>Refuge Area</t>
  </si>
  <si>
    <t>RERA Carpet area</t>
  </si>
  <si>
    <t>Flats</t>
  </si>
  <si>
    <t>Work not yet Started.</t>
  </si>
  <si>
    <t>Mr.Sanket Salvi</t>
  </si>
  <si>
    <t>Flats = 344</t>
  </si>
  <si>
    <t>As per RERA Site Flats =  344</t>
  </si>
  <si>
    <t>Konark Vaayu, CTS No.22/A/3, 22/A/4 (Pt), 22/A/5, 22/A/6, 22/A/7A (Pt) &amp; 22/A/12(Pt), near Goregaon Pearl CHS, Swami Vivekanand Road, , Goregaon, Goregaon West, Borivali, Mumbai - 400104</t>
  </si>
  <si>
    <t>https://www.konark-vaayu-salesoffice.com/?gad_source=1&amp;gad_campaignid=22851379851&amp;gbraid=0AAAAA-P9vJ6e2TZw8cC_ljpZhO-t6gUQx&amp;gclid=Cj0KCQjwn8XFBhCxARIsAMyH8BuHtjAQWknhEUStL6lBcD7MGS_9pObBHQJY_zxuFRpScyjPzDr2xpwaAudNEALw_wcB</t>
  </si>
  <si>
    <t>23000 to 24000</t>
  </si>
  <si>
    <t>Nalla is located at South direction of Project Konark Vaayu.</t>
  </si>
  <si>
    <t>Basement For Pump Room</t>
  </si>
  <si>
    <t xml:space="preserve">CC Details
Valid Up to: </t>
  </si>
  <si>
    <t>Service Floor in between 29th &amp; 30th Floor</t>
  </si>
  <si>
    <t>Service Floor in between 30th &amp; 31st Floor</t>
  </si>
  <si>
    <t xml:space="preserve">We have referred approved CC &amp; Floor Plans from RERA site on 01/09/2025.
</t>
  </si>
  <si>
    <t>We considered Gross carpet area = Net carpet.</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</si>
</sst>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sz val="12"/>
      <color indexed="81"/>
      <name val="Tahoma"/>
      <family val="2"/>
    </font>
    <font>
      <sz val="18"/>
      <color indexed="81"/>
      <name val="Tahoma"/>
      <family val="2"/>
    </font>
    <font>
      <b/>
      <sz val="11"/>
      <color rgb="FF000000"/>
      <name val="Calibri"/>
      <family val="2"/>
    </font>
    <font>
      <b/>
      <sz val="9"/>
      <color indexed="81"/>
      <name val="Tahoma"/>
      <family val="2"/>
    </font>
    <font>
      <sz val="9"/>
      <color indexed="81"/>
      <name val="Tahoma"/>
      <family val="2"/>
    </font>
    <font>
      <u/>
      <sz val="11"/>
      <color theme="10"/>
      <name val="Calibri"/>
      <family val="2"/>
    </font>
    <font>
      <u/>
      <sz val="16"/>
      <color theme="10"/>
      <name val="Times New Roman"/>
      <family val="1"/>
    </font>
  </fonts>
  <fills count="1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
    <xf numFmtId="0" fontId="0" fillId="0" borderId="0"/>
    <xf numFmtId="0" fontId="1" fillId="0" borderId="0"/>
    <xf numFmtId="0" fontId="25" fillId="0" borderId="0" applyNumberFormat="0" applyFill="0" applyBorder="0" applyAlignment="0" applyProtection="0"/>
  </cellStyleXfs>
  <cellXfs count="205">
    <xf numFmtId="0" fontId="0" fillId="0" borderId="0" xfId="0"/>
    <xf numFmtId="0" fontId="3" fillId="0" borderId="0" xfId="0" applyFont="1" applyAlignment="1">
      <alignment vertical="top"/>
    </xf>
    <xf numFmtId="0" fontId="2" fillId="0" borderId="1" xfId="0" applyFont="1" applyBorder="1" applyAlignment="1">
      <alignment horizontal="center" vertical="top" wrapText="1"/>
    </xf>
    <xf numFmtId="0" fontId="3" fillId="3" borderId="0" xfId="0" applyFont="1" applyFill="1" applyAlignment="1">
      <alignment vertical="top"/>
    </xf>
    <xf numFmtId="0" fontId="3" fillId="0" borderId="0" xfId="0" applyFont="1" applyAlignment="1">
      <alignment horizontal="center" vertical="top"/>
    </xf>
    <xf numFmtId="9" fontId="4" fillId="4" borderId="1" xfId="1" applyNumberFormat="1" applyFont="1" applyFill="1" applyBorder="1" applyAlignment="1" applyProtection="1">
      <alignment horizontal="center" vertical="center" wrapText="1"/>
      <protection hidden="1"/>
    </xf>
    <xf numFmtId="1" fontId="6" fillId="4" borderId="1" xfId="1" applyNumberFormat="1" applyFont="1" applyFill="1" applyBorder="1" applyAlignment="1">
      <alignment horizontal="center" vertical="center" wrapText="1"/>
    </xf>
    <xf numFmtId="0" fontId="4" fillId="4" borderId="9" xfId="0" applyFont="1" applyFill="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0" xfId="0" applyFont="1" applyFill="1" applyBorder="1" applyAlignment="1">
      <alignment vertical="top" wrapText="1"/>
    </xf>
    <xf numFmtId="0" fontId="4" fillId="4" borderId="0" xfId="0" applyFont="1" applyFill="1" applyAlignment="1">
      <alignment vertical="top" wrapText="1"/>
    </xf>
    <xf numFmtId="0" fontId="4" fillId="4" borderId="12" xfId="0" applyFont="1" applyFill="1" applyBorder="1" applyAlignment="1">
      <alignment vertical="top" wrapText="1"/>
    </xf>
    <xf numFmtId="0" fontId="4" fillId="4" borderId="8" xfId="0" applyFont="1" applyFill="1" applyBorder="1" applyAlignment="1">
      <alignment vertical="top" wrapText="1"/>
    </xf>
    <xf numFmtId="0" fontId="3" fillId="0" borderId="14" xfId="1" applyFont="1" applyBorder="1" applyProtection="1">
      <protection hidden="1"/>
    </xf>
    <xf numFmtId="0" fontId="3" fillId="0" borderId="0" xfId="1" applyFont="1" applyProtection="1">
      <protection hidden="1"/>
    </xf>
    <xf numFmtId="0" fontId="3" fillId="0" borderId="15" xfId="1" applyFont="1" applyBorder="1" applyProtection="1">
      <protection hidden="1"/>
    </xf>
    <xf numFmtId="0" fontId="3" fillId="0" borderId="15"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6" xfId="0" applyFont="1" applyBorder="1" applyProtection="1">
      <protection hidden="1"/>
    </xf>
    <xf numFmtId="0" fontId="7" fillId="0" borderId="0" xfId="1" applyFont="1" applyAlignment="1">
      <alignment horizontal="center" vertical="center"/>
    </xf>
    <xf numFmtId="0" fontId="10" fillId="0" borderId="15" xfId="0" applyFont="1" applyBorder="1" applyProtection="1">
      <protection hidden="1"/>
    </xf>
    <xf numFmtId="1" fontId="11" fillId="0" borderId="15" xfId="0" applyNumberFormat="1" applyFont="1" applyBorder="1"/>
    <xf numFmtId="1" fontId="11" fillId="0" borderId="15" xfId="0" applyNumberFormat="1" applyFont="1" applyBorder="1" applyAlignment="1">
      <alignment horizontal="right"/>
    </xf>
    <xf numFmtId="1" fontId="11" fillId="0" borderId="17"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2" fillId="0" borderId="1" xfId="1" applyNumberFormat="1" applyFont="1" applyBorder="1" applyAlignment="1">
      <alignment horizontal="center" vertical="top" wrapText="1"/>
    </xf>
    <xf numFmtId="0" fontId="4" fillId="4" borderId="1" xfId="0" applyFont="1" applyFill="1" applyBorder="1" applyAlignment="1">
      <alignment horizontal="center" vertical="top" wrapText="1"/>
    </xf>
    <xf numFmtId="0" fontId="4" fillId="0" borderId="1" xfId="0" applyFont="1" applyBorder="1" applyAlignment="1">
      <alignment vertical="top" wrapText="1"/>
    </xf>
    <xf numFmtId="0" fontId="0" fillId="7" borderId="1" xfId="0" applyFill="1" applyBorder="1" applyAlignment="1">
      <alignment horizontal="left" vertical="center" wrapText="1"/>
    </xf>
    <xf numFmtId="0" fontId="17"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8" fillId="0" borderId="1" xfId="0" applyFont="1" applyBorder="1"/>
    <xf numFmtId="1" fontId="18" fillId="0" borderId="1" xfId="0" applyNumberFormat="1" applyFont="1" applyBorder="1"/>
    <xf numFmtId="0" fontId="19" fillId="10" borderId="18" xfId="0" applyFont="1" applyFill="1" applyBorder="1" applyAlignment="1">
      <alignment vertical="center"/>
    </xf>
    <xf numFmtId="0" fontId="19" fillId="10" borderId="18" xfId="0" applyFont="1" applyFill="1" applyBorder="1" applyAlignment="1">
      <alignment horizontal="center" vertical="center"/>
    </xf>
    <xf numFmtId="0" fontId="17" fillId="0" borderId="18" xfId="0" applyFont="1" applyBorder="1" applyAlignment="1">
      <alignment horizontal="right" vertical="center"/>
    </xf>
    <xf numFmtId="0" fontId="17" fillId="0" borderId="18" xfId="0" applyFont="1" applyBorder="1" applyAlignment="1">
      <alignment vertical="center" wrapText="1"/>
    </xf>
    <xf numFmtId="9" fontId="17" fillId="0" borderId="18" xfId="0" applyNumberFormat="1" applyFont="1" applyBorder="1" applyAlignment="1">
      <alignment horizontal="center" vertical="center"/>
    </xf>
    <xf numFmtId="9" fontId="17" fillId="0" borderId="19" xfId="0" applyNumberFormat="1" applyFont="1" applyBorder="1" applyAlignment="1">
      <alignment horizontal="center" vertical="center"/>
    </xf>
    <xf numFmtId="0" fontId="4" fillId="11" borderId="1" xfId="0" applyFont="1" applyFill="1" applyBorder="1" applyAlignment="1">
      <alignment vertical="top" wrapText="1"/>
    </xf>
    <xf numFmtId="0" fontId="9" fillId="4" borderId="1" xfId="1" applyFont="1" applyFill="1" applyBorder="1" applyAlignment="1" applyProtection="1">
      <alignment horizontal="center" vertical="center" wrapText="1"/>
      <protection hidden="1"/>
    </xf>
    <xf numFmtId="1" fontId="5" fillId="0" borderId="1" xfId="1" applyNumberFormat="1" applyFont="1" applyBorder="1" applyAlignment="1">
      <alignment horizontal="center" vertical="center" wrapText="1"/>
    </xf>
    <xf numFmtId="0" fontId="6" fillId="4" borderId="1" xfId="1" applyFont="1" applyFill="1" applyBorder="1" applyAlignment="1">
      <alignment horizontal="center" vertical="center" wrapText="1"/>
    </xf>
    <xf numFmtId="0" fontId="0" fillId="0" borderId="1" xfId="0" applyBorder="1" applyAlignment="1">
      <alignment horizontal="center" vertical="center"/>
    </xf>
    <xf numFmtId="0" fontId="15" fillId="0" borderId="1" xfId="0" applyFont="1" applyBorder="1" applyAlignment="1">
      <alignment horizontal="center" vertical="center"/>
    </xf>
    <xf numFmtId="0" fontId="0" fillId="0" borderId="1" xfId="0" applyBorder="1" applyAlignment="1">
      <alignment horizontal="left" vertical="top" wrapText="1"/>
    </xf>
    <xf numFmtId="0" fontId="0" fillId="0" borderId="1" xfId="0" applyBorder="1" applyAlignment="1">
      <alignment wrapText="1"/>
    </xf>
    <xf numFmtId="0" fontId="0" fillId="0" borderId="10" xfId="0" applyBorder="1" applyAlignment="1">
      <alignment horizontal="center" vertical="top"/>
    </xf>
    <xf numFmtId="0" fontId="0" fillId="0" borderId="1" xfId="0" applyBorder="1" applyAlignment="1">
      <alignment vertical="top" wrapText="1"/>
    </xf>
    <xf numFmtId="0" fontId="0" fillId="0" borderId="2" xfId="0" applyBorder="1"/>
    <xf numFmtId="0" fontId="0" fillId="0" borderId="10" xfId="0" applyBorder="1"/>
    <xf numFmtId="0" fontId="0" fillId="0" borderId="1" xfId="0" applyBorder="1" applyAlignment="1">
      <alignment horizontal="left" vertical="top"/>
    </xf>
    <xf numFmtId="0" fontId="0" fillId="0" borderId="0" xfId="0" applyAlignment="1">
      <alignment horizontal="left" vertical="top"/>
    </xf>
    <xf numFmtId="0" fontId="0" fillId="0" borderId="2" xfId="0" applyBorder="1" applyAlignment="1">
      <alignment horizontal="left" vertical="top"/>
    </xf>
    <xf numFmtId="0" fontId="0" fillId="0" borderId="2" xfId="0" applyBorder="1" applyAlignment="1">
      <alignment vertical="top"/>
    </xf>
    <xf numFmtId="0" fontId="0" fillId="0" borderId="0" xfId="0" applyAlignment="1">
      <alignment horizontal="center" vertical="center"/>
    </xf>
    <xf numFmtId="0" fontId="0" fillId="12" borderId="1" xfId="0" applyFill="1" applyBorder="1" applyAlignment="1">
      <alignment horizontal="center" vertical="center"/>
    </xf>
    <xf numFmtId="0" fontId="0" fillId="0" borderId="8" xfId="0" applyBorder="1" applyAlignment="1">
      <alignment horizontal="center" vertical="center"/>
    </xf>
    <xf numFmtId="0" fontId="0" fillId="13" borderId="1" xfId="0" applyFill="1" applyBorder="1" applyAlignment="1">
      <alignment horizontal="center" vertical="center"/>
    </xf>
    <xf numFmtId="0" fontId="0" fillId="14" borderId="1" xfId="0" applyFill="1" applyBorder="1" applyAlignment="1">
      <alignment horizontal="center" vertical="center"/>
    </xf>
    <xf numFmtId="0" fontId="0" fillId="3" borderId="1" xfId="0" applyFill="1" applyBorder="1" applyAlignment="1">
      <alignment horizontal="center" vertical="center"/>
    </xf>
    <xf numFmtId="0" fontId="3" fillId="0" borderId="0" xfId="0" applyFont="1" applyAlignment="1">
      <alignment vertical="top" wrapText="1"/>
    </xf>
    <xf numFmtId="0" fontId="4" fillId="4" borderId="1" xfId="0"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25" fillId="0" borderId="0" xfId="2" applyAlignment="1">
      <alignment vertical="top"/>
    </xf>
    <xf numFmtId="14" fontId="4" fillId="4" borderId="1" xfId="0" applyNumberFormat="1" applyFont="1" applyFill="1" applyBorder="1" applyAlignment="1">
      <alignment horizontal="center" vertical="top" wrapText="1"/>
    </xf>
    <xf numFmtId="0" fontId="3" fillId="4" borderId="1" xfId="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8" fillId="0" borderId="1" xfId="1" applyNumberFormat="1" applyFont="1" applyBorder="1" applyAlignment="1">
      <alignment horizontal="center" vertical="top" wrapText="1"/>
    </xf>
    <xf numFmtId="0" fontId="2" fillId="0" borderId="1" xfId="0" applyFont="1" applyBorder="1" applyAlignment="1">
      <alignment horizontal="center" vertical="top" wrapText="1"/>
    </xf>
    <xf numFmtId="2" fontId="3" fillId="0" borderId="0" xfId="0" applyNumberFormat="1" applyFont="1" applyAlignment="1">
      <alignment vertical="top"/>
    </xf>
    <xf numFmtId="1" fontId="3" fillId="0" borderId="0" xfId="0" applyNumberFormat="1" applyFont="1" applyAlignment="1">
      <alignment vertical="top"/>
    </xf>
    <xf numFmtId="2" fontId="10" fillId="0" borderId="0" xfId="0" applyNumberFormat="1" applyFont="1" applyProtection="1">
      <protection hidden="1"/>
    </xf>
    <xf numFmtId="0" fontId="2" fillId="2" borderId="12"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11" xfId="0"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4" borderId="1" xfId="0" applyFont="1" applyFill="1" applyBorder="1" applyAlignment="1">
      <alignment horizontal="left" vertical="top" wrapText="1"/>
    </xf>
    <xf numFmtId="0" fontId="3" fillId="4" borderId="1" xfId="0" applyFont="1" applyFill="1" applyBorder="1" applyAlignment="1">
      <alignment horizontal="left" vertical="top" wrapText="1"/>
    </xf>
    <xf numFmtId="0" fontId="26" fillId="4" borderId="1" xfId="2" applyFont="1" applyFill="1" applyBorder="1" applyAlignment="1">
      <alignment horizontal="left" vertical="top" wrapText="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2" fillId="0" borderId="1" xfId="0" applyFont="1" applyBorder="1" applyAlignment="1">
      <alignment horizontal="center" vertical="top" wrapText="1"/>
    </xf>
    <xf numFmtId="0" fontId="4" fillId="0" borderId="1" xfId="0" applyFont="1" applyBorder="1" applyAlignment="1">
      <alignment horizontal="center" vertical="top" wrapText="1"/>
    </xf>
    <xf numFmtId="0" fontId="4" fillId="0" borderId="7"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13" xfId="0" applyFont="1" applyBorder="1" applyAlignment="1">
      <alignment horizontal="left" vertical="top" wrapText="1"/>
    </xf>
    <xf numFmtId="0" fontId="4" fillId="0" borderId="1" xfId="0" applyFont="1" applyBorder="1" applyAlignment="1">
      <alignment horizontal="left" vertical="top" wrapText="1"/>
    </xf>
    <xf numFmtId="0" fontId="2" fillId="2" borderId="1" xfId="0" applyFont="1" applyFill="1" applyBorder="1" applyAlignment="1">
      <alignment horizontal="center" vertical="top"/>
    </xf>
    <xf numFmtId="9" fontId="2" fillId="4" borderId="1" xfId="1" applyNumberFormat="1" applyFont="1" applyFill="1" applyBorder="1" applyAlignment="1" applyProtection="1">
      <alignment horizontal="left" vertical="top"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8" fillId="0" borderId="12" xfId="0" applyFont="1" applyBorder="1" applyAlignment="1">
      <alignment horizontal="center" vertical="center" wrapText="1"/>
    </xf>
    <xf numFmtId="0" fontId="8" fillId="0" borderId="8" xfId="0" applyFont="1" applyBorder="1" applyAlignment="1">
      <alignment horizontal="center" vertical="center" wrapText="1"/>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1" xfId="0" applyNumberFormat="1" applyFont="1" applyFill="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2"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left" vertical="top"/>
    </xf>
    <xf numFmtId="0" fontId="9" fillId="4" borderId="2" xfId="0" applyFont="1" applyFill="1" applyBorder="1" applyAlignment="1">
      <alignment horizontal="left" vertical="top" wrapText="1"/>
    </xf>
    <xf numFmtId="0" fontId="4" fillId="0" borderId="3" xfId="0" applyFont="1" applyBorder="1" applyAlignment="1">
      <alignment horizontal="left" vertical="top" wrapText="1"/>
    </xf>
    <xf numFmtId="9" fontId="4" fillId="4" borderId="7" xfId="1" applyNumberFormat="1" applyFont="1" applyFill="1" applyBorder="1" applyAlignment="1" applyProtection="1">
      <alignment horizontal="center" vertical="center" wrapText="1"/>
      <protection hidden="1"/>
    </xf>
    <xf numFmtId="9" fontId="4" fillId="4" borderId="9" xfId="1" applyNumberFormat="1" applyFont="1" applyFill="1" applyBorder="1" applyAlignment="1" applyProtection="1">
      <alignment horizontal="center" vertical="center" wrapText="1"/>
      <protection hidden="1"/>
    </xf>
    <xf numFmtId="9" fontId="4" fillId="4" borderId="10" xfId="1" applyNumberFormat="1" applyFont="1" applyFill="1" applyBorder="1" applyAlignment="1" applyProtection="1">
      <alignment horizontal="center" vertical="center" wrapText="1"/>
      <protection hidden="1"/>
    </xf>
    <xf numFmtId="9" fontId="4" fillId="4" borderId="11" xfId="1" applyNumberFormat="1" applyFont="1" applyFill="1" applyBorder="1" applyAlignment="1" applyProtection="1">
      <alignment horizontal="center" vertical="center" wrapText="1"/>
      <protection hidden="1"/>
    </xf>
    <xf numFmtId="9" fontId="4" fillId="4" borderId="12" xfId="1" applyNumberFormat="1" applyFont="1" applyFill="1" applyBorder="1" applyAlignment="1" applyProtection="1">
      <alignment horizontal="center" vertical="center" wrapText="1"/>
      <protection hidden="1"/>
    </xf>
    <xf numFmtId="9" fontId="4" fillId="4" borderId="13" xfId="1" applyNumberFormat="1" applyFont="1" applyFill="1" applyBorder="1" applyAlignment="1" applyProtection="1">
      <alignment horizontal="center" vertical="center" wrapText="1"/>
      <protection hidden="1"/>
    </xf>
    <xf numFmtId="9" fontId="2" fillId="4" borderId="12" xfId="1" applyNumberFormat="1" applyFont="1" applyFill="1" applyBorder="1" applyAlignment="1" applyProtection="1">
      <alignment horizontal="center" vertical="center" wrapText="1"/>
      <protection hidden="1"/>
    </xf>
    <xf numFmtId="9" fontId="2" fillId="4" borderId="13" xfId="1" applyNumberFormat="1" applyFont="1" applyFill="1" applyBorder="1" applyAlignment="1" applyProtection="1">
      <alignment horizontal="center" vertical="center" wrapText="1"/>
      <protection hidden="1"/>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12" xfId="1" applyNumberFormat="1" applyFont="1" applyFill="1" applyBorder="1" applyAlignment="1">
      <alignment horizontal="center" vertical="center" wrapText="1"/>
    </xf>
    <xf numFmtId="1" fontId="5" fillId="4" borderId="8" xfId="1" applyNumberFormat="1" applyFont="1" applyFill="1" applyBorder="1" applyAlignment="1">
      <alignment horizontal="center" vertical="center" wrapText="1"/>
    </xf>
    <xf numFmtId="1" fontId="5" fillId="4" borderId="13" xfId="1" applyNumberFormat="1" applyFont="1" applyFill="1" applyBorder="1" applyAlignment="1">
      <alignment horizontal="center" vertical="center" wrapText="1"/>
    </xf>
    <xf numFmtId="1" fontId="5" fillId="4" borderId="20" xfId="1" applyNumberFormat="1" applyFont="1" applyFill="1" applyBorder="1" applyAlignment="1">
      <alignment horizontal="center" vertical="top" wrapText="1"/>
    </xf>
    <xf numFmtId="1" fontId="5" fillId="4" borderId="21" xfId="1" applyNumberFormat="1" applyFont="1" applyFill="1" applyBorder="1" applyAlignment="1">
      <alignment horizontal="center" vertical="top" wrapText="1"/>
    </xf>
    <xf numFmtId="1" fontId="5" fillId="4" borderId="22" xfId="1" applyNumberFormat="1" applyFont="1" applyFill="1" applyBorder="1" applyAlignment="1">
      <alignment horizontal="center" vertical="top" wrapText="1"/>
    </xf>
    <xf numFmtId="1" fontId="5" fillId="4" borderId="23"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9" xfId="0" applyFont="1" applyFill="1" applyBorder="1" applyAlignment="1">
      <alignment horizontal="center" vertical="top" wrapText="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5" fillId="4" borderId="7" xfId="1" applyNumberFormat="1" applyFont="1" applyFill="1" applyBorder="1" applyAlignment="1">
      <alignment horizontal="center" vertical="top" wrapText="1"/>
    </xf>
    <xf numFmtId="1" fontId="5" fillId="4" borderId="9" xfId="1" applyNumberFormat="1" applyFont="1" applyFill="1" applyBorder="1" applyAlignment="1">
      <alignment horizontal="center" vertical="top" wrapText="1"/>
    </xf>
    <xf numFmtId="0" fontId="4" fillId="0" borderId="1" xfId="0" applyFont="1" applyBorder="1" applyAlignment="1">
      <alignment horizontal="center" vertical="center" wrapText="1"/>
    </xf>
    <xf numFmtId="0" fontId="2" fillId="2" borderId="1"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2" fillId="2" borderId="1" xfId="0" applyFont="1" applyFill="1" applyBorder="1" applyAlignment="1">
      <alignment horizontal="left" vertical="top"/>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0" borderId="4" xfId="0" applyFont="1" applyBorder="1" applyAlignment="1">
      <alignment horizontal="left" vertical="top" wrapText="1"/>
    </xf>
    <xf numFmtId="0" fontId="4" fillId="0" borderId="10" xfId="0" applyFont="1" applyBorder="1" applyAlignment="1">
      <alignment horizontal="left" vertical="top" wrapText="1"/>
    </xf>
    <xf numFmtId="0" fontId="4" fillId="0" borderId="0" xfId="0" applyFont="1" applyAlignment="1">
      <alignment horizontal="left" vertical="top" wrapText="1"/>
    </xf>
    <xf numFmtId="0" fontId="4" fillId="0" borderId="11" xfId="0" applyFont="1" applyBorder="1" applyAlignment="1">
      <alignment horizontal="left" vertical="top" wrapText="1"/>
    </xf>
    <xf numFmtId="0" fontId="4" fillId="0" borderId="8" xfId="0" applyFont="1" applyBorder="1" applyAlignment="1">
      <alignment horizontal="left" vertical="top" wrapText="1"/>
    </xf>
    <xf numFmtId="0" fontId="4" fillId="0" borderId="6" xfId="0" applyFont="1" applyBorder="1" applyAlignment="1">
      <alignment horizontal="left" vertical="top" wrapText="1"/>
    </xf>
    <xf numFmtId="0" fontId="2" fillId="0" borderId="2" xfId="0" applyFont="1" applyBorder="1" applyAlignment="1">
      <alignment horizontal="center" vertical="center" wrapText="1"/>
    </xf>
    <xf numFmtId="0" fontId="2" fillId="0" borderId="5"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4" borderId="5" xfId="0" applyFont="1" applyFill="1" applyBorder="1" applyAlignment="1">
      <alignment horizontal="center" vertical="center" wrapText="1"/>
    </xf>
    <xf numFmtId="17" fontId="4" fillId="4" borderId="1"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2" xfId="1" applyNumberFormat="1" applyFont="1" applyFill="1" applyBorder="1" applyAlignment="1">
      <alignment horizontal="center" vertical="center" wrapText="1"/>
    </xf>
    <xf numFmtId="1" fontId="6" fillId="4" borderId="8"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3" fillId="4" borderId="2" xfId="0" applyFont="1" applyFill="1" applyBorder="1" applyAlignment="1">
      <alignment horizontal="left" vertical="top" wrapText="1"/>
    </xf>
    <xf numFmtId="0" fontId="3" fillId="4" borderId="3" xfId="0" applyFont="1" applyFill="1" applyBorder="1" applyAlignment="1">
      <alignment horizontal="left" vertical="top" wrapText="1"/>
    </xf>
    <xf numFmtId="0" fontId="3" fillId="4" borderId="5" xfId="0"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0" fontId="4" fillId="4" borderId="1" xfId="0" applyFont="1" applyFill="1" applyBorder="1" applyAlignment="1">
      <alignment horizontal="center"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0" fillId="0" borderId="1" xfId="0" applyBorder="1" applyAlignment="1">
      <alignment horizontal="center" vertical="center"/>
    </xf>
    <xf numFmtId="0" fontId="0" fillId="0" borderId="1" xfId="0" applyBorder="1" applyAlignment="1">
      <alignment horizontal="center"/>
    </xf>
    <xf numFmtId="0" fontId="16" fillId="6" borderId="1" xfId="0" applyFont="1" applyFill="1" applyBorder="1" applyAlignment="1">
      <alignment horizontal="center" vertical="center"/>
    </xf>
    <xf numFmtId="0" fontId="15" fillId="6" borderId="1" xfId="0" applyFont="1" applyFill="1" applyBorder="1" applyAlignment="1">
      <alignment horizontal="center" vertical="center"/>
    </xf>
    <xf numFmtId="0" fontId="15" fillId="0" borderId="1" xfId="0" applyFont="1" applyBorder="1" applyAlignment="1">
      <alignment horizontal="center" vertical="center"/>
    </xf>
    <xf numFmtId="0" fontId="16" fillId="6"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0" fontId="15" fillId="5" borderId="1" xfId="0" applyFont="1" applyFill="1" applyBorder="1" applyAlignment="1">
      <alignment horizontal="left" vertical="center"/>
    </xf>
    <xf numFmtId="1" fontId="4" fillId="4" borderId="1" xfId="1" applyNumberFormat="1" applyFont="1" applyFill="1" applyBorder="1" applyAlignment="1" applyProtection="1">
      <alignment horizontal="center" vertical="center" wrapText="1"/>
      <protection hidden="1"/>
    </xf>
    <xf numFmtId="0" fontId="2" fillId="4" borderId="1" xfId="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0" fillId="12" borderId="1" xfId="0" applyFill="1" applyBorder="1" applyAlignment="1">
      <alignment horizontal="center" vertical="center" wrapText="1"/>
    </xf>
    <xf numFmtId="0" fontId="15" fillId="13" borderId="1" xfId="0" applyFont="1" applyFill="1" applyBorder="1" applyAlignment="1">
      <alignment horizontal="center" vertical="center"/>
    </xf>
    <xf numFmtId="0" fontId="15" fillId="14" borderId="1" xfId="0" applyFont="1" applyFill="1" applyBorder="1" applyAlignment="1">
      <alignment horizontal="center" vertical="center"/>
    </xf>
    <xf numFmtId="0" fontId="15" fillId="3" borderId="1" xfId="0" applyFont="1" applyFill="1" applyBorder="1" applyAlignment="1">
      <alignment horizontal="center" vertical="center"/>
    </xf>
    <xf numFmtId="0" fontId="3" fillId="4" borderId="2" xfId="0" applyFont="1" applyFill="1" applyBorder="1" applyAlignment="1">
      <alignment horizontal="left" vertical="top"/>
    </xf>
    <xf numFmtId="0" fontId="3" fillId="4" borderId="5" xfId="0" applyFont="1" applyFill="1" applyBorder="1" applyAlignment="1">
      <alignment horizontal="left" vertical="top"/>
    </xf>
    <xf numFmtId="0" fontId="2" fillId="4" borderId="1" xfId="0" applyFont="1" applyFill="1" applyBorder="1" applyAlignment="1">
      <alignment horizontal="left" vertical="top"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FFFFF"/>
      <color rgb="FFFCF56A"/>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8</xdr:col>
      <xdr:colOff>134470</xdr:colOff>
      <xdr:row>7</xdr:row>
      <xdr:rowOff>302559</xdr:rowOff>
    </xdr:from>
    <xdr:to>
      <xdr:col>13</xdr:col>
      <xdr:colOff>329154</xdr:colOff>
      <xdr:row>9</xdr:row>
      <xdr:rowOff>600843</xdr:rowOff>
    </xdr:to>
    <xdr:pic>
      <xdr:nvPicPr>
        <xdr:cNvPr id="2" name="Picture 1">
          <a:extLst>
            <a:ext uri="{FF2B5EF4-FFF2-40B4-BE49-F238E27FC236}">
              <a16:creationId xmlns:a16="http://schemas.microsoft.com/office/drawing/2014/main" xmlns="" id="{16B159A5-0D09-4A14-93E4-F927A5696558}"/>
            </a:ext>
          </a:extLst>
        </xdr:cNvPr>
        <xdr:cNvPicPr>
          <a:picLocks noChangeAspect="1"/>
        </xdr:cNvPicPr>
      </xdr:nvPicPr>
      <xdr:blipFill>
        <a:blip xmlns:r="http://schemas.openxmlformats.org/officeDocument/2006/relationships" r:embed="rId1"/>
        <a:stretch>
          <a:fillRect/>
        </a:stretch>
      </xdr:blipFill>
      <xdr:spPr>
        <a:xfrm>
          <a:off x="9547411" y="3563471"/>
          <a:ext cx="5887272" cy="1486107"/>
        </a:xfrm>
        <a:prstGeom prst="rect">
          <a:avLst/>
        </a:prstGeom>
      </xdr:spPr>
    </xdr:pic>
    <xdr:clientData/>
  </xdr:twoCellAnchor>
  <xdr:twoCellAnchor editAs="oneCell">
    <xdr:from>
      <xdr:col>8</xdr:col>
      <xdr:colOff>168090</xdr:colOff>
      <xdr:row>42</xdr:row>
      <xdr:rowOff>156884</xdr:rowOff>
    </xdr:from>
    <xdr:to>
      <xdr:col>10</xdr:col>
      <xdr:colOff>720090</xdr:colOff>
      <xdr:row>49</xdr:row>
      <xdr:rowOff>226163</xdr:rowOff>
    </xdr:to>
    <xdr:pic>
      <xdr:nvPicPr>
        <xdr:cNvPr id="3" name="Picture 2">
          <a:extLst>
            <a:ext uri="{FF2B5EF4-FFF2-40B4-BE49-F238E27FC236}">
              <a16:creationId xmlns:a16="http://schemas.microsoft.com/office/drawing/2014/main" xmlns="" id="{CF6ABC8E-E50E-4E76-A2DE-0D0CEA9FD025}"/>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9581031" y="20327472"/>
          <a:ext cx="3600000" cy="1503632"/>
        </a:xfrm>
        <a:prstGeom prst="rect">
          <a:avLst/>
        </a:prstGeom>
      </xdr:spPr>
    </xdr:pic>
    <xdr:clientData/>
  </xdr:twoCellAnchor>
  <xdr:twoCellAnchor editAs="oneCell">
    <xdr:from>
      <xdr:col>8</xdr:col>
      <xdr:colOff>134471</xdr:colOff>
      <xdr:row>50</xdr:row>
      <xdr:rowOff>89649</xdr:rowOff>
    </xdr:from>
    <xdr:to>
      <xdr:col>11</xdr:col>
      <xdr:colOff>409147</xdr:colOff>
      <xdr:row>54</xdr:row>
      <xdr:rowOff>261977</xdr:rowOff>
    </xdr:to>
    <xdr:pic>
      <xdr:nvPicPr>
        <xdr:cNvPr id="4" name="Picture 3">
          <a:extLst>
            <a:ext uri="{FF2B5EF4-FFF2-40B4-BE49-F238E27FC236}">
              <a16:creationId xmlns:a16="http://schemas.microsoft.com/office/drawing/2014/main" xmlns="" id="{BE3F529A-623E-4D8C-AA01-7E310084B60B}"/>
            </a:ext>
          </a:extLst>
        </xdr:cNvPr>
        <xdr:cNvPicPr>
          <a:picLocks noChangeAspect="1"/>
        </xdr:cNvPicPr>
      </xdr:nvPicPr>
      <xdr:blipFill>
        <a:blip xmlns:r="http://schemas.openxmlformats.org/officeDocument/2006/relationships" r:embed="rId3"/>
        <a:stretch>
          <a:fillRect/>
        </a:stretch>
      </xdr:blipFill>
      <xdr:spPr>
        <a:xfrm>
          <a:off x="9547412" y="21952325"/>
          <a:ext cx="4320000" cy="1483417"/>
        </a:xfrm>
        <a:prstGeom prst="rect">
          <a:avLst/>
        </a:prstGeom>
      </xdr:spPr>
    </xdr:pic>
    <xdr:clientData/>
  </xdr:twoCellAnchor>
  <xdr:twoCellAnchor editAs="oneCell">
    <xdr:from>
      <xdr:col>8</xdr:col>
      <xdr:colOff>280147</xdr:colOff>
      <xdr:row>56</xdr:row>
      <xdr:rowOff>493060</xdr:rowOff>
    </xdr:from>
    <xdr:to>
      <xdr:col>10</xdr:col>
      <xdr:colOff>832147</xdr:colOff>
      <xdr:row>64</xdr:row>
      <xdr:rowOff>75502</xdr:rowOff>
    </xdr:to>
    <xdr:pic>
      <xdr:nvPicPr>
        <xdr:cNvPr id="5" name="Picture 4">
          <a:extLst>
            <a:ext uri="{FF2B5EF4-FFF2-40B4-BE49-F238E27FC236}">
              <a16:creationId xmlns:a16="http://schemas.microsoft.com/office/drawing/2014/main" xmlns="" id="{53AD08F5-A74B-4CB5-BBF3-039B6B46510B}"/>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9693088" y="26670001"/>
          <a:ext cx="3600000" cy="1980501"/>
        </a:xfrm>
        <a:prstGeom prst="rect">
          <a:avLst/>
        </a:prstGeom>
      </xdr:spPr>
    </xdr:pic>
    <xdr:clientData/>
  </xdr:twoCellAnchor>
  <xdr:twoCellAnchor editAs="oneCell">
    <xdr:from>
      <xdr:col>8</xdr:col>
      <xdr:colOff>268940</xdr:colOff>
      <xdr:row>53</xdr:row>
      <xdr:rowOff>11206</xdr:rowOff>
    </xdr:from>
    <xdr:to>
      <xdr:col>10</xdr:col>
      <xdr:colOff>820940</xdr:colOff>
      <xdr:row>55</xdr:row>
      <xdr:rowOff>679234</xdr:rowOff>
    </xdr:to>
    <xdr:pic>
      <xdr:nvPicPr>
        <xdr:cNvPr id="6" name="Picture 5">
          <a:extLst>
            <a:ext uri="{FF2B5EF4-FFF2-40B4-BE49-F238E27FC236}">
              <a16:creationId xmlns:a16="http://schemas.microsoft.com/office/drawing/2014/main" xmlns="" id="{C816DC76-E1E1-4C7C-B1BE-53D82E85205B}"/>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681881" y="23532353"/>
          <a:ext cx="3600000" cy="1205911"/>
        </a:xfrm>
        <a:prstGeom prst="rect">
          <a:avLst/>
        </a:prstGeom>
      </xdr:spPr>
    </xdr:pic>
    <xdr:clientData/>
  </xdr:twoCellAnchor>
  <xdr:twoCellAnchor editAs="oneCell">
    <xdr:from>
      <xdr:col>8</xdr:col>
      <xdr:colOff>78441</xdr:colOff>
      <xdr:row>55</xdr:row>
      <xdr:rowOff>717177</xdr:rowOff>
    </xdr:from>
    <xdr:to>
      <xdr:col>11</xdr:col>
      <xdr:colOff>92337</xdr:colOff>
      <xdr:row>55</xdr:row>
      <xdr:rowOff>1075765</xdr:rowOff>
    </xdr:to>
    <xdr:pic>
      <xdr:nvPicPr>
        <xdr:cNvPr id="7" name="Picture 6">
          <a:extLst>
            <a:ext uri="{FF2B5EF4-FFF2-40B4-BE49-F238E27FC236}">
              <a16:creationId xmlns:a16="http://schemas.microsoft.com/office/drawing/2014/main" xmlns="" id="{97ED83D0-57BC-4775-8E1B-67CDFE56F998}"/>
            </a:ext>
          </a:extLst>
        </xdr:cNvPr>
        <xdr:cNvPicPr>
          <a:picLocks noChangeAspect="1"/>
        </xdr:cNvPicPr>
      </xdr:nvPicPr>
      <xdr:blipFill>
        <a:blip xmlns:r="http://schemas.openxmlformats.org/officeDocument/2006/relationships" r:embed="rId6"/>
        <a:stretch>
          <a:fillRect/>
        </a:stretch>
      </xdr:blipFill>
      <xdr:spPr>
        <a:xfrm>
          <a:off x="9491382" y="25302883"/>
          <a:ext cx="4059220" cy="358588"/>
        </a:xfrm>
        <a:prstGeom prst="rect">
          <a:avLst/>
        </a:prstGeom>
      </xdr:spPr>
    </xdr:pic>
    <xdr:clientData/>
  </xdr:twoCellAnchor>
  <xdr:twoCellAnchor editAs="oneCell">
    <xdr:from>
      <xdr:col>10</xdr:col>
      <xdr:colOff>851650</xdr:colOff>
      <xdr:row>53</xdr:row>
      <xdr:rowOff>78442</xdr:rowOff>
    </xdr:from>
    <xdr:to>
      <xdr:col>14</xdr:col>
      <xdr:colOff>481944</xdr:colOff>
      <xdr:row>58</xdr:row>
      <xdr:rowOff>495483</xdr:rowOff>
    </xdr:to>
    <xdr:pic>
      <xdr:nvPicPr>
        <xdr:cNvPr id="8" name="Picture 7">
          <a:extLst>
            <a:ext uri="{FF2B5EF4-FFF2-40B4-BE49-F238E27FC236}">
              <a16:creationId xmlns:a16="http://schemas.microsoft.com/office/drawing/2014/main" xmlns="" id="{DD89FEE3-4E0A-400B-8C73-BE9657A7FE07}"/>
            </a:ext>
          </a:extLst>
        </xdr:cNvPr>
        <xdr:cNvPicPr>
          <a:picLocks noChangeAspect="1"/>
        </xdr:cNvPicPr>
      </xdr:nvPicPr>
      <xdr:blipFill>
        <a:blip xmlns:r="http://schemas.openxmlformats.org/officeDocument/2006/relationships" r:embed="rId7"/>
        <a:stretch>
          <a:fillRect/>
        </a:stretch>
      </xdr:blipFill>
      <xdr:spPr>
        <a:xfrm>
          <a:off x="13312591" y="23857324"/>
          <a:ext cx="2880000" cy="3588306"/>
        </a:xfrm>
        <a:prstGeom prst="rect">
          <a:avLst/>
        </a:prstGeom>
      </xdr:spPr>
    </xdr:pic>
    <xdr:clientData/>
  </xdr:twoCellAnchor>
  <xdr:twoCellAnchor editAs="oneCell">
    <xdr:from>
      <xdr:col>8</xdr:col>
      <xdr:colOff>156882</xdr:colOff>
      <xdr:row>33</xdr:row>
      <xdr:rowOff>425824</xdr:rowOff>
    </xdr:from>
    <xdr:to>
      <xdr:col>12</xdr:col>
      <xdr:colOff>469411</xdr:colOff>
      <xdr:row>42</xdr:row>
      <xdr:rowOff>82539</xdr:rowOff>
    </xdr:to>
    <xdr:pic>
      <xdr:nvPicPr>
        <xdr:cNvPr id="9" name="Picture 8">
          <a:extLst>
            <a:ext uri="{FF2B5EF4-FFF2-40B4-BE49-F238E27FC236}">
              <a16:creationId xmlns:a16="http://schemas.microsoft.com/office/drawing/2014/main" xmlns="" id="{D2747691-5C4A-4F00-9D69-64775412131D}"/>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9569823" y="17167412"/>
          <a:ext cx="5400000" cy="3085715"/>
        </a:xfrm>
        <a:prstGeom prst="rect">
          <a:avLst/>
        </a:prstGeom>
      </xdr:spPr>
    </xdr:pic>
    <xdr:clientData/>
  </xdr:twoCellAnchor>
  <xdr:twoCellAnchor editAs="oneCell">
    <xdr:from>
      <xdr:col>8</xdr:col>
      <xdr:colOff>481854</xdr:colOff>
      <xdr:row>111</xdr:row>
      <xdr:rowOff>224117</xdr:rowOff>
    </xdr:from>
    <xdr:to>
      <xdr:col>13</xdr:col>
      <xdr:colOff>189266</xdr:colOff>
      <xdr:row>124</xdr:row>
      <xdr:rowOff>229973</xdr:rowOff>
    </xdr:to>
    <xdr:pic>
      <xdr:nvPicPr>
        <xdr:cNvPr id="10" name="Picture 9">
          <a:extLst>
            <a:ext uri="{FF2B5EF4-FFF2-40B4-BE49-F238E27FC236}">
              <a16:creationId xmlns:a16="http://schemas.microsoft.com/office/drawing/2014/main" xmlns="" id="{F976851C-8EB4-49CB-9B9E-0E6ABA4AD76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894795" y="33998646"/>
          <a:ext cx="5400000" cy="2370297"/>
        </a:xfrm>
        <a:prstGeom prst="rect">
          <a:avLst/>
        </a:prstGeom>
      </xdr:spPr>
    </xdr:pic>
    <xdr:clientData/>
  </xdr:twoCellAnchor>
  <xdr:twoCellAnchor>
    <xdr:from>
      <xdr:col>0</xdr:col>
      <xdr:colOff>851647</xdr:colOff>
      <xdr:row>241</xdr:row>
      <xdr:rowOff>168087</xdr:rowOff>
    </xdr:from>
    <xdr:to>
      <xdr:col>7</xdr:col>
      <xdr:colOff>212911</xdr:colOff>
      <xdr:row>280</xdr:row>
      <xdr:rowOff>212912</xdr:rowOff>
    </xdr:to>
    <xdr:grpSp>
      <xdr:nvGrpSpPr>
        <xdr:cNvPr id="11" name="Group 10">
          <a:extLst>
            <a:ext uri="{FF2B5EF4-FFF2-40B4-BE49-F238E27FC236}">
              <a16:creationId xmlns:a16="http://schemas.microsoft.com/office/drawing/2014/main" xmlns="" id="{7D5D6A51-B18C-4F5E-81C2-32F51935E622}"/>
            </a:ext>
          </a:extLst>
        </xdr:cNvPr>
        <xdr:cNvGrpSpPr/>
      </xdr:nvGrpSpPr>
      <xdr:grpSpPr>
        <a:xfrm>
          <a:off x="851647" y="59514440"/>
          <a:ext cx="7597588" cy="10096501"/>
          <a:chOff x="950259" y="532629"/>
          <a:chExt cx="4320000" cy="7141158"/>
        </a:xfrm>
      </xdr:grpSpPr>
      <xdr:pic>
        <xdr:nvPicPr>
          <xdr:cNvPr id="12" name="Picture 11">
            <a:extLst>
              <a:ext uri="{FF2B5EF4-FFF2-40B4-BE49-F238E27FC236}">
                <a16:creationId xmlns:a16="http://schemas.microsoft.com/office/drawing/2014/main" xmlns="" id="{586B343F-D802-461A-92E3-0535CC3967B1}"/>
              </a:ext>
            </a:extLst>
          </xdr:cNvPr>
          <xdr:cNvPicPr>
            <a:picLocks noChangeAspect="1"/>
          </xdr:cNvPicPr>
        </xdr:nvPicPr>
        <xdr:blipFill>
          <a:blip xmlns:r="http://schemas.openxmlformats.org/officeDocument/2006/relationships" r:embed="rId10"/>
          <a:stretch>
            <a:fillRect/>
          </a:stretch>
        </xdr:blipFill>
        <xdr:spPr>
          <a:xfrm>
            <a:off x="950259" y="532629"/>
            <a:ext cx="4320000" cy="4327798"/>
          </a:xfrm>
          <a:prstGeom prst="rect">
            <a:avLst/>
          </a:prstGeom>
          <a:ln>
            <a:solidFill>
              <a:schemeClr val="tx1"/>
            </a:solidFill>
          </a:ln>
        </xdr:spPr>
      </xdr:pic>
      <xdr:pic>
        <xdr:nvPicPr>
          <xdr:cNvPr id="13" name="Picture 12">
            <a:extLst>
              <a:ext uri="{FF2B5EF4-FFF2-40B4-BE49-F238E27FC236}">
                <a16:creationId xmlns:a16="http://schemas.microsoft.com/office/drawing/2014/main" xmlns="" id="{2C027D9F-54C0-4C82-AC29-A43801A4D267}"/>
              </a:ext>
            </a:extLst>
          </xdr:cNvPr>
          <xdr:cNvPicPr>
            <a:picLocks noChangeAspect="1"/>
          </xdr:cNvPicPr>
        </xdr:nvPicPr>
        <xdr:blipFill>
          <a:blip xmlns:r="http://schemas.openxmlformats.org/officeDocument/2006/relationships" r:embed="rId11"/>
          <a:stretch>
            <a:fillRect/>
          </a:stretch>
        </xdr:blipFill>
        <xdr:spPr>
          <a:xfrm>
            <a:off x="1350471" y="5091242"/>
            <a:ext cx="3519575" cy="2582545"/>
          </a:xfrm>
          <a:prstGeom prst="rect">
            <a:avLst/>
          </a:prstGeom>
          <a:ln>
            <a:solidFill>
              <a:schemeClr val="tx1"/>
            </a:solidFill>
          </a:ln>
        </xdr:spPr>
      </xdr:pic>
      <xdr:sp macro="" textlink="">
        <xdr:nvSpPr>
          <xdr:cNvPr id="14" name="Arrow: Right 13">
            <a:extLst>
              <a:ext uri="{FF2B5EF4-FFF2-40B4-BE49-F238E27FC236}">
                <a16:creationId xmlns:a16="http://schemas.microsoft.com/office/drawing/2014/main" xmlns="" id="{DAD86932-D6DB-4731-82D4-F0E9D27E343B}"/>
              </a:ext>
            </a:extLst>
          </xdr:cNvPr>
          <xdr:cNvSpPr/>
        </xdr:nvSpPr>
        <xdr:spPr>
          <a:xfrm rot="16200000">
            <a:off x="1569813" y="4428987"/>
            <a:ext cx="376518" cy="34065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5" name="TextBox 7">
            <a:extLst>
              <a:ext uri="{FF2B5EF4-FFF2-40B4-BE49-F238E27FC236}">
                <a16:creationId xmlns:a16="http://schemas.microsoft.com/office/drawing/2014/main" xmlns="" id="{11BD06D5-A2A0-498A-8115-2F1C2FD15E3A}"/>
              </a:ext>
            </a:extLst>
          </xdr:cNvPr>
          <xdr:cNvSpPr txBox="1"/>
        </xdr:nvSpPr>
        <xdr:spPr>
          <a:xfrm>
            <a:off x="1350471" y="4502651"/>
            <a:ext cx="333746"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N</a:t>
            </a:r>
            <a:endParaRPr lang="en-IN" b="1"/>
          </a:p>
        </xdr:txBody>
      </xdr:sp>
    </xdr:grpSp>
    <xdr:clientData/>
  </xdr:twoCellAnchor>
  <xdr:twoCellAnchor editAs="oneCell">
    <xdr:from>
      <xdr:col>12</xdr:col>
      <xdr:colOff>302559</xdr:colOff>
      <xdr:row>126</xdr:row>
      <xdr:rowOff>44822</xdr:rowOff>
    </xdr:from>
    <xdr:to>
      <xdr:col>24</xdr:col>
      <xdr:colOff>256500</xdr:colOff>
      <xdr:row>180</xdr:row>
      <xdr:rowOff>156269</xdr:rowOff>
    </xdr:to>
    <xdr:pic>
      <xdr:nvPicPr>
        <xdr:cNvPr id="16" name="Picture 15" descr="https://www.konark-vaayu-salesoffice.com/assets/img/g8.jpg">
          <a:extLst>
            <a:ext uri="{FF2B5EF4-FFF2-40B4-BE49-F238E27FC236}">
              <a16:creationId xmlns:a16="http://schemas.microsoft.com/office/drawing/2014/main" xmlns="" id="{ECB73CC4-72CE-4339-901B-06EB5D6BF42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13973735" y="36452734"/>
          <a:ext cx="5400000" cy="99838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369795</xdr:colOff>
      <xdr:row>196</xdr:row>
      <xdr:rowOff>11204</xdr:rowOff>
    </xdr:from>
    <xdr:to>
      <xdr:col>7</xdr:col>
      <xdr:colOff>874059</xdr:colOff>
      <xdr:row>229</xdr:row>
      <xdr:rowOff>67235</xdr:rowOff>
    </xdr:to>
    <xdr:grpSp>
      <xdr:nvGrpSpPr>
        <xdr:cNvPr id="17" name="Group 16">
          <a:extLst>
            <a:ext uri="{FF2B5EF4-FFF2-40B4-BE49-F238E27FC236}">
              <a16:creationId xmlns:a16="http://schemas.microsoft.com/office/drawing/2014/main" xmlns="" id="{610577E4-03BC-4C69-ABB3-207517F08103}"/>
            </a:ext>
          </a:extLst>
        </xdr:cNvPr>
        <xdr:cNvGrpSpPr/>
      </xdr:nvGrpSpPr>
      <xdr:grpSpPr>
        <a:xfrm>
          <a:off x="369795" y="47759469"/>
          <a:ext cx="8740588" cy="8561295"/>
          <a:chOff x="358377" y="283366"/>
          <a:chExt cx="6497871" cy="6450635"/>
        </a:xfrm>
      </xdr:grpSpPr>
      <xdr:pic>
        <xdr:nvPicPr>
          <xdr:cNvPr id="18" name="Picture 17">
            <a:extLst>
              <a:ext uri="{FF2B5EF4-FFF2-40B4-BE49-F238E27FC236}">
                <a16:creationId xmlns:a16="http://schemas.microsoft.com/office/drawing/2014/main" xmlns="" id="{ED1B701C-D2C7-48B0-9E61-46FDB5B430FD}"/>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14400" y="283366"/>
            <a:ext cx="5400000" cy="4053754"/>
          </a:xfrm>
          <a:prstGeom prst="rect">
            <a:avLst/>
          </a:prstGeom>
          <a:ln>
            <a:solidFill>
              <a:schemeClr val="tx1"/>
            </a:solidFill>
          </a:ln>
        </xdr:spPr>
      </xdr:pic>
      <xdr:pic>
        <xdr:nvPicPr>
          <xdr:cNvPr id="19" name="Picture 18">
            <a:extLst>
              <a:ext uri="{FF2B5EF4-FFF2-40B4-BE49-F238E27FC236}">
                <a16:creationId xmlns:a16="http://schemas.microsoft.com/office/drawing/2014/main" xmlns="" id="{2A55CDAD-13AA-4382-97A7-56AC4FD3042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58377" y="4572000"/>
            <a:ext cx="2880000" cy="2162001"/>
          </a:xfrm>
          <a:prstGeom prst="rect">
            <a:avLst/>
          </a:prstGeom>
          <a:ln>
            <a:solidFill>
              <a:schemeClr val="tx1"/>
            </a:solidFill>
          </a:ln>
        </xdr:spPr>
      </xdr:pic>
      <xdr:pic>
        <xdr:nvPicPr>
          <xdr:cNvPr id="20" name="Picture 19">
            <a:extLst>
              <a:ext uri="{FF2B5EF4-FFF2-40B4-BE49-F238E27FC236}">
                <a16:creationId xmlns:a16="http://schemas.microsoft.com/office/drawing/2014/main" xmlns="" id="{EBADD143-2C78-4794-ADE1-382E480EE0E6}"/>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429000" y="4572000"/>
            <a:ext cx="1618313" cy="2160000"/>
          </a:xfrm>
          <a:prstGeom prst="rect">
            <a:avLst/>
          </a:prstGeom>
          <a:ln>
            <a:solidFill>
              <a:schemeClr val="tx1"/>
            </a:solidFill>
          </a:ln>
        </xdr:spPr>
      </xdr:pic>
      <xdr:pic>
        <xdr:nvPicPr>
          <xdr:cNvPr id="21" name="Picture 20">
            <a:extLst>
              <a:ext uri="{FF2B5EF4-FFF2-40B4-BE49-F238E27FC236}">
                <a16:creationId xmlns:a16="http://schemas.microsoft.com/office/drawing/2014/main" xmlns="" id="{864E74DF-CB02-40CC-98CF-707A2BC45FBA}"/>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5237936" y="4572000"/>
            <a:ext cx="1618312" cy="2160000"/>
          </a:xfrm>
          <a:prstGeom prst="rect">
            <a:avLst/>
          </a:prstGeom>
          <a:ln>
            <a:solidFill>
              <a:schemeClr val="tx1"/>
            </a:solidFill>
          </a:ln>
        </xdr:spPr>
      </xdr:pic>
    </xdr:grpSp>
    <xdr:clientData/>
  </xdr:twoCellAnchor>
  <xdr:twoCellAnchor editAs="oneCell">
    <xdr:from>
      <xdr:col>8</xdr:col>
      <xdr:colOff>22411</xdr:colOff>
      <xdr:row>65</xdr:row>
      <xdr:rowOff>22412</xdr:rowOff>
    </xdr:from>
    <xdr:to>
      <xdr:col>13</xdr:col>
      <xdr:colOff>217095</xdr:colOff>
      <xdr:row>72</xdr:row>
      <xdr:rowOff>65821</xdr:rowOff>
    </xdr:to>
    <xdr:pic>
      <xdr:nvPicPr>
        <xdr:cNvPr id="22" name="Picture 21">
          <a:extLst>
            <a:ext uri="{FF2B5EF4-FFF2-40B4-BE49-F238E27FC236}">
              <a16:creationId xmlns:a16="http://schemas.microsoft.com/office/drawing/2014/main" xmlns="" id="{731A2125-104A-49A1-B48B-7F72812176A1}"/>
            </a:ext>
          </a:extLst>
        </xdr:cNvPr>
        <xdr:cNvPicPr>
          <a:picLocks noChangeAspect="1"/>
        </xdr:cNvPicPr>
      </xdr:nvPicPr>
      <xdr:blipFill>
        <a:blip xmlns:r="http://schemas.openxmlformats.org/officeDocument/2006/relationships" r:embed="rId17"/>
        <a:stretch>
          <a:fillRect/>
        </a:stretch>
      </xdr:blipFill>
      <xdr:spPr>
        <a:xfrm>
          <a:off x="9435352" y="29437853"/>
          <a:ext cx="5887272" cy="1914792"/>
        </a:xfrm>
        <a:prstGeom prst="rect">
          <a:avLst/>
        </a:prstGeom>
      </xdr:spPr>
    </xdr:pic>
    <xdr:clientData/>
  </xdr:twoCellAnchor>
  <xdr:twoCellAnchor>
    <xdr:from>
      <xdr:col>1</xdr:col>
      <xdr:colOff>717177</xdr:colOff>
      <xdr:row>292</xdr:row>
      <xdr:rowOff>0</xdr:rowOff>
    </xdr:from>
    <xdr:to>
      <xdr:col>6</xdr:col>
      <xdr:colOff>649941</xdr:colOff>
      <xdr:row>306</xdr:row>
      <xdr:rowOff>56030</xdr:rowOff>
    </xdr:to>
    <xdr:grpSp>
      <xdr:nvGrpSpPr>
        <xdr:cNvPr id="23" name="Group 22">
          <a:extLst>
            <a:ext uri="{FF2B5EF4-FFF2-40B4-BE49-F238E27FC236}">
              <a16:creationId xmlns:a16="http://schemas.microsoft.com/office/drawing/2014/main" xmlns="" id="{1BFDAFB2-B437-442B-A74E-3CE6832E51C8}"/>
            </a:ext>
          </a:extLst>
        </xdr:cNvPr>
        <xdr:cNvGrpSpPr/>
      </xdr:nvGrpSpPr>
      <xdr:grpSpPr>
        <a:xfrm>
          <a:off x="1893795" y="72490853"/>
          <a:ext cx="5815852" cy="3664324"/>
          <a:chOff x="709950" y="571499"/>
          <a:chExt cx="5419050" cy="3346155"/>
        </a:xfrm>
      </xdr:grpSpPr>
      <xdr:pic>
        <xdr:nvPicPr>
          <xdr:cNvPr id="25" name="Picture 24">
            <a:extLst>
              <a:ext uri="{FF2B5EF4-FFF2-40B4-BE49-F238E27FC236}">
                <a16:creationId xmlns:a16="http://schemas.microsoft.com/office/drawing/2014/main" xmlns="" id="{98E180F0-FFB1-4A75-B9D2-1F9BF85E0E87}"/>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729000" y="571499"/>
            <a:ext cx="5400000" cy="3346155"/>
          </a:xfrm>
          <a:prstGeom prst="rect">
            <a:avLst/>
          </a:prstGeom>
          <a:ln>
            <a:solidFill>
              <a:schemeClr val="tx1"/>
            </a:solidFill>
          </a:ln>
        </xdr:spPr>
      </xdr:pic>
      <xdr:sp macro="" textlink="">
        <xdr:nvSpPr>
          <xdr:cNvPr id="26" name="Rectangle 25">
            <a:extLst>
              <a:ext uri="{FF2B5EF4-FFF2-40B4-BE49-F238E27FC236}">
                <a16:creationId xmlns:a16="http://schemas.microsoft.com/office/drawing/2014/main" xmlns="" id="{70DD76C7-C7BD-4D3D-8545-ED6F84C2B04B}"/>
              </a:ext>
            </a:extLst>
          </xdr:cNvPr>
          <xdr:cNvSpPr/>
        </xdr:nvSpPr>
        <xdr:spPr>
          <a:xfrm>
            <a:off x="3562350" y="2089150"/>
            <a:ext cx="666750" cy="787400"/>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7" name="TextBox 61">
            <a:extLst>
              <a:ext uri="{FF2B5EF4-FFF2-40B4-BE49-F238E27FC236}">
                <a16:creationId xmlns:a16="http://schemas.microsoft.com/office/drawing/2014/main" xmlns="" id="{4A1E705C-8A1C-49BC-BDC2-B00DD1040F39}"/>
              </a:ext>
            </a:extLst>
          </xdr:cNvPr>
          <xdr:cNvSpPr txBox="1"/>
        </xdr:nvSpPr>
        <xdr:spPr>
          <a:xfrm>
            <a:off x="3098800" y="1122918"/>
            <a:ext cx="149290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Konark Vaayu</a:t>
            </a:r>
            <a:endParaRPr lang="en-IN" b="1">
              <a:solidFill>
                <a:srgbClr val="FFFF00"/>
              </a:solidFill>
            </a:endParaRPr>
          </a:p>
        </xdr:txBody>
      </xdr:sp>
      <xdr:sp macro="" textlink="">
        <xdr:nvSpPr>
          <xdr:cNvPr id="28" name="TextBox 62">
            <a:extLst>
              <a:ext uri="{FF2B5EF4-FFF2-40B4-BE49-F238E27FC236}">
                <a16:creationId xmlns:a16="http://schemas.microsoft.com/office/drawing/2014/main" xmlns="" id="{853FBC84-3428-4646-A1EC-CE96F4675DD2}"/>
              </a:ext>
            </a:extLst>
          </xdr:cNvPr>
          <xdr:cNvSpPr txBox="1"/>
        </xdr:nvSpPr>
        <xdr:spPr>
          <a:xfrm>
            <a:off x="3708528" y="2422975"/>
            <a:ext cx="666750"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900" b="1">
                <a:solidFill>
                  <a:srgbClr val="FFFF00"/>
                </a:solidFill>
              </a:rPr>
              <a:t>Sale bldg. </a:t>
            </a:r>
          </a:p>
          <a:p>
            <a:r>
              <a:rPr lang="en-US" sz="900" b="1">
                <a:solidFill>
                  <a:srgbClr val="FFFF00"/>
                </a:solidFill>
              </a:rPr>
              <a:t>No. 1</a:t>
            </a:r>
            <a:endParaRPr lang="en-IN" sz="900" b="1">
              <a:solidFill>
                <a:srgbClr val="FFFF00"/>
              </a:solidFill>
            </a:endParaRPr>
          </a:p>
        </xdr:txBody>
      </xdr:sp>
      <xdr:sp macro="" textlink="">
        <xdr:nvSpPr>
          <xdr:cNvPr id="29" name="Rectangle 28">
            <a:extLst>
              <a:ext uri="{FF2B5EF4-FFF2-40B4-BE49-F238E27FC236}">
                <a16:creationId xmlns:a16="http://schemas.microsoft.com/office/drawing/2014/main" xmlns="" id="{80AA8B43-9CE6-4C0C-93CF-DAC08F9544DE}"/>
              </a:ext>
            </a:extLst>
          </xdr:cNvPr>
          <xdr:cNvSpPr/>
        </xdr:nvSpPr>
        <xdr:spPr>
          <a:xfrm>
            <a:off x="3845254" y="1492250"/>
            <a:ext cx="383846" cy="596900"/>
          </a:xfrm>
          <a:prstGeom prst="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0" name="TextBox 64">
            <a:extLst>
              <a:ext uri="{FF2B5EF4-FFF2-40B4-BE49-F238E27FC236}">
                <a16:creationId xmlns:a16="http://schemas.microsoft.com/office/drawing/2014/main" xmlns="" id="{04D92E92-7683-4674-9E96-E8CBB7E0323B}"/>
              </a:ext>
            </a:extLst>
          </xdr:cNvPr>
          <xdr:cNvSpPr txBox="1"/>
        </xdr:nvSpPr>
        <xdr:spPr>
          <a:xfrm>
            <a:off x="4170796" y="1607705"/>
            <a:ext cx="1058303" cy="415498"/>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050" b="1">
                <a:solidFill>
                  <a:srgbClr val="FFC000"/>
                </a:solidFill>
              </a:rPr>
              <a:t>Rehab/</a:t>
            </a:r>
          </a:p>
          <a:p>
            <a:r>
              <a:rPr lang="en-US" sz="1050" b="1">
                <a:solidFill>
                  <a:srgbClr val="FFC000"/>
                </a:solidFill>
              </a:rPr>
              <a:t>Composite Bldg</a:t>
            </a:r>
            <a:endParaRPr lang="en-IN" sz="1050" b="1">
              <a:solidFill>
                <a:srgbClr val="FFC000"/>
              </a:solidFill>
            </a:endParaRPr>
          </a:p>
        </xdr:txBody>
      </xdr:sp>
      <xdr:sp macro="" textlink="">
        <xdr:nvSpPr>
          <xdr:cNvPr id="31" name="Rectangle 30">
            <a:extLst>
              <a:ext uri="{FF2B5EF4-FFF2-40B4-BE49-F238E27FC236}">
                <a16:creationId xmlns:a16="http://schemas.microsoft.com/office/drawing/2014/main" xmlns="" id="{11C96EF2-9E16-43F5-91F0-785518DAD8E6}"/>
              </a:ext>
            </a:extLst>
          </xdr:cNvPr>
          <xdr:cNvSpPr/>
        </xdr:nvSpPr>
        <xdr:spPr>
          <a:xfrm>
            <a:off x="3562350" y="1492250"/>
            <a:ext cx="666750" cy="1381920"/>
          </a:xfrm>
          <a:prstGeom prst="rect">
            <a:avLst/>
          </a:prstGeom>
          <a:no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2" name="Freeform: Shape 31">
            <a:extLst>
              <a:ext uri="{FF2B5EF4-FFF2-40B4-BE49-F238E27FC236}">
                <a16:creationId xmlns:a16="http://schemas.microsoft.com/office/drawing/2014/main" xmlns="" id="{0BFC0933-FC11-4EF8-AD2D-B4B930B8BD73}"/>
              </a:ext>
            </a:extLst>
          </xdr:cNvPr>
          <xdr:cNvSpPr/>
        </xdr:nvSpPr>
        <xdr:spPr>
          <a:xfrm>
            <a:off x="752475" y="1828800"/>
            <a:ext cx="5334000" cy="1347752"/>
          </a:xfrm>
          <a:custGeom>
            <a:avLst/>
            <a:gdLst>
              <a:gd name="connsiteX0" fmla="*/ 0 w 5334000"/>
              <a:gd name="connsiteY0" fmla="*/ 0 h 1347752"/>
              <a:gd name="connsiteX1" fmla="*/ 1971675 w 5334000"/>
              <a:gd name="connsiteY1" fmla="*/ 1295400 h 1347752"/>
              <a:gd name="connsiteX2" fmla="*/ 3409950 w 5334000"/>
              <a:gd name="connsiteY2" fmla="*/ 1114425 h 1347752"/>
              <a:gd name="connsiteX3" fmla="*/ 4210050 w 5334000"/>
              <a:gd name="connsiteY3" fmla="*/ 1304925 h 1347752"/>
              <a:gd name="connsiteX4" fmla="*/ 4705350 w 5334000"/>
              <a:gd name="connsiteY4" fmla="*/ 219075 h 1347752"/>
              <a:gd name="connsiteX5" fmla="*/ 5334000 w 5334000"/>
              <a:gd name="connsiteY5" fmla="*/ 323850 h 13477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334000" h="1347752">
                <a:moveTo>
                  <a:pt x="0" y="0"/>
                </a:moveTo>
                <a:cubicBezTo>
                  <a:pt x="701675" y="554831"/>
                  <a:pt x="1403350" y="1109663"/>
                  <a:pt x="1971675" y="1295400"/>
                </a:cubicBezTo>
                <a:cubicBezTo>
                  <a:pt x="2540000" y="1481138"/>
                  <a:pt x="3036888" y="1112838"/>
                  <a:pt x="3409950" y="1114425"/>
                </a:cubicBezTo>
                <a:cubicBezTo>
                  <a:pt x="3783012" y="1116012"/>
                  <a:pt x="3994150" y="1454150"/>
                  <a:pt x="4210050" y="1304925"/>
                </a:cubicBezTo>
                <a:cubicBezTo>
                  <a:pt x="4425950" y="1155700"/>
                  <a:pt x="4518025" y="382587"/>
                  <a:pt x="4705350" y="219075"/>
                </a:cubicBezTo>
                <a:cubicBezTo>
                  <a:pt x="4892675" y="55563"/>
                  <a:pt x="5175250" y="233363"/>
                  <a:pt x="5334000" y="32385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3" name="Freeform: Shape 32">
            <a:extLst>
              <a:ext uri="{FF2B5EF4-FFF2-40B4-BE49-F238E27FC236}">
                <a16:creationId xmlns:a16="http://schemas.microsoft.com/office/drawing/2014/main" xmlns="" id="{3E533CDE-424B-4196-B9E4-74A7C8035E7B}"/>
              </a:ext>
            </a:extLst>
          </xdr:cNvPr>
          <xdr:cNvSpPr/>
        </xdr:nvSpPr>
        <xdr:spPr>
          <a:xfrm>
            <a:off x="709950" y="2134631"/>
            <a:ext cx="5334000" cy="1347752"/>
          </a:xfrm>
          <a:custGeom>
            <a:avLst/>
            <a:gdLst>
              <a:gd name="connsiteX0" fmla="*/ 0 w 5334000"/>
              <a:gd name="connsiteY0" fmla="*/ 0 h 1347752"/>
              <a:gd name="connsiteX1" fmla="*/ 1971675 w 5334000"/>
              <a:gd name="connsiteY1" fmla="*/ 1295400 h 1347752"/>
              <a:gd name="connsiteX2" fmla="*/ 3409950 w 5334000"/>
              <a:gd name="connsiteY2" fmla="*/ 1114425 h 1347752"/>
              <a:gd name="connsiteX3" fmla="*/ 4210050 w 5334000"/>
              <a:gd name="connsiteY3" fmla="*/ 1304925 h 1347752"/>
              <a:gd name="connsiteX4" fmla="*/ 4705350 w 5334000"/>
              <a:gd name="connsiteY4" fmla="*/ 219075 h 1347752"/>
              <a:gd name="connsiteX5" fmla="*/ 5334000 w 5334000"/>
              <a:gd name="connsiteY5" fmla="*/ 323850 h 13477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334000" h="1347752">
                <a:moveTo>
                  <a:pt x="0" y="0"/>
                </a:moveTo>
                <a:cubicBezTo>
                  <a:pt x="701675" y="554831"/>
                  <a:pt x="1403350" y="1109663"/>
                  <a:pt x="1971675" y="1295400"/>
                </a:cubicBezTo>
                <a:cubicBezTo>
                  <a:pt x="2540000" y="1481138"/>
                  <a:pt x="3036888" y="1112838"/>
                  <a:pt x="3409950" y="1114425"/>
                </a:cubicBezTo>
                <a:cubicBezTo>
                  <a:pt x="3783012" y="1116012"/>
                  <a:pt x="3994150" y="1454150"/>
                  <a:pt x="4210050" y="1304925"/>
                </a:cubicBezTo>
                <a:cubicBezTo>
                  <a:pt x="4425950" y="1155700"/>
                  <a:pt x="4518025" y="382587"/>
                  <a:pt x="4705350" y="219075"/>
                </a:cubicBezTo>
                <a:cubicBezTo>
                  <a:pt x="4892675" y="55563"/>
                  <a:pt x="5175250" y="233363"/>
                  <a:pt x="5334000" y="32385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34" name="TextBox 70">
            <a:extLst>
              <a:ext uri="{FF2B5EF4-FFF2-40B4-BE49-F238E27FC236}">
                <a16:creationId xmlns:a16="http://schemas.microsoft.com/office/drawing/2014/main" xmlns="" id="{BD68184A-2D27-41CC-B6E1-A22AE2B2C896}"/>
              </a:ext>
            </a:extLst>
          </xdr:cNvPr>
          <xdr:cNvSpPr txBox="1"/>
        </xdr:nvSpPr>
        <xdr:spPr>
          <a:xfrm>
            <a:off x="1990725" y="2914256"/>
            <a:ext cx="569387"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b="1">
                <a:solidFill>
                  <a:srgbClr val="FF0000"/>
                </a:solidFill>
              </a:rPr>
              <a:t>Nalla</a:t>
            </a:r>
            <a:endParaRPr lang="en-IN" sz="1400" b="1">
              <a:solidFill>
                <a:srgbClr val="FF0000"/>
              </a:solidFill>
            </a:endParaRPr>
          </a:p>
        </xdr:txBody>
      </xdr:sp>
    </xdr:grpSp>
    <xdr:clientData/>
  </xdr:twoCellAnchor>
  <xdr:twoCellAnchor editAs="oneCell">
    <xdr:from>
      <xdr:col>2</xdr:col>
      <xdr:colOff>148496</xdr:colOff>
      <xdr:row>307</xdr:row>
      <xdr:rowOff>51723</xdr:rowOff>
    </xdr:from>
    <xdr:to>
      <xdr:col>5</xdr:col>
      <xdr:colOff>1098177</xdr:colOff>
      <xdr:row>318</xdr:row>
      <xdr:rowOff>91087</xdr:rowOff>
    </xdr:to>
    <xdr:pic>
      <xdr:nvPicPr>
        <xdr:cNvPr id="24" name="Picture 23">
          <a:extLst>
            <a:ext uri="{FF2B5EF4-FFF2-40B4-BE49-F238E27FC236}">
              <a16:creationId xmlns:a16="http://schemas.microsoft.com/office/drawing/2014/main" xmlns="" id="{B2F859BC-0C3D-404E-9044-5542F2489394}"/>
            </a:ext>
          </a:extLst>
        </xdr:cNvPr>
        <xdr:cNvPicPr>
          <a:picLocks noChangeAspect="1"/>
        </xdr:cNvPicPr>
      </xdr:nvPicPr>
      <xdr:blipFill rotWithShape="1">
        <a:blip xmlns:r="http://schemas.openxmlformats.org/officeDocument/2006/relationships" r:embed="rId19" cstate="screen">
          <a:extLst>
            <a:ext uri="{28A0092B-C50C-407E-A947-70E740481C1C}">
              <a14:useLocalDpi xmlns:a14="http://schemas.microsoft.com/office/drawing/2010/main"/>
            </a:ext>
          </a:extLst>
        </a:blip>
        <a:srcRect/>
        <a:stretch/>
      </xdr:blipFill>
      <xdr:spPr>
        <a:xfrm>
          <a:off x="2501731" y="78291194"/>
          <a:ext cx="4479534" cy="2874453"/>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konark-vaayu-salesoffice.com/?gad_source=1&amp;gad_campaignid=22851379851&amp;gbraid=0AAAAA-P9vJ6e2TZw8cC_ljpZhO-t6gUQx&amp;gclid=Cj0KCQjwn8XFBhCxARIsAMyH8BuHtjAQWknhEUStL6lBcD7MGS_9pObBHQJY_zxuFRpScyjPzDr2xpwaAudNEALw_wcB" TargetMode="External"/><Relationship Id="rId7" Type="http://schemas.openxmlformats.org/officeDocument/2006/relationships/vmlDrawing" Target="../drawings/vmlDrawing2.vml"/><Relationship Id="rId2" Type="http://schemas.openxmlformats.org/officeDocument/2006/relationships/hyperlink" Target="https://www.konark-vaayu-salesoffice.com/?gad_source=1&amp;gad_campaignid=22851379851&amp;gbraid=0AAAAA-P9vJ7SwkDxOcm--OpGMCAoXnaSI&amp;gclid=EAIaIQobChMI0_DDzYKtjwMVa6NmAh0sVy8yEAAYAiAAEgLC__D_BwE" TargetMode="External"/><Relationship Id="rId1" Type="http://schemas.openxmlformats.org/officeDocument/2006/relationships/hyperlink" Target="https://maps.app.goo.gl/nnkwup6JSinfDnG67"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C331"/>
  <sheetViews>
    <sheetView tabSelected="1" view="pageBreakPreview" topLeftCell="A182" zoomScale="85" zoomScaleNormal="85" zoomScaleSheetLayoutView="85" zoomScalePageLayoutView="70" workbookViewId="0">
      <selection activeCell="I191" sqref="I191"/>
    </sheetView>
  </sheetViews>
  <sheetFormatPr defaultColWidth="9.140625" defaultRowHeight="17.100000000000001" customHeight="1" x14ac:dyDescent="0.25"/>
  <cols>
    <col min="1" max="7" width="17.5703125" style="1" customWidth="1"/>
    <col min="8" max="8" width="17.5703125" style="4" customWidth="1"/>
    <col min="9" max="9" width="33.85546875" style="1" customWidth="1"/>
    <col min="10" max="10" width="12" style="1" bestFit="1" customWidth="1"/>
    <col min="11" max="11" width="15" style="1" bestFit="1" customWidth="1"/>
    <col min="12" max="12" width="15.5703125" style="1" bestFit="1" customWidth="1"/>
    <col min="13" max="19" width="9.140625" style="1"/>
    <col min="20" max="22" width="0" style="1" hidden="1" customWidth="1"/>
    <col min="23" max="25" width="9.140625" style="1"/>
    <col min="26" max="26" width="7.85546875" style="1" customWidth="1"/>
    <col min="27" max="16384" width="9.140625" style="1"/>
  </cols>
  <sheetData>
    <row r="1" spans="1:11" ht="20.25" x14ac:dyDescent="0.25">
      <c r="A1" s="115" t="s">
        <v>38</v>
      </c>
      <c r="B1" s="116"/>
      <c r="C1" s="116"/>
      <c r="D1" s="116"/>
      <c r="E1" s="116"/>
      <c r="F1" s="116"/>
      <c r="G1" s="116"/>
      <c r="H1" s="117"/>
    </row>
    <row r="2" spans="1:11" ht="42" customHeight="1" x14ac:dyDescent="0.25">
      <c r="A2" s="105" t="s">
        <v>10</v>
      </c>
      <c r="B2" s="105"/>
      <c r="C2" s="93" t="s">
        <v>87</v>
      </c>
      <c r="D2" s="93"/>
      <c r="E2" s="105" t="s">
        <v>12</v>
      </c>
      <c r="F2" s="105"/>
      <c r="G2" s="169">
        <v>45895</v>
      </c>
      <c r="H2" s="93"/>
      <c r="J2" s="182"/>
      <c r="K2" s="183"/>
    </row>
    <row r="3" spans="1:11" ht="42.75" customHeight="1" x14ac:dyDescent="0.25">
      <c r="A3" s="105" t="s">
        <v>39</v>
      </c>
      <c r="B3" s="105"/>
      <c r="C3" s="204" t="s">
        <v>310</v>
      </c>
      <c r="D3" s="204"/>
      <c r="E3" s="105" t="s">
        <v>158</v>
      </c>
      <c r="F3" s="105"/>
      <c r="G3" s="169" t="s">
        <v>348</v>
      </c>
      <c r="H3" s="93"/>
    </row>
    <row r="4" spans="1:11" ht="43.5" customHeight="1" x14ac:dyDescent="0.25">
      <c r="A4" s="105" t="s">
        <v>36</v>
      </c>
      <c r="B4" s="105"/>
      <c r="C4" s="93" t="s">
        <v>347</v>
      </c>
      <c r="D4" s="93"/>
      <c r="E4" s="105" t="s">
        <v>33</v>
      </c>
      <c r="F4" s="105"/>
      <c r="G4" s="93" t="str">
        <f ca="1">TEXT(TODAY(),"DD/MM/YYYY")</f>
        <v>01/09/2025</v>
      </c>
      <c r="H4" s="93"/>
    </row>
    <row r="5" spans="1:11" ht="20.25" x14ac:dyDescent="0.25">
      <c r="A5" s="106" t="s">
        <v>40</v>
      </c>
      <c r="B5" s="106"/>
      <c r="C5" s="106"/>
      <c r="D5" s="106"/>
      <c r="E5" s="106"/>
      <c r="F5" s="106"/>
      <c r="G5" s="106"/>
      <c r="H5" s="106"/>
    </row>
    <row r="6" spans="1:11" ht="43.5" customHeight="1" x14ac:dyDescent="0.25">
      <c r="A6" s="105" t="s">
        <v>29</v>
      </c>
      <c r="B6" s="105"/>
      <c r="C6" s="94" t="s">
        <v>312</v>
      </c>
      <c r="D6" s="94"/>
      <c r="E6" s="105" t="s">
        <v>35</v>
      </c>
      <c r="F6" s="105"/>
      <c r="G6" s="94" t="s">
        <v>308</v>
      </c>
      <c r="H6" s="94"/>
    </row>
    <row r="7" spans="1:11" ht="45" customHeight="1" x14ac:dyDescent="0.25">
      <c r="A7" s="105" t="s">
        <v>42</v>
      </c>
      <c r="B7" s="105"/>
      <c r="C7" s="184" t="s">
        <v>311</v>
      </c>
      <c r="D7" s="184"/>
      <c r="E7" s="105" t="s">
        <v>43</v>
      </c>
      <c r="F7" s="105"/>
      <c r="G7" s="93" t="s">
        <v>315</v>
      </c>
      <c r="H7" s="93"/>
    </row>
    <row r="8" spans="1:11" ht="48.75" customHeight="1" x14ac:dyDescent="0.25">
      <c r="A8" s="105" t="s">
        <v>44</v>
      </c>
      <c r="B8" s="105"/>
      <c r="C8" s="93" t="s">
        <v>313</v>
      </c>
      <c r="D8" s="93"/>
      <c r="E8" s="93"/>
      <c r="F8" s="93"/>
      <c r="G8" s="93"/>
      <c r="H8" s="93"/>
    </row>
    <row r="9" spans="1:11" ht="45" customHeight="1" x14ac:dyDescent="0.25">
      <c r="A9" s="151" t="s">
        <v>149</v>
      </c>
      <c r="B9" s="36" t="s">
        <v>41</v>
      </c>
      <c r="C9" s="93" t="s">
        <v>314</v>
      </c>
      <c r="D9" s="93"/>
      <c r="E9" s="93"/>
      <c r="F9" s="93"/>
      <c r="G9" s="93"/>
      <c r="H9" s="93"/>
    </row>
    <row r="10" spans="1:11" ht="66" customHeight="1" x14ac:dyDescent="0.25">
      <c r="A10" s="151"/>
      <c r="B10" s="36" t="s">
        <v>11</v>
      </c>
      <c r="C10" s="93" t="s">
        <v>316</v>
      </c>
      <c r="D10" s="93"/>
      <c r="E10" s="93"/>
      <c r="F10" s="93"/>
      <c r="G10" s="93"/>
      <c r="H10" s="93"/>
    </row>
    <row r="11" spans="1:11" ht="63" customHeight="1" x14ac:dyDescent="0.25">
      <c r="A11" s="151"/>
      <c r="B11" s="36" t="s">
        <v>5</v>
      </c>
      <c r="C11" s="93" t="s">
        <v>369</v>
      </c>
      <c r="D11" s="93"/>
      <c r="E11" s="93"/>
      <c r="F11" s="93"/>
      <c r="G11" s="93"/>
      <c r="H11" s="93"/>
    </row>
    <row r="12" spans="1:11" ht="40.5" customHeight="1" x14ac:dyDescent="0.25">
      <c r="A12" s="105" t="s">
        <v>34</v>
      </c>
      <c r="B12" s="105"/>
      <c r="C12" s="94" t="s">
        <v>349</v>
      </c>
      <c r="D12" s="94"/>
      <c r="E12" s="94"/>
      <c r="F12" s="94"/>
      <c r="G12" s="94"/>
      <c r="H12" s="94"/>
    </row>
    <row r="13" spans="1:11" ht="20.100000000000001" customHeight="1" x14ac:dyDescent="0.25">
      <c r="A13" s="106" t="s">
        <v>45</v>
      </c>
      <c r="B13" s="106"/>
      <c r="C13" s="106"/>
      <c r="D13" s="106"/>
      <c r="E13" s="106"/>
      <c r="F13" s="106"/>
      <c r="G13" s="106"/>
      <c r="H13" s="106"/>
    </row>
    <row r="14" spans="1:11" ht="41.25" customHeight="1" x14ac:dyDescent="0.25">
      <c r="A14" s="105" t="s">
        <v>27</v>
      </c>
      <c r="B14" s="105" t="s">
        <v>4</v>
      </c>
      <c r="C14" s="93" t="s">
        <v>88</v>
      </c>
      <c r="D14" s="93"/>
      <c r="E14" s="105" t="s">
        <v>46</v>
      </c>
      <c r="F14" s="105" t="s">
        <v>4</v>
      </c>
      <c r="G14" s="93" t="s">
        <v>317</v>
      </c>
      <c r="H14" s="93"/>
    </row>
    <row r="15" spans="1:11" ht="20.25" x14ac:dyDescent="0.25">
      <c r="A15" s="105" t="s">
        <v>47</v>
      </c>
      <c r="B15" s="105" t="s">
        <v>4</v>
      </c>
      <c r="C15" s="93" t="s">
        <v>309</v>
      </c>
      <c r="D15" s="93"/>
      <c r="E15" s="105" t="s">
        <v>48</v>
      </c>
      <c r="F15" s="105" t="s">
        <v>4</v>
      </c>
      <c r="G15" s="169">
        <v>48213</v>
      </c>
      <c r="H15" s="93"/>
    </row>
    <row r="16" spans="1:11" ht="20.25" x14ac:dyDescent="0.25">
      <c r="A16" s="105" t="s">
        <v>49</v>
      </c>
      <c r="B16" s="105" t="s">
        <v>4</v>
      </c>
      <c r="C16" s="169">
        <v>45798</v>
      </c>
      <c r="D16" s="93"/>
      <c r="E16" s="105" t="s">
        <v>50</v>
      </c>
      <c r="F16" s="105" t="s">
        <v>4</v>
      </c>
      <c r="G16" s="168" t="s">
        <v>346</v>
      </c>
      <c r="H16" s="93"/>
    </row>
    <row r="17" spans="1:9" ht="41.25" customHeight="1" x14ac:dyDescent="0.25">
      <c r="A17" s="105" t="s">
        <v>51</v>
      </c>
      <c r="B17" s="105" t="s">
        <v>4</v>
      </c>
      <c r="C17" s="169">
        <f>G15</f>
        <v>48213</v>
      </c>
      <c r="D17" s="93"/>
      <c r="E17" s="105" t="s">
        <v>52</v>
      </c>
      <c r="F17" s="105" t="s">
        <v>4</v>
      </c>
      <c r="G17" s="93" t="s">
        <v>318</v>
      </c>
      <c r="H17" s="93"/>
    </row>
    <row r="18" spans="1:9" ht="41.25" customHeight="1" x14ac:dyDescent="0.25">
      <c r="A18" s="105" t="s">
        <v>53</v>
      </c>
      <c r="B18" s="105" t="s">
        <v>4</v>
      </c>
      <c r="C18" s="93" t="str">
        <f>IF(AND(ISNUMBER(SEARCH("Flat",G21)),ISNUMBER(SEARCH("Shop",G21)),ISNUMBER(SEARCH("Office",G21))),"Residential + Commercial",IF(AND(ISNUMBER(SEARCH("Flat",G21)),ISNUMBER(SEARCH("Shop",G21))),"Residential + Commercial",IF(AND(ISNUMBER(SEARCH("Flat",G21)),ISNUMBER(SEARCH("Office",G21))),"Residential + Commercial",IF(AND(ISNUMBER(SEARCH("Shop",G21)),ISNUMBER(SEARCH("Office",G21))),"Commercial",IF(ISNUMBER(SEARCH("Shop",G21)),"Commercial",IF(ISNUMBER(SEARCH("Office",G21)),"Commercial",IF(ISNUMBER(SEARCH("Flat",G21)),"Residential")))))))</f>
        <v>Residential</v>
      </c>
      <c r="D18" s="93"/>
      <c r="E18" s="105" t="s">
        <v>95</v>
      </c>
      <c r="F18" s="105" t="s">
        <v>4</v>
      </c>
      <c r="G18" s="93">
        <v>11092.05</v>
      </c>
      <c r="H18" s="93"/>
    </row>
    <row r="19" spans="1:9" ht="20.25" x14ac:dyDescent="0.25">
      <c r="A19" s="105" t="s">
        <v>54</v>
      </c>
      <c r="B19" s="105" t="s">
        <v>4</v>
      </c>
      <c r="C19" s="93">
        <v>4</v>
      </c>
      <c r="D19" s="93"/>
      <c r="E19" s="105" t="s">
        <v>242</v>
      </c>
      <c r="F19" s="105" t="s">
        <v>4</v>
      </c>
      <c r="G19" s="93">
        <v>9661.23</v>
      </c>
      <c r="H19" s="93"/>
    </row>
    <row r="20" spans="1:9" ht="41.25" customHeight="1" x14ac:dyDescent="0.25">
      <c r="A20" s="105" t="s">
        <v>93</v>
      </c>
      <c r="B20" s="105" t="s">
        <v>4</v>
      </c>
      <c r="C20" s="93">
        <v>23123.29</v>
      </c>
      <c r="D20" s="93"/>
      <c r="E20" s="105" t="s">
        <v>94</v>
      </c>
      <c r="F20" s="105" t="s">
        <v>4</v>
      </c>
      <c r="G20" s="94">
        <v>23123.29</v>
      </c>
      <c r="H20" s="94"/>
    </row>
    <row r="21" spans="1:9" ht="41.25" customHeight="1" x14ac:dyDescent="0.25">
      <c r="A21" s="105" t="s">
        <v>56</v>
      </c>
      <c r="B21" s="105" t="s">
        <v>4</v>
      </c>
      <c r="C21" s="94" t="s">
        <v>367</v>
      </c>
      <c r="D21" s="94"/>
      <c r="E21" s="105" t="s">
        <v>55</v>
      </c>
      <c r="F21" s="105" t="s">
        <v>4</v>
      </c>
      <c r="G21" s="93" t="s">
        <v>368</v>
      </c>
      <c r="H21" s="93"/>
      <c r="I21" s="1">
        <f>4+26+52+30+26+30+60+30+30+30+26</f>
        <v>344</v>
      </c>
    </row>
    <row r="22" spans="1:9" ht="20.25" x14ac:dyDescent="0.25">
      <c r="A22" s="105" t="s">
        <v>162</v>
      </c>
      <c r="B22" s="105" t="s">
        <v>4</v>
      </c>
      <c r="C22" s="93" t="s">
        <v>319</v>
      </c>
      <c r="D22" s="93"/>
      <c r="E22" s="105" t="s">
        <v>163</v>
      </c>
      <c r="F22" s="105" t="s">
        <v>4</v>
      </c>
      <c r="G22" s="93" t="s">
        <v>321</v>
      </c>
      <c r="H22" s="93"/>
    </row>
    <row r="23" spans="1:9" ht="20.25" x14ac:dyDescent="0.25">
      <c r="A23" s="105" t="s">
        <v>160</v>
      </c>
      <c r="B23" s="105" t="s">
        <v>4</v>
      </c>
      <c r="C23" s="95" t="s">
        <v>320</v>
      </c>
      <c r="D23" s="93"/>
      <c r="E23" s="93"/>
      <c r="F23" s="93"/>
      <c r="G23" s="93"/>
      <c r="H23" s="93"/>
    </row>
    <row r="24" spans="1:9" ht="45" customHeight="1" x14ac:dyDescent="0.25">
      <c r="A24" s="105" t="s">
        <v>25</v>
      </c>
      <c r="B24" s="105" t="s">
        <v>4</v>
      </c>
      <c r="C24" s="94" t="s">
        <v>322</v>
      </c>
      <c r="D24" s="94"/>
      <c r="E24" s="94"/>
      <c r="F24" s="94"/>
      <c r="G24" s="94"/>
      <c r="H24" s="94"/>
      <c r="I24" s="76" t="s">
        <v>323</v>
      </c>
    </row>
    <row r="25" spans="1:9" ht="24" customHeight="1" x14ac:dyDescent="0.25">
      <c r="A25" s="106" t="s">
        <v>20</v>
      </c>
      <c r="B25" s="106"/>
      <c r="C25" s="106"/>
      <c r="D25" s="106"/>
      <c r="E25" s="106"/>
      <c r="F25" s="106"/>
      <c r="G25" s="106"/>
      <c r="H25" s="106"/>
    </row>
    <row r="26" spans="1:9" ht="43.5" customHeight="1" x14ac:dyDescent="0.25">
      <c r="A26" s="105" t="s">
        <v>26</v>
      </c>
      <c r="B26" s="105" t="s">
        <v>4</v>
      </c>
      <c r="C26" s="93" t="str">
        <f>IF(AND(G26="Upper"),"Developed","Developing")</f>
        <v>Developed</v>
      </c>
      <c r="D26" s="93"/>
      <c r="E26" s="105" t="s">
        <v>13</v>
      </c>
      <c r="F26" s="105" t="s">
        <v>4</v>
      </c>
      <c r="G26" s="94" t="s">
        <v>305</v>
      </c>
      <c r="H26" s="94"/>
    </row>
    <row r="27" spans="1:9" ht="43.5" customHeight="1" x14ac:dyDescent="0.25">
      <c r="A27" s="105" t="s">
        <v>14</v>
      </c>
      <c r="B27" s="105" t="s">
        <v>4</v>
      </c>
      <c r="C27" s="94" t="s">
        <v>306</v>
      </c>
      <c r="D27" s="94"/>
      <c r="E27" s="105" t="s">
        <v>150</v>
      </c>
      <c r="F27" s="105" t="s">
        <v>4</v>
      </c>
      <c r="G27" s="94" t="s">
        <v>324</v>
      </c>
      <c r="H27" s="94"/>
    </row>
    <row r="28" spans="1:9" ht="43.5" customHeight="1" x14ac:dyDescent="0.25">
      <c r="A28" s="105" t="s">
        <v>23</v>
      </c>
      <c r="B28" s="105" t="s">
        <v>4</v>
      </c>
      <c r="C28" s="93" t="s">
        <v>97</v>
      </c>
      <c r="D28" s="93"/>
      <c r="E28" s="105" t="s">
        <v>16</v>
      </c>
      <c r="F28" s="105" t="s">
        <v>4</v>
      </c>
      <c r="G28" s="94" t="s">
        <v>326</v>
      </c>
      <c r="H28" s="94"/>
    </row>
    <row r="29" spans="1:9" ht="43.5" customHeight="1" x14ac:dyDescent="0.25">
      <c r="A29" s="105" t="s">
        <v>106</v>
      </c>
      <c r="B29" s="105" t="s">
        <v>4</v>
      </c>
      <c r="C29" s="94" t="s">
        <v>325</v>
      </c>
      <c r="D29" s="94"/>
      <c r="E29" s="105" t="s">
        <v>107</v>
      </c>
      <c r="F29" s="105" t="s">
        <v>4</v>
      </c>
      <c r="G29" s="94" t="s">
        <v>327</v>
      </c>
      <c r="H29" s="94"/>
    </row>
    <row r="30" spans="1:9" ht="84" customHeight="1" x14ac:dyDescent="0.25">
      <c r="A30" s="105" t="s">
        <v>17</v>
      </c>
      <c r="B30" s="105" t="s">
        <v>4</v>
      </c>
      <c r="C30" s="94" t="s">
        <v>328</v>
      </c>
      <c r="D30" s="94"/>
      <c r="E30" s="105" t="s">
        <v>15</v>
      </c>
      <c r="F30" s="105" t="s">
        <v>4</v>
      </c>
      <c r="G30" s="94" t="s">
        <v>329</v>
      </c>
      <c r="H30" s="94"/>
    </row>
    <row r="31" spans="1:9" ht="20.25" x14ac:dyDescent="0.25">
      <c r="A31" s="105" t="s">
        <v>112</v>
      </c>
      <c r="B31" s="105" t="s">
        <v>4</v>
      </c>
      <c r="C31" s="93" t="s">
        <v>113</v>
      </c>
      <c r="D31" s="93"/>
      <c r="E31" s="105" t="s">
        <v>114</v>
      </c>
      <c r="F31" s="105" t="s">
        <v>4</v>
      </c>
      <c r="G31" s="93" t="s">
        <v>113</v>
      </c>
      <c r="H31" s="93"/>
    </row>
    <row r="32" spans="1:9" ht="21.75" customHeight="1" x14ac:dyDescent="0.25">
      <c r="A32" s="105" t="s">
        <v>115</v>
      </c>
      <c r="B32" s="105" t="s">
        <v>4</v>
      </c>
      <c r="C32" s="93" t="s">
        <v>113</v>
      </c>
      <c r="D32" s="93"/>
      <c r="E32" s="93"/>
      <c r="F32" s="93"/>
      <c r="G32" s="93"/>
      <c r="H32" s="93"/>
    </row>
    <row r="33" spans="1:15" ht="20.25" x14ac:dyDescent="0.25">
      <c r="A33" s="152" t="s">
        <v>37</v>
      </c>
      <c r="B33" s="152"/>
      <c r="C33" s="152"/>
      <c r="D33" s="152"/>
      <c r="E33" s="152"/>
      <c r="F33" s="152"/>
      <c r="G33" s="152"/>
      <c r="H33" s="152"/>
    </row>
    <row r="34" spans="1:15" ht="43.5" customHeight="1" x14ac:dyDescent="0.25">
      <c r="A34" s="105" t="s">
        <v>18</v>
      </c>
      <c r="B34" s="105"/>
      <c r="C34" s="93" t="s">
        <v>98</v>
      </c>
      <c r="D34" s="93"/>
      <c r="E34" s="105" t="s">
        <v>19</v>
      </c>
      <c r="F34" s="105" t="s">
        <v>4</v>
      </c>
      <c r="G34" s="93" t="s">
        <v>99</v>
      </c>
      <c r="H34" s="93"/>
    </row>
    <row r="35" spans="1:15" ht="43.5" customHeight="1" x14ac:dyDescent="0.25">
      <c r="A35" s="105" t="s">
        <v>22</v>
      </c>
      <c r="B35" s="105"/>
      <c r="C35" s="93" t="s">
        <v>99</v>
      </c>
      <c r="D35" s="93"/>
      <c r="E35" s="105" t="s">
        <v>32</v>
      </c>
      <c r="F35" s="105" t="s">
        <v>4</v>
      </c>
      <c r="G35" s="94" t="s">
        <v>99</v>
      </c>
      <c r="H35" s="94"/>
    </row>
    <row r="36" spans="1:15" ht="20.25" x14ac:dyDescent="0.25">
      <c r="A36" s="105" t="s">
        <v>31</v>
      </c>
      <c r="B36" s="105"/>
      <c r="C36" s="93" t="s">
        <v>100</v>
      </c>
      <c r="D36" s="93"/>
      <c r="E36" s="105" t="s">
        <v>21</v>
      </c>
      <c r="F36" s="105" t="s">
        <v>4</v>
      </c>
      <c r="G36" s="93" t="s">
        <v>101</v>
      </c>
      <c r="H36" s="93"/>
    </row>
    <row r="37" spans="1:15" ht="20.25" x14ac:dyDescent="0.25">
      <c r="A37" s="106" t="s">
        <v>0</v>
      </c>
      <c r="B37" s="106"/>
      <c r="C37" s="106"/>
      <c r="D37" s="106"/>
      <c r="E37" s="106"/>
      <c r="F37" s="106"/>
      <c r="G37" s="106"/>
      <c r="H37" s="106"/>
    </row>
    <row r="38" spans="1:15" ht="20.25" x14ac:dyDescent="0.25">
      <c r="A38" s="99" t="s">
        <v>0</v>
      </c>
      <c r="B38" s="99"/>
      <c r="C38" s="99" t="s">
        <v>227</v>
      </c>
      <c r="D38" s="99"/>
      <c r="E38" s="99"/>
      <c r="F38" s="99" t="s">
        <v>7</v>
      </c>
      <c r="G38" s="99"/>
      <c r="H38" s="99"/>
      <c r="J38" s="185" t="s">
        <v>1</v>
      </c>
      <c r="K38" s="186"/>
      <c r="L38" s="2" t="s">
        <v>6</v>
      </c>
      <c r="M38" s="185" t="s">
        <v>2</v>
      </c>
      <c r="N38" s="186"/>
      <c r="O38" s="2" t="s">
        <v>3</v>
      </c>
    </row>
    <row r="39" spans="1:15" ht="40.5" customHeight="1" x14ac:dyDescent="0.25">
      <c r="A39" s="151" t="s">
        <v>2</v>
      </c>
      <c r="B39" s="151"/>
      <c r="C39" s="184" t="s">
        <v>331</v>
      </c>
      <c r="D39" s="184"/>
      <c r="E39" s="184"/>
      <c r="F39" s="184" t="s">
        <v>333</v>
      </c>
      <c r="G39" s="184"/>
      <c r="H39" s="184"/>
    </row>
    <row r="40" spans="1:15" ht="20.25" x14ac:dyDescent="0.25">
      <c r="A40" s="151" t="s">
        <v>3</v>
      </c>
      <c r="B40" s="151"/>
      <c r="C40" s="184" t="s">
        <v>330</v>
      </c>
      <c r="D40" s="184"/>
      <c r="E40" s="184"/>
      <c r="F40" s="184" t="s">
        <v>334</v>
      </c>
      <c r="G40" s="184"/>
      <c r="H40" s="184"/>
    </row>
    <row r="41" spans="1:15" ht="41.25" customHeight="1" x14ac:dyDescent="0.25">
      <c r="A41" s="151" t="s">
        <v>1</v>
      </c>
      <c r="B41" s="151"/>
      <c r="C41" s="184" t="s">
        <v>336</v>
      </c>
      <c r="D41" s="184"/>
      <c r="E41" s="184"/>
      <c r="F41" s="184" t="s">
        <v>335</v>
      </c>
      <c r="G41" s="184"/>
      <c r="H41" s="184"/>
    </row>
    <row r="42" spans="1:15" ht="20.25" x14ac:dyDescent="0.25">
      <c r="A42" s="151" t="s">
        <v>6</v>
      </c>
      <c r="B42" s="151"/>
      <c r="C42" s="184" t="s">
        <v>332</v>
      </c>
      <c r="D42" s="184"/>
      <c r="E42" s="184"/>
      <c r="F42" s="184" t="s">
        <v>337</v>
      </c>
      <c r="G42" s="184"/>
      <c r="H42" s="184"/>
    </row>
    <row r="43" spans="1:15" ht="51" customHeight="1" x14ac:dyDescent="0.25">
      <c r="A43" s="105" t="s">
        <v>228</v>
      </c>
      <c r="B43" s="105"/>
      <c r="C43" s="93" t="s">
        <v>97</v>
      </c>
      <c r="D43" s="93"/>
      <c r="E43" s="93"/>
      <c r="F43" s="93"/>
      <c r="G43" s="93"/>
      <c r="H43" s="93"/>
    </row>
    <row r="44" spans="1:15" ht="20.25" x14ac:dyDescent="0.25">
      <c r="A44" s="106" t="s">
        <v>57</v>
      </c>
      <c r="B44" s="106"/>
      <c r="C44" s="106"/>
      <c r="D44" s="106"/>
      <c r="E44" s="106"/>
      <c r="F44" s="106"/>
      <c r="G44" s="106"/>
      <c r="H44" s="106"/>
    </row>
    <row r="45" spans="1:15" ht="21" customHeight="1" x14ac:dyDescent="0.25">
      <c r="A45" s="99" t="s">
        <v>58</v>
      </c>
      <c r="B45" s="99"/>
      <c r="C45" s="2" t="s">
        <v>59</v>
      </c>
      <c r="D45" s="99" t="s">
        <v>148</v>
      </c>
      <c r="E45" s="99"/>
      <c r="F45" s="99"/>
      <c r="G45" s="99" t="s">
        <v>60</v>
      </c>
      <c r="H45" s="99"/>
    </row>
    <row r="46" spans="1:15" ht="20.25" x14ac:dyDescent="0.25">
      <c r="A46" s="100" t="s">
        <v>338</v>
      </c>
      <c r="B46" s="100"/>
      <c r="C46" s="35" t="s">
        <v>89</v>
      </c>
      <c r="D46" s="93" t="s">
        <v>353</v>
      </c>
      <c r="E46" s="93"/>
      <c r="F46" s="93"/>
      <c r="G46" s="93" t="s">
        <v>352</v>
      </c>
      <c r="H46" s="93"/>
    </row>
    <row r="47" spans="1:15" ht="20.25" hidden="1" x14ac:dyDescent="0.25">
      <c r="A47" s="100" t="s">
        <v>302</v>
      </c>
      <c r="B47" s="100"/>
      <c r="C47" s="35" t="s">
        <v>89</v>
      </c>
      <c r="D47" s="93"/>
      <c r="E47" s="93"/>
      <c r="F47" s="93"/>
      <c r="G47" s="93"/>
      <c r="H47" s="93"/>
    </row>
    <row r="48" spans="1:15" ht="20.25" hidden="1" x14ac:dyDescent="0.25">
      <c r="A48" s="100" t="s">
        <v>303</v>
      </c>
      <c r="B48" s="100"/>
      <c r="C48" s="35" t="s">
        <v>89</v>
      </c>
      <c r="D48" s="93"/>
      <c r="E48" s="93"/>
      <c r="F48" s="93"/>
      <c r="G48" s="93"/>
      <c r="H48" s="93"/>
    </row>
    <row r="49" spans="1:14" ht="20.25" hidden="1" x14ac:dyDescent="0.25">
      <c r="A49" s="100" t="s">
        <v>304</v>
      </c>
      <c r="B49" s="100"/>
      <c r="C49" s="35" t="s">
        <v>89</v>
      </c>
      <c r="D49" s="93"/>
      <c r="E49" s="93"/>
      <c r="F49" s="93"/>
      <c r="G49" s="93"/>
      <c r="H49" s="93"/>
    </row>
    <row r="50" spans="1:14" ht="20.25" x14ac:dyDescent="0.25">
      <c r="A50" s="106" t="s">
        <v>61</v>
      </c>
      <c r="B50" s="106"/>
      <c r="C50" s="106"/>
      <c r="D50" s="106"/>
      <c r="E50" s="106"/>
      <c r="F50" s="106"/>
      <c r="G50" s="106"/>
      <c r="H50" s="106"/>
    </row>
    <row r="51" spans="1:14" ht="42.75" customHeight="1" x14ac:dyDescent="0.25">
      <c r="A51" s="105" t="s">
        <v>62</v>
      </c>
      <c r="B51" s="105" t="s">
        <v>4</v>
      </c>
      <c r="C51" s="94" t="s">
        <v>97</v>
      </c>
      <c r="D51" s="94"/>
      <c r="E51" s="94"/>
      <c r="F51" s="94"/>
      <c r="G51" s="94"/>
      <c r="H51" s="94"/>
    </row>
    <row r="52" spans="1:14" ht="20.25" x14ac:dyDescent="0.25">
      <c r="A52" s="105" t="s">
        <v>63</v>
      </c>
      <c r="B52" s="105" t="s">
        <v>4</v>
      </c>
      <c r="C52" s="93" t="s">
        <v>339</v>
      </c>
      <c r="D52" s="93"/>
      <c r="E52" s="93"/>
      <c r="F52" s="93"/>
      <c r="G52" s="51" t="s">
        <v>229</v>
      </c>
      <c r="H52" s="77">
        <v>45672</v>
      </c>
    </row>
    <row r="53" spans="1:14" ht="20.25" x14ac:dyDescent="0.25">
      <c r="A53" s="105" t="s">
        <v>64</v>
      </c>
      <c r="B53" s="105" t="s">
        <v>4</v>
      </c>
      <c r="C53" s="93" t="str">
        <f>C52</f>
        <v>P-S/MHADA/0024/20060502/AP/RB-1</v>
      </c>
      <c r="D53" s="93"/>
      <c r="E53" s="93"/>
      <c r="F53" s="93"/>
      <c r="G53" s="51" t="s">
        <v>229</v>
      </c>
      <c r="H53" s="77">
        <f>H52</f>
        <v>45672</v>
      </c>
    </row>
    <row r="54" spans="1:14" ht="20.25" x14ac:dyDescent="0.25">
      <c r="A54" s="105" t="s">
        <v>374</v>
      </c>
      <c r="B54" s="105"/>
      <c r="C54" s="93" t="s">
        <v>339</v>
      </c>
      <c r="D54" s="93"/>
      <c r="E54" s="93"/>
      <c r="F54" s="93"/>
      <c r="G54" s="51" t="s">
        <v>229</v>
      </c>
      <c r="H54" s="77">
        <v>45716</v>
      </c>
    </row>
    <row r="55" spans="1:14" ht="21.75" customHeight="1" x14ac:dyDescent="0.25">
      <c r="A55" s="105"/>
      <c r="B55" s="105"/>
      <c r="C55" s="155" t="s">
        <v>340</v>
      </c>
      <c r="D55" s="156"/>
      <c r="E55" s="156"/>
      <c r="F55" s="156"/>
      <c r="G55" s="156"/>
      <c r="H55" s="157"/>
    </row>
    <row r="56" spans="1:14" ht="145.5" customHeight="1" x14ac:dyDescent="0.25">
      <c r="A56" s="105" t="s">
        <v>65</v>
      </c>
      <c r="B56" s="105" t="s">
        <v>4</v>
      </c>
      <c r="C56" s="93" t="s">
        <v>344</v>
      </c>
      <c r="D56" s="93"/>
      <c r="E56" s="93"/>
      <c r="F56" s="93"/>
      <c r="G56" s="51" t="s">
        <v>230</v>
      </c>
      <c r="H56" s="77">
        <v>45294</v>
      </c>
      <c r="I56" s="1" t="s">
        <v>345</v>
      </c>
    </row>
    <row r="57" spans="1:14" ht="39.75" customHeight="1" x14ac:dyDescent="0.25">
      <c r="A57" s="105" t="s">
        <v>67</v>
      </c>
      <c r="B57" s="105" t="s">
        <v>4</v>
      </c>
      <c r="C57" s="93" t="s">
        <v>147</v>
      </c>
      <c r="D57" s="93"/>
      <c r="E57" s="93"/>
      <c r="F57" s="93"/>
      <c r="G57" s="51" t="s">
        <v>230</v>
      </c>
      <c r="H57" s="74" t="s">
        <v>147</v>
      </c>
    </row>
    <row r="58" spans="1:14" ht="21.75" customHeight="1" x14ac:dyDescent="0.25">
      <c r="A58" s="101" t="s">
        <v>66</v>
      </c>
      <c r="B58" s="102"/>
      <c r="C58" s="93" t="s">
        <v>341</v>
      </c>
      <c r="D58" s="93"/>
      <c r="E58" s="93"/>
      <c r="F58" s="93"/>
      <c r="G58" s="51" t="s">
        <v>230</v>
      </c>
      <c r="H58" s="77">
        <v>45621</v>
      </c>
      <c r="N58" s="73" t="s">
        <v>307</v>
      </c>
    </row>
    <row r="59" spans="1:14" ht="45" customHeight="1" x14ac:dyDescent="0.25">
      <c r="A59" s="103"/>
      <c r="B59" s="104"/>
      <c r="C59" s="93" t="s">
        <v>342</v>
      </c>
      <c r="D59" s="93"/>
      <c r="E59" s="93"/>
      <c r="F59" s="93"/>
      <c r="G59" s="51" t="s">
        <v>343</v>
      </c>
      <c r="H59" s="77">
        <v>48542</v>
      </c>
    </row>
    <row r="60" spans="1:14" ht="45" hidden="1" customHeight="1" x14ac:dyDescent="0.25">
      <c r="A60" s="105" t="s">
        <v>68</v>
      </c>
      <c r="B60" s="105" t="s">
        <v>4</v>
      </c>
      <c r="C60" s="93"/>
      <c r="D60" s="93"/>
      <c r="E60" s="93"/>
      <c r="F60" s="93"/>
      <c r="G60" s="51" t="s">
        <v>230</v>
      </c>
      <c r="H60" s="74"/>
    </row>
    <row r="61" spans="1:14" ht="21" thickBot="1" x14ac:dyDescent="0.3">
      <c r="A61" s="106" t="s">
        <v>69</v>
      </c>
      <c r="B61" s="106"/>
      <c r="C61" s="106"/>
      <c r="D61" s="106"/>
      <c r="E61" s="106"/>
      <c r="F61" s="106"/>
      <c r="G61" s="106"/>
      <c r="H61" s="106"/>
    </row>
    <row r="62" spans="1:14" ht="20.25" customHeight="1" x14ac:dyDescent="0.3">
      <c r="A62" s="107" t="str">
        <f>CONCATENATE((IF(OR(A46="",A46="NA"),"",A46)),"= ",(IF(OR(D46="",D46="NA"),"",D46)),".")</f>
        <v>Building No. 1= B + G + 1st to 51st Floor.</v>
      </c>
      <c r="B62" s="107"/>
      <c r="C62" s="107"/>
      <c r="D62" s="30" t="s">
        <v>116</v>
      </c>
      <c r="E62" s="108" t="s">
        <v>103</v>
      </c>
      <c r="F62" s="108"/>
      <c r="G62" s="30" t="s">
        <v>117</v>
      </c>
      <c r="H62" s="30" t="s">
        <v>118</v>
      </c>
      <c r="I62" s="16" t="str">
        <f ca="1">(IF(E65&gt;99%,"All work completed. Please provide OC.",IF(E65&gt;89.8%,"Plinth, RCC, Brick, Plaster, Flooring, Wooden, Plumbing, Electrification, etc., work Completed. Finishing work is in process.",IF(E65&lt;94%,(IF(C65=0,"Work not yet Started.",IF(D65=25%,"Piling work in process",IF(D65=50%,"Excavation work in process",IF(D65=100%,"Excavation work Completed. ","0")))&amp;(IF(C66=0%,"",IF(C66=J67,"Footing work is process",IF(C66=J68,"Footing work Completed",IF(C66=J69,"1st Basement Completed",IF(C66=J70,"1st &amp; 2nd Basement Completed",IF(C66=J71,"1st to 3rd Basement Completed",IF(C66=J72,"1st to 4th Basement Completed",IF(C66=J73,"Plinth work is process",IF(C66=J74,"Plinth work completed","0")))))))))))&amp;(IF(C67=(E63+G63+H63),", RCC Slab",IF(C67&gt;0,", RCC upto "&amp;C67&amp;" Slab",""))&amp;(IF(C68=H63,", Brickwork",IF(C68&gt;0,", Brickwork upto "&amp;C68&amp;" Floor",""))&amp;(IF(C69=H63,", Internal Plaster",IF(C69&gt;0,", Internal Plaster upto "&amp;C69&amp;" Floor",""))&amp;(IF(C70=H63,", External Plaster",IF(C70&gt;0,", External Plaster upto "&amp;C70&amp;" Floor",""))&amp;(IF(C71=H63,", External Plumbing, Elevation and Waterproofing",IF(C71&gt;0,", External Plumbing, Elevation and Waterproofing upto "&amp;C71&amp;" Floor",""))&amp;(IF(C72=H63,", Flooring &amp; Fitting",IF(C72&gt;0,", Flooring &amp; Fitting upto "&amp;C72&amp;" Floor",""))&amp;(IF(C73=H63,", Wooden Work",IF(C73&gt;0,", Wooden Work upto "&amp;C73&amp;" Floor",""))&amp;(IF(C74=H63,", Electrical &amp; Sanitary fittings",IF(C74&gt;0,", Electrical &amp; Sanitary fittings upto "&amp;C74&amp;" Floor",""))&amp;(IF(C75&gt;0,", Finishing upto "&amp;C75&amp;" Floor","")&amp;(IF(C67&gt;0.5," Completed",""))))))))))))))))</f>
        <v>Work not yet Started.</v>
      </c>
      <c r="J62" s="18"/>
    </row>
    <row r="63" spans="1:14" ht="20.25" x14ac:dyDescent="0.3">
      <c r="A63" s="107"/>
      <c r="B63" s="107"/>
      <c r="C63" s="107"/>
      <c r="D63" s="78">
        <f>IF(AND(ISNUMBER(SEARCH("1B",A62))),1,IF(AND(ISNUMBER(SEARCH("2B",A62))),2,IF(AND(ISNUMBER(SEARCH("3B",A62))),3,IF(AND(ISNUMBER(SEARCH("4B",A62))),4,IF(ISNUMBER(SEARCH("5B",A62)),5,0)))))</f>
        <v>0</v>
      </c>
      <c r="E63" s="108">
        <v>1</v>
      </c>
      <c r="F63" s="108"/>
      <c r="G63" s="78">
        <v>0</v>
      </c>
      <c r="H63" s="30">
        <f ca="1">--TRIM(RIGHT(SUBSTITUTE(LEFT(A62,_xlfn.AGGREGATE(16,6,FIND({0,1,2,3,4,5,6,7,8,9},A62,ROW(INDIRECT("1:"&amp;LEN(A62)))),1))," ",REPT(" ",LEN(A62))),LEN(A62)))</f>
        <v>51</v>
      </c>
      <c r="I63" s="17" t="s">
        <v>122</v>
      </c>
      <c r="J63" s="18"/>
    </row>
    <row r="64" spans="1:14" ht="20.25" customHeight="1" x14ac:dyDescent="0.3">
      <c r="A64" s="109" t="s">
        <v>120</v>
      </c>
      <c r="B64" s="109"/>
      <c r="C64" s="28" t="s">
        <v>132</v>
      </c>
      <c r="D64" s="28" t="s">
        <v>133</v>
      </c>
      <c r="E64" s="109" t="s">
        <v>121</v>
      </c>
      <c r="F64" s="109"/>
      <c r="G64" s="29" t="s">
        <v>119</v>
      </c>
      <c r="H64" s="29"/>
      <c r="I64" s="20" t="s">
        <v>134</v>
      </c>
      <c r="J64" s="19">
        <f ca="1">H63*25%</f>
        <v>12.75</v>
      </c>
    </row>
    <row r="65" spans="1:12" ht="20.25" customHeight="1" x14ac:dyDescent="0.3">
      <c r="A65" s="98" t="s">
        <v>135</v>
      </c>
      <c r="B65" s="98"/>
      <c r="C65" s="32">
        <v>0</v>
      </c>
      <c r="D65" s="5">
        <f ca="1">((100/H63)*C65)/100</f>
        <v>0</v>
      </c>
      <c r="E65" s="123">
        <f ca="1">(((C65/H63*10)+(C66/H63*15)+(25/(E63+G63+H63)*C67)+(5/(H63)*C68)+(2.5/(H63)*C69)+(2.5/(H63)*C70)+(5/H63*C71)+(10/H63*C72)+(2.5/H63*C73)+(2.5/H63*C74)+(10/H63*C75)+(10/H63*C76))/100)</f>
        <v>0</v>
      </c>
      <c r="F65" s="124"/>
      <c r="G65" s="98" t="str">
        <f ca="1">I62</f>
        <v>Work not yet Started.</v>
      </c>
      <c r="H65" s="98"/>
      <c r="I65" s="20" t="s">
        <v>123</v>
      </c>
      <c r="J65" s="24">
        <f ca="1">H63*50%</f>
        <v>25.5</v>
      </c>
    </row>
    <row r="66" spans="1:12" ht="20.25" x14ac:dyDescent="0.3">
      <c r="A66" s="98" t="s">
        <v>104</v>
      </c>
      <c r="B66" s="98"/>
      <c r="C66" s="32">
        <v>0</v>
      </c>
      <c r="D66" s="5">
        <f ca="1">((100/H63)*C66)/100</f>
        <v>0</v>
      </c>
      <c r="E66" s="125"/>
      <c r="F66" s="126"/>
      <c r="G66" s="98"/>
      <c r="H66" s="98"/>
      <c r="I66" s="20" t="s">
        <v>124</v>
      </c>
      <c r="J66" s="24">
        <f ca="1">H63</f>
        <v>51</v>
      </c>
    </row>
    <row r="67" spans="1:12" ht="21" customHeight="1" x14ac:dyDescent="0.35">
      <c r="A67" s="98" t="s">
        <v>136</v>
      </c>
      <c r="B67" s="98"/>
      <c r="C67" s="30">
        <v>0</v>
      </c>
      <c r="D67" s="5">
        <f ca="1">((100/(E63+G63+H63))*C67)/100</f>
        <v>0</v>
      </c>
      <c r="E67" s="125"/>
      <c r="F67" s="126"/>
      <c r="G67" s="98"/>
      <c r="H67" s="98"/>
      <c r="I67" s="20" t="s">
        <v>125</v>
      </c>
      <c r="J67" s="25">
        <f ca="1">(IF(D63&gt;1,(H63/(D63+2)),H63*0.2))</f>
        <v>10.200000000000001</v>
      </c>
    </row>
    <row r="68" spans="1:12" ht="21" customHeight="1" x14ac:dyDescent="0.35">
      <c r="A68" s="98" t="s">
        <v>137</v>
      </c>
      <c r="B68" s="98"/>
      <c r="C68" s="30">
        <v>0</v>
      </c>
      <c r="D68" s="5">
        <f ca="1">((100/H63)*C68)/100</f>
        <v>0</v>
      </c>
      <c r="E68" s="125"/>
      <c r="F68" s="126"/>
      <c r="G68" s="98"/>
      <c r="H68" s="98"/>
      <c r="I68" s="20" t="s">
        <v>126</v>
      </c>
      <c r="J68" s="25">
        <f ca="1">(IF(D63&gt;1,(H63/(D63+2)+J67),H63*0.2+J67))</f>
        <v>20.400000000000002</v>
      </c>
    </row>
    <row r="69" spans="1:12" ht="21" customHeight="1" x14ac:dyDescent="0.35">
      <c r="A69" s="96" t="s">
        <v>138</v>
      </c>
      <c r="B69" s="97"/>
      <c r="C69" s="30">
        <v>0</v>
      </c>
      <c r="D69" s="5">
        <f ca="1">((100/H63)*C69)/100</f>
        <v>0</v>
      </c>
      <c r="E69" s="125"/>
      <c r="F69" s="126"/>
      <c r="G69" s="98"/>
      <c r="H69" s="98"/>
      <c r="I69" s="20" t="s">
        <v>139</v>
      </c>
      <c r="J69" s="25">
        <f>(IF(D63&gt;1,(H63/(D63+2)+J68),0))</f>
        <v>0</v>
      </c>
    </row>
    <row r="70" spans="1:12" ht="21" customHeight="1" x14ac:dyDescent="0.35">
      <c r="A70" s="96" t="s">
        <v>168</v>
      </c>
      <c r="B70" s="97"/>
      <c r="C70" s="30">
        <v>0</v>
      </c>
      <c r="D70" s="5">
        <f ca="1">((100/H63)*C70)/100</f>
        <v>0</v>
      </c>
      <c r="E70" s="125"/>
      <c r="F70" s="126"/>
      <c r="G70" s="98"/>
      <c r="H70" s="98"/>
      <c r="I70" s="20" t="s">
        <v>140</v>
      </c>
      <c r="J70" s="25">
        <f>(IF(D63&gt;2,(H63/(D63+2)+J69),0))</f>
        <v>0</v>
      </c>
    </row>
    <row r="71" spans="1:12" ht="21" x14ac:dyDescent="0.35">
      <c r="A71" s="96" t="s">
        <v>165</v>
      </c>
      <c r="B71" s="97"/>
      <c r="C71" s="30">
        <v>0</v>
      </c>
      <c r="D71" s="5">
        <f ca="1">((100/(H63))*C71)/100</f>
        <v>0</v>
      </c>
      <c r="E71" s="125"/>
      <c r="F71" s="126"/>
      <c r="G71" s="98"/>
      <c r="H71" s="98"/>
      <c r="I71" s="20" t="s">
        <v>142</v>
      </c>
      <c r="J71" s="26">
        <f>(IF(D63&gt;3,(H63/(D63+2)+J70),0))</f>
        <v>0</v>
      </c>
    </row>
    <row r="72" spans="1:12" ht="21" x14ac:dyDescent="0.35">
      <c r="A72" s="98" t="s">
        <v>141</v>
      </c>
      <c r="B72" s="98"/>
      <c r="C72" s="30">
        <v>0</v>
      </c>
      <c r="D72" s="5">
        <f ca="1">((100/(H63))*C72)/100</f>
        <v>0</v>
      </c>
      <c r="E72" s="125"/>
      <c r="F72" s="126"/>
      <c r="G72" s="98"/>
      <c r="H72" s="98"/>
      <c r="I72" s="20" t="s">
        <v>143</v>
      </c>
      <c r="J72" s="25">
        <f>(IF(D63&gt;4,(H63/(D63+2)+J71),0))</f>
        <v>0</v>
      </c>
    </row>
    <row r="73" spans="1:12" ht="21" customHeight="1" x14ac:dyDescent="0.35">
      <c r="A73" s="98" t="s">
        <v>167</v>
      </c>
      <c r="B73" s="98"/>
      <c r="C73" s="30">
        <v>0</v>
      </c>
      <c r="D73" s="5">
        <f ca="1">((100/H63)*C73)/100</f>
        <v>0</v>
      </c>
      <c r="E73" s="125"/>
      <c r="F73" s="126"/>
      <c r="G73" s="98"/>
      <c r="H73" s="98"/>
      <c r="I73" s="20" t="s">
        <v>127</v>
      </c>
      <c r="J73" s="25">
        <f ca="1">(IF(D63=1,(H63/(D63+3)+J68),IF(D63=0,(H63*0.3+J68),IF(D63&gt;1,0))))</f>
        <v>35.700000000000003</v>
      </c>
    </row>
    <row r="74" spans="1:12" ht="21.75" thickBot="1" x14ac:dyDescent="0.4">
      <c r="A74" s="98" t="s">
        <v>166</v>
      </c>
      <c r="B74" s="98"/>
      <c r="C74" s="30">
        <v>0</v>
      </c>
      <c r="D74" s="5">
        <f ca="1">((100/H63)*C74)/100</f>
        <v>0</v>
      </c>
      <c r="E74" s="125"/>
      <c r="F74" s="126"/>
      <c r="G74" s="98"/>
      <c r="H74" s="98"/>
      <c r="I74" s="22" t="s">
        <v>128</v>
      </c>
      <c r="J74" s="27">
        <f ca="1">(IF(D63&gt;1.5,(H63/(D63+2)+J68+MAX(0,J69-J68)+MAX(0,J70-J69)+MAX(0,J71-J70)+MAX(0,J72-J71)+MAX(0,J73-J72)),IF(D63=1,(H63/(D63+3)+J73),IF(D63=0,H63*0.3+J73))))</f>
        <v>51</v>
      </c>
      <c r="L74" s="76" t="s">
        <v>370</v>
      </c>
    </row>
    <row r="75" spans="1:12" ht="20.25" x14ac:dyDescent="0.25">
      <c r="A75" s="98" t="s">
        <v>144</v>
      </c>
      <c r="B75" s="98"/>
      <c r="C75" s="30">
        <v>0</v>
      </c>
      <c r="D75" s="5">
        <f ca="1">((100/(H63))*C75)/100</f>
        <v>0</v>
      </c>
      <c r="E75" s="125"/>
      <c r="F75" s="126"/>
      <c r="G75" s="98"/>
      <c r="H75" s="98"/>
    </row>
    <row r="76" spans="1:12" ht="20.25" x14ac:dyDescent="0.25">
      <c r="A76" s="98" t="s">
        <v>145</v>
      </c>
      <c r="B76" s="98"/>
      <c r="C76" s="30">
        <v>0</v>
      </c>
      <c r="D76" s="5">
        <f ca="1">((100/(H63))*C76)/100</f>
        <v>0</v>
      </c>
      <c r="E76" s="127"/>
      <c r="F76" s="128"/>
      <c r="G76" s="98"/>
      <c r="H76" s="98"/>
    </row>
    <row r="77" spans="1:12" ht="21" hidden="1" thickBot="1" x14ac:dyDescent="0.3">
      <c r="A77" s="106" t="s">
        <v>69</v>
      </c>
      <c r="B77" s="106"/>
      <c r="C77" s="106"/>
      <c r="D77" s="106"/>
      <c r="E77" s="106"/>
      <c r="F77" s="106"/>
      <c r="G77" s="106"/>
      <c r="H77" s="106"/>
    </row>
    <row r="78" spans="1:12" ht="20.25" hidden="1" customHeight="1" x14ac:dyDescent="0.3">
      <c r="A78" s="107" t="str">
        <f>CONCATENATE((IF(OR(A47="",A47="NA"),"",A47)),"= ",(IF(OR(D47="",D47="NA"),"",D47)),".")</f>
        <v>Tower 2 = .</v>
      </c>
      <c r="B78" s="107"/>
      <c r="C78" s="107"/>
      <c r="D78" s="30" t="s">
        <v>116</v>
      </c>
      <c r="E78" s="108" t="s">
        <v>103</v>
      </c>
      <c r="F78" s="108"/>
      <c r="G78" s="30" t="s">
        <v>117</v>
      </c>
      <c r="H78" s="30" t="s">
        <v>118</v>
      </c>
      <c r="I78" s="16" t="str">
        <f ca="1">(IF(E81&gt;99%,"All work completed. Please provide OC.",IF(E81&gt;89.8%,"Plinth, RCC, Brick, Plaster, Flooring, Wooden, Plumbing, Electrification, etc., work Completed. Finishing work is in process.",IF(E81&lt;94%,(IF(C81=0,"Work not yet Started.",IF(D81=25%,"Piling work in process",IF(D81=50%,"Excavation work in process",IF(D81=100%,"Excavation work Completed. ","0")))&amp;(IF(C82=0%,"",IF(C82=J83,"Footing work is process",IF(C82=J84,"Footing work Completed",IF(C82=J85,"1st Basement Completed",IF(C82=J86,"1st &amp; 2nd Basement Completed",IF(C82=J87,"1st to 3rd Basement Completed",IF(C82=J88,"1st to 4th Basement Completed",IF(C82=J89,"Plinth work is process",IF(C82=J90,"Plinth work completed","0")))))))))))&amp;(IF(C83=(E79+G79+H79),", RCC Slab",IF(C83&gt;0,", RCC upto "&amp;C83&amp;" Slab",""))&amp;(IF(C84=H79,", Brickwork",IF(C84&gt;0,", Brickwork upto "&amp;C84&amp;" Floor",""))&amp;(IF(C85=H79,", Internal Plaster",IF(C85&gt;0,", Internal Plaster upto "&amp;C85&amp;" Floor",""))&amp;(IF(C86=H79,", External Plaster",IF(C86&gt;0,", External Plaster upto "&amp;C86&amp;" Floor",""))&amp;(IF(C87=H79,", External Plumbing, Elevation and Waterproofing",IF(C87&gt;0,", External Plumbing, Elevation and Waterproofing upto "&amp;C87&amp;" Floor",""))&amp;(IF(C88=H79,", Flooring &amp; Fitting",IF(C88&gt;0,", Flooring &amp; Fitting upto "&amp;C88&amp;" Floor",""))&amp;(IF(C89=H79,", Wooden Work",IF(C89&gt;0,", Wooden Work upto "&amp;C89&amp;" Floor",""))&amp;(IF(C90=H79,", Electrical &amp; Sanitary fittings",IF(C90&gt;0,", Electrical &amp; Sanitary fittings upto "&amp;C90&amp;" Floor",""))&amp;(IF(C91&gt;0,", Finishing upto "&amp;C91&amp;" Floor","")&amp;(IF(C83&gt;0.5," Completed",""))))))))))))))))</f>
        <v>Excavation work Completed. Plinth work completed</v>
      </c>
      <c r="J78" s="18"/>
    </row>
    <row r="79" spans="1:12" ht="20.25" hidden="1" x14ac:dyDescent="0.3">
      <c r="A79" s="107"/>
      <c r="B79" s="107"/>
      <c r="C79" s="107"/>
      <c r="D79" s="52">
        <f>IF(AND(ISNUMBER(SEARCH("1B",A78))),1,IF(AND(ISNUMBER(SEARCH("2B",A78))),2,IF(AND(ISNUMBER(SEARCH("3B",A78))),3,IF(AND(ISNUMBER(SEARCH("4B",A78))),4,IF(ISNUMBER(SEARCH("5B",A78)),5,0)))))</f>
        <v>0</v>
      </c>
      <c r="E79" s="108">
        <v>1</v>
      </c>
      <c r="F79" s="108"/>
      <c r="G79" s="52">
        <v>0</v>
      </c>
      <c r="H79" s="30">
        <f ca="1">--TRIM(RIGHT(SUBSTITUTE(LEFT(A78,_xlfn.AGGREGATE(16,6,FIND({0,1,2,3,4,5,6,7,8,9},A78,ROW(INDIRECT("1:"&amp;LEN(A78)))),1))," ",REPT(" ",LEN(A78))),LEN(A78)))</f>
        <v>2</v>
      </c>
      <c r="I79" s="17" t="s">
        <v>122</v>
      </c>
      <c r="J79" s="18"/>
    </row>
    <row r="80" spans="1:12" ht="20.25" hidden="1" customHeight="1" x14ac:dyDescent="0.3">
      <c r="A80" s="109" t="s">
        <v>120</v>
      </c>
      <c r="B80" s="109"/>
      <c r="C80" s="28" t="s">
        <v>132</v>
      </c>
      <c r="D80" s="28" t="s">
        <v>133</v>
      </c>
      <c r="E80" s="109" t="s">
        <v>121</v>
      </c>
      <c r="F80" s="109"/>
      <c r="G80" s="29" t="s">
        <v>119</v>
      </c>
      <c r="H80" s="29"/>
      <c r="I80" s="20" t="s">
        <v>134</v>
      </c>
      <c r="J80" s="19">
        <f ca="1">H79*25%</f>
        <v>0.5</v>
      </c>
    </row>
    <row r="81" spans="1:10" ht="20.25" hidden="1" customHeight="1" x14ac:dyDescent="0.3">
      <c r="A81" s="98" t="s">
        <v>135</v>
      </c>
      <c r="B81" s="98"/>
      <c r="C81" s="30">
        <f ca="1">J82</f>
        <v>2</v>
      </c>
      <c r="D81" s="5">
        <f ca="1">((100/H79)*C81)/100</f>
        <v>1</v>
      </c>
      <c r="E81" s="123">
        <f ca="1">(((C81/H79*10)+(C82/H79*15)+(25/(E79+G79+H79)*C83)+(5/(H79)*C84)+(2.5/(H79)*C85)+(2.5/(H79)*C86)+(5/H79*C87)+(10/H79*C88)+(2.5/H79*C89)+(2.5/H79*C90)+(10/H79*C91)+(10/H79*C92))/100)</f>
        <v>0.25</v>
      </c>
      <c r="F81" s="124"/>
      <c r="G81" s="98" t="str">
        <f ca="1">I78</f>
        <v>Excavation work Completed. Plinth work completed</v>
      </c>
      <c r="H81" s="98"/>
      <c r="I81" s="20" t="s">
        <v>123</v>
      </c>
      <c r="J81" s="24">
        <f ca="1">H79*50%</f>
        <v>1</v>
      </c>
    </row>
    <row r="82" spans="1:10" ht="20.25" hidden="1" x14ac:dyDescent="0.3">
      <c r="A82" s="98" t="s">
        <v>104</v>
      </c>
      <c r="B82" s="98"/>
      <c r="C82" s="32">
        <f ca="1">J90</f>
        <v>2</v>
      </c>
      <c r="D82" s="5">
        <f ca="1">((100/H79)*C82)/100</f>
        <v>1</v>
      </c>
      <c r="E82" s="125"/>
      <c r="F82" s="126"/>
      <c r="G82" s="98"/>
      <c r="H82" s="98"/>
      <c r="I82" s="20" t="s">
        <v>124</v>
      </c>
      <c r="J82" s="24">
        <f ca="1">H79</f>
        <v>2</v>
      </c>
    </row>
    <row r="83" spans="1:10" ht="21" hidden="1" customHeight="1" x14ac:dyDescent="0.35">
      <c r="A83" s="98" t="s">
        <v>136</v>
      </c>
      <c r="B83" s="98"/>
      <c r="C83" s="30">
        <v>0</v>
      </c>
      <c r="D83" s="5">
        <f ca="1">((100/(E79+G79+H79))*C83)/100</f>
        <v>0</v>
      </c>
      <c r="E83" s="125"/>
      <c r="F83" s="126"/>
      <c r="G83" s="98"/>
      <c r="H83" s="98"/>
      <c r="I83" s="20" t="s">
        <v>125</v>
      </c>
      <c r="J83" s="25">
        <f ca="1">(IF(D79&gt;1,(H79/(D79+2)),H79*0.2))</f>
        <v>0.4</v>
      </c>
    </row>
    <row r="84" spans="1:10" ht="21" hidden="1" customHeight="1" x14ac:dyDescent="0.35">
      <c r="A84" s="98" t="s">
        <v>137</v>
      </c>
      <c r="B84" s="98"/>
      <c r="C84" s="30">
        <v>0</v>
      </c>
      <c r="D84" s="5">
        <f ca="1">((100/H79)*C84)/100</f>
        <v>0</v>
      </c>
      <c r="E84" s="125"/>
      <c r="F84" s="126"/>
      <c r="G84" s="98"/>
      <c r="H84" s="98"/>
      <c r="I84" s="20" t="s">
        <v>126</v>
      </c>
      <c r="J84" s="25">
        <f ca="1">(IF(D79&gt;1,(H79/(D79+2)+J83),H79*0.2+J83))</f>
        <v>0.8</v>
      </c>
    </row>
    <row r="85" spans="1:10" ht="21" hidden="1" customHeight="1" x14ac:dyDescent="0.35">
      <c r="A85" s="96" t="s">
        <v>138</v>
      </c>
      <c r="B85" s="97"/>
      <c r="C85" s="30">
        <v>0</v>
      </c>
      <c r="D85" s="5">
        <f ca="1">((100/H79)*C85)/100</f>
        <v>0</v>
      </c>
      <c r="E85" s="125"/>
      <c r="F85" s="126"/>
      <c r="G85" s="98"/>
      <c r="H85" s="98"/>
      <c r="I85" s="20" t="s">
        <v>139</v>
      </c>
      <c r="J85" s="25">
        <f>(IF(D79&gt;1,(H79/(D79+2)+J84),0))</f>
        <v>0</v>
      </c>
    </row>
    <row r="86" spans="1:10" ht="21" hidden="1" customHeight="1" x14ac:dyDescent="0.35">
      <c r="A86" s="96" t="s">
        <v>168</v>
      </c>
      <c r="B86" s="97"/>
      <c r="C86" s="30">
        <v>0</v>
      </c>
      <c r="D86" s="5">
        <f ca="1">((100/H79)*C86)/100</f>
        <v>0</v>
      </c>
      <c r="E86" s="125"/>
      <c r="F86" s="126"/>
      <c r="G86" s="98"/>
      <c r="H86" s="98"/>
      <c r="I86" s="20" t="s">
        <v>140</v>
      </c>
      <c r="J86" s="25">
        <f>(IF(D79&gt;2,(H79/(D79+2)+J85),0))</f>
        <v>0</v>
      </c>
    </row>
    <row r="87" spans="1:10" ht="57.75" hidden="1" customHeight="1" x14ac:dyDescent="0.35">
      <c r="A87" s="96" t="s">
        <v>165</v>
      </c>
      <c r="B87" s="97"/>
      <c r="C87" s="30">
        <v>0</v>
      </c>
      <c r="D87" s="5">
        <f ca="1">((100/(H79))*C87)/100</f>
        <v>0</v>
      </c>
      <c r="E87" s="125"/>
      <c r="F87" s="126"/>
      <c r="G87" s="98"/>
      <c r="H87" s="98"/>
      <c r="I87" s="20" t="s">
        <v>142</v>
      </c>
      <c r="J87" s="26">
        <f>(IF(D79&gt;3,(H79/(D79+2)+J86),0))</f>
        <v>0</v>
      </c>
    </row>
    <row r="88" spans="1:10" ht="21" hidden="1" x14ac:dyDescent="0.35">
      <c r="A88" s="98" t="s">
        <v>141</v>
      </c>
      <c r="B88" s="98"/>
      <c r="C88" s="30">
        <v>0</v>
      </c>
      <c r="D88" s="5">
        <f ca="1">((100/(H79))*C88)/100</f>
        <v>0</v>
      </c>
      <c r="E88" s="125"/>
      <c r="F88" s="126"/>
      <c r="G88" s="98"/>
      <c r="H88" s="98"/>
      <c r="I88" s="20" t="s">
        <v>143</v>
      </c>
      <c r="J88" s="25">
        <f>(IF(D79&gt;4,(H79/(D79+2)+J87),0))</f>
        <v>0</v>
      </c>
    </row>
    <row r="89" spans="1:10" ht="21" hidden="1" customHeight="1" x14ac:dyDescent="0.35">
      <c r="A89" s="98" t="s">
        <v>167</v>
      </c>
      <c r="B89" s="98"/>
      <c r="C89" s="30">
        <v>0</v>
      </c>
      <c r="D89" s="5">
        <f ca="1">((100/H79)*C89)/100</f>
        <v>0</v>
      </c>
      <c r="E89" s="125"/>
      <c r="F89" s="126"/>
      <c r="G89" s="98"/>
      <c r="H89" s="98"/>
      <c r="I89" s="20" t="s">
        <v>127</v>
      </c>
      <c r="J89" s="25">
        <f ca="1">(IF(D79=1,(H79/(D79+3)+J84),IF(D79=0,(H79*0.3+J84),IF(D79&gt;1,0))))</f>
        <v>1.4</v>
      </c>
    </row>
    <row r="90" spans="1:10" ht="21.75" hidden="1" thickBot="1" x14ac:dyDescent="0.4">
      <c r="A90" s="98" t="s">
        <v>166</v>
      </c>
      <c r="B90" s="98"/>
      <c r="C90" s="30">
        <v>0</v>
      </c>
      <c r="D90" s="5">
        <f ca="1">((100/H79)*C90)/100</f>
        <v>0</v>
      </c>
      <c r="E90" s="125"/>
      <c r="F90" s="126"/>
      <c r="G90" s="98"/>
      <c r="H90" s="98"/>
      <c r="I90" s="22" t="s">
        <v>128</v>
      </c>
      <c r="J90" s="27">
        <f ca="1">(IF(D79&gt;1.5,(H79/(D79+2)+J84+MAX(0,J85-J84)+MAX(0,J86-J85)+MAX(0,J87-J86)+MAX(0,J88-J87)+MAX(0,J89-J88)),IF(D79=1,(H79/(D79+3)+J89),IF(D79=0,H79*0.3+J89))))</f>
        <v>2</v>
      </c>
    </row>
    <row r="91" spans="1:10" ht="20.25" hidden="1" x14ac:dyDescent="0.25">
      <c r="A91" s="98" t="s">
        <v>144</v>
      </c>
      <c r="B91" s="98"/>
      <c r="C91" s="30">
        <v>0</v>
      </c>
      <c r="D91" s="5">
        <f ca="1">((100/(H79))*C91)/100</f>
        <v>0</v>
      </c>
      <c r="E91" s="125"/>
      <c r="F91" s="126"/>
      <c r="G91" s="98"/>
      <c r="H91" s="98"/>
    </row>
    <row r="92" spans="1:10" ht="20.25" hidden="1" x14ac:dyDescent="0.25">
      <c r="A92" s="98" t="s">
        <v>145</v>
      </c>
      <c r="B92" s="98"/>
      <c r="C92" s="30">
        <v>0</v>
      </c>
      <c r="D92" s="5">
        <f ca="1">((100/(H79))*C92)/100</f>
        <v>0</v>
      </c>
      <c r="E92" s="127"/>
      <c r="F92" s="128"/>
      <c r="G92" s="98"/>
      <c r="H92" s="98"/>
    </row>
    <row r="93" spans="1:10" ht="21" hidden="1" thickBot="1" x14ac:dyDescent="0.3">
      <c r="A93" s="106" t="s">
        <v>69</v>
      </c>
      <c r="B93" s="106"/>
      <c r="C93" s="106"/>
      <c r="D93" s="106"/>
      <c r="E93" s="106"/>
      <c r="F93" s="106"/>
      <c r="G93" s="106"/>
      <c r="H93" s="106"/>
    </row>
    <row r="94" spans="1:10" ht="20.25" hidden="1" customHeight="1" x14ac:dyDescent="0.3">
      <c r="A94" s="107" t="str">
        <f>CONCATENATE((IF(OR(A48="",A48="NA"),"",A48)),"= ",(IF(OR(D48="",D48="NA"),"",D48)),".")</f>
        <v>Tower 3 = .</v>
      </c>
      <c r="B94" s="107"/>
      <c r="C94" s="107"/>
      <c r="D94" s="30" t="s">
        <v>116</v>
      </c>
      <c r="E94" s="108" t="s">
        <v>103</v>
      </c>
      <c r="F94" s="108"/>
      <c r="G94" s="30" t="s">
        <v>117</v>
      </c>
      <c r="H94" s="30" t="s">
        <v>118</v>
      </c>
      <c r="I94" s="16" t="str">
        <f ca="1">(IF(E97&gt;99%,"All work completed. Please provide OC.",IF(E97&gt;89.8%,"Plinth, RCC, Brick, Plaster, Flooring, Wooden, Plumbing, Electrification, etc.,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completed","0")))))))))))&amp;(IF(C99=(E95+G95+H95),", RCC Slab",IF(C99&gt;0,", RCC upto "&amp;C99&amp;" Slab",""))&amp;(IF(C100=H95,", Brickwork",IF(C100&gt;0,", Brickwork upto "&amp;C100&amp;" Floor",""))&amp;(IF(C101=H95,", Internal Plaster",IF(C101&gt;0,", Internal Plaster upto "&amp;C101&amp;" Floor",""))&amp;(IF(C102=H95,", External Plaster",IF(C102&gt;0,", External Plaster upto "&amp;C102&amp;" Floor",""))&amp;(IF(C103=H95,", External Plumbing, Elevation and Waterproofing",IF(C103&gt;0,", External Plumbing, Elevation and Waterproofing upto "&amp;C103&amp;" Floor",""))&amp;(IF(C104=H95,", Flooring &amp; Fitting",IF(C104&gt;0,", Flooring &amp; Fitting upto "&amp;C104&amp;" Floor",""))&amp;(IF(C105=H95,", Wooden Work",IF(C105&gt;0,", Wooden Work upto "&amp;C105&amp;" Floor",""))&amp;(IF(C106=H95,", Electrical &amp; Sanitary fittings",IF(C106&gt;0,", Electrical &amp; Sanitary fittings upto "&amp;C106&amp;" Floor",""))&amp;(IF(C107&gt;0,", Finishing upto "&amp;C107&amp;" Floor","")&amp;(IF(C99&gt;0.5," Completed",""))))))))))))))))</f>
        <v>Excavation work Completed. Plinth work completed</v>
      </c>
      <c r="J94" s="18"/>
    </row>
    <row r="95" spans="1:10" ht="20.25" hidden="1" x14ac:dyDescent="0.3">
      <c r="A95" s="107"/>
      <c r="B95" s="107"/>
      <c r="C95" s="107"/>
      <c r="D95" s="52">
        <f>IF(AND(ISNUMBER(SEARCH("1B",A94))),1,IF(AND(ISNUMBER(SEARCH("2B",A94))),2,IF(AND(ISNUMBER(SEARCH("3B",A94))),3,IF(AND(ISNUMBER(SEARCH("4B",A94))),4,IF(ISNUMBER(SEARCH("5B",A94)),5,0)))))</f>
        <v>0</v>
      </c>
      <c r="E95" s="108">
        <v>1</v>
      </c>
      <c r="F95" s="108"/>
      <c r="G95" s="52">
        <v>0</v>
      </c>
      <c r="H95" s="30">
        <f ca="1">--TRIM(RIGHT(SUBSTITUTE(LEFT(A94,_xlfn.AGGREGATE(16,6,FIND({0,1,2,3,4,5,6,7,8,9},A94,ROW(INDIRECT("1:"&amp;LEN(A94)))),1))," ",REPT(" ",LEN(A94))),LEN(A94)))</f>
        <v>3</v>
      </c>
      <c r="I95" s="17" t="s">
        <v>122</v>
      </c>
      <c r="J95" s="18"/>
    </row>
    <row r="96" spans="1:10" ht="20.25" hidden="1" customHeight="1" x14ac:dyDescent="0.3">
      <c r="A96" s="109" t="s">
        <v>120</v>
      </c>
      <c r="B96" s="109"/>
      <c r="C96" s="28" t="s">
        <v>132</v>
      </c>
      <c r="D96" s="28" t="s">
        <v>133</v>
      </c>
      <c r="E96" s="109" t="s">
        <v>121</v>
      </c>
      <c r="F96" s="109"/>
      <c r="G96" s="29" t="s">
        <v>119</v>
      </c>
      <c r="H96" s="29"/>
      <c r="I96" s="20" t="s">
        <v>134</v>
      </c>
      <c r="J96" s="19">
        <f ca="1">H95*25%</f>
        <v>0.75</v>
      </c>
    </row>
    <row r="97" spans="1:12" ht="20.25" hidden="1" customHeight="1" x14ac:dyDescent="0.3">
      <c r="A97" s="98" t="s">
        <v>135</v>
      </c>
      <c r="B97" s="98"/>
      <c r="C97" s="30">
        <f ca="1">J98</f>
        <v>3</v>
      </c>
      <c r="D97" s="5">
        <f ca="1">((100/H95)*C97)/100</f>
        <v>1</v>
      </c>
      <c r="E97" s="123">
        <f ca="1">(((C97/H95*10)+(C98/H95*15)+(25/(E95+G95+H95)*C99)+(5/(H95)*C100)+(2.5/(H95)*C101)+(2.5/(H95)*C102)+(5/H95*C103)+(10/H95*C104)+(2.5/H95*C105)+(2.5/H95*C106)+(10/H95*C107)+(10/H95*C108))/100)</f>
        <v>0.25</v>
      </c>
      <c r="F97" s="124"/>
      <c r="G97" s="98" t="str">
        <f ca="1">I94</f>
        <v>Excavation work Completed. Plinth work completed</v>
      </c>
      <c r="H97" s="98"/>
      <c r="I97" s="20" t="s">
        <v>123</v>
      </c>
      <c r="J97" s="24">
        <f ca="1">H95*50%</f>
        <v>1.5</v>
      </c>
    </row>
    <row r="98" spans="1:12" ht="20.25" hidden="1" x14ac:dyDescent="0.3">
      <c r="A98" s="98" t="s">
        <v>104</v>
      </c>
      <c r="B98" s="98"/>
      <c r="C98" s="32">
        <f ca="1">J106</f>
        <v>3</v>
      </c>
      <c r="D98" s="5">
        <f ca="1">((100/H95)*C98)/100</f>
        <v>1</v>
      </c>
      <c r="E98" s="125"/>
      <c r="F98" s="126"/>
      <c r="G98" s="98"/>
      <c r="H98" s="98"/>
      <c r="I98" s="20" t="s">
        <v>124</v>
      </c>
      <c r="J98" s="24">
        <f ca="1">H95</f>
        <v>3</v>
      </c>
    </row>
    <row r="99" spans="1:12" ht="21" hidden="1" customHeight="1" x14ac:dyDescent="0.35">
      <c r="A99" s="98" t="s">
        <v>136</v>
      </c>
      <c r="B99" s="98"/>
      <c r="C99" s="30">
        <v>0</v>
      </c>
      <c r="D99" s="5">
        <f ca="1">((100/(E95+G95+H95))*C99)/100</f>
        <v>0</v>
      </c>
      <c r="E99" s="125"/>
      <c r="F99" s="126"/>
      <c r="G99" s="98"/>
      <c r="H99" s="98"/>
      <c r="I99" s="20" t="s">
        <v>125</v>
      </c>
      <c r="J99" s="25">
        <f ca="1">(IF(D95&gt;1,(H95/(D95+2)),H95*0.2))</f>
        <v>0.60000000000000009</v>
      </c>
    </row>
    <row r="100" spans="1:12" ht="21" hidden="1" customHeight="1" x14ac:dyDescent="0.35">
      <c r="A100" s="98" t="s">
        <v>137</v>
      </c>
      <c r="B100" s="98"/>
      <c r="C100" s="30">
        <v>0</v>
      </c>
      <c r="D100" s="5">
        <f ca="1">((100/H95)*C100)/100</f>
        <v>0</v>
      </c>
      <c r="E100" s="125"/>
      <c r="F100" s="126"/>
      <c r="G100" s="98"/>
      <c r="H100" s="98"/>
      <c r="I100" s="20" t="s">
        <v>126</v>
      </c>
      <c r="J100" s="25">
        <f ca="1">(IF(D95&gt;1,(H95/(D95+2)+J99),H95*0.2+J99))</f>
        <v>1.2000000000000002</v>
      </c>
    </row>
    <row r="101" spans="1:12" ht="21" hidden="1" customHeight="1" x14ac:dyDescent="0.35">
      <c r="A101" s="96" t="s">
        <v>138</v>
      </c>
      <c r="B101" s="97"/>
      <c r="C101" s="30">
        <v>0</v>
      </c>
      <c r="D101" s="5">
        <f ca="1">((100/H95)*C101)/100</f>
        <v>0</v>
      </c>
      <c r="E101" s="125"/>
      <c r="F101" s="126"/>
      <c r="G101" s="98"/>
      <c r="H101" s="98"/>
      <c r="I101" s="20" t="s">
        <v>139</v>
      </c>
      <c r="J101" s="25">
        <f>(IF(D95&gt;1,(H95/(D95+2)+J100),0))</f>
        <v>0</v>
      </c>
    </row>
    <row r="102" spans="1:12" ht="21" hidden="1" customHeight="1" x14ac:dyDescent="0.35">
      <c r="A102" s="96" t="s">
        <v>168</v>
      </c>
      <c r="B102" s="97"/>
      <c r="C102" s="30">
        <v>0</v>
      </c>
      <c r="D102" s="5">
        <f ca="1">((100/H95)*C102)/100</f>
        <v>0</v>
      </c>
      <c r="E102" s="125"/>
      <c r="F102" s="126"/>
      <c r="G102" s="98"/>
      <c r="H102" s="98"/>
      <c r="I102" s="20" t="s">
        <v>140</v>
      </c>
      <c r="J102" s="25">
        <f>(IF(D95&gt;2,(H95/(D95+2)+J101),0))</f>
        <v>0</v>
      </c>
    </row>
    <row r="103" spans="1:12" ht="57.75" hidden="1" customHeight="1" x14ac:dyDescent="0.35">
      <c r="A103" s="96" t="s">
        <v>165</v>
      </c>
      <c r="B103" s="97"/>
      <c r="C103" s="30">
        <v>0</v>
      </c>
      <c r="D103" s="5">
        <f ca="1">((100/(H95))*C103)/100</f>
        <v>0</v>
      </c>
      <c r="E103" s="125"/>
      <c r="F103" s="126"/>
      <c r="G103" s="98"/>
      <c r="H103" s="98"/>
      <c r="I103" s="20" t="s">
        <v>142</v>
      </c>
      <c r="J103" s="26">
        <f>(IF(D95&gt;3,(H95/(D95+2)+J102),0))</f>
        <v>0</v>
      </c>
    </row>
    <row r="104" spans="1:12" ht="21" hidden="1" x14ac:dyDescent="0.35">
      <c r="A104" s="98" t="s">
        <v>141</v>
      </c>
      <c r="B104" s="98"/>
      <c r="C104" s="30">
        <v>0</v>
      </c>
      <c r="D104" s="5">
        <f ca="1">((100/(H95))*C104)/100</f>
        <v>0</v>
      </c>
      <c r="E104" s="125"/>
      <c r="F104" s="126"/>
      <c r="G104" s="98"/>
      <c r="H104" s="98"/>
      <c r="I104" s="20" t="s">
        <v>143</v>
      </c>
      <c r="J104" s="25">
        <f>(IF(D95&gt;4,(H95/(D95+2)+J103),0))</f>
        <v>0</v>
      </c>
    </row>
    <row r="105" spans="1:12" ht="21" hidden="1" customHeight="1" x14ac:dyDescent="0.35">
      <c r="A105" s="98" t="s">
        <v>167</v>
      </c>
      <c r="B105" s="98"/>
      <c r="C105" s="30">
        <v>0</v>
      </c>
      <c r="D105" s="5">
        <f ca="1">((100/H95)*C105)/100</f>
        <v>0</v>
      </c>
      <c r="E105" s="125"/>
      <c r="F105" s="126"/>
      <c r="G105" s="98"/>
      <c r="H105" s="98"/>
      <c r="I105" s="20" t="s">
        <v>127</v>
      </c>
      <c r="J105" s="25">
        <f ca="1">(IF(D95=1,(H95/(D95+3)+J100),IF(D95=0,(H95*0.3+J100),IF(D95&gt;1,0))))</f>
        <v>2.1</v>
      </c>
    </row>
    <row r="106" spans="1:12" ht="21.75" hidden="1" thickBot="1" x14ac:dyDescent="0.4">
      <c r="A106" s="98" t="s">
        <v>166</v>
      </c>
      <c r="B106" s="98"/>
      <c r="C106" s="30">
        <v>0</v>
      </c>
      <c r="D106" s="5">
        <f ca="1">((100/H95)*C106)/100</f>
        <v>0</v>
      </c>
      <c r="E106" s="125"/>
      <c r="F106" s="126"/>
      <c r="G106" s="98"/>
      <c r="H106" s="98"/>
      <c r="I106" s="22" t="s">
        <v>128</v>
      </c>
      <c r="J106" s="27">
        <f ca="1">(IF(D95&gt;1.5,(H95/(D95+2)+J100+MAX(0,J101-J100)+MAX(0,J102-J101)+MAX(0,J103-J102)+MAX(0,J104-J103)+MAX(0,J105-J104)),IF(D95=1,(H95/(D95+3)+J105),IF(D95=0,H95*0.3+J105))))</f>
        <v>3</v>
      </c>
    </row>
    <row r="107" spans="1:12" ht="20.25" hidden="1" x14ac:dyDescent="0.25">
      <c r="A107" s="98" t="s">
        <v>144</v>
      </c>
      <c r="B107" s="98"/>
      <c r="C107" s="30">
        <v>0</v>
      </c>
      <c r="D107" s="5">
        <f ca="1">((100/(H95))*C107)/100</f>
        <v>0</v>
      </c>
      <c r="E107" s="125"/>
      <c r="F107" s="126"/>
      <c r="G107" s="98"/>
      <c r="H107" s="98"/>
    </row>
    <row r="108" spans="1:12" ht="20.25" hidden="1" x14ac:dyDescent="0.25">
      <c r="A108" s="98" t="s">
        <v>145</v>
      </c>
      <c r="B108" s="98"/>
      <c r="C108" s="30">
        <v>0</v>
      </c>
      <c r="D108" s="5">
        <f ca="1">((100/(H95))*C108)/100</f>
        <v>0</v>
      </c>
      <c r="E108" s="127"/>
      <c r="F108" s="128"/>
      <c r="G108" s="98"/>
      <c r="H108" s="98"/>
    </row>
    <row r="109" spans="1:12" ht="36.75" customHeight="1" x14ac:dyDescent="0.3">
      <c r="A109" s="110" t="s">
        <v>129</v>
      </c>
      <c r="B109" s="111"/>
      <c r="C109" s="111"/>
      <c r="D109" s="111"/>
      <c r="E109" s="111"/>
      <c r="F109" s="111"/>
      <c r="G109" s="129">
        <f ca="1">AVERAGE(E65)</f>
        <v>0</v>
      </c>
      <c r="H109" s="130"/>
      <c r="I109" s="85">
        <f>9300000/408</f>
        <v>22794.117647058825</v>
      </c>
      <c r="J109" s="21"/>
      <c r="K109" s="85"/>
    </row>
    <row r="110" spans="1:12" ht="20.25" x14ac:dyDescent="0.25">
      <c r="A110" s="115" t="s">
        <v>73</v>
      </c>
      <c r="B110" s="116"/>
      <c r="C110" s="116"/>
      <c r="D110" s="116"/>
      <c r="E110" s="116"/>
      <c r="F110" s="116"/>
      <c r="G110" s="116"/>
      <c r="H110" s="117"/>
      <c r="I110" s="83">
        <f>14900000/668</f>
        <v>22305.389221556885</v>
      </c>
      <c r="L110" s="83">
        <f>AVERAGE(I109,I110,I111)</f>
        <v>23450.002623539902</v>
      </c>
    </row>
    <row r="111" spans="1:12" ht="42" customHeight="1" x14ac:dyDescent="0.25">
      <c r="A111" s="118" t="s">
        <v>74</v>
      </c>
      <c r="B111" s="119"/>
      <c r="C111" s="112" t="s">
        <v>108</v>
      </c>
      <c r="D111" s="113"/>
      <c r="E111" s="118" t="s">
        <v>146</v>
      </c>
      <c r="F111" s="119" t="s">
        <v>4</v>
      </c>
      <c r="G111" s="120" t="s">
        <v>159</v>
      </c>
      <c r="H111" s="120"/>
      <c r="I111" s="1">
        <f>25200000/998</f>
        <v>25250.501002004006</v>
      </c>
      <c r="J111" s="1">
        <f>16000*1.5</f>
        <v>24000</v>
      </c>
    </row>
    <row r="112" spans="1:12" ht="44.25" customHeight="1" x14ac:dyDescent="0.25">
      <c r="A112" s="118" t="s">
        <v>156</v>
      </c>
      <c r="B112" s="119"/>
      <c r="C112" s="202" t="s">
        <v>371</v>
      </c>
      <c r="D112" s="203"/>
      <c r="E112" s="118" t="s">
        <v>157</v>
      </c>
      <c r="F112" s="119" t="s">
        <v>4</v>
      </c>
      <c r="G112" s="93" t="s">
        <v>147</v>
      </c>
      <c r="H112" s="93"/>
    </row>
    <row r="113" spans="1:150 16226:16383" ht="20.25" x14ac:dyDescent="0.25">
      <c r="A113" s="118" t="s">
        <v>75</v>
      </c>
      <c r="B113" s="119"/>
      <c r="C113" s="179">
        <v>700000</v>
      </c>
      <c r="D113" s="181"/>
      <c r="E113" s="118" t="s">
        <v>102</v>
      </c>
      <c r="F113" s="119" t="s">
        <v>4</v>
      </c>
      <c r="G113" s="112" t="s">
        <v>109</v>
      </c>
      <c r="H113" s="113"/>
    </row>
    <row r="114" spans="1:150 16226:16383" ht="20.25" x14ac:dyDescent="0.25">
      <c r="A114" s="115" t="s">
        <v>72</v>
      </c>
      <c r="B114" s="116"/>
      <c r="C114" s="116"/>
      <c r="D114" s="116"/>
      <c r="E114" s="116"/>
      <c r="F114" s="116"/>
      <c r="G114" s="116"/>
      <c r="H114" s="117"/>
    </row>
    <row r="115" spans="1:150 16226:16383" ht="20.25" customHeight="1" x14ac:dyDescent="0.25">
      <c r="A115" s="118" t="s">
        <v>8</v>
      </c>
      <c r="B115" s="122"/>
      <c r="C115" s="122"/>
      <c r="D115" s="122"/>
      <c r="E115" s="122"/>
      <c r="F115" s="119"/>
      <c r="G115" s="131">
        <f>86220/10.764</f>
        <v>8010.0334448160538</v>
      </c>
      <c r="H115" s="132"/>
    </row>
    <row r="116" spans="1:150 16226:16383" ht="20.25" customHeight="1" x14ac:dyDescent="0.25">
      <c r="A116" s="118" t="s">
        <v>28</v>
      </c>
      <c r="B116" s="122"/>
      <c r="C116" s="122"/>
      <c r="D116" s="122"/>
      <c r="E116" s="122"/>
      <c r="F116" s="119" t="s">
        <v>4</v>
      </c>
      <c r="G116" s="114">
        <f>165940/10.764</f>
        <v>15416.20215533259</v>
      </c>
      <c r="H116" s="114"/>
    </row>
    <row r="117" spans="1:150 16226:16383" ht="20.25" customHeight="1" x14ac:dyDescent="0.25">
      <c r="A117" s="118" t="s">
        <v>110</v>
      </c>
      <c r="B117" s="122"/>
      <c r="C117" s="122"/>
      <c r="D117" s="122"/>
      <c r="E117" s="122"/>
      <c r="F117" s="119" t="s">
        <v>4</v>
      </c>
      <c r="G117" s="114">
        <f>G115*0.8</f>
        <v>6408.0267558528431</v>
      </c>
      <c r="H117" s="114"/>
    </row>
    <row r="118" spans="1:150 16226:16383" ht="20.25" hidden="1" x14ac:dyDescent="0.25">
      <c r="A118" s="141" t="s">
        <v>243</v>
      </c>
      <c r="B118" s="142"/>
      <c r="C118" s="142"/>
      <c r="D118" s="142"/>
      <c r="E118" s="142"/>
      <c r="F118" s="142"/>
      <c r="G118" s="142"/>
      <c r="H118" s="143"/>
    </row>
    <row r="119" spans="1:150 16226:16383" s="3" customFormat="1" ht="20.25" hidden="1" x14ac:dyDescent="0.25">
      <c r="A119" s="89" t="s">
        <v>153</v>
      </c>
      <c r="B119" s="90"/>
      <c r="C119" s="89" t="s">
        <v>154</v>
      </c>
      <c r="D119" s="90"/>
      <c r="E119" s="89" t="s">
        <v>152</v>
      </c>
      <c r="F119" s="90"/>
      <c r="G119" s="89" t="s">
        <v>164</v>
      </c>
      <c r="H119" s="90"/>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WZB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row>
    <row r="120" spans="1:150 16226:16383" s="3" customFormat="1" ht="20.25" hidden="1" x14ac:dyDescent="0.25">
      <c r="A120" s="91"/>
      <c r="B120" s="92"/>
      <c r="C120" s="91"/>
      <c r="D120" s="92"/>
      <c r="E120" s="91"/>
      <c r="F120" s="92"/>
      <c r="G120" s="91"/>
      <c r="H120" s="92"/>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WZB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row>
    <row r="121" spans="1:150 16226:16383" s="3" customFormat="1" ht="20.25" hidden="1" x14ac:dyDescent="0.25">
      <c r="A121" s="91"/>
      <c r="B121" s="92"/>
      <c r="C121" s="91"/>
      <c r="D121" s="92"/>
      <c r="E121" s="91"/>
      <c r="F121" s="92"/>
      <c r="G121" s="91"/>
      <c r="H121" s="92"/>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WZB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row>
    <row r="122" spans="1:150 16226:16383" s="3" customFormat="1" ht="20.25" hidden="1" x14ac:dyDescent="0.25">
      <c r="A122" s="89" t="s">
        <v>155</v>
      </c>
      <c r="B122" s="90"/>
      <c r="C122" s="89" t="s">
        <v>96</v>
      </c>
      <c r="D122" s="90"/>
      <c r="E122" s="89">
        <f>SUM(F120:F121)</f>
        <v>0</v>
      </c>
      <c r="F122" s="90"/>
      <c r="G122" s="89">
        <f>SUM(H120:H121)</f>
        <v>0</v>
      </c>
      <c r="H122" s="90">
        <f>SUM(H120:H121)</f>
        <v>0</v>
      </c>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WZB122" s="1"/>
      <c r="WZC122" s="1"/>
      <c r="WZD122" s="1"/>
      <c r="WZE122" s="1"/>
      <c r="WZF122" s="1"/>
      <c r="WZG122" s="1"/>
      <c r="WZH122" s="1"/>
      <c r="WZI122" s="1"/>
      <c r="WZJ122" s="1"/>
      <c r="WZK122" s="1"/>
      <c r="WZL122" s="1"/>
      <c r="WZM122" s="1"/>
      <c r="WZN122" s="1"/>
      <c r="WZO122" s="1"/>
      <c r="WZP122" s="1"/>
      <c r="WZQ122" s="1"/>
      <c r="WZR122" s="1"/>
      <c r="WZS122" s="1"/>
      <c r="WZT122" s="1"/>
      <c r="WZU122" s="1"/>
      <c r="WZV122" s="1"/>
      <c r="WZW122" s="1"/>
      <c r="WZX122" s="1"/>
      <c r="WZY122" s="1"/>
      <c r="WZZ122" s="1"/>
      <c r="XAA122" s="1"/>
      <c r="XAB122" s="1"/>
      <c r="XAC122" s="1"/>
      <c r="XAD122" s="1"/>
      <c r="XAE122" s="1"/>
      <c r="XAF122" s="1"/>
      <c r="XAG122" s="1"/>
      <c r="XAH122" s="1"/>
      <c r="XAI122" s="1"/>
      <c r="XAJ122" s="1"/>
      <c r="XAK122" s="1"/>
      <c r="XAL122" s="1"/>
      <c r="XAM122" s="1"/>
      <c r="XAN122" s="1"/>
      <c r="XAO122" s="1"/>
      <c r="XAP122" s="1"/>
      <c r="XAQ122" s="1"/>
      <c r="XAR122" s="1"/>
      <c r="XAS122" s="1"/>
      <c r="XAT122" s="1"/>
      <c r="XAU122" s="1"/>
      <c r="XAV122" s="1"/>
      <c r="XAW122" s="1"/>
      <c r="XAX122" s="1"/>
      <c r="XAY122" s="1"/>
      <c r="XAZ122" s="1"/>
      <c r="XBA122" s="1"/>
      <c r="XBB122" s="1"/>
      <c r="XBC122" s="1"/>
      <c r="XBD122" s="1"/>
      <c r="XBE122" s="1"/>
      <c r="XBF122" s="1"/>
      <c r="XBG122" s="1"/>
      <c r="XBH122" s="1"/>
      <c r="XBI122" s="1"/>
      <c r="XBJ122" s="1"/>
      <c r="XBK122" s="1"/>
      <c r="XBL122" s="1"/>
      <c r="XBM122" s="1"/>
      <c r="XBN122" s="1"/>
      <c r="XBO122" s="1"/>
      <c r="XBP122" s="1"/>
      <c r="XBQ122" s="1"/>
      <c r="XBR122" s="1"/>
      <c r="XBS122" s="1"/>
      <c r="XBT122" s="1"/>
      <c r="XBU122" s="1"/>
      <c r="XBV122" s="1"/>
      <c r="XBW122" s="1"/>
      <c r="XBX122" s="1"/>
      <c r="XBY122" s="1"/>
      <c r="XBZ122" s="1"/>
      <c r="XCA122" s="1"/>
      <c r="XCB122" s="1"/>
      <c r="XCC122" s="1"/>
      <c r="XCD122" s="1"/>
      <c r="XCE122" s="1"/>
      <c r="XCF122" s="1"/>
      <c r="XCG122" s="1"/>
      <c r="XCH122" s="1"/>
      <c r="XCI122" s="1"/>
      <c r="XCJ122" s="1"/>
      <c r="XCK122" s="1"/>
      <c r="XCL122" s="1"/>
      <c r="XCM122" s="1"/>
      <c r="XCN122" s="1"/>
      <c r="XCO122" s="1"/>
      <c r="XCP122" s="1"/>
      <c r="XCQ122" s="1"/>
      <c r="XCR122" s="1"/>
      <c r="XCS122" s="1"/>
      <c r="XCT122" s="1"/>
      <c r="XCU122" s="1"/>
      <c r="XCV122" s="1"/>
      <c r="XCW122" s="1"/>
      <c r="XCX122" s="1"/>
      <c r="XCY122" s="1"/>
      <c r="XCZ122" s="1"/>
      <c r="XDA122" s="1"/>
      <c r="XDB122" s="1"/>
      <c r="XDC122" s="1"/>
      <c r="XDD122" s="1"/>
      <c r="XDE122" s="1"/>
      <c r="XDF122" s="1"/>
      <c r="XDG122" s="1"/>
      <c r="XDH122" s="1"/>
      <c r="XDI122" s="1"/>
      <c r="XDJ122" s="1"/>
      <c r="XDK122" s="1"/>
      <c r="XDL122" s="1"/>
      <c r="XDM122" s="1"/>
      <c r="XDN122" s="1"/>
      <c r="XDO122" s="1"/>
      <c r="XDP122" s="1"/>
      <c r="XDQ122" s="1"/>
      <c r="XDR122" s="1"/>
      <c r="XDS122" s="1"/>
      <c r="XDT122" s="1"/>
      <c r="XDU122" s="1"/>
      <c r="XDV122" s="1"/>
      <c r="XDW122" s="1"/>
      <c r="XDX122" s="1"/>
      <c r="XDY122" s="1"/>
      <c r="XDZ122" s="1"/>
      <c r="XEA122" s="1"/>
      <c r="XEB122" s="1"/>
      <c r="XEC122" s="1"/>
      <c r="XED122" s="1"/>
      <c r="XEE122" s="1"/>
      <c r="XEF122" s="1"/>
      <c r="XEG122" s="1"/>
      <c r="XEH122" s="1"/>
      <c r="XEI122" s="1"/>
      <c r="XEJ122" s="1"/>
      <c r="XEK122" s="1"/>
      <c r="XEL122" s="1"/>
      <c r="XEM122" s="1"/>
      <c r="XEN122" s="1"/>
      <c r="XEO122" s="1"/>
      <c r="XEP122" s="1"/>
      <c r="XEQ122" s="1"/>
      <c r="XER122" s="1"/>
      <c r="XES122" s="1"/>
      <c r="XET122" s="1"/>
      <c r="XEU122" s="1"/>
      <c r="XEV122" s="1"/>
      <c r="XEW122" s="1"/>
      <c r="XEX122" s="1"/>
      <c r="XEY122" s="1"/>
      <c r="XEZ122" s="1"/>
      <c r="XFA122" s="1"/>
      <c r="XFB122" s="1"/>
      <c r="XFC122" s="1"/>
    </row>
    <row r="123" spans="1:150 16226:16383" ht="20.25" x14ac:dyDescent="0.25">
      <c r="A123" s="141" t="s">
        <v>231</v>
      </c>
      <c r="B123" s="142"/>
      <c r="C123" s="142"/>
      <c r="D123" s="142"/>
      <c r="E123" s="142"/>
      <c r="F123" s="142"/>
      <c r="G123" s="142"/>
      <c r="H123" s="143"/>
    </row>
    <row r="124" spans="1:150 16226:16383" s="3" customFormat="1" ht="20.25" x14ac:dyDescent="0.25">
      <c r="A124" s="89" t="s">
        <v>153</v>
      </c>
      <c r="B124" s="90"/>
      <c r="C124" s="89" t="s">
        <v>154</v>
      </c>
      <c r="D124" s="90"/>
      <c r="E124" s="89" t="s">
        <v>152</v>
      </c>
      <c r="F124" s="90"/>
      <c r="G124" s="89" t="s">
        <v>164</v>
      </c>
      <c r="H124" s="90"/>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WZB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row>
    <row r="125" spans="1:150 16226:16383" s="3" customFormat="1" ht="21" thickBot="1" x14ac:dyDescent="0.3">
      <c r="A125" s="91" t="s">
        <v>364</v>
      </c>
      <c r="B125" s="92"/>
      <c r="C125" s="91" t="s">
        <v>96</v>
      </c>
      <c r="D125" s="92"/>
      <c r="E125" s="91">
        <f>COUNT(E137:E148)*26+COUNT(E153:E160)*4</f>
        <v>344</v>
      </c>
      <c r="F125" s="92"/>
      <c r="G125" s="91">
        <f>SUM(H137:H148)*26+SUM(H153:H160)*4</f>
        <v>203601.27528</v>
      </c>
      <c r="H125" s="92"/>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WZB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row>
    <row r="126" spans="1:150 16226:16383" s="3" customFormat="1" ht="20.25" hidden="1" x14ac:dyDescent="0.25">
      <c r="A126" s="149" t="s">
        <v>155</v>
      </c>
      <c r="B126" s="150"/>
      <c r="C126" s="149" t="s">
        <v>96</v>
      </c>
      <c r="D126" s="150"/>
      <c r="E126" s="149">
        <f>E125</f>
        <v>344</v>
      </c>
      <c r="F126" s="150"/>
      <c r="G126" s="149">
        <f>G125</f>
        <v>203601.27528</v>
      </c>
      <c r="H126" s="150"/>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WZB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row>
    <row r="127" spans="1:150 16226:16383" s="3" customFormat="1" ht="21" thickBot="1" x14ac:dyDescent="0.3">
      <c r="A127" s="136" t="s">
        <v>244</v>
      </c>
      <c r="B127" s="137"/>
      <c r="C127" s="138" t="s">
        <v>96</v>
      </c>
      <c r="D127" s="137"/>
      <c r="E127" s="138">
        <f>E126</f>
        <v>344</v>
      </c>
      <c r="F127" s="137"/>
      <c r="G127" s="138">
        <f>G126</f>
        <v>203601.27528</v>
      </c>
      <c r="H127" s="139"/>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WZB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row>
    <row r="128" spans="1:150 16226:16383" ht="20.25" x14ac:dyDescent="0.25">
      <c r="A128" s="86" t="s">
        <v>151</v>
      </c>
      <c r="B128" s="87"/>
      <c r="C128" s="87"/>
      <c r="D128" s="87"/>
      <c r="E128" s="87"/>
      <c r="F128" s="87"/>
      <c r="G128" s="87"/>
      <c r="H128" s="88"/>
    </row>
    <row r="129" spans="1:150 16226:16383" ht="66" customHeight="1" x14ac:dyDescent="0.25">
      <c r="A129" s="53" t="s">
        <v>232</v>
      </c>
      <c r="B129" s="31" t="s">
        <v>233</v>
      </c>
      <c r="C129" s="81" t="s">
        <v>234</v>
      </c>
      <c r="D129" s="31" t="s">
        <v>90</v>
      </c>
      <c r="E129" s="31" t="s">
        <v>363</v>
      </c>
      <c r="F129" s="34" t="s">
        <v>235</v>
      </c>
      <c r="G129" s="31" t="s">
        <v>92</v>
      </c>
      <c r="H129" s="31" t="s">
        <v>91</v>
      </c>
      <c r="I129" s="79">
        <v>10.763999999999999</v>
      </c>
      <c r="L129"/>
    </row>
    <row r="130" spans="1:150 16226:16383" s="3" customFormat="1" ht="20.25" customHeight="1" x14ac:dyDescent="0.25">
      <c r="A130" s="176" t="s">
        <v>350</v>
      </c>
      <c r="B130" s="177"/>
      <c r="C130" s="177"/>
      <c r="D130" s="177"/>
      <c r="E130" s="177"/>
      <c r="F130" s="177"/>
      <c r="G130" s="177"/>
      <c r="H130" s="178"/>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WZB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row>
    <row r="131" spans="1:150 16226:16383" s="3" customFormat="1" ht="20.25" x14ac:dyDescent="0.25">
      <c r="A131" s="133" t="s">
        <v>373</v>
      </c>
      <c r="B131" s="134"/>
      <c r="C131" s="134"/>
      <c r="D131" s="134"/>
      <c r="E131" s="134"/>
      <c r="F131" s="134"/>
      <c r="G131" s="134"/>
      <c r="H131" s="135"/>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WZB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row>
    <row r="132" spans="1:150 16226:16383" s="3" customFormat="1" ht="20.25" x14ac:dyDescent="0.25">
      <c r="A132" s="133" t="s">
        <v>351</v>
      </c>
      <c r="B132" s="134"/>
      <c r="C132" s="134"/>
      <c r="D132" s="134"/>
      <c r="E132" s="134"/>
      <c r="F132" s="134"/>
      <c r="G132" s="134"/>
      <c r="H132" s="135"/>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WZB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row>
    <row r="133" spans="1:150 16226:16383" s="3" customFormat="1" ht="20.25" x14ac:dyDescent="0.25">
      <c r="A133" s="133" t="s">
        <v>354</v>
      </c>
      <c r="B133" s="134"/>
      <c r="C133" s="134"/>
      <c r="D133" s="134"/>
      <c r="E133" s="134"/>
      <c r="F133" s="134"/>
      <c r="G133" s="134"/>
      <c r="H133" s="135"/>
      <c r="I133" s="4">
        <v>8</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WZB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row>
    <row r="134" spans="1:150 16226:16383" s="3" customFormat="1" ht="20.25" x14ac:dyDescent="0.25">
      <c r="A134" s="133" t="s">
        <v>355</v>
      </c>
      <c r="B134" s="134"/>
      <c r="C134" s="134"/>
      <c r="D134" s="134"/>
      <c r="E134" s="134"/>
      <c r="F134" s="134"/>
      <c r="G134" s="134"/>
      <c r="H134" s="135"/>
      <c r="I134" s="4">
        <v>1</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WZB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row>
    <row r="135" spans="1:150 16226:16383" s="3" customFormat="1" ht="20.25" x14ac:dyDescent="0.25">
      <c r="A135" s="133" t="s">
        <v>356</v>
      </c>
      <c r="B135" s="134"/>
      <c r="C135" s="134"/>
      <c r="D135" s="134"/>
      <c r="E135" s="134"/>
      <c r="F135" s="134"/>
      <c r="G135" s="134"/>
      <c r="H135" s="135"/>
      <c r="I135" s="4">
        <v>1</v>
      </c>
      <c r="J135" s="1"/>
      <c r="K135" s="1">
        <v>23000</v>
      </c>
      <c r="L135" s="1">
        <v>24000</v>
      </c>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WZB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row>
    <row r="136" spans="1:150 16226:16383" s="3" customFormat="1" ht="20.25" x14ac:dyDescent="0.25">
      <c r="A136" s="133" t="s">
        <v>360</v>
      </c>
      <c r="B136" s="134"/>
      <c r="C136" s="134"/>
      <c r="D136" s="134"/>
      <c r="E136" s="134"/>
      <c r="F136" s="134"/>
      <c r="G136" s="134"/>
      <c r="H136" s="135"/>
      <c r="I136" s="4">
        <f>5+6+6+6+3</f>
        <v>26</v>
      </c>
      <c r="J136" s="1"/>
      <c r="K136" s="1">
        <f>E137*23000</f>
        <v>13351557.960000001</v>
      </c>
      <c r="L136" s="1">
        <f>H137*24000</f>
        <v>13932060.48</v>
      </c>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WZB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row>
    <row r="137" spans="1:150 16226:16383" s="3" customFormat="1" ht="20.25" x14ac:dyDescent="0.25">
      <c r="A137" s="140">
        <v>1</v>
      </c>
      <c r="B137" s="140"/>
      <c r="C137" s="54" t="s">
        <v>96</v>
      </c>
      <c r="D137" s="54" t="s">
        <v>357</v>
      </c>
      <c r="E137" s="79">
        <f>(53.93)*10.764</f>
        <v>580.50252</v>
      </c>
      <c r="F137" s="6">
        <v>0</v>
      </c>
      <c r="G137" s="75">
        <v>0</v>
      </c>
      <c r="H137" s="6">
        <f>E137+F137+(IF(G137&lt;101,G137,IF(G137&lt;201,G137/2,IF(G137&lt;=301,G137/3,G137/4))))</f>
        <v>580.50252</v>
      </c>
      <c r="I137" s="84">
        <f>16300000/H137</f>
        <v>28079.12013887554</v>
      </c>
      <c r="J137" s="1"/>
      <c r="K137" s="1">
        <f t="shared" ref="K137:K147" si="0">E138*23000</f>
        <v>9850889.879999999</v>
      </c>
      <c r="L137" s="1">
        <f t="shared" ref="L137:L147" si="1">H138*24000</f>
        <v>10279189.439999999</v>
      </c>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WZB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row>
    <row r="138" spans="1:150 16226:16383" s="3" customFormat="1" ht="20.25" x14ac:dyDescent="0.25">
      <c r="A138" s="144">
        <f>A137+1</f>
        <v>2</v>
      </c>
      <c r="B138" s="145"/>
      <c r="C138" s="54" t="s">
        <v>96</v>
      </c>
      <c r="D138" s="54" t="s">
        <v>358</v>
      </c>
      <c r="E138" s="79">
        <f>(39.79)*10.764</f>
        <v>428.29955999999999</v>
      </c>
      <c r="F138" s="75">
        <v>0</v>
      </c>
      <c r="G138" s="75">
        <v>0</v>
      </c>
      <c r="H138" s="6">
        <f t="shared" ref="H138:H144" si="2">E138+F138+(IF(G138&lt;101,G138,IF(G138&lt;201,G138/2,IF(G138&lt;=301,G138/3,G138/4))))</f>
        <v>428.29955999999999</v>
      </c>
      <c r="I138" s="1">
        <f>10000000/H138</f>
        <v>23348.144462254411</v>
      </c>
      <c r="J138" s="1"/>
      <c r="K138" s="1">
        <f t="shared" si="0"/>
        <v>14445826.199999999</v>
      </c>
      <c r="L138" s="1">
        <f t="shared" si="1"/>
        <v>15073905.6</v>
      </c>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WZB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row>
    <row r="139" spans="1:150 16226:16383" s="3" customFormat="1" ht="20.25" x14ac:dyDescent="0.25">
      <c r="A139" s="144">
        <f t="shared" ref="A139:A148" si="3">A138+1</f>
        <v>3</v>
      </c>
      <c r="B139" s="145"/>
      <c r="C139" s="54" t="s">
        <v>96</v>
      </c>
      <c r="D139" s="54" t="s">
        <v>357</v>
      </c>
      <c r="E139" s="79">
        <f>(58.35)*10.764</f>
        <v>628.07939999999996</v>
      </c>
      <c r="F139" s="75">
        <v>0</v>
      </c>
      <c r="G139" s="75">
        <v>0</v>
      </c>
      <c r="H139" s="6">
        <f t="shared" si="2"/>
        <v>628.07939999999996</v>
      </c>
      <c r="I139" s="1"/>
      <c r="J139" s="1"/>
      <c r="K139" s="1">
        <f t="shared" si="0"/>
        <v>13985342.279999999</v>
      </c>
      <c r="L139" s="1">
        <f t="shared" si="1"/>
        <v>14593400.640000001</v>
      </c>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WZB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row>
    <row r="140" spans="1:150 16226:16383" s="3" customFormat="1" ht="20.25" customHeight="1" x14ac:dyDescent="0.25">
      <c r="A140" s="144">
        <f t="shared" si="3"/>
        <v>4</v>
      </c>
      <c r="B140" s="145"/>
      <c r="C140" s="54" t="s">
        <v>96</v>
      </c>
      <c r="D140" s="54" t="s">
        <v>357</v>
      </c>
      <c r="E140" s="79">
        <f>(56.49)*10.764</f>
        <v>608.05835999999999</v>
      </c>
      <c r="F140" s="75">
        <v>0</v>
      </c>
      <c r="G140" s="75">
        <v>0</v>
      </c>
      <c r="H140" s="6">
        <f t="shared" si="2"/>
        <v>608.05835999999999</v>
      </c>
      <c r="I140" s="1"/>
      <c r="J140" s="1"/>
      <c r="K140" s="1">
        <f t="shared" si="0"/>
        <v>16357082.039999995</v>
      </c>
      <c r="L140" s="1">
        <f t="shared" si="1"/>
        <v>17068259.519999996</v>
      </c>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WZB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row>
    <row r="141" spans="1:150 16226:16383" s="3" customFormat="1" ht="20.25" customHeight="1" x14ac:dyDescent="0.25">
      <c r="A141" s="144">
        <f t="shared" si="3"/>
        <v>5</v>
      </c>
      <c r="B141" s="145"/>
      <c r="C141" s="54" t="s">
        <v>96</v>
      </c>
      <c r="D141" s="54" t="s">
        <v>357</v>
      </c>
      <c r="E141" s="79">
        <f>(66.07)*10.764</f>
        <v>711.17747999999983</v>
      </c>
      <c r="F141" s="75">
        <v>0</v>
      </c>
      <c r="G141" s="75">
        <v>0</v>
      </c>
      <c r="H141" s="6">
        <f t="shared" si="2"/>
        <v>711.17747999999983</v>
      </c>
      <c r="I141" s="1"/>
      <c r="J141" s="1"/>
      <c r="K141" s="1">
        <f t="shared" si="0"/>
        <v>9375551.6399999987</v>
      </c>
      <c r="L141" s="1">
        <f t="shared" si="1"/>
        <v>9783184.3199999984</v>
      </c>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WZB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row>
    <row r="142" spans="1:150 16226:16383" s="3" customFormat="1" ht="20.25" customHeight="1" x14ac:dyDescent="0.25">
      <c r="A142" s="144">
        <f t="shared" si="3"/>
        <v>6</v>
      </c>
      <c r="B142" s="145"/>
      <c r="C142" s="54" t="s">
        <v>96</v>
      </c>
      <c r="D142" s="54" t="s">
        <v>358</v>
      </c>
      <c r="E142" s="79">
        <f>(37.87)*10.764</f>
        <v>407.63267999999994</v>
      </c>
      <c r="F142" s="75">
        <v>0</v>
      </c>
      <c r="G142" s="75">
        <v>0</v>
      </c>
      <c r="H142" s="6">
        <f t="shared" si="2"/>
        <v>407.63267999999994</v>
      </c>
      <c r="I142" s="84">
        <f>4.6*2.85+3.05*2.15+3.05*2.9+2*(1.25+1.25)+0.65*(1.5+0.75)+0.9*0.35</f>
        <v>35.289999999999992</v>
      </c>
      <c r="J142" s="83"/>
      <c r="K142" s="1">
        <f t="shared" si="0"/>
        <v>9375551.6399999987</v>
      </c>
      <c r="L142" s="1">
        <f t="shared" si="1"/>
        <v>9783184.3199999984</v>
      </c>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WZB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row>
    <row r="143" spans="1:150 16226:16383" s="3" customFormat="1" ht="20.25" customHeight="1" x14ac:dyDescent="0.25">
      <c r="A143" s="144">
        <f t="shared" si="3"/>
        <v>7</v>
      </c>
      <c r="B143" s="145"/>
      <c r="C143" s="54" t="s">
        <v>96</v>
      </c>
      <c r="D143" s="54" t="s">
        <v>358</v>
      </c>
      <c r="E143" s="79">
        <f>(37.87)*10.764</f>
        <v>407.63267999999994</v>
      </c>
      <c r="F143" s="75">
        <v>0</v>
      </c>
      <c r="G143" s="75">
        <v>0</v>
      </c>
      <c r="H143" s="6">
        <f t="shared" si="2"/>
        <v>407.63267999999994</v>
      </c>
      <c r="I143" s="1"/>
      <c r="J143" s="1"/>
      <c r="K143" s="1">
        <f t="shared" si="0"/>
        <v>22286431.439999998</v>
      </c>
      <c r="L143" s="1">
        <f t="shared" si="1"/>
        <v>23255406.719999999</v>
      </c>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WZB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row>
    <row r="144" spans="1:150 16226:16383" s="3" customFormat="1" ht="20.25" customHeight="1" x14ac:dyDescent="0.25">
      <c r="A144" s="144">
        <f t="shared" si="3"/>
        <v>8</v>
      </c>
      <c r="B144" s="145"/>
      <c r="C144" s="54" t="s">
        <v>96</v>
      </c>
      <c r="D144" s="54" t="s">
        <v>359</v>
      </c>
      <c r="E144" s="79">
        <f>(90.02)*10.764</f>
        <v>968.97527999999988</v>
      </c>
      <c r="F144" s="75">
        <v>0</v>
      </c>
      <c r="G144" s="75">
        <v>0</v>
      </c>
      <c r="H144" s="6">
        <f t="shared" si="2"/>
        <v>968.97527999999988</v>
      </c>
      <c r="I144" s="1">
        <f>24200000/H144</f>
        <v>24974.837335375578</v>
      </c>
      <c r="J144" s="1"/>
      <c r="K144" s="1">
        <f t="shared" si="0"/>
        <v>14955824.519999998</v>
      </c>
      <c r="L144" s="1">
        <f t="shared" si="1"/>
        <v>15606077.759999998</v>
      </c>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WZB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row>
    <row r="145" spans="1:150 16226:16383" s="3" customFormat="1" ht="20.25" x14ac:dyDescent="0.25">
      <c r="A145" s="144">
        <f>A144+1</f>
        <v>9</v>
      </c>
      <c r="B145" s="145"/>
      <c r="C145" s="54" t="s">
        <v>96</v>
      </c>
      <c r="D145" s="54" t="s">
        <v>357</v>
      </c>
      <c r="E145" s="79">
        <f>(60.41)*10.764</f>
        <v>650.25323999999989</v>
      </c>
      <c r="F145" s="75">
        <v>0</v>
      </c>
      <c r="G145" s="75">
        <v>0</v>
      </c>
      <c r="H145" s="75">
        <f t="shared" ref="H145:H148" si="4">E145+F145+(IF(G145&lt;101,G145,IF(G145&lt;201,G145/2,IF(G145&lt;=301,G145/3,G145/4))))</f>
        <v>650.25323999999989</v>
      </c>
      <c r="I145" s="1"/>
      <c r="J145" s="1"/>
      <c r="K145" s="1">
        <f t="shared" si="0"/>
        <v>15099416.279999999</v>
      </c>
      <c r="L145" s="1">
        <f t="shared" si="1"/>
        <v>15755912.639999999</v>
      </c>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WZB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row>
    <row r="146" spans="1:150 16226:16383" s="3" customFormat="1" ht="20.25" x14ac:dyDescent="0.25">
      <c r="A146" s="144">
        <f t="shared" si="3"/>
        <v>10</v>
      </c>
      <c r="B146" s="145"/>
      <c r="C146" s="54" t="s">
        <v>96</v>
      </c>
      <c r="D146" s="54" t="s">
        <v>357</v>
      </c>
      <c r="E146" s="79">
        <f>(60.99)*10.764</f>
        <v>656.49635999999998</v>
      </c>
      <c r="F146" s="75">
        <v>0</v>
      </c>
      <c r="G146" s="75">
        <v>0</v>
      </c>
      <c r="H146" s="75">
        <f t="shared" si="4"/>
        <v>656.49635999999998</v>
      </c>
      <c r="I146" s="1"/>
      <c r="J146" s="1"/>
      <c r="K146" s="1">
        <f t="shared" si="0"/>
        <v>9850889.879999999</v>
      </c>
      <c r="L146" s="1">
        <f t="shared" si="1"/>
        <v>10279189.439999999</v>
      </c>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WZB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row>
    <row r="147" spans="1:150 16226:16383" s="3" customFormat="1" ht="20.25" customHeight="1" x14ac:dyDescent="0.25">
      <c r="A147" s="144">
        <f t="shared" si="3"/>
        <v>11</v>
      </c>
      <c r="B147" s="145"/>
      <c r="C147" s="54" t="s">
        <v>96</v>
      </c>
      <c r="D147" s="54" t="s">
        <v>358</v>
      </c>
      <c r="E147" s="79">
        <f>(39.79)*10.764</f>
        <v>428.29955999999999</v>
      </c>
      <c r="F147" s="75">
        <v>0</v>
      </c>
      <c r="G147" s="75">
        <v>0</v>
      </c>
      <c r="H147" s="75">
        <f t="shared" si="4"/>
        <v>428.29955999999999</v>
      </c>
      <c r="I147" s="1">
        <f>8900000/H147</f>
        <v>20779.848571406426</v>
      </c>
      <c r="J147" s="1"/>
      <c r="K147" s="1">
        <f t="shared" si="0"/>
        <v>13346606.519999998</v>
      </c>
      <c r="L147" s="1">
        <f t="shared" si="1"/>
        <v>13926893.759999998</v>
      </c>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WZB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row>
    <row r="148" spans="1:150 16226:16383" s="3" customFormat="1" ht="20.25" customHeight="1" x14ac:dyDescent="0.25">
      <c r="A148" s="144">
        <f t="shared" si="3"/>
        <v>12</v>
      </c>
      <c r="B148" s="145"/>
      <c r="C148" s="54" t="s">
        <v>96</v>
      </c>
      <c r="D148" s="54" t="s">
        <v>357</v>
      </c>
      <c r="E148" s="79">
        <f>(53.91)*10.764</f>
        <v>580.28723999999988</v>
      </c>
      <c r="F148" s="75">
        <v>0</v>
      </c>
      <c r="G148" s="75">
        <v>0</v>
      </c>
      <c r="H148" s="75">
        <f t="shared" si="4"/>
        <v>580.28723999999988</v>
      </c>
      <c r="I148" s="1">
        <f>15100000/H148</f>
        <v>26021.595787630973</v>
      </c>
      <c r="J148" s="1">
        <f>17200000/H148</f>
        <v>29640.49321504985</v>
      </c>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WZB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row>
    <row r="149" spans="1:150 16226:16383" s="3" customFormat="1" ht="20.25" customHeight="1" x14ac:dyDescent="0.25">
      <c r="A149" s="133" t="s">
        <v>375</v>
      </c>
      <c r="B149" s="134"/>
      <c r="C149" s="134"/>
      <c r="D149" s="134"/>
      <c r="E149" s="134"/>
      <c r="F149" s="134"/>
      <c r="G149" s="134"/>
      <c r="H149" s="135"/>
      <c r="I149" s="4">
        <v>4</v>
      </c>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WZB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row>
    <row r="150" spans="1:150 16226:16383" s="3" customFormat="1" ht="20.25" customHeight="1" x14ac:dyDescent="0.25">
      <c r="A150" s="133" t="s">
        <v>361</v>
      </c>
      <c r="B150" s="134"/>
      <c r="C150" s="134"/>
      <c r="D150" s="134"/>
      <c r="E150" s="134"/>
      <c r="F150" s="134"/>
      <c r="G150" s="134"/>
      <c r="H150" s="135"/>
      <c r="I150" s="4">
        <v>4</v>
      </c>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WZB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row>
    <row r="151" spans="1:150 16226:16383" s="3" customFormat="1" ht="20.25" customHeight="1" x14ac:dyDescent="0.25">
      <c r="A151" s="140">
        <v>1</v>
      </c>
      <c r="B151" s="140"/>
      <c r="C151" s="170" t="s">
        <v>362</v>
      </c>
      <c r="D151" s="171"/>
      <c r="E151" s="171"/>
      <c r="F151" s="171"/>
      <c r="G151" s="171"/>
      <c r="H151" s="172"/>
      <c r="I151" s="1"/>
      <c r="J151" s="1"/>
      <c r="K151" s="1"/>
      <c r="L151" s="1"/>
      <c r="M151" s="1"/>
      <c r="N151" s="1"/>
      <c r="O151" s="1"/>
      <c r="P151" s="1"/>
      <c r="Q151" s="1"/>
      <c r="R151" s="1"/>
      <c r="S151" s="1"/>
      <c r="T151" s="23" t="str">
        <f t="shared" ref="T151:T158" ca="1" si="5">U151&amp;""&amp;",..,"&amp;""&amp;V151</f>
        <v>1601,..,3701</v>
      </c>
      <c r="U151" s="23">
        <f ca="1">(SUMPRODUCT(MID(0&amp;(LEFT(A150,SUM(LEN(A150)-LEN(SUBSTITUTE(A150,{"0","1","2","3"},""))))), LARGE(INDEX(ISNUMBER(--MID((LEFT(A150,SUM(LEN(A150)-LEN(SUBSTITUTE(A150,{"0","1","2","3"},""))))), ROW(INDIRECT("1:"&amp;LEN((LEFT(A150,SUM(LEN(A150)-LEN(SUBSTITUTE(A150,{"0","1","2","3"},"")))))))), 1)) * ROW(INDIRECT("1:"&amp;LEN((LEFT(A150,SUM(LEN(A150)-LEN(SUBSTITUTE(A150,{"0","1","2","3"},"")))))))), 0), ROW(INDIRECT("1:"&amp;LEN((LEFT(A150,SUM(LEN(A150)-LEN(SUBSTITUTE(A150,{"0","1","2","3"},"")))))))))+1, 1) * 10^ROW(INDIRECT("1:"&amp;LEN((LEFT(A150,SUM(LEN(A150)-LEN(SUBSTITUTE(A150,{"0","1","2","3"},""))))))))/10))*100+1</f>
        <v>1601</v>
      </c>
      <c r="V151" s="23">
        <f ca="1">(SUMPRODUCT(MID(0&amp;(--TRIM(RIGHT(SUBSTITUTE(LEFT(A150,_xlfn.AGGREGATE(16,6,FIND({0,1,2,3,4,5,6,7,8,9},A150,ROW(INDIRECT("1:"&amp;LEN(A150)))),1)),"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",LEN(A150))),LEN(A150)))))))/10))*100+1</f>
        <v>3701</v>
      </c>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WZB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row>
    <row r="152" spans="1:150 16226:16383" s="3" customFormat="1" ht="20.25" customHeight="1" x14ac:dyDescent="0.25">
      <c r="A152" s="140">
        <f>A151+1</f>
        <v>2</v>
      </c>
      <c r="B152" s="140"/>
      <c r="C152" s="173"/>
      <c r="D152" s="174"/>
      <c r="E152" s="174"/>
      <c r="F152" s="174"/>
      <c r="G152" s="174"/>
      <c r="H152" s="175"/>
      <c r="I152" s="1"/>
      <c r="J152" s="1"/>
      <c r="K152" s="1"/>
      <c r="L152" s="1"/>
      <c r="M152" s="1"/>
      <c r="N152" s="1"/>
      <c r="O152" s="1"/>
      <c r="P152" s="1"/>
      <c r="Q152" s="1"/>
      <c r="R152" s="1"/>
      <c r="S152" s="1"/>
      <c r="T152" s="23" t="str">
        <f t="shared" ca="1" si="5"/>
        <v>1602,..,3702</v>
      </c>
      <c r="U152" s="23">
        <f ca="1">U151+1</f>
        <v>1602</v>
      </c>
      <c r="V152" s="23">
        <f ca="1">V151+1</f>
        <v>3702</v>
      </c>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WZB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row>
    <row r="153" spans="1:150 16226:16383" s="3" customFormat="1" ht="20.25" customHeight="1" x14ac:dyDescent="0.25">
      <c r="A153" s="140">
        <f t="shared" ref="A153:A158" si="6">A152+1</f>
        <v>3</v>
      </c>
      <c r="B153" s="140"/>
      <c r="C153" s="54" t="s">
        <v>96</v>
      </c>
      <c r="D153" s="54" t="s">
        <v>357</v>
      </c>
      <c r="E153" s="33">
        <f>(58.35)*10.764</f>
        <v>628.07939999999996</v>
      </c>
      <c r="F153" s="6">
        <v>0</v>
      </c>
      <c r="G153" s="80">
        <v>0</v>
      </c>
      <c r="H153" s="6">
        <f t="shared" ref="H153:H158" si="7">E153+F153+(IF(G153&lt;101,G153,IF(G153&lt;201,G153/2,IF(G153&lt;=301,G153/3,G153/4))))</f>
        <v>628.07939999999996</v>
      </c>
      <c r="I153" s="1"/>
      <c r="J153" s="1"/>
      <c r="K153" s="1"/>
      <c r="L153" s="1"/>
      <c r="M153" s="1"/>
      <c r="N153" s="1"/>
      <c r="O153" s="1"/>
      <c r="P153" s="1"/>
      <c r="Q153" s="1"/>
      <c r="R153" s="1"/>
      <c r="S153" s="1"/>
      <c r="T153" s="23" t="str">
        <f t="shared" ca="1" si="5"/>
        <v>1603,..,3703</v>
      </c>
      <c r="U153" s="23">
        <f t="shared" ref="U153:U162" ca="1" si="8">U152+1</f>
        <v>1603</v>
      </c>
      <c r="V153" s="23">
        <f t="shared" ref="V153:V162" ca="1" si="9">V152+1</f>
        <v>3703</v>
      </c>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WZB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row>
    <row r="154" spans="1:150 16226:16383" s="3" customFormat="1" ht="20.25" customHeight="1" x14ac:dyDescent="0.25">
      <c r="A154" s="140">
        <f t="shared" si="6"/>
        <v>4</v>
      </c>
      <c r="B154" s="140"/>
      <c r="C154" s="54" t="s">
        <v>96</v>
      </c>
      <c r="D154" s="54" t="s">
        <v>357</v>
      </c>
      <c r="E154" s="33">
        <f>(56.49)*10.764</f>
        <v>608.05835999999999</v>
      </c>
      <c r="F154" s="6">
        <v>0</v>
      </c>
      <c r="G154" s="80">
        <v>0</v>
      </c>
      <c r="H154" s="6">
        <f t="shared" si="7"/>
        <v>608.05835999999999</v>
      </c>
      <c r="I154" s="1">
        <f>15800000/H154</f>
        <v>25984.347949759296</v>
      </c>
      <c r="J154" s="1"/>
      <c r="K154" s="1"/>
      <c r="L154" s="1"/>
      <c r="M154" s="1"/>
      <c r="N154" s="1"/>
      <c r="O154" s="1"/>
      <c r="P154" s="1"/>
      <c r="Q154" s="1"/>
      <c r="R154" s="1"/>
      <c r="S154" s="1"/>
      <c r="T154" s="23" t="str">
        <f t="shared" ca="1" si="5"/>
        <v>1604,..,3704</v>
      </c>
      <c r="U154" s="23">
        <f t="shared" ca="1" si="8"/>
        <v>1604</v>
      </c>
      <c r="V154" s="23">
        <f t="shared" ca="1" si="9"/>
        <v>3704</v>
      </c>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WZB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row>
    <row r="155" spans="1:150 16226:16383" s="3" customFormat="1" ht="20.25" customHeight="1" x14ac:dyDescent="0.25">
      <c r="A155" s="140">
        <f t="shared" si="6"/>
        <v>5</v>
      </c>
      <c r="B155" s="140"/>
      <c r="C155" s="54" t="s">
        <v>96</v>
      </c>
      <c r="D155" s="54" t="s">
        <v>357</v>
      </c>
      <c r="E155" s="33">
        <f>(66.07)*10.764</f>
        <v>711.17747999999983</v>
      </c>
      <c r="F155" s="6">
        <v>0</v>
      </c>
      <c r="G155" s="80">
        <v>0</v>
      </c>
      <c r="H155" s="6">
        <f t="shared" si="7"/>
        <v>711.17747999999983</v>
      </c>
      <c r="I155" s="1"/>
      <c r="J155" s="1"/>
      <c r="K155" s="1"/>
      <c r="L155" s="1"/>
      <c r="M155" s="1"/>
      <c r="N155" s="1"/>
      <c r="O155" s="1"/>
      <c r="P155" s="1"/>
      <c r="Q155" s="1"/>
      <c r="R155" s="1"/>
      <c r="S155" s="1"/>
      <c r="T155" s="23" t="str">
        <f t="shared" ca="1" si="5"/>
        <v>1605,..,3705</v>
      </c>
      <c r="U155" s="23">
        <f t="shared" ca="1" si="8"/>
        <v>1605</v>
      </c>
      <c r="V155" s="23">
        <f t="shared" ca="1" si="9"/>
        <v>3705</v>
      </c>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WZB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row>
    <row r="156" spans="1:150 16226:16383" s="3" customFormat="1" ht="20.25" customHeight="1" x14ac:dyDescent="0.25">
      <c r="A156" s="140">
        <f t="shared" si="6"/>
        <v>6</v>
      </c>
      <c r="B156" s="140"/>
      <c r="C156" s="54" t="s">
        <v>96</v>
      </c>
      <c r="D156" s="54" t="s">
        <v>358</v>
      </c>
      <c r="E156" s="33">
        <f>(37.87)*10.764</f>
        <v>407.63267999999994</v>
      </c>
      <c r="F156" s="6">
        <v>0</v>
      </c>
      <c r="G156" s="80">
        <v>0</v>
      </c>
      <c r="H156" s="6">
        <f t="shared" si="7"/>
        <v>407.63267999999994</v>
      </c>
      <c r="I156" s="1">
        <f>10600000/H156</f>
        <v>26003.803227945318</v>
      </c>
      <c r="J156" s="1"/>
      <c r="K156" s="1"/>
      <c r="L156" s="1"/>
      <c r="M156" s="1"/>
      <c r="N156" s="1"/>
      <c r="O156" s="1"/>
      <c r="P156" s="1"/>
      <c r="Q156" s="1"/>
      <c r="R156" s="1"/>
      <c r="S156" s="1"/>
      <c r="T156" s="23" t="str">
        <f t="shared" ca="1" si="5"/>
        <v>1606,..,3706</v>
      </c>
      <c r="U156" s="23">
        <f t="shared" ca="1" si="8"/>
        <v>1606</v>
      </c>
      <c r="V156" s="23">
        <f t="shared" ca="1" si="9"/>
        <v>3706</v>
      </c>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WZB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row>
    <row r="157" spans="1:150 16226:16383" s="3" customFormat="1" ht="20.25" customHeight="1" x14ac:dyDescent="0.25">
      <c r="A157" s="140">
        <f t="shared" si="6"/>
        <v>7</v>
      </c>
      <c r="B157" s="140"/>
      <c r="C157" s="54" t="s">
        <v>96</v>
      </c>
      <c r="D157" s="54" t="s">
        <v>358</v>
      </c>
      <c r="E157" s="33">
        <f>(37.87)*10.764</f>
        <v>407.63267999999994</v>
      </c>
      <c r="F157" s="6">
        <v>0</v>
      </c>
      <c r="G157" s="80">
        <v>0</v>
      </c>
      <c r="H157" s="6">
        <f t="shared" si="7"/>
        <v>407.63267999999994</v>
      </c>
      <c r="I157" s="1"/>
      <c r="J157" s="1"/>
      <c r="K157" s="1"/>
      <c r="L157" s="1"/>
      <c r="M157" s="1"/>
      <c r="N157" s="1"/>
      <c r="O157" s="1"/>
      <c r="P157" s="1"/>
      <c r="Q157" s="1"/>
      <c r="R157" s="1"/>
      <c r="S157" s="1"/>
      <c r="T157" s="23" t="str">
        <f t="shared" ca="1" si="5"/>
        <v>1607,..,3707</v>
      </c>
      <c r="U157" s="23">
        <f t="shared" ca="1" si="8"/>
        <v>1607</v>
      </c>
      <c r="V157" s="23">
        <f t="shared" ca="1" si="9"/>
        <v>3707</v>
      </c>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WZB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row>
    <row r="158" spans="1:150 16226:16383" s="3" customFormat="1" ht="20.25" customHeight="1" x14ac:dyDescent="0.25">
      <c r="A158" s="140">
        <f t="shared" si="6"/>
        <v>8</v>
      </c>
      <c r="B158" s="140"/>
      <c r="C158" s="54" t="s">
        <v>96</v>
      </c>
      <c r="D158" s="54" t="s">
        <v>359</v>
      </c>
      <c r="E158" s="33">
        <f>(90.02)*10.764</f>
        <v>968.97527999999988</v>
      </c>
      <c r="F158" s="6">
        <v>0</v>
      </c>
      <c r="G158" s="80">
        <v>0</v>
      </c>
      <c r="H158" s="6">
        <f t="shared" si="7"/>
        <v>968.97527999999988</v>
      </c>
      <c r="I158" s="1">
        <f>25200000/H158</f>
        <v>26006.85540708531</v>
      </c>
      <c r="J158" s="1">
        <f>24000000/H158</f>
        <v>24768.433721033631</v>
      </c>
      <c r="K158" s="1"/>
      <c r="L158" s="1"/>
      <c r="M158" s="1"/>
      <c r="N158" s="1"/>
      <c r="O158" s="1"/>
      <c r="P158" s="1"/>
      <c r="Q158" s="1"/>
      <c r="R158" s="1"/>
      <c r="S158" s="1"/>
      <c r="T158" s="23" t="str">
        <f t="shared" ca="1" si="5"/>
        <v>1608,..,3708</v>
      </c>
      <c r="U158" s="23">
        <f t="shared" ca="1" si="8"/>
        <v>1608</v>
      </c>
      <c r="V158" s="23">
        <f t="shared" ca="1" si="9"/>
        <v>3708</v>
      </c>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WZB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row>
    <row r="159" spans="1:150 16226:16383" s="3" customFormat="1" ht="20.25" customHeight="1" x14ac:dyDescent="0.25">
      <c r="A159" s="140">
        <f t="shared" ref="A159:A161" si="10">A158+1</f>
        <v>9</v>
      </c>
      <c r="B159" s="140"/>
      <c r="C159" s="54" t="s">
        <v>96</v>
      </c>
      <c r="D159" s="54" t="s">
        <v>357</v>
      </c>
      <c r="E159" s="79">
        <f>(60.41)*10.764</f>
        <v>650.25323999999989</v>
      </c>
      <c r="F159" s="80">
        <v>0</v>
      </c>
      <c r="G159" s="80">
        <v>0</v>
      </c>
      <c r="H159" s="80">
        <f t="shared" ref="H159:H160" si="11">E159+F159+(IF(G159&lt;101,G159,IF(G159&lt;201,G159/2,IF(G159&lt;=301,G159/3,G159/4))))</f>
        <v>650.25323999999989</v>
      </c>
      <c r="I159" s="1"/>
      <c r="J159" s="1"/>
      <c r="K159" s="1"/>
      <c r="L159" s="1"/>
      <c r="M159" s="1"/>
      <c r="N159" s="1"/>
      <c r="O159" s="1"/>
      <c r="P159" s="1"/>
      <c r="Q159" s="1"/>
      <c r="R159" s="1"/>
      <c r="S159" s="1"/>
      <c r="T159" s="23" t="str">
        <f t="shared" ref="T159:T161" ca="1" si="12">U159&amp;""&amp;",..,"&amp;""&amp;V159</f>
        <v>1609,..,3709</v>
      </c>
      <c r="U159" s="23">
        <f t="shared" ca="1" si="8"/>
        <v>1609</v>
      </c>
      <c r="V159" s="23">
        <f t="shared" ca="1" si="9"/>
        <v>3709</v>
      </c>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WZB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row>
    <row r="160" spans="1:150 16226:16383" s="3" customFormat="1" ht="20.25" customHeight="1" x14ac:dyDescent="0.25">
      <c r="A160" s="140">
        <f t="shared" si="10"/>
        <v>10</v>
      </c>
      <c r="B160" s="140"/>
      <c r="C160" s="54" t="s">
        <v>96</v>
      </c>
      <c r="D160" s="54" t="s">
        <v>357</v>
      </c>
      <c r="E160" s="79">
        <f>(60.99)*10.764</f>
        <v>656.49635999999998</v>
      </c>
      <c r="F160" s="80">
        <v>0</v>
      </c>
      <c r="G160" s="80">
        <v>0</v>
      </c>
      <c r="H160" s="80">
        <f t="shared" si="11"/>
        <v>656.49635999999998</v>
      </c>
      <c r="I160" s="1"/>
      <c r="J160" s="1"/>
      <c r="K160" s="1"/>
      <c r="L160" s="1"/>
      <c r="M160" s="1"/>
      <c r="N160" s="1"/>
      <c r="O160" s="1"/>
      <c r="P160" s="1"/>
      <c r="Q160" s="1"/>
      <c r="R160" s="1"/>
      <c r="S160" s="1"/>
      <c r="T160" s="23" t="str">
        <f t="shared" ca="1" si="12"/>
        <v>1610,..,3710</v>
      </c>
      <c r="U160" s="23">
        <f t="shared" ca="1" si="8"/>
        <v>1610</v>
      </c>
      <c r="V160" s="23">
        <f t="shared" ca="1" si="9"/>
        <v>3710</v>
      </c>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WZB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row>
    <row r="161" spans="1:150 16226:16383" s="3" customFormat="1" ht="20.25" customHeight="1" x14ac:dyDescent="0.25">
      <c r="A161" s="140">
        <f t="shared" si="10"/>
        <v>11</v>
      </c>
      <c r="B161" s="140"/>
      <c r="C161" s="170" t="s">
        <v>362</v>
      </c>
      <c r="D161" s="171"/>
      <c r="E161" s="171"/>
      <c r="F161" s="171"/>
      <c r="G161" s="171"/>
      <c r="H161" s="172"/>
      <c r="I161" s="1"/>
      <c r="J161" s="1"/>
      <c r="K161" s="1"/>
      <c r="L161" s="1"/>
      <c r="M161" s="1"/>
      <c r="N161" s="1"/>
      <c r="O161" s="1"/>
      <c r="P161" s="1"/>
      <c r="Q161" s="1"/>
      <c r="R161" s="1"/>
      <c r="S161" s="1"/>
      <c r="T161" s="23" t="str">
        <f t="shared" ca="1" si="12"/>
        <v>1611,..,3711</v>
      </c>
      <c r="U161" s="23">
        <f t="shared" ca="1" si="8"/>
        <v>1611</v>
      </c>
      <c r="V161" s="23">
        <f t="shared" ca="1" si="9"/>
        <v>3711</v>
      </c>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WZB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row>
    <row r="162" spans="1:150 16226:16383" s="3" customFormat="1" ht="20.25" customHeight="1" x14ac:dyDescent="0.25">
      <c r="A162" s="140">
        <f t="shared" ref="A162" si="13">A161+1</f>
        <v>12</v>
      </c>
      <c r="B162" s="140"/>
      <c r="C162" s="173"/>
      <c r="D162" s="174"/>
      <c r="E162" s="174"/>
      <c r="F162" s="174"/>
      <c r="G162" s="174"/>
      <c r="H162" s="175"/>
      <c r="I162" s="1"/>
      <c r="J162" s="1"/>
      <c r="K162" s="1"/>
      <c r="L162" s="1"/>
      <c r="M162" s="1"/>
      <c r="N162" s="1"/>
      <c r="O162" s="1"/>
      <c r="P162" s="1"/>
      <c r="Q162" s="1"/>
      <c r="R162" s="1"/>
      <c r="S162" s="1"/>
      <c r="T162" s="23" t="str">
        <f t="shared" ref="T162" ca="1" si="14">U162&amp;""&amp;",..,"&amp;""&amp;V162</f>
        <v>1612,..,3712</v>
      </c>
      <c r="U162" s="23">
        <f t="shared" ca="1" si="8"/>
        <v>1612</v>
      </c>
      <c r="V162" s="23">
        <f t="shared" ca="1" si="9"/>
        <v>3712</v>
      </c>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WZB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row>
    <row r="163" spans="1:150 16226:16383" s="3" customFormat="1" ht="20.25" hidden="1" x14ac:dyDescent="0.25">
      <c r="A163" s="146" t="s">
        <v>130</v>
      </c>
      <c r="B163" s="147"/>
      <c r="C163" s="147"/>
      <c r="D163" s="147"/>
      <c r="E163" s="147"/>
      <c r="F163" s="147"/>
      <c r="G163" s="147"/>
      <c r="H163" s="148"/>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WZB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row>
    <row r="164" spans="1:150 16226:16383" s="3" customFormat="1" ht="20.25" hidden="1" customHeight="1" x14ac:dyDescent="0.25">
      <c r="A164" s="140" t="str">
        <f ca="1">T164</f>
        <v>201 to 501</v>
      </c>
      <c r="B164" s="140"/>
      <c r="C164" s="54"/>
      <c r="D164" s="54"/>
      <c r="E164" s="33">
        <v>0</v>
      </c>
      <c r="F164" s="6">
        <v>0</v>
      </c>
      <c r="G164" s="6">
        <v>0</v>
      </c>
      <c r="H164" s="6">
        <f>E164+F164+(IF(G164&lt;101,G164,IF(G164&lt;201,G164/2,IF(G164&lt;=301,G164/3,G164/4))))</f>
        <v>0</v>
      </c>
      <c r="I164" s="1"/>
      <c r="J164" s="1"/>
      <c r="K164" s="1"/>
      <c r="L164" s="1"/>
      <c r="M164" s="1"/>
      <c r="N164" s="1"/>
      <c r="O164" s="1"/>
      <c r="P164" s="1"/>
      <c r="Q164" s="1"/>
      <c r="R164" s="1"/>
      <c r="S164" s="1"/>
      <c r="T164" s="23" t="str">
        <f ca="1">U164&amp;""&amp;" to "&amp;""&amp;V164</f>
        <v>201 to 501</v>
      </c>
      <c r="U164" s="23">
        <f ca="1">(SUMPRODUCT(MID(0&amp;(LEFT(A163,SUM(LEN(A163)-LEN(SUBSTITUTE(A163,{"0","1","2","3"},""))))), LARGE(INDEX(ISNUMBER(--MID((LEFT(A163,SUM(LEN(A163)-LEN(SUBSTITUTE(A163,{"0","1","2","3"},""))))), ROW(INDIRECT("1:"&amp;LEN((LEFT(A163,SUM(LEN(A163)-LEN(SUBSTITUTE(A163,{"0","1","2","3"},"")))))))), 1)) * ROW(INDIRECT("1:"&amp;LEN((LEFT(A163,SUM(LEN(A163)-LEN(SUBSTITUTE(A163,{"0","1","2","3"},"")))))))), 0), ROW(INDIRECT("1:"&amp;LEN((LEFT(A163,SUM(LEN(A163)-LEN(SUBSTITUTE(A163,{"0","1","2","3"},"")))))))))+1, 1) * 10^ROW(INDIRECT("1:"&amp;LEN((LEFT(A163,SUM(LEN(A163)-LEN(SUBSTITUTE(A163,{"0","1","2","3"},""))))))))/10))*100+1</f>
        <v>201</v>
      </c>
      <c r="V164" s="23">
        <f ca="1">(SUMPRODUCT(MID(0&amp;(--TRIM(RIGHT(SUBSTITUTE(LEFT(A163,_xlfn.AGGREGATE(16,6,FIND({0,1,2,3,4,5,6,7,8,9},A163,ROW(INDIRECT("1:"&amp;LEN(A163)))),1)),"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",LEN(A163))),LEN(A163)))))))/10))*100+1</f>
        <v>501</v>
      </c>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WZB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row>
    <row r="165" spans="1:150 16226:16383" s="3" customFormat="1" ht="20.25" hidden="1" customHeight="1" x14ac:dyDescent="0.25">
      <c r="A165" s="140" t="str">
        <f t="shared" ref="A165:A171" ca="1" si="15">T165</f>
        <v>202 to 502</v>
      </c>
      <c r="B165" s="140"/>
      <c r="C165" s="54"/>
      <c r="D165" s="54"/>
      <c r="E165" s="33"/>
      <c r="F165" s="6"/>
      <c r="G165" s="6"/>
      <c r="H165" s="6">
        <f t="shared" ref="H165:H171" si="16">E165+F165+(IF(G165&lt;101,G165,IF(G165&lt;201,G165/2,IF(G165&lt;=301,G165/3,G165/4))))</f>
        <v>0</v>
      </c>
      <c r="I165" s="1"/>
      <c r="J165" s="1"/>
      <c r="K165" s="1"/>
      <c r="L165" s="1"/>
      <c r="M165" s="1"/>
      <c r="N165" s="1"/>
      <c r="O165" s="1"/>
      <c r="P165" s="1"/>
      <c r="Q165" s="1"/>
      <c r="R165" s="1"/>
      <c r="S165" s="1"/>
      <c r="T165" s="23" t="str">
        <f t="shared" ref="T165:T171" ca="1" si="17">U165&amp;""&amp;" to "&amp;""&amp;V165</f>
        <v>202 to 502</v>
      </c>
      <c r="U165" s="23">
        <f ca="1">U164+1</f>
        <v>202</v>
      </c>
      <c r="V165" s="23">
        <f ca="1">V164+1</f>
        <v>502</v>
      </c>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WZB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row>
    <row r="166" spans="1:150 16226:16383" s="3" customFormat="1" ht="20.25" hidden="1" customHeight="1" x14ac:dyDescent="0.25">
      <c r="A166" s="140" t="str">
        <f t="shared" ca="1" si="15"/>
        <v>203 to 503</v>
      </c>
      <c r="B166" s="140"/>
      <c r="C166" s="54"/>
      <c r="D166" s="54"/>
      <c r="E166" s="33"/>
      <c r="F166" s="6"/>
      <c r="G166" s="6"/>
      <c r="H166" s="6">
        <f t="shared" si="16"/>
        <v>0</v>
      </c>
      <c r="I166" s="1"/>
      <c r="J166" s="1"/>
      <c r="K166" s="1"/>
      <c r="L166" s="1"/>
      <c r="M166" s="1"/>
      <c r="N166" s="1"/>
      <c r="O166" s="1"/>
      <c r="P166" s="1"/>
      <c r="Q166" s="1"/>
      <c r="R166" s="1"/>
      <c r="S166" s="1"/>
      <c r="T166" s="23" t="str">
        <f t="shared" ca="1" si="17"/>
        <v>203 to 503</v>
      </c>
      <c r="U166" s="23">
        <f t="shared" ref="U166:U171" ca="1" si="18">U165+1</f>
        <v>203</v>
      </c>
      <c r="V166" s="23">
        <f t="shared" ref="V166:V171" ca="1" si="19">V165+1</f>
        <v>503</v>
      </c>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WZB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row>
    <row r="167" spans="1:150 16226:16383" s="3" customFormat="1" ht="20.25" hidden="1" customHeight="1" x14ac:dyDescent="0.25">
      <c r="A167" s="140" t="str">
        <f t="shared" ca="1" si="15"/>
        <v>204 to 504</v>
      </c>
      <c r="B167" s="140"/>
      <c r="C167" s="54"/>
      <c r="D167" s="54"/>
      <c r="E167" s="33"/>
      <c r="F167" s="6"/>
      <c r="G167" s="6"/>
      <c r="H167" s="6">
        <f t="shared" si="16"/>
        <v>0</v>
      </c>
      <c r="I167" s="1"/>
      <c r="J167" s="1"/>
      <c r="K167" s="1"/>
      <c r="L167" s="1"/>
      <c r="M167" s="1"/>
      <c r="N167" s="1"/>
      <c r="O167" s="1"/>
      <c r="P167" s="1"/>
      <c r="Q167" s="1"/>
      <c r="R167" s="1"/>
      <c r="S167" s="1"/>
      <c r="T167" s="23" t="str">
        <f t="shared" ca="1" si="17"/>
        <v>204 to 504</v>
      </c>
      <c r="U167" s="23">
        <f t="shared" ca="1" si="18"/>
        <v>204</v>
      </c>
      <c r="V167" s="23">
        <f t="shared" ca="1" si="19"/>
        <v>504</v>
      </c>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WZB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row>
    <row r="168" spans="1:150 16226:16383" s="3" customFormat="1" ht="20.25" hidden="1" customHeight="1" x14ac:dyDescent="0.25">
      <c r="A168" s="140" t="str">
        <f t="shared" ca="1" si="15"/>
        <v>205 to 505</v>
      </c>
      <c r="B168" s="140"/>
      <c r="C168" s="54"/>
      <c r="D168" s="54"/>
      <c r="E168" s="33"/>
      <c r="F168" s="6"/>
      <c r="G168" s="6"/>
      <c r="H168" s="6">
        <f t="shared" si="16"/>
        <v>0</v>
      </c>
      <c r="I168" s="1"/>
      <c r="J168" s="1"/>
      <c r="K168" s="1"/>
      <c r="L168" s="1"/>
      <c r="M168" s="1"/>
      <c r="N168" s="1"/>
      <c r="O168" s="1"/>
      <c r="P168" s="1"/>
      <c r="Q168" s="1"/>
      <c r="R168" s="1"/>
      <c r="S168" s="1"/>
      <c r="T168" s="23" t="str">
        <f t="shared" ca="1" si="17"/>
        <v>205 to 505</v>
      </c>
      <c r="U168" s="23">
        <f t="shared" ca="1" si="18"/>
        <v>205</v>
      </c>
      <c r="V168" s="23">
        <f t="shared" ca="1" si="19"/>
        <v>505</v>
      </c>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WZB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row>
    <row r="169" spans="1:150 16226:16383" s="3" customFormat="1" ht="20.25" hidden="1" customHeight="1" x14ac:dyDescent="0.25">
      <c r="A169" s="140" t="str">
        <f t="shared" ca="1" si="15"/>
        <v>206 to 506</v>
      </c>
      <c r="B169" s="140"/>
      <c r="C169" s="54"/>
      <c r="D169" s="54"/>
      <c r="E169" s="33"/>
      <c r="F169" s="6"/>
      <c r="G169" s="6"/>
      <c r="H169" s="6">
        <f t="shared" si="16"/>
        <v>0</v>
      </c>
      <c r="I169" s="1"/>
      <c r="J169" s="1"/>
      <c r="K169" s="1"/>
      <c r="L169" s="1"/>
      <c r="M169" s="1"/>
      <c r="N169" s="1"/>
      <c r="O169" s="1"/>
      <c r="P169" s="1"/>
      <c r="Q169" s="1"/>
      <c r="R169" s="1"/>
      <c r="S169" s="1"/>
      <c r="T169" s="23" t="str">
        <f t="shared" ca="1" si="17"/>
        <v>206 to 506</v>
      </c>
      <c r="U169" s="23">
        <f t="shared" ca="1" si="18"/>
        <v>206</v>
      </c>
      <c r="V169" s="23">
        <f t="shared" ca="1" si="19"/>
        <v>506</v>
      </c>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WZB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row>
    <row r="170" spans="1:150 16226:16383" s="3" customFormat="1" ht="20.25" hidden="1" customHeight="1" x14ac:dyDescent="0.25">
      <c r="A170" s="140" t="str">
        <f t="shared" ca="1" si="15"/>
        <v>207 to 507</v>
      </c>
      <c r="B170" s="140"/>
      <c r="C170" s="54"/>
      <c r="D170" s="54"/>
      <c r="E170" s="33"/>
      <c r="F170" s="6"/>
      <c r="G170" s="6"/>
      <c r="H170" s="6">
        <f t="shared" si="16"/>
        <v>0</v>
      </c>
      <c r="I170" s="1"/>
      <c r="J170" s="1"/>
      <c r="K170" s="1"/>
      <c r="L170" s="1"/>
      <c r="M170" s="1"/>
      <c r="N170" s="1"/>
      <c r="O170" s="1"/>
      <c r="P170" s="1"/>
      <c r="Q170" s="1"/>
      <c r="R170" s="1"/>
      <c r="S170" s="1"/>
      <c r="T170" s="23" t="str">
        <f t="shared" ca="1" si="17"/>
        <v>207 to 507</v>
      </c>
      <c r="U170" s="23">
        <f t="shared" ca="1" si="18"/>
        <v>207</v>
      </c>
      <c r="V170" s="23">
        <f t="shared" ca="1" si="19"/>
        <v>507</v>
      </c>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WZB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row>
    <row r="171" spans="1:150 16226:16383" s="3" customFormat="1" ht="20.25" hidden="1" customHeight="1" x14ac:dyDescent="0.25">
      <c r="A171" s="140" t="str">
        <f t="shared" ca="1" si="15"/>
        <v>208 to 508</v>
      </c>
      <c r="B171" s="140"/>
      <c r="C171" s="54"/>
      <c r="D171" s="54"/>
      <c r="E171" s="33"/>
      <c r="F171" s="6"/>
      <c r="G171" s="6"/>
      <c r="H171" s="6">
        <f t="shared" si="16"/>
        <v>0</v>
      </c>
      <c r="I171" s="1"/>
      <c r="J171" s="1"/>
      <c r="K171" s="1"/>
      <c r="L171" s="1"/>
      <c r="M171" s="1"/>
      <c r="N171" s="1"/>
      <c r="O171" s="1"/>
      <c r="P171" s="1"/>
      <c r="Q171" s="1"/>
      <c r="R171" s="1"/>
      <c r="S171" s="1"/>
      <c r="T171" s="23" t="str">
        <f t="shared" ca="1" si="17"/>
        <v>208 to 508</v>
      </c>
      <c r="U171" s="23">
        <f t="shared" ca="1" si="18"/>
        <v>208</v>
      </c>
      <c r="V171" s="23">
        <f t="shared" ca="1" si="19"/>
        <v>508</v>
      </c>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WZB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row>
    <row r="172" spans="1:150 16226:16383" s="3" customFormat="1" ht="20.25" hidden="1" x14ac:dyDescent="0.25">
      <c r="A172" s="146" t="s">
        <v>131</v>
      </c>
      <c r="B172" s="147"/>
      <c r="C172" s="147"/>
      <c r="D172" s="147"/>
      <c r="E172" s="147"/>
      <c r="F172" s="147"/>
      <c r="G172" s="147"/>
      <c r="H172" s="148"/>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WZB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row>
    <row r="173" spans="1:150 16226:16383" s="3" customFormat="1" ht="20.25" hidden="1" customHeight="1" x14ac:dyDescent="0.25">
      <c r="A173" s="140" t="str">
        <f ca="1">T173</f>
        <v>201 &amp; 501</v>
      </c>
      <c r="B173" s="140"/>
      <c r="C173" s="54"/>
      <c r="D173" s="54"/>
      <c r="E173" s="33">
        <v>0</v>
      </c>
      <c r="F173" s="6">
        <v>0</v>
      </c>
      <c r="G173" s="6">
        <v>0</v>
      </c>
      <c r="H173" s="6">
        <f>E173+F173+(IF(G173&lt;101,G173,IF(G173&lt;201,G173/2,IF(G173&lt;=301,G173/3,G173/4))))</f>
        <v>0</v>
      </c>
      <c r="I173" s="1"/>
      <c r="J173" s="1"/>
      <c r="K173" s="1"/>
      <c r="L173" s="1"/>
      <c r="M173" s="1"/>
      <c r="N173" s="1"/>
      <c r="O173" s="1"/>
      <c r="P173" s="1"/>
      <c r="Q173" s="1"/>
      <c r="R173" s="1"/>
      <c r="S173" s="1"/>
      <c r="T173" s="23" t="str">
        <f ca="1">U173&amp;""&amp;" &amp; "&amp;""&amp;V173</f>
        <v>201 &amp; 501</v>
      </c>
      <c r="U173" s="23">
        <f ca="1">(SUMPRODUCT(MID(0&amp;(LEFT(A172,SUM(LEN(A172)-LEN(SUBSTITUTE(A172,{"0","1","2","3"},""))))), LARGE(INDEX(ISNUMBER(--MID((LEFT(A172,SUM(LEN(A172)-LEN(SUBSTITUTE(A172,{"0","1","2","3"},""))))), ROW(INDIRECT("1:"&amp;LEN((LEFT(A172,SUM(LEN(A172)-LEN(SUBSTITUTE(A172,{"0","1","2","3"},"")))))))), 1)) * ROW(INDIRECT("1:"&amp;LEN((LEFT(A172,SUM(LEN(A172)-LEN(SUBSTITUTE(A172,{"0","1","2","3"},"")))))))), 0), ROW(INDIRECT("1:"&amp;LEN((LEFT(A172,SUM(LEN(A172)-LEN(SUBSTITUTE(A172,{"0","1","2","3"},"")))))))))+1, 1) * 10^ROW(INDIRECT("1:"&amp;LEN((LEFT(A172,SUM(LEN(A172)-LEN(SUBSTITUTE(A172,{"0","1","2","3"},""))))))))/10))*100+1</f>
        <v>201</v>
      </c>
      <c r="V173" s="23">
        <f ca="1">(SUMPRODUCT(MID(0&amp;(--TRIM(RIGHT(SUBSTITUTE(LEFT(A172,_xlfn.AGGREGATE(16,6,FIND({0,1,2,3,4,5,6,7,8,9},A172,ROW(INDIRECT("1:"&amp;LEN(A172)))),1)),"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",LEN(A172))),LEN(A172)))))))/10))*100+1</f>
        <v>501</v>
      </c>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WZB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row>
    <row r="174" spans="1:150 16226:16383" s="3" customFormat="1" ht="20.25" hidden="1" customHeight="1" x14ac:dyDescent="0.25">
      <c r="A174" s="140" t="str">
        <f t="shared" ref="A174:A180" ca="1" si="20">T174</f>
        <v>202 &amp; 502</v>
      </c>
      <c r="B174" s="140"/>
      <c r="C174" s="54"/>
      <c r="D174" s="54"/>
      <c r="E174" s="33"/>
      <c r="F174" s="6"/>
      <c r="G174" s="6"/>
      <c r="H174" s="6">
        <f t="shared" ref="H174:H180" si="21">E174+F174+(IF(G174&lt;101,G174,IF(G174&lt;201,G174/2,IF(G174&lt;=301,G174/3,G174/4))))</f>
        <v>0</v>
      </c>
      <c r="I174" s="1"/>
      <c r="J174" s="1"/>
      <c r="K174" s="1"/>
      <c r="L174" s="1"/>
      <c r="M174" s="1"/>
      <c r="N174" s="1"/>
      <c r="O174" s="1"/>
      <c r="P174" s="1"/>
      <c r="Q174" s="1"/>
      <c r="R174" s="1"/>
      <c r="S174" s="1"/>
      <c r="T174" s="23" t="str">
        <f t="shared" ref="T174:T180" ca="1" si="22">U174&amp;""&amp;" &amp; "&amp;""&amp;V174</f>
        <v>202 &amp; 502</v>
      </c>
      <c r="U174" s="23">
        <f ca="1">U173+1</f>
        <v>202</v>
      </c>
      <c r="V174" s="23">
        <f ca="1">V173+1</f>
        <v>502</v>
      </c>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WZB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row>
    <row r="175" spans="1:150 16226:16383" s="3" customFormat="1" ht="20.25" hidden="1" customHeight="1" x14ac:dyDescent="0.25">
      <c r="A175" s="140" t="str">
        <f t="shared" ca="1" si="20"/>
        <v>203 &amp; 503</v>
      </c>
      <c r="B175" s="140"/>
      <c r="C175" s="54"/>
      <c r="D175" s="54"/>
      <c r="E175" s="33"/>
      <c r="F175" s="6"/>
      <c r="G175" s="6"/>
      <c r="H175" s="6">
        <f t="shared" si="21"/>
        <v>0</v>
      </c>
      <c r="I175" s="1"/>
      <c r="J175" s="1"/>
      <c r="K175" s="1"/>
      <c r="L175" s="1"/>
      <c r="M175" s="1"/>
      <c r="N175" s="1"/>
      <c r="O175" s="1"/>
      <c r="P175" s="1"/>
      <c r="Q175" s="1"/>
      <c r="R175" s="1"/>
      <c r="S175" s="1"/>
      <c r="T175" s="23" t="str">
        <f t="shared" ca="1" si="22"/>
        <v>203 &amp; 503</v>
      </c>
      <c r="U175" s="23">
        <f t="shared" ref="U175:U180" ca="1" si="23">U174+1</f>
        <v>203</v>
      </c>
      <c r="V175" s="23">
        <f t="shared" ref="V175:V180" ca="1" si="24">V174+1</f>
        <v>503</v>
      </c>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row>
    <row r="176" spans="1:150 16226:16383" s="3" customFormat="1" ht="20.25" hidden="1" customHeight="1" x14ac:dyDescent="0.25">
      <c r="A176" s="140" t="str">
        <f t="shared" ca="1" si="20"/>
        <v>204 &amp; 504</v>
      </c>
      <c r="B176" s="140"/>
      <c r="C176" s="54"/>
      <c r="D176" s="54"/>
      <c r="E176" s="33"/>
      <c r="F176" s="6"/>
      <c r="G176" s="6"/>
      <c r="H176" s="6">
        <f t="shared" si="21"/>
        <v>0</v>
      </c>
      <c r="I176" s="1"/>
      <c r="J176" s="1"/>
      <c r="K176" s="1"/>
      <c r="L176" s="1"/>
      <c r="M176" s="1"/>
      <c r="N176" s="1"/>
      <c r="O176" s="1"/>
      <c r="P176" s="1"/>
      <c r="Q176" s="1"/>
      <c r="R176" s="1"/>
      <c r="S176" s="1"/>
      <c r="T176" s="23" t="str">
        <f t="shared" ca="1" si="22"/>
        <v>204 &amp; 504</v>
      </c>
      <c r="U176" s="23">
        <f t="shared" ca="1" si="23"/>
        <v>204</v>
      </c>
      <c r="V176" s="23">
        <f t="shared" ca="1" si="24"/>
        <v>504</v>
      </c>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row>
    <row r="177" spans="1:150 16226:16383" s="3" customFormat="1" ht="20.25" hidden="1" customHeight="1" x14ac:dyDescent="0.25">
      <c r="A177" s="140" t="str">
        <f t="shared" ca="1" si="20"/>
        <v>205 &amp; 505</v>
      </c>
      <c r="B177" s="140"/>
      <c r="C177" s="54"/>
      <c r="D177" s="54"/>
      <c r="E177" s="33"/>
      <c r="F177" s="6"/>
      <c r="G177" s="6"/>
      <c r="H177" s="6">
        <f t="shared" si="21"/>
        <v>0</v>
      </c>
      <c r="I177" s="1"/>
      <c r="J177" s="1"/>
      <c r="K177" s="1"/>
      <c r="L177" s="1"/>
      <c r="M177" s="1"/>
      <c r="N177" s="1"/>
      <c r="O177" s="1"/>
      <c r="P177" s="1"/>
      <c r="Q177" s="1"/>
      <c r="R177" s="1"/>
      <c r="S177" s="1"/>
      <c r="T177" s="23" t="str">
        <f t="shared" ca="1" si="22"/>
        <v>205 &amp; 505</v>
      </c>
      <c r="U177" s="23">
        <f t="shared" ca="1" si="23"/>
        <v>205</v>
      </c>
      <c r="V177" s="23">
        <f t="shared" ca="1" si="24"/>
        <v>505</v>
      </c>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row>
    <row r="178" spans="1:150 16226:16383" s="3" customFormat="1" ht="20.25" hidden="1" customHeight="1" x14ac:dyDescent="0.25">
      <c r="A178" s="140" t="str">
        <f t="shared" ca="1" si="20"/>
        <v>206 &amp; 506</v>
      </c>
      <c r="B178" s="140"/>
      <c r="C178" s="54"/>
      <c r="D178" s="54"/>
      <c r="E178" s="33"/>
      <c r="F178" s="6"/>
      <c r="G178" s="6"/>
      <c r="H178" s="6">
        <f t="shared" si="21"/>
        <v>0</v>
      </c>
      <c r="I178" s="1"/>
      <c r="J178" s="1"/>
      <c r="K178" s="1"/>
      <c r="L178" s="1"/>
      <c r="M178" s="1"/>
      <c r="N178" s="1"/>
      <c r="O178" s="1"/>
      <c r="P178" s="1"/>
      <c r="Q178" s="1"/>
      <c r="R178" s="1"/>
      <c r="S178" s="1"/>
      <c r="T178" s="23" t="str">
        <f t="shared" ca="1" si="22"/>
        <v>206 &amp; 506</v>
      </c>
      <c r="U178" s="23">
        <f t="shared" ca="1" si="23"/>
        <v>206</v>
      </c>
      <c r="V178" s="23">
        <f t="shared" ca="1" si="24"/>
        <v>506</v>
      </c>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row>
    <row r="179" spans="1:150 16226:16383" s="3" customFormat="1" ht="20.25" hidden="1" customHeight="1" x14ac:dyDescent="0.25">
      <c r="A179" s="140" t="str">
        <f t="shared" ca="1" si="20"/>
        <v>207 &amp; 507</v>
      </c>
      <c r="B179" s="140"/>
      <c r="C179" s="54"/>
      <c r="D179" s="54"/>
      <c r="E179" s="33"/>
      <c r="F179" s="6"/>
      <c r="G179" s="6"/>
      <c r="H179" s="6">
        <f t="shared" si="21"/>
        <v>0</v>
      </c>
      <c r="I179" s="1"/>
      <c r="J179" s="1"/>
      <c r="K179" s="1"/>
      <c r="L179" s="1"/>
      <c r="M179" s="1"/>
      <c r="N179" s="1"/>
      <c r="O179" s="1"/>
      <c r="P179" s="1"/>
      <c r="Q179" s="1"/>
      <c r="R179" s="1"/>
      <c r="S179" s="1"/>
      <c r="T179" s="23" t="str">
        <f t="shared" ca="1" si="22"/>
        <v>207 &amp; 507</v>
      </c>
      <c r="U179" s="23">
        <f t="shared" ca="1" si="23"/>
        <v>207</v>
      </c>
      <c r="V179" s="23">
        <f t="shared" ca="1" si="24"/>
        <v>507</v>
      </c>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WZB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row>
    <row r="180" spans="1:150 16226:16383" s="3" customFormat="1" ht="20.25" hidden="1" customHeight="1" x14ac:dyDescent="0.25">
      <c r="A180" s="140" t="str">
        <f t="shared" ca="1" si="20"/>
        <v>208 &amp; 508</v>
      </c>
      <c r="B180" s="140"/>
      <c r="C180" s="54"/>
      <c r="D180" s="54"/>
      <c r="E180" s="33"/>
      <c r="F180" s="6"/>
      <c r="G180" s="6"/>
      <c r="H180" s="6">
        <f t="shared" si="21"/>
        <v>0</v>
      </c>
      <c r="I180" s="1"/>
      <c r="J180" s="1"/>
      <c r="K180" s="1"/>
      <c r="L180" s="1"/>
      <c r="M180" s="1"/>
      <c r="N180" s="1"/>
      <c r="O180" s="1"/>
      <c r="P180" s="1"/>
      <c r="Q180" s="1"/>
      <c r="R180" s="1"/>
      <c r="S180" s="1"/>
      <c r="T180" s="23" t="str">
        <f t="shared" ca="1" si="22"/>
        <v>208 &amp; 508</v>
      </c>
      <c r="U180" s="23">
        <f t="shared" ca="1" si="23"/>
        <v>208</v>
      </c>
      <c r="V180" s="23">
        <f t="shared" ca="1" si="24"/>
        <v>508</v>
      </c>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WZB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row>
    <row r="181" spans="1:150 16226:16383" s="3" customFormat="1" ht="20.25" customHeight="1" x14ac:dyDescent="0.25">
      <c r="A181" s="133" t="s">
        <v>376</v>
      </c>
      <c r="B181" s="134"/>
      <c r="C181" s="134"/>
      <c r="D181" s="134"/>
      <c r="E181" s="134"/>
      <c r="F181" s="134"/>
      <c r="G181" s="134"/>
      <c r="H181" s="135"/>
      <c r="I181" s="4">
        <v>4</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WZB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row>
    <row r="182" spans="1:150 16226:16383" ht="20.25" x14ac:dyDescent="0.25">
      <c r="A182" s="106" t="s">
        <v>70</v>
      </c>
      <c r="B182" s="106"/>
      <c r="C182" s="106"/>
      <c r="D182" s="106"/>
      <c r="E182" s="106"/>
      <c r="F182" s="106"/>
      <c r="G182" s="106"/>
      <c r="H182" s="106"/>
    </row>
    <row r="183" spans="1:150 16226:16383" ht="20.25" x14ac:dyDescent="0.25">
      <c r="A183" s="2" t="s">
        <v>236</v>
      </c>
      <c r="B183" s="179" t="s">
        <v>365</v>
      </c>
      <c r="C183" s="180"/>
      <c r="D183" s="180"/>
      <c r="E183" s="180"/>
      <c r="F183" s="180"/>
      <c r="G183" s="180"/>
      <c r="H183" s="181"/>
    </row>
    <row r="184" spans="1:150 16226:16383" ht="20.25" x14ac:dyDescent="0.25">
      <c r="A184" s="2" t="s">
        <v>236</v>
      </c>
      <c r="B184" s="155" t="s">
        <v>237</v>
      </c>
      <c r="C184" s="156"/>
      <c r="D184" s="156"/>
      <c r="E184" s="156"/>
      <c r="F184" s="156"/>
      <c r="G184" s="156"/>
      <c r="H184" s="157"/>
    </row>
    <row r="185" spans="1:150 16226:16383" ht="20.25" x14ac:dyDescent="0.25">
      <c r="A185" s="2" t="s">
        <v>236</v>
      </c>
      <c r="B185" s="179" t="s">
        <v>378</v>
      </c>
      <c r="C185" s="180"/>
      <c r="D185" s="180"/>
      <c r="E185" s="180"/>
      <c r="F185" s="180"/>
      <c r="G185" s="180"/>
      <c r="H185" s="181"/>
    </row>
    <row r="186" spans="1:150 16226:16383" ht="20.25" x14ac:dyDescent="0.25">
      <c r="A186" s="2" t="s">
        <v>236</v>
      </c>
      <c r="B186" s="155" t="s">
        <v>238</v>
      </c>
      <c r="C186" s="156"/>
      <c r="D186" s="156"/>
      <c r="E186" s="156"/>
      <c r="F186" s="156"/>
      <c r="G186" s="156"/>
      <c r="H186" s="157"/>
    </row>
    <row r="187" spans="1:150 16226:16383" ht="20.25" x14ac:dyDescent="0.25">
      <c r="A187" s="2" t="s">
        <v>236</v>
      </c>
      <c r="B187" s="155" t="s">
        <v>239</v>
      </c>
      <c r="C187" s="156"/>
      <c r="D187" s="156"/>
      <c r="E187" s="156"/>
      <c r="F187" s="156"/>
      <c r="G187" s="156"/>
      <c r="H187" s="157"/>
    </row>
    <row r="188" spans="1:150 16226:16383" ht="20.25" x14ac:dyDescent="0.25">
      <c r="A188" s="2" t="s">
        <v>236</v>
      </c>
      <c r="B188" s="179" t="s">
        <v>377</v>
      </c>
      <c r="C188" s="180"/>
      <c r="D188" s="180"/>
      <c r="E188" s="180"/>
      <c r="F188" s="180"/>
      <c r="G188" s="180"/>
      <c r="H188" s="181"/>
    </row>
    <row r="189" spans="1:150 16226:16383" ht="24.75" hidden="1" customHeight="1" x14ac:dyDescent="0.25">
      <c r="A189" s="2" t="s">
        <v>236</v>
      </c>
      <c r="B189" s="121" t="s">
        <v>241</v>
      </c>
      <c r="C189" s="156"/>
      <c r="D189" s="156"/>
      <c r="E189" s="156"/>
      <c r="F189" s="156"/>
      <c r="G189" s="156"/>
      <c r="H189" s="157"/>
    </row>
    <row r="190" spans="1:150 16226:16383" ht="46.5" hidden="1" customHeight="1" x14ac:dyDescent="0.25">
      <c r="A190" s="2" t="s">
        <v>236</v>
      </c>
      <c r="B190" s="121" t="s">
        <v>240</v>
      </c>
      <c r="C190" s="156"/>
      <c r="D190" s="156"/>
      <c r="E190" s="156"/>
      <c r="F190" s="156"/>
      <c r="G190" s="156"/>
      <c r="H190" s="157"/>
    </row>
    <row r="191" spans="1:150 16226:16383" ht="20.25" x14ac:dyDescent="0.25">
      <c r="A191" s="82" t="s">
        <v>236</v>
      </c>
      <c r="B191" s="179" t="s">
        <v>372</v>
      </c>
      <c r="C191" s="180"/>
      <c r="D191" s="180"/>
      <c r="E191" s="180"/>
      <c r="F191" s="180"/>
      <c r="G191" s="180"/>
      <c r="H191" s="181"/>
    </row>
    <row r="192" spans="1:150 16226:16383" ht="20.25" x14ac:dyDescent="0.25">
      <c r="A192" s="154" t="s">
        <v>76</v>
      </c>
      <c r="B192" s="154"/>
      <c r="C192" s="154"/>
      <c r="D192" s="154"/>
      <c r="E192" s="154"/>
      <c r="F192" s="154"/>
      <c r="G192" s="154"/>
      <c r="H192" s="154"/>
    </row>
    <row r="193" spans="1:8" ht="20.25" x14ac:dyDescent="0.25">
      <c r="A193" s="105" t="s">
        <v>71</v>
      </c>
      <c r="B193" s="105"/>
      <c r="C193" s="105"/>
      <c r="D193" s="155" t="str">
        <f>C3</f>
        <v>Konark Vaayu</v>
      </c>
      <c r="E193" s="156"/>
      <c r="F193" s="156"/>
      <c r="G193" s="156"/>
      <c r="H193" s="157"/>
    </row>
    <row r="194" spans="1:8" ht="60.75" customHeight="1" x14ac:dyDescent="0.25">
      <c r="A194" s="105" t="s">
        <v>105</v>
      </c>
      <c r="B194" s="105"/>
      <c r="C194" s="105"/>
      <c r="D194" s="155" t="str">
        <f>C9</f>
        <v>Konark Vaayu, Ganesh Nagar, off Swami Vivekananda Road, opposite to DLH UDAKA, Best Nagar, Goregaon West, Mumbai, Maharashtra 400104</v>
      </c>
      <c r="E194" s="156"/>
      <c r="F194" s="156"/>
      <c r="G194" s="156"/>
      <c r="H194" s="157"/>
    </row>
    <row r="195" spans="1:8" ht="20.25" customHeight="1" x14ac:dyDescent="0.25">
      <c r="A195" s="163" t="s">
        <v>111</v>
      </c>
      <c r="B195" s="163"/>
      <c r="C195" s="163"/>
      <c r="D195" s="155" t="str">
        <f>G3</f>
        <v>28/08/2025 at 2:00PM</v>
      </c>
      <c r="E195" s="156"/>
      <c r="F195" s="156"/>
      <c r="G195" s="156"/>
      <c r="H195" s="157"/>
    </row>
    <row r="196" spans="1:8" ht="20.25" x14ac:dyDescent="0.25">
      <c r="A196" s="10"/>
      <c r="B196" s="11"/>
      <c r="C196" s="11"/>
      <c r="D196" s="11"/>
      <c r="E196" s="11"/>
      <c r="F196" s="11"/>
      <c r="G196" s="11"/>
      <c r="H196" s="7"/>
    </row>
    <row r="197" spans="1:8" ht="20.25" x14ac:dyDescent="0.25">
      <c r="A197" s="12"/>
      <c r="B197" s="13"/>
      <c r="C197" s="13"/>
      <c r="D197" s="13"/>
      <c r="E197" s="13"/>
      <c r="F197" s="13"/>
      <c r="G197" s="13"/>
      <c r="H197" s="8"/>
    </row>
    <row r="198" spans="1:8" ht="20.25" x14ac:dyDescent="0.25">
      <c r="A198" s="12"/>
      <c r="B198" s="13"/>
      <c r="C198" s="13"/>
      <c r="D198" s="13"/>
      <c r="E198" s="13"/>
      <c r="F198" s="13"/>
      <c r="G198" s="13"/>
      <c r="H198" s="8"/>
    </row>
    <row r="199" spans="1:8" ht="20.25" x14ac:dyDescent="0.25">
      <c r="A199" s="12"/>
      <c r="B199" s="13"/>
      <c r="C199" s="13"/>
      <c r="D199" s="13"/>
      <c r="E199" s="13"/>
      <c r="F199" s="13"/>
      <c r="G199" s="13"/>
      <c r="H199" s="8"/>
    </row>
    <row r="200" spans="1:8" ht="20.25" x14ac:dyDescent="0.25">
      <c r="A200" s="12"/>
      <c r="B200" s="13"/>
      <c r="C200" s="13"/>
      <c r="D200" s="13"/>
      <c r="E200" s="13"/>
      <c r="F200" s="13"/>
      <c r="G200" s="13"/>
      <c r="H200" s="8"/>
    </row>
    <row r="201" spans="1:8" ht="20.25" x14ac:dyDescent="0.25">
      <c r="A201" s="12"/>
      <c r="B201" s="13"/>
      <c r="C201" s="13"/>
      <c r="D201" s="13"/>
      <c r="E201" s="13"/>
      <c r="F201" s="13"/>
      <c r="G201" s="13"/>
      <c r="H201" s="8"/>
    </row>
    <row r="202" spans="1:8" ht="20.25" x14ac:dyDescent="0.25">
      <c r="A202" s="12"/>
      <c r="B202" s="13"/>
      <c r="C202" s="13"/>
      <c r="D202" s="13"/>
      <c r="E202" s="13"/>
      <c r="F202" s="13"/>
      <c r="G202" s="13"/>
      <c r="H202" s="8"/>
    </row>
    <row r="203" spans="1:8" ht="20.25" x14ac:dyDescent="0.25">
      <c r="A203" s="12"/>
      <c r="B203" s="13"/>
      <c r="C203" s="13"/>
      <c r="D203" s="13"/>
      <c r="E203" s="13"/>
      <c r="F203" s="13"/>
      <c r="G203" s="13"/>
      <c r="H203" s="8"/>
    </row>
    <row r="204" spans="1:8" ht="20.25" x14ac:dyDescent="0.25">
      <c r="A204" s="12"/>
      <c r="B204" s="13"/>
      <c r="C204" s="13"/>
      <c r="D204" s="13"/>
      <c r="E204" s="13"/>
      <c r="F204" s="13"/>
      <c r="G204" s="13"/>
      <c r="H204" s="8"/>
    </row>
    <row r="205" spans="1:8" ht="20.25" x14ac:dyDescent="0.25">
      <c r="A205" s="12"/>
      <c r="B205" s="13"/>
      <c r="C205" s="13"/>
      <c r="D205" s="13"/>
      <c r="E205" s="13"/>
      <c r="F205" s="13"/>
      <c r="G205" s="13"/>
      <c r="H205" s="8"/>
    </row>
    <row r="206" spans="1:8" ht="20.25" x14ac:dyDescent="0.25">
      <c r="A206" s="12"/>
      <c r="B206" s="13"/>
      <c r="C206" s="13"/>
      <c r="D206" s="13"/>
      <c r="E206" s="13"/>
      <c r="F206" s="13"/>
      <c r="G206" s="13"/>
      <c r="H206" s="8"/>
    </row>
    <row r="207" spans="1:8" ht="20.25" x14ac:dyDescent="0.25">
      <c r="A207" s="12"/>
      <c r="B207" s="13"/>
      <c r="C207" s="13"/>
      <c r="D207" s="13"/>
      <c r="E207" s="13"/>
      <c r="F207" s="13"/>
      <c r="G207" s="13"/>
      <c r="H207" s="8"/>
    </row>
    <row r="208" spans="1:8" ht="20.25" x14ac:dyDescent="0.25">
      <c r="A208" s="12"/>
      <c r="B208" s="13"/>
      <c r="C208" s="13"/>
      <c r="D208" s="13"/>
      <c r="E208" s="13"/>
      <c r="F208" s="13"/>
      <c r="G208" s="13"/>
      <c r="H208" s="8"/>
    </row>
    <row r="209" spans="1:8" ht="20.25" x14ac:dyDescent="0.25">
      <c r="A209" s="12"/>
      <c r="B209" s="13"/>
      <c r="C209" s="13"/>
      <c r="D209" s="13"/>
      <c r="E209" s="13"/>
      <c r="F209" s="13"/>
      <c r="G209" s="13"/>
      <c r="H209" s="8"/>
    </row>
    <row r="210" spans="1:8" ht="20.25" x14ac:dyDescent="0.25">
      <c r="A210" s="12"/>
      <c r="B210" s="13"/>
      <c r="C210" s="13"/>
      <c r="D210" s="13"/>
      <c r="E210" s="13"/>
      <c r="F210" s="13"/>
      <c r="G210" s="13"/>
      <c r="H210" s="8"/>
    </row>
    <row r="211" spans="1:8" ht="20.25" x14ac:dyDescent="0.25">
      <c r="A211" s="12"/>
      <c r="B211" s="13"/>
      <c r="C211" s="13"/>
      <c r="D211" s="13"/>
      <c r="E211" s="13"/>
      <c r="F211" s="13"/>
      <c r="G211" s="13"/>
      <c r="H211" s="8"/>
    </row>
    <row r="212" spans="1:8" ht="20.25" x14ac:dyDescent="0.25">
      <c r="A212" s="12"/>
      <c r="B212" s="13"/>
      <c r="C212" s="13"/>
      <c r="D212" s="13"/>
      <c r="E212" s="13"/>
      <c r="F212" s="13"/>
      <c r="G212" s="13"/>
      <c r="H212" s="8"/>
    </row>
    <row r="213" spans="1:8" ht="20.25" x14ac:dyDescent="0.25">
      <c r="A213" s="12"/>
      <c r="B213" s="13"/>
      <c r="C213" s="13"/>
      <c r="D213" s="13"/>
      <c r="E213" s="13"/>
      <c r="F213" s="13"/>
      <c r="G213" s="13"/>
      <c r="H213" s="8"/>
    </row>
    <row r="214" spans="1:8" ht="20.25" x14ac:dyDescent="0.25">
      <c r="A214" s="12"/>
      <c r="B214" s="13"/>
      <c r="C214" s="13"/>
      <c r="D214" s="13"/>
      <c r="E214" s="13"/>
      <c r="F214" s="13"/>
      <c r="G214" s="13"/>
      <c r="H214" s="8"/>
    </row>
    <row r="215" spans="1:8" ht="20.25" x14ac:dyDescent="0.25">
      <c r="A215" s="12"/>
      <c r="B215" s="13"/>
      <c r="C215" s="13"/>
      <c r="D215" s="13"/>
      <c r="E215" s="13"/>
      <c r="F215" s="13"/>
      <c r="G215" s="13"/>
      <c r="H215" s="8"/>
    </row>
    <row r="216" spans="1:8" ht="20.25" x14ac:dyDescent="0.25">
      <c r="A216" s="12"/>
      <c r="B216" s="13"/>
      <c r="C216" s="13"/>
      <c r="D216" s="13"/>
      <c r="E216" s="13"/>
      <c r="F216" s="13"/>
      <c r="G216" s="13"/>
      <c r="H216" s="8"/>
    </row>
    <row r="217" spans="1:8" ht="20.25" x14ac:dyDescent="0.25">
      <c r="A217" s="12"/>
      <c r="B217" s="13"/>
      <c r="C217" s="13"/>
      <c r="D217" s="13"/>
      <c r="E217" s="13"/>
      <c r="F217" s="13"/>
      <c r="G217" s="13"/>
      <c r="H217" s="8"/>
    </row>
    <row r="218" spans="1:8" ht="20.25" x14ac:dyDescent="0.25">
      <c r="A218" s="12"/>
      <c r="B218" s="13"/>
      <c r="C218" s="13"/>
      <c r="D218" s="13"/>
      <c r="E218" s="13"/>
      <c r="F218" s="13"/>
      <c r="G218" s="13"/>
      <c r="H218" s="8"/>
    </row>
    <row r="219" spans="1:8" ht="20.25" x14ac:dyDescent="0.25">
      <c r="A219" s="12"/>
      <c r="B219" s="13"/>
      <c r="C219" s="13"/>
      <c r="D219" s="13"/>
      <c r="E219" s="13"/>
      <c r="F219" s="13"/>
      <c r="G219" s="13"/>
      <c r="H219" s="8"/>
    </row>
    <row r="220" spans="1:8" ht="20.25" x14ac:dyDescent="0.25">
      <c r="A220" s="12"/>
      <c r="B220" s="13"/>
      <c r="C220" s="13"/>
      <c r="D220" s="13"/>
      <c r="E220" s="13"/>
      <c r="F220" s="13"/>
      <c r="G220" s="13"/>
      <c r="H220" s="8"/>
    </row>
    <row r="221" spans="1:8" ht="20.25" x14ac:dyDescent="0.25">
      <c r="A221" s="12"/>
      <c r="B221" s="13"/>
      <c r="C221" s="13"/>
      <c r="D221" s="13"/>
      <c r="E221" s="13"/>
      <c r="F221" s="13"/>
      <c r="G221" s="13"/>
      <c r="H221" s="8"/>
    </row>
    <row r="222" spans="1:8" ht="20.25" x14ac:dyDescent="0.25">
      <c r="A222" s="12"/>
      <c r="B222" s="13"/>
      <c r="C222" s="13"/>
      <c r="D222" s="13"/>
      <c r="E222" s="13"/>
      <c r="F222" s="13"/>
      <c r="G222" s="13"/>
      <c r="H222" s="8"/>
    </row>
    <row r="223" spans="1:8" ht="20.25" x14ac:dyDescent="0.25">
      <c r="A223" s="12"/>
      <c r="B223" s="13"/>
      <c r="C223" s="13"/>
      <c r="D223" s="13"/>
      <c r="E223" s="13"/>
      <c r="F223" s="13"/>
      <c r="G223" s="13"/>
      <c r="H223" s="8"/>
    </row>
    <row r="224" spans="1:8" ht="20.25" x14ac:dyDescent="0.25">
      <c r="A224" s="12"/>
      <c r="B224" s="13"/>
      <c r="C224" s="13"/>
      <c r="D224" s="13"/>
      <c r="E224" s="13"/>
      <c r="F224" s="13"/>
      <c r="G224" s="13"/>
      <c r="H224" s="8"/>
    </row>
    <row r="225" spans="1:8" ht="20.25" x14ac:dyDescent="0.25">
      <c r="A225" s="12"/>
      <c r="B225" s="13"/>
      <c r="C225" s="13"/>
      <c r="D225" s="13"/>
      <c r="E225" s="13"/>
      <c r="F225" s="13"/>
      <c r="G225" s="13"/>
      <c r="H225" s="8"/>
    </row>
    <row r="226" spans="1:8" ht="20.25" x14ac:dyDescent="0.25">
      <c r="A226" s="12"/>
      <c r="B226" s="13"/>
      <c r="C226" s="13"/>
      <c r="D226" s="13"/>
      <c r="E226" s="13"/>
      <c r="F226" s="13"/>
      <c r="G226" s="13"/>
      <c r="H226" s="8"/>
    </row>
    <row r="227" spans="1:8" ht="20.25" x14ac:dyDescent="0.25">
      <c r="A227" s="12"/>
      <c r="B227" s="13"/>
      <c r="C227" s="13"/>
      <c r="D227" s="13"/>
      <c r="E227" s="13"/>
      <c r="F227" s="13"/>
      <c r="G227" s="13"/>
      <c r="H227" s="8"/>
    </row>
    <row r="228" spans="1:8" ht="20.25" x14ac:dyDescent="0.25">
      <c r="A228" s="12"/>
      <c r="B228" s="13"/>
      <c r="C228" s="13"/>
      <c r="D228" s="13"/>
      <c r="E228" s="13"/>
      <c r="F228" s="13"/>
      <c r="G228" s="13"/>
      <c r="H228" s="8"/>
    </row>
    <row r="229" spans="1:8" ht="20.25" x14ac:dyDescent="0.25">
      <c r="A229" s="12"/>
      <c r="B229" s="13"/>
      <c r="C229" s="13"/>
      <c r="D229" s="13"/>
      <c r="E229" s="13"/>
      <c r="F229" s="13"/>
      <c r="G229" s="13"/>
      <c r="H229" s="8"/>
    </row>
    <row r="230" spans="1:8" ht="20.25" x14ac:dyDescent="0.25">
      <c r="A230" s="12"/>
      <c r="B230" s="13"/>
      <c r="C230" s="13"/>
      <c r="D230" s="13"/>
      <c r="E230" s="13"/>
      <c r="F230" s="13"/>
      <c r="G230" s="13"/>
      <c r="H230" s="8"/>
    </row>
    <row r="231" spans="1:8" ht="20.25" x14ac:dyDescent="0.25">
      <c r="A231" s="12"/>
      <c r="B231" s="13"/>
      <c r="C231" s="13"/>
      <c r="D231" s="13"/>
      <c r="E231" s="13"/>
      <c r="F231" s="13"/>
      <c r="G231" s="13"/>
      <c r="H231" s="8"/>
    </row>
    <row r="232" spans="1:8" ht="20.25" x14ac:dyDescent="0.25">
      <c r="A232" s="12"/>
      <c r="B232" s="13"/>
      <c r="C232" s="13"/>
      <c r="D232" s="13"/>
      <c r="E232" s="13"/>
      <c r="F232" s="13"/>
      <c r="G232" s="13"/>
      <c r="H232" s="8"/>
    </row>
    <row r="233" spans="1:8" ht="20.25" x14ac:dyDescent="0.25">
      <c r="A233" s="12"/>
      <c r="B233" s="13"/>
      <c r="C233" s="13"/>
      <c r="D233" s="13"/>
      <c r="E233" s="13"/>
      <c r="F233" s="13"/>
      <c r="G233" s="13"/>
      <c r="H233" s="8"/>
    </row>
    <row r="234" spans="1:8" ht="20.25" x14ac:dyDescent="0.25">
      <c r="A234" s="12"/>
      <c r="B234" s="13"/>
      <c r="C234" s="13"/>
      <c r="D234" s="13"/>
      <c r="E234" s="13"/>
      <c r="F234" s="13"/>
      <c r="G234" s="13"/>
      <c r="H234" s="8"/>
    </row>
    <row r="235" spans="1:8" ht="20.25" x14ac:dyDescent="0.25">
      <c r="A235" s="12"/>
      <c r="B235" s="13"/>
      <c r="C235" s="13"/>
      <c r="D235" s="13"/>
      <c r="E235" s="13"/>
      <c r="F235" s="13"/>
      <c r="G235" s="13"/>
      <c r="H235" s="8"/>
    </row>
    <row r="236" spans="1:8" ht="20.25" x14ac:dyDescent="0.25">
      <c r="A236" s="12"/>
      <c r="B236" s="13"/>
      <c r="C236" s="13"/>
      <c r="D236" s="13"/>
      <c r="E236" s="13"/>
      <c r="F236" s="13"/>
      <c r="G236" s="13"/>
      <c r="H236" s="8"/>
    </row>
    <row r="237" spans="1:8" ht="20.25" x14ac:dyDescent="0.25">
      <c r="A237" s="12"/>
      <c r="B237" s="13"/>
      <c r="C237" s="13"/>
      <c r="D237" s="13"/>
      <c r="E237" s="13"/>
      <c r="F237" s="13"/>
      <c r="G237" s="13"/>
      <c r="H237" s="8"/>
    </row>
    <row r="238" spans="1:8" ht="20.25" x14ac:dyDescent="0.25">
      <c r="A238" s="12"/>
      <c r="B238" s="13"/>
      <c r="C238" s="13"/>
      <c r="D238" s="13"/>
      <c r="E238" s="13"/>
      <c r="F238" s="13"/>
      <c r="G238" s="13"/>
      <c r="H238" s="8"/>
    </row>
    <row r="239" spans="1:8" ht="20.25" x14ac:dyDescent="0.25">
      <c r="A239" s="14"/>
      <c r="B239" s="15"/>
      <c r="C239" s="15"/>
      <c r="D239" s="15"/>
      <c r="E239" s="15"/>
      <c r="F239" s="15"/>
      <c r="G239" s="15"/>
      <c r="H239" s="9"/>
    </row>
    <row r="240" spans="1:8" ht="20.25" x14ac:dyDescent="0.25">
      <c r="A240" s="106" t="s">
        <v>161</v>
      </c>
      <c r="B240" s="106"/>
      <c r="C240" s="106"/>
      <c r="D240" s="106"/>
      <c r="E240" s="106"/>
      <c r="F240" s="106"/>
      <c r="G240" s="106"/>
      <c r="H240" s="106"/>
    </row>
    <row r="241" spans="1:8" ht="20.25" x14ac:dyDescent="0.25">
      <c r="A241" s="10"/>
      <c r="B241" s="11"/>
      <c r="C241" s="11"/>
      <c r="D241" s="11"/>
      <c r="E241" s="11"/>
      <c r="F241" s="11"/>
      <c r="G241" s="11"/>
      <c r="H241" s="7"/>
    </row>
    <row r="242" spans="1:8" ht="20.25" x14ac:dyDescent="0.25">
      <c r="A242" s="12"/>
      <c r="B242" s="13"/>
      <c r="C242" s="13"/>
      <c r="D242" s="13"/>
      <c r="E242" s="13"/>
      <c r="F242" s="13"/>
      <c r="G242" s="13"/>
      <c r="H242" s="8"/>
    </row>
    <row r="243" spans="1:8" ht="20.25" x14ac:dyDescent="0.25">
      <c r="A243" s="12"/>
      <c r="B243" s="13"/>
      <c r="C243" s="13"/>
      <c r="D243" s="13"/>
      <c r="E243" s="13"/>
      <c r="F243" s="13"/>
      <c r="G243" s="13"/>
      <c r="H243" s="8"/>
    </row>
    <row r="244" spans="1:8" ht="20.25" x14ac:dyDescent="0.25">
      <c r="A244" s="12"/>
      <c r="B244" s="13"/>
      <c r="C244" s="13"/>
      <c r="D244" s="13"/>
      <c r="E244" s="13"/>
      <c r="F244" s="13"/>
      <c r="G244" s="13"/>
      <c r="H244" s="8"/>
    </row>
    <row r="245" spans="1:8" ht="20.25" x14ac:dyDescent="0.25">
      <c r="A245" s="12"/>
      <c r="B245" s="13"/>
      <c r="C245" s="13"/>
      <c r="D245" s="13"/>
      <c r="E245" s="13"/>
      <c r="F245" s="13"/>
      <c r="G245" s="13"/>
      <c r="H245" s="8"/>
    </row>
    <row r="246" spans="1:8" ht="20.25" x14ac:dyDescent="0.25">
      <c r="A246" s="12"/>
      <c r="B246" s="13"/>
      <c r="C246" s="13"/>
      <c r="D246" s="13"/>
      <c r="E246" s="13"/>
      <c r="F246" s="13"/>
      <c r="G246" s="13"/>
      <c r="H246" s="8"/>
    </row>
    <row r="247" spans="1:8" ht="20.25" x14ac:dyDescent="0.25">
      <c r="A247" s="12"/>
      <c r="B247" s="13"/>
      <c r="C247" s="13"/>
      <c r="D247" s="13"/>
      <c r="E247" s="13"/>
      <c r="F247" s="13"/>
      <c r="G247" s="13"/>
      <c r="H247" s="8"/>
    </row>
    <row r="248" spans="1:8" ht="20.25" x14ac:dyDescent="0.25">
      <c r="A248" s="12"/>
      <c r="B248" s="13"/>
      <c r="C248" s="13"/>
      <c r="D248" s="13"/>
      <c r="E248" s="13"/>
      <c r="F248" s="13"/>
      <c r="G248" s="13"/>
      <c r="H248" s="8"/>
    </row>
    <row r="249" spans="1:8" ht="20.25" x14ac:dyDescent="0.25">
      <c r="A249" s="12"/>
      <c r="B249" s="13"/>
      <c r="C249" s="13"/>
      <c r="D249" s="13"/>
      <c r="E249" s="13"/>
      <c r="F249" s="13"/>
      <c r="G249" s="13"/>
      <c r="H249" s="8"/>
    </row>
    <row r="250" spans="1:8" ht="20.25" x14ac:dyDescent="0.25">
      <c r="A250" s="12"/>
      <c r="B250" s="13"/>
      <c r="C250" s="13"/>
      <c r="D250" s="13"/>
      <c r="E250" s="13"/>
      <c r="F250" s="13"/>
      <c r="G250" s="13"/>
      <c r="H250" s="8"/>
    </row>
    <row r="251" spans="1:8" ht="20.25" x14ac:dyDescent="0.25">
      <c r="A251" s="12"/>
      <c r="B251" s="13"/>
      <c r="C251" s="13"/>
      <c r="D251" s="13"/>
      <c r="E251" s="13"/>
      <c r="F251" s="13"/>
      <c r="G251" s="13"/>
      <c r="H251" s="8"/>
    </row>
    <row r="252" spans="1:8" ht="20.25" x14ac:dyDescent="0.25">
      <c r="A252" s="12"/>
      <c r="B252" s="13"/>
      <c r="C252" s="13"/>
      <c r="D252" s="13"/>
      <c r="E252" s="13"/>
      <c r="F252" s="13"/>
      <c r="G252" s="13"/>
      <c r="H252" s="8"/>
    </row>
    <row r="253" spans="1:8" ht="20.25" x14ac:dyDescent="0.25">
      <c r="A253" s="12"/>
      <c r="B253" s="13"/>
      <c r="C253" s="13"/>
      <c r="D253" s="13"/>
      <c r="E253" s="13"/>
      <c r="F253" s="13"/>
      <c r="G253" s="13"/>
      <c r="H253" s="8"/>
    </row>
    <row r="254" spans="1:8" ht="20.25" x14ac:dyDescent="0.25">
      <c r="A254" s="12"/>
      <c r="B254" s="13"/>
      <c r="C254" s="13"/>
      <c r="D254" s="13"/>
      <c r="E254" s="13"/>
      <c r="F254" s="13"/>
      <c r="G254" s="13"/>
      <c r="H254" s="8"/>
    </row>
    <row r="255" spans="1:8" ht="20.25" x14ac:dyDescent="0.25">
      <c r="A255" s="12"/>
      <c r="B255" s="13"/>
      <c r="C255" s="13"/>
      <c r="D255" s="13"/>
      <c r="E255" s="13"/>
      <c r="F255" s="13"/>
      <c r="G255" s="13"/>
      <c r="H255" s="8"/>
    </row>
    <row r="256" spans="1:8" ht="20.25" x14ac:dyDescent="0.25">
      <c r="A256" s="12"/>
      <c r="B256" s="13"/>
      <c r="C256" s="13"/>
      <c r="D256" s="13"/>
      <c r="E256" s="13"/>
      <c r="F256" s="13"/>
      <c r="G256" s="13"/>
      <c r="H256" s="8"/>
    </row>
    <row r="257" spans="1:8" ht="20.25" x14ac:dyDescent="0.25">
      <c r="A257" s="12"/>
      <c r="B257" s="13"/>
      <c r="C257" s="13"/>
      <c r="D257" s="13"/>
      <c r="E257" s="13"/>
      <c r="F257" s="13"/>
      <c r="G257" s="13"/>
      <c r="H257" s="8"/>
    </row>
    <row r="258" spans="1:8" ht="20.25" x14ac:dyDescent="0.25">
      <c r="A258" s="12"/>
      <c r="B258" s="13"/>
      <c r="C258" s="13"/>
      <c r="D258" s="13"/>
      <c r="E258" s="13"/>
      <c r="F258" s="13"/>
      <c r="G258" s="13"/>
      <c r="H258" s="8"/>
    </row>
    <row r="259" spans="1:8" ht="20.25" x14ac:dyDescent="0.25">
      <c r="A259" s="12"/>
      <c r="B259" s="13"/>
      <c r="C259" s="13"/>
      <c r="D259" s="13"/>
      <c r="E259" s="13"/>
      <c r="F259" s="13"/>
      <c r="G259" s="13"/>
      <c r="H259" s="8"/>
    </row>
    <row r="260" spans="1:8" ht="20.25" x14ac:dyDescent="0.25">
      <c r="A260" s="12"/>
      <c r="B260" s="13"/>
      <c r="C260" s="13"/>
      <c r="D260" s="13"/>
      <c r="E260" s="13"/>
      <c r="F260" s="13"/>
      <c r="G260" s="13"/>
      <c r="H260" s="8"/>
    </row>
    <row r="261" spans="1:8" ht="20.25" x14ac:dyDescent="0.25">
      <c r="A261" s="12"/>
      <c r="B261" s="13"/>
      <c r="C261" s="13"/>
      <c r="D261" s="13"/>
      <c r="E261" s="13"/>
      <c r="F261" s="13"/>
      <c r="G261" s="13"/>
      <c r="H261" s="8"/>
    </row>
    <row r="262" spans="1:8" ht="20.25" x14ac:dyDescent="0.25">
      <c r="A262" s="12"/>
      <c r="B262" s="13"/>
      <c r="C262" s="13"/>
      <c r="D262" s="13"/>
      <c r="E262" s="13"/>
      <c r="F262" s="13"/>
      <c r="G262" s="13"/>
      <c r="H262" s="8"/>
    </row>
    <row r="263" spans="1:8" ht="20.25" x14ac:dyDescent="0.25">
      <c r="A263" s="12"/>
      <c r="B263" s="13"/>
      <c r="C263" s="13"/>
      <c r="D263" s="13"/>
      <c r="E263" s="13"/>
      <c r="F263" s="13"/>
      <c r="G263" s="13"/>
      <c r="H263" s="8"/>
    </row>
    <row r="264" spans="1:8" ht="20.25" x14ac:dyDescent="0.25">
      <c r="A264" s="12"/>
      <c r="B264" s="13"/>
      <c r="C264" s="13"/>
      <c r="D264" s="13"/>
      <c r="E264" s="13"/>
      <c r="F264" s="13"/>
      <c r="G264" s="13"/>
      <c r="H264" s="8"/>
    </row>
    <row r="265" spans="1:8" ht="20.25" x14ac:dyDescent="0.25">
      <c r="A265" s="12"/>
      <c r="B265" s="13"/>
      <c r="C265" s="13"/>
      <c r="D265" s="13"/>
      <c r="E265" s="13"/>
      <c r="F265" s="13"/>
      <c r="G265" s="13"/>
      <c r="H265" s="8"/>
    </row>
    <row r="266" spans="1:8" ht="20.25" x14ac:dyDescent="0.25">
      <c r="A266" s="12"/>
      <c r="B266" s="13"/>
      <c r="C266" s="13"/>
      <c r="D266" s="13"/>
      <c r="E266" s="13"/>
      <c r="F266" s="13"/>
      <c r="G266" s="13"/>
      <c r="H266" s="8"/>
    </row>
    <row r="267" spans="1:8" ht="20.25" x14ac:dyDescent="0.25">
      <c r="A267" s="12"/>
      <c r="B267" s="13"/>
      <c r="C267" s="13"/>
      <c r="D267" s="13"/>
      <c r="E267" s="13"/>
      <c r="F267" s="13"/>
      <c r="G267" s="13"/>
      <c r="H267" s="8"/>
    </row>
    <row r="268" spans="1:8" ht="20.25" x14ac:dyDescent="0.25">
      <c r="A268" s="12"/>
      <c r="B268" s="13"/>
      <c r="C268" s="13"/>
      <c r="D268" s="13"/>
      <c r="E268" s="13"/>
      <c r="F268" s="13"/>
      <c r="G268" s="13"/>
      <c r="H268" s="8"/>
    </row>
    <row r="269" spans="1:8" ht="20.25" x14ac:dyDescent="0.25">
      <c r="A269" s="12"/>
      <c r="B269" s="13"/>
      <c r="C269" s="13"/>
      <c r="D269" s="13"/>
      <c r="E269" s="13"/>
      <c r="F269" s="13"/>
      <c r="G269" s="13"/>
      <c r="H269" s="8"/>
    </row>
    <row r="270" spans="1:8" ht="20.25" x14ac:dyDescent="0.25">
      <c r="A270" s="12"/>
      <c r="B270" s="13"/>
      <c r="C270" s="13"/>
      <c r="D270" s="13"/>
      <c r="E270" s="13"/>
      <c r="F270" s="13"/>
      <c r="G270" s="13"/>
      <c r="H270" s="8"/>
    </row>
    <row r="271" spans="1:8" ht="20.25" x14ac:dyDescent="0.25">
      <c r="A271" s="12"/>
      <c r="B271" s="13"/>
      <c r="C271" s="13"/>
      <c r="D271" s="13"/>
      <c r="E271" s="13"/>
      <c r="F271" s="13"/>
      <c r="G271" s="13"/>
      <c r="H271" s="8"/>
    </row>
    <row r="272" spans="1:8" ht="20.25" x14ac:dyDescent="0.25">
      <c r="A272" s="12"/>
      <c r="B272" s="13"/>
      <c r="C272" s="13"/>
      <c r="D272" s="13"/>
      <c r="E272" s="13"/>
      <c r="F272" s="13"/>
      <c r="G272" s="13"/>
      <c r="H272" s="8"/>
    </row>
    <row r="273" spans="1:8" ht="20.25" x14ac:dyDescent="0.25">
      <c r="A273" s="12"/>
      <c r="B273" s="13"/>
      <c r="C273" s="13"/>
      <c r="D273" s="13"/>
      <c r="E273" s="13"/>
      <c r="F273" s="13"/>
      <c r="G273" s="13"/>
      <c r="H273" s="8"/>
    </row>
    <row r="274" spans="1:8" ht="20.25" x14ac:dyDescent="0.25">
      <c r="A274" s="12"/>
      <c r="B274" s="13"/>
      <c r="C274" s="13"/>
      <c r="D274" s="13"/>
      <c r="E274" s="13"/>
      <c r="F274" s="13"/>
      <c r="G274" s="13"/>
      <c r="H274" s="8"/>
    </row>
    <row r="275" spans="1:8" ht="20.25" x14ac:dyDescent="0.25">
      <c r="A275" s="12"/>
      <c r="B275" s="13"/>
      <c r="C275" s="13"/>
      <c r="D275" s="13"/>
      <c r="E275" s="13"/>
      <c r="F275" s="13"/>
      <c r="G275" s="13"/>
      <c r="H275" s="8"/>
    </row>
    <row r="276" spans="1:8" ht="20.25" x14ac:dyDescent="0.25">
      <c r="A276" s="12"/>
      <c r="B276" s="13"/>
      <c r="C276" s="13"/>
      <c r="D276" s="13"/>
      <c r="E276" s="13"/>
      <c r="F276" s="13"/>
      <c r="G276" s="13"/>
      <c r="H276" s="8"/>
    </row>
    <row r="277" spans="1:8" ht="20.25" x14ac:dyDescent="0.25">
      <c r="A277" s="12"/>
      <c r="B277" s="13"/>
      <c r="C277" s="13"/>
      <c r="D277" s="13"/>
      <c r="E277" s="13"/>
      <c r="F277" s="13"/>
      <c r="G277" s="13"/>
      <c r="H277" s="8"/>
    </row>
    <row r="278" spans="1:8" ht="20.25" x14ac:dyDescent="0.25">
      <c r="A278" s="12"/>
      <c r="B278" s="13"/>
      <c r="C278" s="13"/>
      <c r="D278" s="13"/>
      <c r="E278" s="13"/>
      <c r="F278" s="13"/>
      <c r="G278" s="13"/>
      <c r="H278" s="8"/>
    </row>
    <row r="279" spans="1:8" ht="20.25" x14ac:dyDescent="0.25">
      <c r="A279" s="12"/>
      <c r="B279" s="13"/>
      <c r="C279" s="13"/>
      <c r="D279" s="13"/>
      <c r="E279" s="13"/>
      <c r="F279" s="13"/>
      <c r="G279" s="13"/>
      <c r="H279" s="8"/>
    </row>
    <row r="280" spans="1:8" ht="20.25" x14ac:dyDescent="0.25">
      <c r="A280" s="12"/>
      <c r="B280" s="13"/>
      <c r="C280" s="13"/>
      <c r="D280" s="13"/>
      <c r="E280" s="13"/>
      <c r="F280" s="13"/>
      <c r="G280" s="13"/>
      <c r="H280" s="8"/>
    </row>
    <row r="281" spans="1:8" ht="20.25" x14ac:dyDescent="0.25">
      <c r="A281" s="12"/>
      <c r="B281" s="13"/>
      <c r="C281" s="13"/>
      <c r="D281" s="13"/>
      <c r="E281" s="13"/>
      <c r="F281" s="13"/>
      <c r="G281" s="13"/>
      <c r="H281" s="8"/>
    </row>
    <row r="282" spans="1:8" ht="20.25" x14ac:dyDescent="0.25">
      <c r="A282" s="12"/>
      <c r="B282" s="13"/>
      <c r="C282" s="13"/>
      <c r="D282" s="13"/>
      <c r="E282" s="13"/>
      <c r="F282" s="13"/>
      <c r="G282" s="13"/>
      <c r="H282" s="8"/>
    </row>
    <row r="283" spans="1:8" ht="20.25" x14ac:dyDescent="0.25">
      <c r="A283" s="12"/>
      <c r="B283" s="13"/>
      <c r="C283" s="13"/>
      <c r="D283" s="13"/>
      <c r="E283" s="13"/>
      <c r="F283" s="13"/>
      <c r="G283" s="13"/>
      <c r="H283" s="8"/>
    </row>
    <row r="284" spans="1:8" ht="20.25" x14ac:dyDescent="0.25">
      <c r="A284" s="12"/>
      <c r="B284" s="13"/>
      <c r="C284" s="13"/>
      <c r="D284" s="13"/>
      <c r="E284" s="13"/>
      <c r="F284" s="13"/>
      <c r="G284" s="13"/>
      <c r="H284" s="8"/>
    </row>
    <row r="285" spans="1:8" ht="20.25" x14ac:dyDescent="0.25">
      <c r="A285" s="12"/>
      <c r="B285" s="13"/>
      <c r="C285" s="13"/>
      <c r="D285" s="13"/>
      <c r="E285" s="13"/>
      <c r="F285" s="13"/>
      <c r="G285" s="13"/>
      <c r="H285" s="8"/>
    </row>
    <row r="286" spans="1:8" ht="20.25" x14ac:dyDescent="0.25">
      <c r="A286" s="12"/>
      <c r="B286" s="13"/>
      <c r="C286" s="13"/>
      <c r="D286" s="13"/>
      <c r="E286" s="13"/>
      <c r="F286" s="13"/>
      <c r="G286" s="13"/>
      <c r="H286" s="8"/>
    </row>
    <row r="287" spans="1:8" ht="20.25" x14ac:dyDescent="0.25">
      <c r="A287" s="12"/>
      <c r="B287" s="13"/>
      <c r="C287" s="13"/>
      <c r="D287" s="13"/>
      <c r="E287" s="13"/>
      <c r="F287" s="13"/>
      <c r="G287" s="13"/>
      <c r="H287" s="8"/>
    </row>
    <row r="288" spans="1:8" ht="20.25" x14ac:dyDescent="0.25">
      <c r="A288" s="12"/>
      <c r="B288" s="13"/>
      <c r="C288" s="13"/>
      <c r="D288" s="13"/>
      <c r="E288" s="13"/>
      <c r="F288" s="13"/>
      <c r="G288" s="13"/>
      <c r="H288" s="8"/>
    </row>
    <row r="289" spans="1:8" ht="20.25" x14ac:dyDescent="0.25">
      <c r="A289" s="14"/>
      <c r="B289" s="15"/>
      <c r="C289" s="15"/>
      <c r="D289" s="15"/>
      <c r="E289" s="15"/>
      <c r="F289" s="15"/>
      <c r="G289" s="15"/>
      <c r="H289" s="9"/>
    </row>
    <row r="290" spans="1:8" ht="20.25" x14ac:dyDescent="0.25">
      <c r="A290" s="115" t="s">
        <v>77</v>
      </c>
      <c r="B290" s="116"/>
      <c r="C290" s="116"/>
      <c r="D290" s="116"/>
      <c r="E290" s="116"/>
      <c r="F290" s="116"/>
      <c r="G290" s="116"/>
      <c r="H290" s="117"/>
    </row>
    <row r="291" spans="1:8" ht="20.25" x14ac:dyDescent="0.25">
      <c r="A291" s="10"/>
      <c r="B291" s="11"/>
      <c r="C291" s="11"/>
      <c r="D291" s="11"/>
      <c r="E291" s="11"/>
      <c r="F291" s="11"/>
      <c r="G291" s="11"/>
      <c r="H291" s="7"/>
    </row>
    <row r="292" spans="1:8" ht="20.25" x14ac:dyDescent="0.25">
      <c r="A292" s="12"/>
      <c r="B292" s="13"/>
      <c r="C292" s="13"/>
      <c r="D292" s="13"/>
      <c r="E292" s="13"/>
      <c r="F292" s="13"/>
      <c r="G292" s="13"/>
      <c r="H292" s="8"/>
    </row>
    <row r="293" spans="1:8" ht="20.25" x14ac:dyDescent="0.25">
      <c r="A293" s="12"/>
      <c r="B293" s="13"/>
      <c r="C293" s="13"/>
      <c r="D293" s="13"/>
      <c r="E293" s="13"/>
      <c r="F293" s="13"/>
      <c r="G293" s="13"/>
      <c r="H293" s="8"/>
    </row>
    <row r="294" spans="1:8" ht="20.25" x14ac:dyDescent="0.25">
      <c r="A294" s="12"/>
      <c r="B294" s="13"/>
      <c r="C294" s="13"/>
      <c r="D294" s="13"/>
      <c r="E294" s="13"/>
      <c r="F294" s="13"/>
      <c r="G294" s="13"/>
      <c r="H294" s="8"/>
    </row>
    <row r="295" spans="1:8" ht="20.25" x14ac:dyDescent="0.25">
      <c r="A295" s="12"/>
      <c r="B295" s="13"/>
      <c r="C295" s="13"/>
      <c r="D295" s="13"/>
      <c r="E295" s="13"/>
      <c r="F295" s="13"/>
      <c r="G295" s="13"/>
      <c r="H295" s="8"/>
    </row>
    <row r="296" spans="1:8" ht="20.25" x14ac:dyDescent="0.25">
      <c r="A296" s="12"/>
      <c r="B296" s="13"/>
      <c r="C296" s="13"/>
      <c r="D296" s="13"/>
      <c r="E296" s="13"/>
      <c r="F296" s="13"/>
      <c r="G296" s="13"/>
      <c r="H296" s="8"/>
    </row>
    <row r="297" spans="1:8" ht="20.25" x14ac:dyDescent="0.25">
      <c r="A297" s="12"/>
      <c r="B297" s="13"/>
      <c r="C297" s="13"/>
      <c r="D297" s="13"/>
      <c r="E297" s="13"/>
      <c r="F297" s="13"/>
      <c r="G297" s="13"/>
      <c r="H297" s="8"/>
    </row>
    <row r="298" spans="1:8" ht="20.25" x14ac:dyDescent="0.25">
      <c r="A298" s="12"/>
      <c r="B298" s="13"/>
      <c r="C298" s="13"/>
      <c r="D298" s="13"/>
      <c r="E298" s="13"/>
      <c r="F298" s="13"/>
      <c r="G298" s="13"/>
      <c r="H298" s="8"/>
    </row>
    <row r="299" spans="1:8" ht="20.25" x14ac:dyDescent="0.25">
      <c r="A299" s="12"/>
      <c r="B299" s="13"/>
      <c r="C299" s="13"/>
      <c r="D299" s="13"/>
      <c r="E299" s="13"/>
      <c r="F299" s="13"/>
      <c r="G299" s="13"/>
      <c r="H299" s="8"/>
    </row>
    <row r="300" spans="1:8" ht="20.25" x14ac:dyDescent="0.25">
      <c r="A300" s="12"/>
      <c r="B300" s="13"/>
      <c r="C300" s="13"/>
      <c r="D300" s="13"/>
      <c r="E300" s="13"/>
      <c r="F300" s="13"/>
      <c r="G300" s="13"/>
      <c r="H300" s="8"/>
    </row>
    <row r="301" spans="1:8" ht="20.25" x14ac:dyDescent="0.25">
      <c r="A301" s="12"/>
      <c r="B301" s="13"/>
      <c r="C301" s="13"/>
      <c r="D301" s="13"/>
      <c r="E301" s="13"/>
      <c r="F301" s="13"/>
      <c r="G301" s="13"/>
      <c r="H301" s="8"/>
    </row>
    <row r="302" spans="1:8" ht="20.25" x14ac:dyDescent="0.25">
      <c r="A302" s="12"/>
      <c r="B302" s="13"/>
      <c r="C302" s="13"/>
      <c r="D302" s="13"/>
      <c r="E302" s="13"/>
      <c r="F302" s="13"/>
      <c r="G302" s="13"/>
      <c r="H302" s="8"/>
    </row>
    <row r="303" spans="1:8" ht="20.25" x14ac:dyDescent="0.25">
      <c r="A303" s="12"/>
      <c r="B303" s="13"/>
      <c r="C303" s="13"/>
      <c r="D303" s="13"/>
      <c r="E303" s="13"/>
      <c r="F303" s="13"/>
      <c r="G303" s="13"/>
      <c r="H303" s="8"/>
    </row>
    <row r="304" spans="1:8" ht="20.25" x14ac:dyDescent="0.25">
      <c r="A304" s="12"/>
      <c r="B304" s="13"/>
      <c r="C304" s="13"/>
      <c r="D304" s="13"/>
      <c r="E304" s="13"/>
      <c r="F304" s="13"/>
      <c r="G304" s="13"/>
      <c r="H304" s="8"/>
    </row>
    <row r="305" spans="1:8" ht="20.25" x14ac:dyDescent="0.25">
      <c r="A305" s="12"/>
      <c r="B305" s="13"/>
      <c r="C305" s="13"/>
      <c r="D305" s="13"/>
      <c r="E305" s="13"/>
      <c r="F305" s="13"/>
      <c r="G305" s="13"/>
      <c r="H305" s="8"/>
    </row>
    <row r="306" spans="1:8" ht="20.25" x14ac:dyDescent="0.25">
      <c r="A306" s="12"/>
      <c r="B306" s="13"/>
      <c r="C306" s="13"/>
      <c r="D306" s="13"/>
      <c r="E306" s="13"/>
      <c r="F306" s="13"/>
      <c r="G306" s="13"/>
      <c r="H306" s="8"/>
    </row>
    <row r="307" spans="1:8" ht="20.25" x14ac:dyDescent="0.25">
      <c r="A307" s="12"/>
      <c r="B307" s="13"/>
      <c r="C307" s="13"/>
      <c r="D307" s="13"/>
      <c r="E307" s="13"/>
      <c r="F307" s="13"/>
      <c r="G307" s="13"/>
      <c r="H307" s="8"/>
    </row>
    <row r="308" spans="1:8" ht="20.25" x14ac:dyDescent="0.25">
      <c r="A308" s="12"/>
      <c r="B308" s="13"/>
      <c r="C308" s="13"/>
      <c r="D308" s="13"/>
      <c r="E308" s="13"/>
      <c r="F308" s="13"/>
      <c r="G308" s="13"/>
      <c r="H308" s="8"/>
    </row>
    <row r="309" spans="1:8" ht="20.25" x14ac:dyDescent="0.25">
      <c r="A309" s="12"/>
      <c r="B309" s="13"/>
      <c r="C309" s="13"/>
      <c r="D309" s="13"/>
      <c r="E309" s="13"/>
      <c r="F309" s="13"/>
      <c r="G309" s="13"/>
      <c r="H309" s="8"/>
    </row>
    <row r="310" spans="1:8" ht="20.25" x14ac:dyDescent="0.25">
      <c r="A310" s="12"/>
      <c r="B310" s="13"/>
      <c r="C310" s="13"/>
      <c r="D310" s="13"/>
      <c r="E310" s="13"/>
      <c r="F310" s="13"/>
      <c r="G310" s="13"/>
      <c r="H310" s="8"/>
    </row>
    <row r="311" spans="1:8" ht="20.25" x14ac:dyDescent="0.25">
      <c r="A311" s="12"/>
      <c r="B311" s="13"/>
      <c r="C311" s="13"/>
      <c r="D311" s="13"/>
      <c r="E311" s="13"/>
      <c r="F311" s="13"/>
      <c r="G311" s="13"/>
      <c r="H311" s="8"/>
    </row>
    <row r="312" spans="1:8" ht="20.25" x14ac:dyDescent="0.25">
      <c r="A312" s="12"/>
      <c r="B312" s="13"/>
      <c r="C312" s="13"/>
      <c r="D312" s="13"/>
      <c r="E312" s="13"/>
      <c r="F312" s="13"/>
      <c r="G312" s="13"/>
      <c r="H312" s="8"/>
    </row>
    <row r="313" spans="1:8" ht="20.25" x14ac:dyDescent="0.25">
      <c r="A313" s="12"/>
      <c r="B313" s="13"/>
      <c r="C313" s="13"/>
      <c r="D313" s="13"/>
      <c r="E313" s="13"/>
      <c r="F313" s="13"/>
      <c r="G313" s="13"/>
      <c r="H313" s="8"/>
    </row>
    <row r="314" spans="1:8" ht="20.25" x14ac:dyDescent="0.25">
      <c r="A314" s="12"/>
      <c r="B314" s="13"/>
      <c r="C314" s="13"/>
      <c r="D314" s="13"/>
      <c r="E314" s="13"/>
      <c r="F314" s="13"/>
      <c r="G314" s="13"/>
      <c r="H314" s="8"/>
    </row>
    <row r="315" spans="1:8" ht="20.25" x14ac:dyDescent="0.25">
      <c r="A315" s="12"/>
      <c r="B315" s="13"/>
      <c r="C315" s="13"/>
      <c r="D315" s="13"/>
      <c r="E315" s="13"/>
      <c r="F315" s="13"/>
      <c r="G315" s="13"/>
      <c r="H315" s="8"/>
    </row>
    <row r="316" spans="1:8" ht="20.25" x14ac:dyDescent="0.25">
      <c r="A316" s="12"/>
      <c r="B316" s="13"/>
      <c r="C316" s="13"/>
      <c r="D316" s="13"/>
      <c r="E316" s="13"/>
      <c r="F316" s="13"/>
      <c r="G316" s="13"/>
      <c r="H316" s="8"/>
    </row>
    <row r="317" spans="1:8" ht="20.25" x14ac:dyDescent="0.25">
      <c r="A317" s="12"/>
      <c r="B317" s="13"/>
      <c r="C317" s="13"/>
      <c r="D317" s="13"/>
      <c r="E317" s="13"/>
      <c r="F317" s="13"/>
      <c r="G317" s="13"/>
      <c r="H317" s="8"/>
    </row>
    <row r="318" spans="1:8" ht="20.25" x14ac:dyDescent="0.25">
      <c r="A318" s="12"/>
      <c r="B318" s="13"/>
      <c r="C318" s="13"/>
      <c r="D318" s="13"/>
      <c r="E318" s="13"/>
      <c r="F318" s="13"/>
      <c r="G318" s="13"/>
      <c r="H318" s="8"/>
    </row>
    <row r="319" spans="1:8" ht="20.25" x14ac:dyDescent="0.25">
      <c r="A319" s="12"/>
      <c r="B319" s="13"/>
      <c r="C319" s="13"/>
      <c r="D319" s="13"/>
      <c r="E319" s="13"/>
      <c r="F319" s="13"/>
      <c r="G319" s="13"/>
      <c r="H319" s="8"/>
    </row>
    <row r="320" spans="1:8" ht="20.25" x14ac:dyDescent="0.25">
      <c r="A320" s="12"/>
      <c r="B320" s="13"/>
      <c r="C320" s="13"/>
      <c r="D320" s="13"/>
      <c r="E320" s="13"/>
      <c r="F320" s="13"/>
      <c r="G320" s="13"/>
      <c r="H320" s="8"/>
    </row>
    <row r="321" spans="1:8" ht="20.25" x14ac:dyDescent="0.25">
      <c r="A321" s="106" t="s">
        <v>24</v>
      </c>
      <c r="B321" s="106"/>
      <c r="C321" s="106"/>
      <c r="D321" s="106"/>
      <c r="E321" s="106"/>
      <c r="F321" s="106"/>
      <c r="G321" s="106"/>
      <c r="H321" s="106"/>
    </row>
    <row r="322" spans="1:8" ht="20.25" x14ac:dyDescent="0.25">
      <c r="A322" s="101" t="s">
        <v>78</v>
      </c>
      <c r="B322" s="158"/>
      <c r="C322" s="158"/>
      <c r="D322" s="158"/>
      <c r="E322" s="158"/>
      <c r="F322" s="158"/>
      <c r="G322" s="158"/>
      <c r="H322" s="102"/>
    </row>
    <row r="323" spans="1:8" ht="20.25" x14ac:dyDescent="0.25">
      <c r="A323" s="159" t="s">
        <v>79</v>
      </c>
      <c r="B323" s="160"/>
      <c r="C323" s="160"/>
      <c r="D323" s="160"/>
      <c r="E323" s="160"/>
      <c r="F323" s="160"/>
      <c r="G323" s="160"/>
      <c r="H323" s="161"/>
    </row>
    <row r="324" spans="1:8" ht="45" customHeight="1" x14ac:dyDescent="0.25">
      <c r="A324" s="159" t="s">
        <v>80</v>
      </c>
      <c r="B324" s="160"/>
      <c r="C324" s="160"/>
      <c r="D324" s="160"/>
      <c r="E324" s="160"/>
      <c r="F324" s="160"/>
      <c r="G324" s="160"/>
      <c r="H324" s="161"/>
    </row>
    <row r="325" spans="1:8" ht="42.75" customHeight="1" x14ac:dyDescent="0.25">
      <c r="A325" s="159" t="s">
        <v>81</v>
      </c>
      <c r="B325" s="160"/>
      <c r="C325" s="160"/>
      <c r="D325" s="160"/>
      <c r="E325" s="160"/>
      <c r="F325" s="160"/>
      <c r="G325" s="160"/>
      <c r="H325" s="161"/>
    </row>
    <row r="326" spans="1:8" ht="20.25" x14ac:dyDescent="0.25">
      <c r="A326" s="159" t="s">
        <v>82</v>
      </c>
      <c r="B326" s="160"/>
      <c r="C326" s="160"/>
      <c r="D326" s="160"/>
      <c r="E326" s="160"/>
      <c r="F326" s="160"/>
      <c r="G326" s="160"/>
      <c r="H326" s="161"/>
    </row>
    <row r="327" spans="1:8" ht="20.25" x14ac:dyDescent="0.25">
      <c r="A327" s="159" t="s">
        <v>83</v>
      </c>
      <c r="B327" s="160"/>
      <c r="C327" s="160"/>
      <c r="D327" s="160"/>
      <c r="E327" s="160"/>
      <c r="F327" s="160"/>
      <c r="G327" s="160"/>
      <c r="H327" s="161"/>
    </row>
    <row r="328" spans="1:8" ht="45" customHeight="1" x14ac:dyDescent="0.25">
      <c r="A328" s="159" t="s">
        <v>84</v>
      </c>
      <c r="B328" s="160"/>
      <c r="C328" s="160"/>
      <c r="D328" s="160"/>
      <c r="E328" s="160"/>
      <c r="F328" s="160"/>
      <c r="G328" s="160"/>
      <c r="H328" s="161"/>
    </row>
    <row r="329" spans="1:8" ht="45" customHeight="1" x14ac:dyDescent="0.25">
      <c r="A329" s="159" t="s">
        <v>85</v>
      </c>
      <c r="B329" s="160"/>
      <c r="C329" s="160"/>
      <c r="D329" s="160"/>
      <c r="E329" s="160"/>
      <c r="F329" s="160"/>
      <c r="G329" s="160"/>
      <c r="H329" s="161"/>
    </row>
    <row r="330" spans="1:8" ht="20.25" x14ac:dyDescent="0.25">
      <c r="A330" s="103" t="s">
        <v>86</v>
      </c>
      <c r="B330" s="162"/>
      <c r="C330" s="162"/>
      <c r="D330" s="162"/>
      <c r="E330" s="162"/>
      <c r="F330" s="162"/>
      <c r="G330" s="162"/>
      <c r="H330" s="104"/>
    </row>
    <row r="331" spans="1:8" ht="57" customHeight="1" x14ac:dyDescent="0.25">
      <c r="A331" s="164" t="s">
        <v>30</v>
      </c>
      <c r="B331" s="165"/>
      <c r="C331" s="166" t="s">
        <v>366</v>
      </c>
      <c r="D331" s="167"/>
      <c r="E331" s="164" t="s">
        <v>9</v>
      </c>
      <c r="F331" s="165"/>
      <c r="G331" s="153"/>
      <c r="H331" s="153"/>
    </row>
  </sheetData>
  <mergeCells count="371">
    <mergeCell ref="A112:B112"/>
    <mergeCell ref="B191:H191"/>
    <mergeCell ref="A131:H131"/>
    <mergeCell ref="C54:F54"/>
    <mergeCell ref="A54:B55"/>
    <mergeCell ref="C55:H55"/>
    <mergeCell ref="A96:B96"/>
    <mergeCell ref="E96:F96"/>
    <mergeCell ref="A97:B97"/>
    <mergeCell ref="E97:F108"/>
    <mergeCell ref="G97:H108"/>
    <mergeCell ref="A98:B98"/>
    <mergeCell ref="A99:B99"/>
    <mergeCell ref="A100:B100"/>
    <mergeCell ref="A101:B101"/>
    <mergeCell ref="A102:B102"/>
    <mergeCell ref="A103:B103"/>
    <mergeCell ref="A104:B104"/>
    <mergeCell ref="A105:B105"/>
    <mergeCell ref="A106:B106"/>
    <mergeCell ref="A107:B107"/>
    <mergeCell ref="A108:B108"/>
    <mergeCell ref="A149:H149"/>
    <mergeCell ref="A181:H181"/>
    <mergeCell ref="J38:K38"/>
    <mergeCell ref="M38:N38"/>
    <mergeCell ref="C38:E38"/>
    <mergeCell ref="F38:H38"/>
    <mergeCell ref="C39:E39"/>
    <mergeCell ref="F39:H39"/>
    <mergeCell ref="F40:H40"/>
    <mergeCell ref="C40:E40"/>
    <mergeCell ref="A41:B41"/>
    <mergeCell ref="C41:E41"/>
    <mergeCell ref="F41:H41"/>
    <mergeCell ref="A39:B39"/>
    <mergeCell ref="A40:B40"/>
    <mergeCell ref="A38:B38"/>
    <mergeCell ref="E35:F35"/>
    <mergeCell ref="E36:F36"/>
    <mergeCell ref="A34:B34"/>
    <mergeCell ref="A35:B35"/>
    <mergeCell ref="A36:B36"/>
    <mergeCell ref="C34:D34"/>
    <mergeCell ref="C35:D35"/>
    <mergeCell ref="C36:D36"/>
    <mergeCell ref="A77:H77"/>
    <mergeCell ref="A57:B57"/>
    <mergeCell ref="A43:B43"/>
    <mergeCell ref="A42:B42"/>
    <mergeCell ref="C42:E42"/>
    <mergeCell ref="F42:H42"/>
    <mergeCell ref="C43:H43"/>
    <mergeCell ref="A70:B70"/>
    <mergeCell ref="G34:H34"/>
    <mergeCell ref="A22:B22"/>
    <mergeCell ref="A31:B31"/>
    <mergeCell ref="A32:B32"/>
    <mergeCell ref="E26:F26"/>
    <mergeCell ref="E27:F27"/>
    <mergeCell ref="E28:F28"/>
    <mergeCell ref="E29:F29"/>
    <mergeCell ref="E30:F30"/>
    <mergeCell ref="E31:F31"/>
    <mergeCell ref="C28:D28"/>
    <mergeCell ref="C29:D29"/>
    <mergeCell ref="C30:D30"/>
    <mergeCell ref="C31:D31"/>
    <mergeCell ref="C32:H32"/>
    <mergeCell ref="A28:B28"/>
    <mergeCell ref="A29:B29"/>
    <mergeCell ref="A30:B30"/>
    <mergeCell ref="A26:B26"/>
    <mergeCell ref="A27:B27"/>
    <mergeCell ref="E34:F34"/>
    <mergeCell ref="E14:F14"/>
    <mergeCell ref="E15:F15"/>
    <mergeCell ref="E16:F16"/>
    <mergeCell ref="E17:F17"/>
    <mergeCell ref="E18:F18"/>
    <mergeCell ref="E19:F19"/>
    <mergeCell ref="A23:B23"/>
    <mergeCell ref="A24:B24"/>
    <mergeCell ref="E20:F20"/>
    <mergeCell ref="E21:F21"/>
    <mergeCell ref="E22:F22"/>
    <mergeCell ref="C14:D14"/>
    <mergeCell ref="C15:D15"/>
    <mergeCell ref="C16:D16"/>
    <mergeCell ref="C17:D17"/>
    <mergeCell ref="A14:B14"/>
    <mergeCell ref="A15:B15"/>
    <mergeCell ref="A16:B16"/>
    <mergeCell ref="A17:B17"/>
    <mergeCell ref="A18:B18"/>
    <mergeCell ref="A19:B19"/>
    <mergeCell ref="A20:B20"/>
    <mergeCell ref="A21:B21"/>
    <mergeCell ref="G2:H2"/>
    <mergeCell ref="G3:H3"/>
    <mergeCell ref="G4:H4"/>
    <mergeCell ref="J2:K2"/>
    <mergeCell ref="A6:B6"/>
    <mergeCell ref="A7:B7"/>
    <mergeCell ref="A8:B8"/>
    <mergeCell ref="C6:D6"/>
    <mergeCell ref="A12:B12"/>
    <mergeCell ref="C7:D7"/>
    <mergeCell ref="E6:F6"/>
    <mergeCell ref="E7:F7"/>
    <mergeCell ref="C8:H8"/>
    <mergeCell ref="C9:H9"/>
    <mergeCell ref="C10:H10"/>
    <mergeCell ref="C11:H11"/>
    <mergeCell ref="C12:H12"/>
    <mergeCell ref="A2:B2"/>
    <mergeCell ref="A3:B3"/>
    <mergeCell ref="A4:B4"/>
    <mergeCell ref="C2:D2"/>
    <mergeCell ref="C3:D3"/>
    <mergeCell ref="C4:D4"/>
    <mergeCell ref="E2:F2"/>
    <mergeCell ref="A182:H182"/>
    <mergeCell ref="E3:F3"/>
    <mergeCell ref="E4:F4"/>
    <mergeCell ref="E81:F92"/>
    <mergeCell ref="G81:H92"/>
    <mergeCell ref="A82:B82"/>
    <mergeCell ref="A83:B83"/>
    <mergeCell ref="A84:B84"/>
    <mergeCell ref="A85:B85"/>
    <mergeCell ref="A86:B86"/>
    <mergeCell ref="A87:B87"/>
    <mergeCell ref="A88:B88"/>
    <mergeCell ref="A89:B89"/>
    <mergeCell ref="A90:B90"/>
    <mergeCell ref="A91:B91"/>
    <mergeCell ref="A92:B92"/>
    <mergeCell ref="A66:B66"/>
    <mergeCell ref="C27:D27"/>
    <mergeCell ref="A73:B73"/>
    <mergeCell ref="A74:B74"/>
    <mergeCell ref="A75:B75"/>
    <mergeCell ref="A76:B76"/>
    <mergeCell ref="A67:B67"/>
    <mergeCell ref="A68:B68"/>
    <mergeCell ref="A166:B166"/>
    <mergeCell ref="A138:B138"/>
    <mergeCell ref="A139:B139"/>
    <mergeCell ref="A130:H130"/>
    <mergeCell ref="B190:H190"/>
    <mergeCell ref="B184:H184"/>
    <mergeCell ref="B183:H183"/>
    <mergeCell ref="B187:H187"/>
    <mergeCell ref="B186:H186"/>
    <mergeCell ref="B185:H185"/>
    <mergeCell ref="B188:H188"/>
    <mergeCell ref="A168:B168"/>
    <mergeCell ref="A169:B169"/>
    <mergeCell ref="A170:B170"/>
    <mergeCell ref="A179:B179"/>
    <mergeCell ref="A180:B180"/>
    <mergeCell ref="A176:B176"/>
    <mergeCell ref="A177:B177"/>
    <mergeCell ref="A178:B178"/>
    <mergeCell ref="A172:H172"/>
    <mergeCell ref="A173:B173"/>
    <mergeCell ref="A174:B174"/>
    <mergeCell ref="A175:B175"/>
    <mergeCell ref="B189:H189"/>
    <mergeCell ref="A133:H133"/>
    <mergeCell ref="A134:H134"/>
    <mergeCell ref="A135:H135"/>
    <mergeCell ref="A145:B145"/>
    <mergeCell ref="A146:B146"/>
    <mergeCell ref="A147:B147"/>
    <mergeCell ref="A148:B148"/>
    <mergeCell ref="A165:B165"/>
    <mergeCell ref="A140:B140"/>
    <mergeCell ref="A141:B141"/>
    <mergeCell ref="A160:B160"/>
    <mergeCell ref="A161:B161"/>
    <mergeCell ref="A162:B162"/>
    <mergeCell ref="C151:H152"/>
    <mergeCell ref="C161:H162"/>
    <mergeCell ref="A331:B331"/>
    <mergeCell ref="C331:D331"/>
    <mergeCell ref="G14:H14"/>
    <mergeCell ref="G16:H16"/>
    <mergeCell ref="G17:H17"/>
    <mergeCell ref="G15:H15"/>
    <mergeCell ref="G18:H18"/>
    <mergeCell ref="G19:H19"/>
    <mergeCell ref="G46:H46"/>
    <mergeCell ref="G31:H31"/>
    <mergeCell ref="G22:H22"/>
    <mergeCell ref="G36:H36"/>
    <mergeCell ref="G35:H35"/>
    <mergeCell ref="A167:B167"/>
    <mergeCell ref="A156:B156"/>
    <mergeCell ref="A154:B154"/>
    <mergeCell ref="E126:F126"/>
    <mergeCell ref="E125:F125"/>
    <mergeCell ref="C124:D124"/>
    <mergeCell ref="A151:B151"/>
    <mergeCell ref="E127:F127"/>
    <mergeCell ref="C126:D126"/>
    <mergeCell ref="G30:H30"/>
    <mergeCell ref="G29:H29"/>
    <mergeCell ref="A13:H13"/>
    <mergeCell ref="C26:D26"/>
    <mergeCell ref="G331:H331"/>
    <mergeCell ref="A192:H192"/>
    <mergeCell ref="D194:H194"/>
    <mergeCell ref="A322:H322"/>
    <mergeCell ref="A328:H328"/>
    <mergeCell ref="A329:H329"/>
    <mergeCell ref="A330:H330"/>
    <mergeCell ref="A323:H323"/>
    <mergeCell ref="A324:H324"/>
    <mergeCell ref="A325:H325"/>
    <mergeCell ref="A326:H326"/>
    <mergeCell ref="A194:C194"/>
    <mergeCell ref="A321:H321"/>
    <mergeCell ref="A327:H327"/>
    <mergeCell ref="A290:H290"/>
    <mergeCell ref="D193:H193"/>
    <mergeCell ref="A195:C195"/>
    <mergeCell ref="D195:H195"/>
    <mergeCell ref="A240:H240"/>
    <mergeCell ref="E331:F331"/>
    <mergeCell ref="A152:B152"/>
    <mergeCell ref="A150:H150"/>
    <mergeCell ref="A1:H1"/>
    <mergeCell ref="A193:C193"/>
    <mergeCell ref="G27:H27"/>
    <mergeCell ref="G28:H28"/>
    <mergeCell ref="A37:H37"/>
    <mergeCell ref="A44:H44"/>
    <mergeCell ref="A50:H50"/>
    <mergeCell ref="A118:H118"/>
    <mergeCell ref="G116:H116"/>
    <mergeCell ref="G7:H7"/>
    <mergeCell ref="G47:H47"/>
    <mergeCell ref="G45:H45"/>
    <mergeCell ref="A25:H25"/>
    <mergeCell ref="G26:H26"/>
    <mergeCell ref="G20:H20"/>
    <mergeCell ref="G21:H21"/>
    <mergeCell ref="A9:A11"/>
    <mergeCell ref="G6:H6"/>
    <mergeCell ref="A5:H5"/>
    <mergeCell ref="A33:H33"/>
    <mergeCell ref="A62:C63"/>
    <mergeCell ref="A71:B71"/>
    <mergeCell ref="E94:F94"/>
    <mergeCell ref="E95:F95"/>
    <mergeCell ref="A136:H136"/>
    <mergeCell ref="A127:B127"/>
    <mergeCell ref="G127:H127"/>
    <mergeCell ref="A171:B171"/>
    <mergeCell ref="A123:H123"/>
    <mergeCell ref="A124:B124"/>
    <mergeCell ref="E124:F124"/>
    <mergeCell ref="A142:B142"/>
    <mergeCell ref="A143:B143"/>
    <mergeCell ref="A144:B144"/>
    <mergeCell ref="A137:B137"/>
    <mergeCell ref="C125:D125"/>
    <mergeCell ref="C127:D127"/>
    <mergeCell ref="A155:B155"/>
    <mergeCell ref="A157:B157"/>
    <mergeCell ref="A158:B158"/>
    <mergeCell ref="A153:B153"/>
    <mergeCell ref="A163:H163"/>
    <mergeCell ref="A164:B164"/>
    <mergeCell ref="A126:B126"/>
    <mergeCell ref="G126:H126"/>
    <mergeCell ref="G125:H125"/>
    <mergeCell ref="A159:B159"/>
    <mergeCell ref="A132:H132"/>
    <mergeCell ref="C56:F56"/>
    <mergeCell ref="C57:F57"/>
    <mergeCell ref="C58:F58"/>
    <mergeCell ref="C60:F60"/>
    <mergeCell ref="E65:F76"/>
    <mergeCell ref="A110:H110"/>
    <mergeCell ref="G48:H48"/>
    <mergeCell ref="A49:B49"/>
    <mergeCell ref="D49:F49"/>
    <mergeCell ref="G49:H49"/>
    <mergeCell ref="A51:B51"/>
    <mergeCell ref="A53:B53"/>
    <mergeCell ref="A56:B56"/>
    <mergeCell ref="G109:H109"/>
    <mergeCell ref="G65:H76"/>
    <mergeCell ref="A61:H61"/>
    <mergeCell ref="A64:B64"/>
    <mergeCell ref="A65:B65"/>
    <mergeCell ref="E64:F64"/>
    <mergeCell ref="E62:F62"/>
    <mergeCell ref="E63:F63"/>
    <mergeCell ref="A78:C79"/>
    <mergeCell ref="E78:F78"/>
    <mergeCell ref="A93:H93"/>
    <mergeCell ref="A94:C95"/>
    <mergeCell ref="E79:F79"/>
    <mergeCell ref="A80:B80"/>
    <mergeCell ref="E80:F80"/>
    <mergeCell ref="A81:B81"/>
    <mergeCell ref="A109:F109"/>
    <mergeCell ref="G113:H113"/>
    <mergeCell ref="G117:H117"/>
    <mergeCell ref="A114:H114"/>
    <mergeCell ref="E111:F111"/>
    <mergeCell ref="A113:B113"/>
    <mergeCell ref="E112:F112"/>
    <mergeCell ref="G112:H112"/>
    <mergeCell ref="G111:H111"/>
    <mergeCell ref="A111:B111"/>
    <mergeCell ref="C111:D111"/>
    <mergeCell ref="C112:D112"/>
    <mergeCell ref="C113:D113"/>
    <mergeCell ref="E113:F113"/>
    <mergeCell ref="A115:F115"/>
    <mergeCell ref="A116:F116"/>
    <mergeCell ref="G115:H115"/>
    <mergeCell ref="A117:F117"/>
    <mergeCell ref="C18:D18"/>
    <mergeCell ref="C19:D19"/>
    <mergeCell ref="C20:D20"/>
    <mergeCell ref="C21:D21"/>
    <mergeCell ref="C22:D22"/>
    <mergeCell ref="C24:H24"/>
    <mergeCell ref="C23:H23"/>
    <mergeCell ref="A69:B69"/>
    <mergeCell ref="A72:B72"/>
    <mergeCell ref="A45:B45"/>
    <mergeCell ref="A46:B46"/>
    <mergeCell ref="A47:B47"/>
    <mergeCell ref="D46:F46"/>
    <mergeCell ref="D45:F45"/>
    <mergeCell ref="D47:F47"/>
    <mergeCell ref="C59:F59"/>
    <mergeCell ref="A58:B59"/>
    <mergeCell ref="A52:B52"/>
    <mergeCell ref="C51:H51"/>
    <mergeCell ref="C52:F52"/>
    <mergeCell ref="C53:F53"/>
    <mergeCell ref="A48:B48"/>
    <mergeCell ref="D48:F48"/>
    <mergeCell ref="A60:B60"/>
    <mergeCell ref="A128:H128"/>
    <mergeCell ref="E119:F119"/>
    <mergeCell ref="E120:F120"/>
    <mergeCell ref="E121:F121"/>
    <mergeCell ref="E122:F122"/>
    <mergeCell ref="A119:B119"/>
    <mergeCell ref="A120:B120"/>
    <mergeCell ref="A121:B121"/>
    <mergeCell ref="C119:D119"/>
    <mergeCell ref="A122:B122"/>
    <mergeCell ref="C120:D120"/>
    <mergeCell ref="G119:H119"/>
    <mergeCell ref="G120:H120"/>
    <mergeCell ref="G121:H121"/>
    <mergeCell ref="G122:H122"/>
    <mergeCell ref="C122:D122"/>
    <mergeCell ref="G124:H124"/>
    <mergeCell ref="A125:B125"/>
    <mergeCell ref="C121:D121"/>
  </mergeCells>
  <dataValidations count="7">
    <dataValidation type="list" allowBlank="1" showInputMessage="1" showErrorMessage="1" sqref="G6:H6">
      <formula1>"Mr. Suraj Khare,Miss Rupali, Miss Vinaya"</formula1>
    </dataValidation>
    <dataValidation type="list" allowBlank="1" showInputMessage="1" showErrorMessage="1" sqref="G26:H26">
      <formula1>"Middle,Upper"</formula1>
    </dataValidation>
    <dataValidation type="list" allowBlank="1" showInputMessage="1" showErrorMessage="1" sqref="C113">
      <formula1>"300000,350000,400000,500000,600000,700000,800000,900000,1000000,1200000,1400000,1500000,1600000"</formula1>
    </dataValidation>
    <dataValidation type="list" allowBlank="1" showInputMessage="1" showErrorMessage="1" sqref="F129">
      <formula1>"Fungible area,Balcony Area,Chajja Area,Cornice Area,AP Area,WS Area"</formula1>
    </dataValidation>
    <dataValidation type="list" allowBlank="1" showInputMessage="1" showErrorMessage="1" sqref="C27:D27">
      <formula1>"Bitumen,Concrete"</formula1>
    </dataValidation>
    <dataValidation type="list" allowBlank="1" showInputMessage="1" showErrorMessage="1" sqref="C51:H51 G35:H35">
      <formula1>"Yes,No"</formula1>
    </dataValidation>
    <dataValidation type="list" allowBlank="1" showInputMessage="1" showErrorMessage="1" sqref="C129">
      <formula1>"Sale /         Rehab /           PAP,Sale / Mhada,Sale / Landowner"</formula1>
    </dataValidation>
  </dataValidations>
  <hyperlinks>
    <hyperlink ref="C23" r:id="rId1"/>
    <hyperlink ref="I24" r:id="rId2" location="amenities"/>
    <hyperlink ref="L74" r:id="rId3"/>
  </hyperlinks>
  <printOptions horizontalCentered="1"/>
  <pageMargins left="0.27559055118110237" right="0.27559055118110237" top="0.70866141732283472" bottom="0.47244094488188981" header="0.15748031496062992" footer="0.15748031496062992"/>
  <pageSetup paperSize="9" scale="69" fitToHeight="0" orientation="portrait" r:id="rId4"/>
  <headerFooter>
    <oddHeader>&amp;C&amp;25&amp;G</oddHeader>
    <oddFooter>&amp;L&amp;"Times New Roman,Bold"&amp;16Ref No: &amp;F&amp;R&amp;"Times New Roman,Bold"&amp;16&amp;P</oddFooter>
  </headerFooter>
  <rowBreaks count="4" manualBreakCount="4">
    <brk id="24" max="16383" man="1"/>
    <brk id="191" max="8" man="1"/>
    <brk id="239" max="16383" man="1"/>
    <brk id="289" max="16383" man="1"/>
  </rowBreaks>
  <drawing r:id="rId5"/>
  <legacyDrawing r:id="rId6"/>
  <legacyDrawingHF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3" sqref="A3:XFD18"/>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106" t="s">
        <v>69</v>
      </c>
      <c r="B3" s="106"/>
      <c r="C3" s="106"/>
      <c r="D3" s="106"/>
      <c r="E3" s="106"/>
      <c r="F3" s="106"/>
      <c r="G3" s="106"/>
      <c r="H3" s="106"/>
      <c r="I3" s="106"/>
    </row>
    <row r="4" spans="1:11" s="1" customFormat="1" ht="20.25" customHeight="1" x14ac:dyDescent="0.3">
      <c r="A4" s="196">
        <v>1</v>
      </c>
      <c r="B4" s="196"/>
      <c r="C4" s="196"/>
      <c r="D4" s="197" t="s">
        <v>4</v>
      </c>
      <c r="E4" s="30" t="s">
        <v>116</v>
      </c>
      <c r="F4" s="108" t="s">
        <v>103</v>
      </c>
      <c r="G4" s="108"/>
      <c r="H4" s="30" t="s">
        <v>117</v>
      </c>
      <c r="I4" s="30" t="s">
        <v>118</v>
      </c>
      <c r="J4" s="1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18"/>
    </row>
    <row r="5" spans="1:11" s="1" customFormat="1" ht="20.25" x14ac:dyDescent="0.3">
      <c r="A5" s="196"/>
      <c r="B5" s="196"/>
      <c r="C5" s="196"/>
      <c r="D5" s="197"/>
      <c r="E5" s="30">
        <v>3</v>
      </c>
      <c r="F5" s="108">
        <v>1</v>
      </c>
      <c r="G5" s="108"/>
      <c r="H5" s="30">
        <v>0</v>
      </c>
      <c r="I5" s="30">
        <f ca="1">--TRIM(RIGHT(SUBSTITUTE(LEFT(A4,_xlfn.AGGREGATE(16,6,FIND({0,1,2,3,4,5,6,7,8,9},A4,ROW(INDIRECT("1:"&amp;LEN(A4)))),1))," ",REPT(" ",LEN(A4))),LEN(A4)))</f>
        <v>1</v>
      </c>
      <c r="J5" s="17" t="s">
        <v>122</v>
      </c>
      <c r="K5" s="18"/>
    </row>
    <row r="6" spans="1:11" s="1" customFormat="1" ht="20.25" customHeight="1" x14ac:dyDescent="0.3">
      <c r="A6" s="109" t="s">
        <v>120</v>
      </c>
      <c r="B6" s="109"/>
      <c r="C6" s="109" t="s">
        <v>132</v>
      </c>
      <c r="D6" s="109"/>
      <c r="E6" s="28" t="s">
        <v>133</v>
      </c>
      <c r="F6" s="109" t="s">
        <v>121</v>
      </c>
      <c r="G6" s="109"/>
      <c r="H6" s="29" t="s">
        <v>119</v>
      </c>
      <c r="I6" s="29"/>
      <c r="J6" s="20" t="s">
        <v>134</v>
      </c>
      <c r="K6" s="19">
        <f ca="1">I5*25%</f>
        <v>0.25</v>
      </c>
    </row>
    <row r="7" spans="1:11" s="1" customFormat="1" ht="20.25" customHeight="1" x14ac:dyDescent="0.3">
      <c r="A7" s="98" t="s">
        <v>135</v>
      </c>
      <c r="B7" s="98"/>
      <c r="C7" s="108">
        <f ca="1">K8</f>
        <v>1</v>
      </c>
      <c r="D7" s="108"/>
      <c r="E7" s="5">
        <f ca="1">((100/I5)*C7)/100</f>
        <v>1</v>
      </c>
      <c r="F7" s="98">
        <f ca="1">(((C7/I5*5)+(C8/I5*20)+(25/(F5+H5+I5)*C9)+(5/(I5)*C10)+(2.5/(I5)*C11)+(2.5/(I5)*C12)+(5/I5*C13)+(10/I5*C14)+(2.5/I5*C15)+(2.5/I5*C16)+(10/I5*C17)+(10/I5*C18))/100)</f>
        <v>0.25</v>
      </c>
      <c r="G7" s="98"/>
      <c r="H7" s="98" t="str">
        <f ca="1">J4</f>
        <v>Excavation work Completed. Plinth work completed</v>
      </c>
      <c r="I7" s="98"/>
      <c r="J7" s="20" t="s">
        <v>123</v>
      </c>
      <c r="K7" s="24">
        <f ca="1">I5*50%</f>
        <v>0.5</v>
      </c>
    </row>
    <row r="8" spans="1:11" s="1" customFormat="1" ht="20.25" x14ac:dyDescent="0.3">
      <c r="A8" s="98" t="s">
        <v>104</v>
      </c>
      <c r="B8" s="98"/>
      <c r="C8" s="195">
        <f ca="1">K16</f>
        <v>1</v>
      </c>
      <c r="D8" s="108"/>
      <c r="E8" s="5">
        <f ca="1">((100/I5)*C8)/100</f>
        <v>1</v>
      </c>
      <c r="F8" s="98"/>
      <c r="G8" s="98"/>
      <c r="H8" s="98"/>
      <c r="I8" s="98"/>
      <c r="J8" s="20" t="s">
        <v>124</v>
      </c>
      <c r="K8" s="24">
        <f ca="1">I5</f>
        <v>1</v>
      </c>
    </row>
    <row r="9" spans="1:11" s="1" customFormat="1" ht="21" customHeight="1" x14ac:dyDescent="0.35">
      <c r="A9" s="98" t="s">
        <v>136</v>
      </c>
      <c r="B9" s="98"/>
      <c r="C9" s="108">
        <v>0</v>
      </c>
      <c r="D9" s="108"/>
      <c r="E9" s="5">
        <f ca="1">((100/(F5+H5+I5))*C9)/100</f>
        <v>0</v>
      </c>
      <c r="F9" s="98"/>
      <c r="G9" s="98"/>
      <c r="H9" s="98"/>
      <c r="I9" s="98"/>
      <c r="J9" s="20" t="s">
        <v>125</v>
      </c>
      <c r="K9" s="25">
        <f ca="1">(IF(E5&gt;1,(I5/(E5+2)),I5*0.2))</f>
        <v>0.2</v>
      </c>
    </row>
    <row r="10" spans="1:11" s="1" customFormat="1" ht="21" customHeight="1" x14ac:dyDescent="0.35">
      <c r="A10" s="98" t="s">
        <v>137</v>
      </c>
      <c r="B10" s="98"/>
      <c r="C10" s="108">
        <v>0</v>
      </c>
      <c r="D10" s="108"/>
      <c r="E10" s="5">
        <f ca="1">((100/I5)*C10)/100</f>
        <v>0</v>
      </c>
      <c r="F10" s="98"/>
      <c r="G10" s="98"/>
      <c r="H10" s="98"/>
      <c r="I10" s="98"/>
      <c r="J10" s="20" t="s">
        <v>126</v>
      </c>
      <c r="K10" s="25">
        <f ca="1">(IF(E5&gt;1,(I5/(E5+2)+K9),I5*0.2+K9))</f>
        <v>0.4</v>
      </c>
    </row>
    <row r="11" spans="1:11" s="1" customFormat="1" ht="21" customHeight="1" x14ac:dyDescent="0.35">
      <c r="A11" s="96" t="s">
        <v>138</v>
      </c>
      <c r="B11" s="97"/>
      <c r="C11" s="108">
        <v>0</v>
      </c>
      <c r="D11" s="108"/>
      <c r="E11" s="5">
        <f ca="1">((100/I5)*C11)/100</f>
        <v>0</v>
      </c>
      <c r="F11" s="98"/>
      <c r="G11" s="98"/>
      <c r="H11" s="98"/>
      <c r="I11" s="98"/>
      <c r="J11" s="20" t="s">
        <v>139</v>
      </c>
      <c r="K11" s="25">
        <f ca="1">(IF(E5&gt;1,(I5/(E5+2)+K10),0))</f>
        <v>0.60000000000000009</v>
      </c>
    </row>
    <row r="12" spans="1:11" s="1" customFormat="1" ht="21" customHeight="1" x14ac:dyDescent="0.35">
      <c r="A12" s="96" t="s">
        <v>168</v>
      </c>
      <c r="B12" s="97"/>
      <c r="C12" s="108">
        <v>0</v>
      </c>
      <c r="D12" s="108"/>
      <c r="E12" s="5">
        <f ca="1">((100/I5)*C12)/100</f>
        <v>0</v>
      </c>
      <c r="F12" s="98"/>
      <c r="G12" s="98"/>
      <c r="H12" s="98"/>
      <c r="I12" s="98"/>
      <c r="J12" s="20" t="s">
        <v>140</v>
      </c>
      <c r="K12" s="25">
        <f ca="1">(IF(E5&gt;2,(I5/(E5+2)+K11),0))</f>
        <v>0.8</v>
      </c>
    </row>
    <row r="13" spans="1:11" s="1" customFormat="1" ht="57.75" customHeight="1" x14ac:dyDescent="0.35">
      <c r="A13" s="96" t="s">
        <v>165</v>
      </c>
      <c r="B13" s="97"/>
      <c r="C13" s="108">
        <v>0</v>
      </c>
      <c r="D13" s="108"/>
      <c r="E13" s="5">
        <f ca="1">((100/(I5))*C13)/100</f>
        <v>0</v>
      </c>
      <c r="F13" s="98"/>
      <c r="G13" s="98"/>
      <c r="H13" s="98"/>
      <c r="I13" s="98"/>
      <c r="J13" s="20" t="s">
        <v>142</v>
      </c>
      <c r="K13" s="26">
        <f>(IF(E5&gt;3,(I5/(E5+2)+K12),0))</f>
        <v>0</v>
      </c>
    </row>
    <row r="14" spans="1:11" s="1" customFormat="1" ht="21" x14ac:dyDescent="0.35">
      <c r="A14" s="98" t="s">
        <v>141</v>
      </c>
      <c r="B14" s="98"/>
      <c r="C14" s="108">
        <v>0</v>
      </c>
      <c r="D14" s="108"/>
      <c r="E14" s="5">
        <f ca="1">((100/(I5))*C14)/100</f>
        <v>0</v>
      </c>
      <c r="F14" s="98"/>
      <c r="G14" s="98"/>
      <c r="H14" s="98"/>
      <c r="I14" s="98"/>
      <c r="J14" s="20" t="s">
        <v>143</v>
      </c>
      <c r="K14" s="25">
        <f>(IF(E5&gt;4,(I5/(E5+2)+K13),0))</f>
        <v>0</v>
      </c>
    </row>
    <row r="15" spans="1:11" s="1" customFormat="1" ht="21" customHeight="1" x14ac:dyDescent="0.35">
      <c r="A15" s="98" t="s">
        <v>167</v>
      </c>
      <c r="B15" s="98"/>
      <c r="C15" s="108">
        <v>0</v>
      </c>
      <c r="D15" s="108"/>
      <c r="E15" s="5">
        <f ca="1">((100/I5)*C15)/100</f>
        <v>0</v>
      </c>
      <c r="F15" s="98"/>
      <c r="G15" s="98"/>
      <c r="H15" s="98"/>
      <c r="I15" s="98"/>
      <c r="J15" s="20" t="s">
        <v>127</v>
      </c>
      <c r="K15" s="25">
        <f>(IF(E5=1,(I5/(E5+3)+K10),IF(E5=0,(I5*0.3+K10),IF(E5&gt;1,0))))</f>
        <v>0</v>
      </c>
    </row>
    <row r="16" spans="1:11" s="1" customFormat="1" ht="21.75" thickBot="1" x14ac:dyDescent="0.4">
      <c r="A16" s="98" t="s">
        <v>166</v>
      </c>
      <c r="B16" s="98"/>
      <c r="C16" s="108">
        <v>0</v>
      </c>
      <c r="D16" s="108"/>
      <c r="E16" s="5">
        <f ca="1">((100/I5)*C16)/100</f>
        <v>0</v>
      </c>
      <c r="F16" s="98"/>
      <c r="G16" s="98"/>
      <c r="H16" s="98"/>
      <c r="I16" s="98"/>
      <c r="J16" s="22" t="s">
        <v>128</v>
      </c>
      <c r="K16" s="27">
        <f ca="1">(IF(E5&gt;1.5,(I5/(E5+2)+K10+MAX(0,K11-K10)+MAX(0,K12-K11)+MAX(0,K13-K12)+MAX(0,K14-K13)+MAX(0,K15-K14)),IF(E5=1,(I5/(E5+3)+K15),IF(E5=0,I5*0.3+K15))))</f>
        <v>1</v>
      </c>
    </row>
    <row r="17" spans="1:9" s="1" customFormat="1" ht="20.25" x14ac:dyDescent="0.25">
      <c r="A17" s="98" t="s">
        <v>144</v>
      </c>
      <c r="B17" s="98"/>
      <c r="C17" s="108">
        <v>0</v>
      </c>
      <c r="D17" s="108"/>
      <c r="E17" s="5">
        <f ca="1">((100/(I5))*C17)/100</f>
        <v>0</v>
      </c>
      <c r="F17" s="98"/>
      <c r="G17" s="98"/>
      <c r="H17" s="98"/>
      <c r="I17" s="98"/>
    </row>
    <row r="18" spans="1:9" s="1" customFormat="1" ht="20.25" x14ac:dyDescent="0.25">
      <c r="A18" s="98" t="s">
        <v>145</v>
      </c>
      <c r="B18" s="98"/>
      <c r="C18" s="108">
        <v>0</v>
      </c>
      <c r="D18" s="108"/>
      <c r="E18" s="5">
        <f ca="1">((100/(I5))*C18)/100</f>
        <v>0</v>
      </c>
      <c r="F18" s="98"/>
      <c r="G18" s="98"/>
      <c r="H18" s="98"/>
      <c r="I18" s="98"/>
    </row>
    <row r="23" spans="1:9" x14ac:dyDescent="0.25">
      <c r="B23" s="194" t="s">
        <v>169</v>
      </c>
      <c r="C23" s="194"/>
      <c r="D23" s="194"/>
      <c r="E23" s="194"/>
      <c r="F23" s="194"/>
      <c r="G23" s="194"/>
    </row>
    <row r="24" spans="1:9" ht="14.45" customHeight="1" x14ac:dyDescent="0.25">
      <c r="B24" s="189" t="s">
        <v>170</v>
      </c>
      <c r="C24" s="189" t="s">
        <v>171</v>
      </c>
      <c r="D24" s="192" t="s">
        <v>172</v>
      </c>
      <c r="E24" s="193" t="s">
        <v>173</v>
      </c>
      <c r="F24" s="190" t="s">
        <v>174</v>
      </c>
      <c r="G24" s="189" t="s">
        <v>175</v>
      </c>
    </row>
    <row r="25" spans="1:9" x14ac:dyDescent="0.25">
      <c r="B25" s="189"/>
      <c r="C25" s="189"/>
      <c r="D25" s="192"/>
      <c r="E25" s="193"/>
      <c r="F25" s="190"/>
      <c r="G25" s="189"/>
    </row>
    <row r="26" spans="1:9" x14ac:dyDescent="0.25">
      <c r="B26" s="37" t="s">
        <v>176</v>
      </c>
      <c r="C26" s="38">
        <v>10</v>
      </c>
      <c r="D26" s="38">
        <v>1</v>
      </c>
      <c r="E26" s="39"/>
      <c r="F26" s="40">
        <f>((E26/D26)*0.05)*100</f>
        <v>0</v>
      </c>
      <c r="G26" s="40">
        <f t="shared" ref="G26:G37" si="0">((E26/D26)*(C26/100))*100</f>
        <v>0</v>
      </c>
    </row>
    <row r="27" spans="1:9" x14ac:dyDescent="0.25">
      <c r="B27" s="37" t="s">
        <v>177</v>
      </c>
      <c r="C27" s="39">
        <v>10</v>
      </c>
      <c r="D27" s="39">
        <v>1</v>
      </c>
      <c r="E27" s="39"/>
      <c r="F27" s="40">
        <f>((E27/D27)*0.05)*100</f>
        <v>0</v>
      </c>
      <c r="G27" s="40">
        <f t="shared" si="0"/>
        <v>0</v>
      </c>
    </row>
    <row r="28" spans="1:9" x14ac:dyDescent="0.25">
      <c r="B28" s="37" t="s">
        <v>178</v>
      </c>
      <c r="C28" s="39">
        <v>15</v>
      </c>
      <c r="D28" s="39">
        <v>1</v>
      </c>
      <c r="E28" s="39"/>
      <c r="F28" s="40">
        <f>((E28/D28)*0.15)*100</f>
        <v>0</v>
      </c>
      <c r="G28" s="40">
        <f t="shared" si="0"/>
        <v>0</v>
      </c>
    </row>
    <row r="29" spans="1:9" x14ac:dyDescent="0.25">
      <c r="B29" s="41" t="s">
        <v>179</v>
      </c>
      <c r="C29" s="39">
        <v>25</v>
      </c>
      <c r="D29" s="39">
        <v>40</v>
      </c>
      <c r="E29" s="39"/>
      <c r="F29" s="40">
        <f>((E29/D29)*0.25)*100</f>
        <v>0</v>
      </c>
      <c r="G29" s="40">
        <f t="shared" si="0"/>
        <v>0</v>
      </c>
    </row>
    <row r="30" spans="1:9" x14ac:dyDescent="0.25">
      <c r="B30" s="41" t="s">
        <v>180</v>
      </c>
      <c r="C30" s="39">
        <v>5</v>
      </c>
      <c r="D30" s="39">
        <v>39</v>
      </c>
      <c r="E30" s="39"/>
      <c r="F30" s="40">
        <f>((E30/D30)*0.05)*100</f>
        <v>0</v>
      </c>
      <c r="G30" s="40">
        <f t="shared" si="0"/>
        <v>0</v>
      </c>
    </row>
    <row r="31" spans="1:9" ht="30" x14ac:dyDescent="0.25">
      <c r="B31" s="41" t="s">
        <v>181</v>
      </c>
      <c r="C31" s="39">
        <v>2.5</v>
      </c>
      <c r="D31" s="39">
        <v>39</v>
      </c>
      <c r="E31" s="39"/>
      <c r="F31" s="40">
        <f>((E31/D31)*0.025)*100</f>
        <v>0</v>
      </c>
      <c r="G31" s="40">
        <f t="shared" si="0"/>
        <v>0</v>
      </c>
    </row>
    <row r="32" spans="1:9" ht="30" x14ac:dyDescent="0.25">
      <c r="B32" s="41" t="s">
        <v>182</v>
      </c>
      <c r="C32" s="39">
        <v>2.5</v>
      </c>
      <c r="D32" s="39">
        <v>39</v>
      </c>
      <c r="E32" s="39"/>
      <c r="F32" s="40">
        <f>((E32/D32)*0.025)*100</f>
        <v>0</v>
      </c>
      <c r="G32" s="40">
        <f t="shared" si="0"/>
        <v>0</v>
      </c>
    </row>
    <row r="33" spans="1:7" ht="45" x14ac:dyDescent="0.25">
      <c r="B33" s="42" t="s">
        <v>183</v>
      </c>
      <c r="C33" s="39">
        <v>5</v>
      </c>
      <c r="D33" s="39">
        <v>39</v>
      </c>
      <c r="E33" s="39"/>
      <c r="F33" s="40">
        <f>((E33/D33)*0.05)*100</f>
        <v>0</v>
      </c>
      <c r="G33" s="40">
        <f t="shared" si="0"/>
        <v>0</v>
      </c>
    </row>
    <row r="34" spans="1:7" ht="30" x14ac:dyDescent="0.25">
      <c r="B34" s="42" t="s">
        <v>184</v>
      </c>
      <c r="C34" s="39">
        <v>5</v>
      </c>
      <c r="D34" s="39">
        <v>39</v>
      </c>
      <c r="E34" s="39"/>
      <c r="F34" s="40">
        <f>((E34/D34)*0.1)*100</f>
        <v>0</v>
      </c>
      <c r="G34" s="40">
        <f t="shared" si="0"/>
        <v>0</v>
      </c>
    </row>
    <row r="35" spans="1:7" ht="30" x14ac:dyDescent="0.25">
      <c r="B35" s="42" t="s">
        <v>185</v>
      </c>
      <c r="C35" s="39">
        <v>5</v>
      </c>
      <c r="D35" s="39">
        <v>39</v>
      </c>
      <c r="E35" s="39"/>
      <c r="F35" s="40">
        <f>((E35/D35)*0.05)*100</f>
        <v>0</v>
      </c>
      <c r="G35" s="40">
        <f t="shared" si="0"/>
        <v>0</v>
      </c>
    </row>
    <row r="36" spans="1:7" ht="60" x14ac:dyDescent="0.25">
      <c r="B36" s="42" t="s">
        <v>186</v>
      </c>
      <c r="C36" s="39">
        <v>10</v>
      </c>
      <c r="D36" s="39">
        <v>39</v>
      </c>
      <c r="E36" s="39"/>
      <c r="F36" s="40">
        <f>((E36/D36)*0.1)*100</f>
        <v>0</v>
      </c>
      <c r="G36" s="40">
        <f t="shared" si="0"/>
        <v>0</v>
      </c>
    </row>
    <row r="37" spans="1:7" ht="45" x14ac:dyDescent="0.25">
      <c r="B37" s="42" t="s">
        <v>187</v>
      </c>
      <c r="C37" s="39">
        <v>5</v>
      </c>
      <c r="D37" s="39">
        <v>39</v>
      </c>
      <c r="E37" s="39"/>
      <c r="F37" s="40">
        <f>((E37/D37)*0.1)*100</f>
        <v>0</v>
      </c>
      <c r="G37" s="40">
        <f t="shared" si="0"/>
        <v>0</v>
      </c>
    </row>
    <row r="38" spans="1:7" ht="15.75" x14ac:dyDescent="0.25">
      <c r="B38" s="43" t="s">
        <v>188</v>
      </c>
      <c r="C38" s="44">
        <f>SUM(C26:C37)</f>
        <v>100</v>
      </c>
      <c r="D38" s="43"/>
      <c r="E38" s="43"/>
      <c r="F38" s="44">
        <f>SUM(F26:F37)</f>
        <v>0</v>
      </c>
      <c r="G38" s="44">
        <f>SUM(G26:G37)</f>
        <v>0</v>
      </c>
    </row>
    <row r="39" spans="1:7" x14ac:dyDescent="0.25">
      <c r="B39" s="190" t="s">
        <v>189</v>
      </c>
      <c r="C39" s="190"/>
      <c r="D39" s="190"/>
      <c r="E39" s="190"/>
      <c r="F39" s="190"/>
      <c r="G39" s="190"/>
    </row>
    <row r="40" spans="1:7" x14ac:dyDescent="0.25">
      <c r="B40" s="191" t="s">
        <v>190</v>
      </c>
      <c r="C40" s="191"/>
      <c r="D40" s="191"/>
      <c r="E40" s="191" t="s">
        <v>191</v>
      </c>
      <c r="F40" s="191"/>
      <c r="G40" s="191"/>
    </row>
    <row r="41" spans="1:7" x14ac:dyDescent="0.25">
      <c r="B41" s="187" t="s">
        <v>192</v>
      </c>
      <c r="C41" s="187"/>
      <c r="D41" s="187"/>
      <c r="E41" s="187" t="s">
        <v>193</v>
      </c>
      <c r="F41" s="187"/>
      <c r="G41" s="187"/>
    </row>
    <row r="42" spans="1:7" x14ac:dyDescent="0.25">
      <c r="B42" s="187" t="s">
        <v>194</v>
      </c>
      <c r="C42" s="187"/>
      <c r="D42" s="187"/>
      <c r="E42" s="187" t="s">
        <v>195</v>
      </c>
      <c r="F42" s="187"/>
      <c r="G42" s="187"/>
    </row>
    <row r="43" spans="1:7" x14ac:dyDescent="0.25">
      <c r="B43" s="188" t="s">
        <v>196</v>
      </c>
      <c r="C43" s="188"/>
      <c r="D43" s="188"/>
      <c r="E43" s="188" t="s">
        <v>197</v>
      </c>
      <c r="F43" s="188"/>
      <c r="G43" s="188"/>
    </row>
    <row r="45" spans="1:7" ht="15.75" thickBot="1" x14ac:dyDescent="0.3"/>
    <row r="46" spans="1:7" ht="17.25" thickTop="1" thickBot="1" x14ac:dyDescent="0.3">
      <c r="A46" s="45" t="s">
        <v>198</v>
      </c>
      <c r="B46" s="45" t="s">
        <v>170</v>
      </c>
      <c r="C46" s="46" t="s">
        <v>199</v>
      </c>
      <c r="D46" s="46" t="s">
        <v>200</v>
      </c>
      <c r="E46" s="46" t="s">
        <v>201</v>
      </c>
    </row>
    <row r="47" spans="1:7" ht="31.5" thickTop="1" thickBot="1" x14ac:dyDescent="0.3">
      <c r="A47" s="47">
        <v>1</v>
      </c>
      <c r="B47" s="48" t="s">
        <v>202</v>
      </c>
      <c r="C47" s="49">
        <v>0</v>
      </c>
      <c r="D47" s="50">
        <v>0.1</v>
      </c>
      <c r="E47" s="49">
        <v>0.1</v>
      </c>
    </row>
    <row r="48" spans="1:7" ht="31.5" thickTop="1" thickBot="1" x14ac:dyDescent="0.3">
      <c r="A48" s="47">
        <v>2</v>
      </c>
      <c r="B48" s="48" t="s">
        <v>203</v>
      </c>
      <c r="C48" s="49" t="s">
        <v>204</v>
      </c>
      <c r="D48" s="50" t="s">
        <v>205</v>
      </c>
      <c r="E48" s="49">
        <v>0.3</v>
      </c>
    </row>
    <row r="49" spans="1:5" ht="61.5" thickTop="1" thickBot="1" x14ac:dyDescent="0.3">
      <c r="A49" s="47">
        <v>3</v>
      </c>
      <c r="B49" s="48" t="s">
        <v>206</v>
      </c>
      <c r="C49" s="49" t="s">
        <v>207</v>
      </c>
      <c r="D49" s="50" t="s">
        <v>208</v>
      </c>
      <c r="E49" s="49">
        <v>0.45</v>
      </c>
    </row>
    <row r="50" spans="1:5" ht="76.5" thickTop="1" thickBot="1" x14ac:dyDescent="0.3">
      <c r="A50" s="47">
        <v>4</v>
      </c>
      <c r="B50" s="48" t="s">
        <v>209</v>
      </c>
      <c r="C50" s="49" t="s">
        <v>210</v>
      </c>
      <c r="D50" s="50" t="s">
        <v>211</v>
      </c>
      <c r="E50" s="49">
        <v>0.7</v>
      </c>
    </row>
    <row r="51" spans="1:5" ht="76.5" thickTop="1" thickBot="1" x14ac:dyDescent="0.3">
      <c r="A51" s="47">
        <v>5</v>
      </c>
      <c r="B51" s="48" t="s">
        <v>212</v>
      </c>
      <c r="C51" s="49" t="s">
        <v>213</v>
      </c>
      <c r="D51" s="50" t="s">
        <v>214</v>
      </c>
      <c r="E51" s="49">
        <v>0.75</v>
      </c>
    </row>
    <row r="52" spans="1:5" ht="76.5" thickTop="1" thickBot="1" x14ac:dyDescent="0.3">
      <c r="A52" s="47">
        <v>6</v>
      </c>
      <c r="B52" s="48" t="s">
        <v>215</v>
      </c>
      <c r="C52" s="49" t="s">
        <v>216</v>
      </c>
      <c r="D52" s="50" t="s">
        <v>217</v>
      </c>
      <c r="E52" s="49">
        <v>0.8</v>
      </c>
    </row>
    <row r="53" spans="1:5" ht="121.5" thickTop="1" thickBot="1" x14ac:dyDescent="0.3">
      <c r="A53" s="47">
        <v>7</v>
      </c>
      <c r="B53" s="48" t="s">
        <v>218</v>
      </c>
      <c r="C53" s="49" t="s">
        <v>219</v>
      </c>
      <c r="D53" s="50" t="s">
        <v>220</v>
      </c>
      <c r="E53" s="49">
        <v>0.85</v>
      </c>
    </row>
    <row r="54" spans="1:5" ht="211.5" thickTop="1" thickBot="1" x14ac:dyDescent="0.3">
      <c r="A54" s="47">
        <v>8</v>
      </c>
      <c r="B54" s="48" t="s">
        <v>221</v>
      </c>
      <c r="C54" s="49" t="s">
        <v>222</v>
      </c>
      <c r="D54" s="50" t="s">
        <v>223</v>
      </c>
      <c r="E54" s="49">
        <v>0.95</v>
      </c>
    </row>
    <row r="55" spans="1:5" ht="91.5" thickTop="1" thickBot="1" x14ac:dyDescent="0.3">
      <c r="A55" s="47">
        <v>9</v>
      </c>
      <c r="B55" s="48" t="s">
        <v>224</v>
      </c>
      <c r="C55" s="49" t="s">
        <v>225</v>
      </c>
      <c r="D55" s="50" t="s">
        <v>226</v>
      </c>
      <c r="E55" s="49">
        <v>1</v>
      </c>
    </row>
    <row r="56" spans="1:5" ht="15.75" thickTop="1" x14ac:dyDescent="0.25"/>
  </sheetData>
  <mergeCells count="50">
    <mergeCell ref="A6:B6"/>
    <mergeCell ref="C6:D6"/>
    <mergeCell ref="F6:G6"/>
    <mergeCell ref="A3:I3"/>
    <mergeCell ref="A4:C5"/>
    <mergeCell ref="D4:D5"/>
    <mergeCell ref="F4:G4"/>
    <mergeCell ref="F5:G5"/>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6:B16"/>
    <mergeCell ref="C16:D16"/>
    <mergeCell ref="A17:B17"/>
    <mergeCell ref="C17:D17"/>
    <mergeCell ref="A18:B18"/>
    <mergeCell ref="C18:D18"/>
    <mergeCell ref="B23:G23"/>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35"/>
  <sheetViews>
    <sheetView topLeftCell="A25" workbookViewId="0">
      <selection activeCell="C37" sqref="C37"/>
    </sheetView>
  </sheetViews>
  <sheetFormatPr defaultRowHeight="15" x14ac:dyDescent="0.25"/>
  <cols>
    <col min="2" max="2" width="3" bestFit="1" customWidth="1"/>
    <col min="3" max="3" width="155.28515625" customWidth="1"/>
  </cols>
  <sheetData>
    <row r="2" spans="2:3" ht="30" x14ac:dyDescent="0.25">
      <c r="B2" s="39">
        <v>1</v>
      </c>
      <c r="C2" s="57" t="s">
        <v>245</v>
      </c>
    </row>
    <row r="3" spans="2:3" x14ac:dyDescent="0.25">
      <c r="B3" s="39">
        <v>2</v>
      </c>
      <c r="C3" s="58" t="s">
        <v>246</v>
      </c>
    </row>
    <row r="4" spans="2:3" x14ac:dyDescent="0.25">
      <c r="B4" s="39">
        <v>3</v>
      </c>
      <c r="C4" s="39" t="s">
        <v>247</v>
      </c>
    </row>
    <row r="5" spans="2:3" x14ac:dyDescent="0.25">
      <c r="B5" s="39">
        <v>4</v>
      </c>
      <c r="C5" s="58" t="s">
        <v>248</v>
      </c>
    </row>
    <row r="6" spans="2:3" x14ac:dyDescent="0.25">
      <c r="B6" s="39">
        <v>5</v>
      </c>
      <c r="C6" s="39" t="s">
        <v>249</v>
      </c>
    </row>
    <row r="7" spans="2:3" ht="30" x14ac:dyDescent="0.25">
      <c r="B7" s="39">
        <v>6</v>
      </c>
      <c r="C7" s="58" t="s">
        <v>250</v>
      </c>
    </row>
    <row r="8" spans="2:3" ht="75" x14ac:dyDescent="0.25">
      <c r="B8" s="39">
        <v>7</v>
      </c>
      <c r="C8" s="58" t="s">
        <v>251</v>
      </c>
    </row>
    <row r="9" spans="2:3" x14ac:dyDescent="0.25">
      <c r="B9" s="39">
        <v>8</v>
      </c>
      <c r="C9" s="39" t="s">
        <v>252</v>
      </c>
    </row>
    <row r="10" spans="2:3" x14ac:dyDescent="0.25">
      <c r="B10" s="39">
        <v>9</v>
      </c>
      <c r="C10" s="39" t="s">
        <v>253</v>
      </c>
    </row>
    <row r="11" spans="2:3" x14ac:dyDescent="0.25">
      <c r="B11" s="39">
        <v>10</v>
      </c>
      <c r="C11" s="39" t="s">
        <v>254</v>
      </c>
    </row>
    <row r="12" spans="2:3" x14ac:dyDescent="0.25">
      <c r="B12" s="39">
        <v>11</v>
      </c>
      <c r="C12" s="39" t="s">
        <v>255</v>
      </c>
    </row>
    <row r="13" spans="2:3" x14ac:dyDescent="0.25">
      <c r="B13" s="39">
        <v>12</v>
      </c>
      <c r="C13" s="39" t="s">
        <v>256</v>
      </c>
    </row>
    <row r="14" spans="2:3" x14ac:dyDescent="0.25">
      <c r="B14" s="39">
        <v>13</v>
      </c>
      <c r="C14" s="39" t="s">
        <v>257</v>
      </c>
    </row>
    <row r="15" spans="2:3" x14ac:dyDescent="0.25">
      <c r="B15" s="39">
        <v>14</v>
      </c>
      <c r="C15" s="39" t="s">
        <v>247</v>
      </c>
    </row>
    <row r="16" spans="2:3" x14ac:dyDescent="0.25">
      <c r="B16" s="39">
        <v>15</v>
      </c>
      <c r="C16" s="39" t="s">
        <v>240</v>
      </c>
    </row>
    <row r="17" spans="2:3" x14ac:dyDescent="0.25">
      <c r="B17" s="59">
        <v>16</v>
      </c>
      <c r="C17" s="60" t="s">
        <v>258</v>
      </c>
    </row>
    <row r="18" spans="2:3" x14ac:dyDescent="0.25">
      <c r="B18" s="61">
        <v>17</v>
      </c>
      <c r="C18" s="60" t="s">
        <v>259</v>
      </c>
    </row>
    <row r="19" spans="2:3" x14ac:dyDescent="0.25">
      <c r="B19" s="62">
        <v>18</v>
      </c>
      <c r="C19" s="39" t="s">
        <v>260</v>
      </c>
    </row>
    <row r="20" spans="2:3" x14ac:dyDescent="0.25">
      <c r="B20" s="61">
        <v>19</v>
      </c>
      <c r="C20" s="39" t="s">
        <v>261</v>
      </c>
    </row>
    <row r="21" spans="2:3" x14ac:dyDescent="0.25">
      <c r="B21" s="39">
        <v>20</v>
      </c>
      <c r="C21" s="39" t="s">
        <v>262</v>
      </c>
    </row>
    <row r="22" spans="2:3" x14ac:dyDescent="0.25">
      <c r="B22" s="61">
        <v>21</v>
      </c>
      <c r="C22" s="39" t="s">
        <v>260</v>
      </c>
    </row>
    <row r="23" spans="2:3" s="64" customFormat="1" ht="30" x14ac:dyDescent="0.25">
      <c r="B23" s="63">
        <v>22</v>
      </c>
      <c r="C23" s="57" t="s">
        <v>263</v>
      </c>
    </row>
    <row r="24" spans="2:3" s="64" customFormat="1" ht="30" x14ac:dyDescent="0.25">
      <c r="B24" s="65">
        <v>23</v>
      </c>
      <c r="C24" s="57" t="s">
        <v>264</v>
      </c>
    </row>
    <row r="25" spans="2:3" x14ac:dyDescent="0.25">
      <c r="B25" s="39">
        <v>24</v>
      </c>
      <c r="C25" s="39" t="s">
        <v>265</v>
      </c>
    </row>
    <row r="26" spans="2:3" x14ac:dyDescent="0.25">
      <c r="B26" s="61">
        <v>25</v>
      </c>
      <c r="C26" s="39" t="s">
        <v>266</v>
      </c>
    </row>
    <row r="27" spans="2:3" x14ac:dyDescent="0.25">
      <c r="B27" s="65">
        <v>26</v>
      </c>
      <c r="C27" s="39" t="s">
        <v>267</v>
      </c>
    </row>
    <row r="28" spans="2:3" x14ac:dyDescent="0.25">
      <c r="B28" s="61">
        <v>27</v>
      </c>
      <c r="C28" s="39" t="s">
        <v>268</v>
      </c>
    </row>
    <row r="29" spans="2:3" ht="60" x14ac:dyDescent="0.25">
      <c r="B29" s="66">
        <v>28</v>
      </c>
      <c r="C29" s="58" t="s">
        <v>269</v>
      </c>
    </row>
    <row r="30" spans="2:3" x14ac:dyDescent="0.25">
      <c r="B30" s="65">
        <v>29</v>
      </c>
      <c r="C30" s="39" t="s">
        <v>270</v>
      </c>
    </row>
    <row r="31" spans="2:3" ht="30" x14ac:dyDescent="0.25">
      <c r="B31" s="65">
        <v>30</v>
      </c>
      <c r="C31" s="58" t="s">
        <v>298</v>
      </c>
    </row>
    <row r="32" spans="2:3" x14ac:dyDescent="0.25">
      <c r="B32" s="65">
        <v>31</v>
      </c>
      <c r="C32" s="39" t="s">
        <v>299</v>
      </c>
    </row>
    <row r="33" spans="2:3" x14ac:dyDescent="0.25">
      <c r="B33" s="65">
        <v>32</v>
      </c>
      <c r="C33" s="39" t="s">
        <v>300</v>
      </c>
    </row>
    <row r="34" spans="2:3" ht="30" x14ac:dyDescent="0.25">
      <c r="B34" s="65">
        <v>33</v>
      </c>
      <c r="C34" s="60" t="s">
        <v>301</v>
      </c>
    </row>
    <row r="35" spans="2:3" x14ac:dyDescent="0.25">
      <c r="B35" s="65">
        <v>34</v>
      </c>
      <c r="C35" s="3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67"/>
    <col min="2" max="2" width="12.28515625" style="67" customWidth="1"/>
    <col min="3" max="16384" width="9.140625" style="67"/>
  </cols>
  <sheetData>
    <row r="2" spans="1:12" x14ac:dyDescent="0.25">
      <c r="B2" s="68" t="s">
        <v>271</v>
      </c>
      <c r="C2" s="198"/>
      <c r="D2" s="198"/>
    </row>
    <row r="3" spans="1:12" x14ac:dyDescent="0.25">
      <c r="D3" s="69"/>
      <c r="E3" s="69"/>
      <c r="F3" s="69"/>
      <c r="G3" s="69"/>
      <c r="H3" s="69"/>
      <c r="I3" s="69"/>
    </row>
    <row r="4" spans="1:12" x14ac:dyDescent="0.25">
      <c r="A4" s="68" t="s">
        <v>272</v>
      </c>
      <c r="B4" s="56" t="s">
        <v>273</v>
      </c>
      <c r="C4" s="199" t="s">
        <v>274</v>
      </c>
      <c r="D4" s="199"/>
      <c r="E4" s="199"/>
      <c r="F4" s="56"/>
      <c r="G4" s="200" t="s">
        <v>275</v>
      </c>
      <c r="H4" s="200"/>
      <c r="I4" s="200"/>
      <c r="J4" s="201" t="s">
        <v>276</v>
      </c>
      <c r="K4" s="201"/>
      <c r="L4" s="201"/>
    </row>
    <row r="5" spans="1:12" x14ac:dyDescent="0.25">
      <c r="A5" s="68"/>
      <c r="B5" s="56"/>
      <c r="C5" s="56" t="s">
        <v>277</v>
      </c>
      <c r="D5" s="56" t="s">
        <v>278</v>
      </c>
      <c r="E5" s="56" t="s">
        <v>279</v>
      </c>
      <c r="F5" s="56"/>
      <c r="G5" s="56" t="s">
        <v>277</v>
      </c>
      <c r="H5" s="56" t="s">
        <v>278</v>
      </c>
      <c r="I5" s="56" t="s">
        <v>279</v>
      </c>
      <c r="J5" s="56" t="s">
        <v>277</v>
      </c>
      <c r="K5" s="56" t="s">
        <v>278</v>
      </c>
      <c r="L5" s="56" t="s">
        <v>279</v>
      </c>
    </row>
    <row r="6" spans="1:12" x14ac:dyDescent="0.25">
      <c r="B6" s="55" t="s">
        <v>280</v>
      </c>
      <c r="C6" s="55"/>
      <c r="D6" s="55"/>
      <c r="E6" s="55">
        <f>C6*D6</f>
        <v>0</v>
      </c>
      <c r="F6" s="55" t="s">
        <v>281</v>
      </c>
      <c r="G6" s="55"/>
      <c r="H6" s="55"/>
      <c r="I6" s="55">
        <f>G6*H6</f>
        <v>0</v>
      </c>
      <c r="J6" s="55"/>
      <c r="K6" s="55"/>
      <c r="L6" s="55">
        <f>J6*K6</f>
        <v>0</v>
      </c>
    </row>
    <row r="7" spans="1:12" x14ac:dyDescent="0.25">
      <c r="B7" s="55"/>
      <c r="C7" s="55"/>
      <c r="D7" s="55"/>
      <c r="E7" s="55">
        <f t="shared" ref="E7:E41" si="0">C7*D7</f>
        <v>0</v>
      </c>
      <c r="F7" s="55" t="s">
        <v>281</v>
      </c>
      <c r="G7" s="55"/>
      <c r="H7" s="55"/>
      <c r="I7" s="55">
        <f t="shared" ref="I7:I35" si="1">G7*H7</f>
        <v>0</v>
      </c>
      <c r="J7" s="55"/>
      <c r="K7" s="55"/>
      <c r="L7" s="55">
        <f t="shared" ref="L7:L35" si="2">J7*K7</f>
        <v>0</v>
      </c>
    </row>
    <row r="8" spans="1:12" x14ac:dyDescent="0.25">
      <c r="B8" s="55"/>
      <c r="C8" s="55"/>
      <c r="D8" s="55"/>
      <c r="E8" s="55">
        <f t="shared" si="0"/>
        <v>0</v>
      </c>
      <c r="F8" s="55"/>
      <c r="G8" s="55"/>
      <c r="H8" s="55"/>
      <c r="I8" s="55">
        <f t="shared" si="1"/>
        <v>0</v>
      </c>
      <c r="J8" s="55"/>
      <c r="K8" s="55"/>
      <c r="L8" s="55">
        <f t="shared" si="2"/>
        <v>0</v>
      </c>
    </row>
    <row r="9" spans="1:12" x14ac:dyDescent="0.25">
      <c r="B9" s="55"/>
      <c r="C9" s="55"/>
      <c r="D9" s="55"/>
      <c r="E9" s="55">
        <f t="shared" si="0"/>
        <v>0</v>
      </c>
      <c r="F9" s="55" t="s">
        <v>282</v>
      </c>
      <c r="G9" s="55"/>
      <c r="H9" s="55"/>
      <c r="I9" s="55">
        <f t="shared" si="1"/>
        <v>0</v>
      </c>
      <c r="J9" s="55"/>
      <c r="K9" s="55"/>
      <c r="L9" s="55">
        <f t="shared" si="2"/>
        <v>0</v>
      </c>
    </row>
    <row r="10" spans="1:12" x14ac:dyDescent="0.25">
      <c r="B10" s="55" t="s">
        <v>283</v>
      </c>
      <c r="C10" s="55"/>
      <c r="D10" s="55"/>
      <c r="E10" s="55">
        <f t="shared" si="0"/>
        <v>0</v>
      </c>
      <c r="F10" s="55" t="s">
        <v>282</v>
      </c>
      <c r="G10" s="55"/>
      <c r="H10" s="55"/>
      <c r="I10" s="55">
        <f t="shared" si="1"/>
        <v>0</v>
      </c>
      <c r="J10" s="55"/>
      <c r="K10" s="55"/>
      <c r="L10" s="55">
        <f t="shared" si="2"/>
        <v>0</v>
      </c>
    </row>
    <row r="11" spans="1:12" x14ac:dyDescent="0.25">
      <c r="B11" s="55"/>
      <c r="C11" s="55"/>
      <c r="D11" s="55"/>
      <c r="E11" s="55">
        <f t="shared" si="0"/>
        <v>0</v>
      </c>
      <c r="F11" s="55" t="s">
        <v>284</v>
      </c>
      <c r="G11" s="55"/>
      <c r="H11" s="55"/>
      <c r="I11" s="55">
        <f t="shared" si="1"/>
        <v>0</v>
      </c>
      <c r="J11" s="55"/>
      <c r="K11" s="55"/>
      <c r="L11" s="55">
        <f t="shared" si="2"/>
        <v>0</v>
      </c>
    </row>
    <row r="12" spans="1:12" x14ac:dyDescent="0.25">
      <c r="B12" s="55"/>
      <c r="C12" s="55"/>
      <c r="D12" s="55"/>
      <c r="E12" s="55">
        <f t="shared" si="0"/>
        <v>0</v>
      </c>
      <c r="F12" s="55"/>
      <c r="G12" s="55"/>
      <c r="H12" s="55"/>
      <c r="I12" s="55">
        <f t="shared" si="1"/>
        <v>0</v>
      </c>
      <c r="J12" s="55"/>
      <c r="K12" s="55"/>
      <c r="L12" s="55">
        <f t="shared" si="2"/>
        <v>0</v>
      </c>
    </row>
    <row r="13" spans="1:12" x14ac:dyDescent="0.25">
      <c r="B13" s="55"/>
      <c r="C13" s="55"/>
      <c r="D13" s="55"/>
      <c r="E13" s="55">
        <f t="shared" si="0"/>
        <v>0</v>
      </c>
      <c r="F13" s="55"/>
      <c r="G13" s="55"/>
      <c r="H13" s="55"/>
      <c r="I13" s="55">
        <f t="shared" si="1"/>
        <v>0</v>
      </c>
      <c r="J13" s="55"/>
      <c r="K13" s="55"/>
      <c r="L13" s="55">
        <f t="shared" si="2"/>
        <v>0</v>
      </c>
    </row>
    <row r="14" spans="1:12" x14ac:dyDescent="0.25">
      <c r="B14" s="55" t="s">
        <v>285</v>
      </c>
      <c r="C14" s="55"/>
      <c r="D14" s="55"/>
      <c r="E14" s="55">
        <f t="shared" si="0"/>
        <v>0</v>
      </c>
      <c r="F14" s="55" t="s">
        <v>282</v>
      </c>
      <c r="G14" s="55"/>
      <c r="H14" s="55"/>
      <c r="I14" s="55">
        <f t="shared" si="1"/>
        <v>0</v>
      </c>
      <c r="J14" s="55"/>
      <c r="K14" s="55"/>
      <c r="L14" s="55">
        <f t="shared" si="2"/>
        <v>0</v>
      </c>
    </row>
    <row r="15" spans="1:12" x14ac:dyDescent="0.25">
      <c r="B15" s="55"/>
      <c r="C15" s="55"/>
      <c r="D15" s="55"/>
      <c r="E15" s="55">
        <f t="shared" si="0"/>
        <v>0</v>
      </c>
      <c r="F15" s="55" t="s">
        <v>284</v>
      </c>
      <c r="G15" s="55"/>
      <c r="H15" s="55"/>
      <c r="I15" s="55">
        <f t="shared" si="1"/>
        <v>0</v>
      </c>
      <c r="J15" s="55"/>
      <c r="K15" s="55"/>
      <c r="L15" s="55">
        <f t="shared" si="2"/>
        <v>0</v>
      </c>
    </row>
    <row r="16" spans="1:12" x14ac:dyDescent="0.25">
      <c r="B16" s="55"/>
      <c r="C16" s="55"/>
      <c r="D16" s="55"/>
      <c r="E16" s="55">
        <f t="shared" si="0"/>
        <v>0</v>
      </c>
      <c r="F16" s="55"/>
      <c r="G16" s="55"/>
      <c r="H16" s="55"/>
      <c r="I16" s="55">
        <f t="shared" si="1"/>
        <v>0</v>
      </c>
      <c r="J16" s="55"/>
      <c r="K16" s="55"/>
      <c r="L16" s="55">
        <f t="shared" si="2"/>
        <v>0</v>
      </c>
    </row>
    <row r="17" spans="2:12" x14ac:dyDescent="0.25">
      <c r="B17" s="55"/>
      <c r="C17" s="55"/>
      <c r="D17" s="55"/>
      <c r="E17" s="55">
        <f t="shared" si="0"/>
        <v>0</v>
      </c>
      <c r="F17" s="55"/>
      <c r="G17" s="55"/>
      <c r="H17" s="55"/>
      <c r="I17" s="55">
        <f t="shared" si="1"/>
        <v>0</v>
      </c>
      <c r="J17" s="55"/>
      <c r="K17" s="55"/>
      <c r="L17" s="55">
        <f t="shared" si="2"/>
        <v>0</v>
      </c>
    </row>
    <row r="18" spans="2:12" x14ac:dyDescent="0.25">
      <c r="B18" s="55" t="s">
        <v>286</v>
      </c>
      <c r="C18" s="55"/>
      <c r="D18" s="55"/>
      <c r="E18" s="55">
        <f t="shared" si="0"/>
        <v>0</v>
      </c>
      <c r="F18" s="55" t="s">
        <v>282</v>
      </c>
      <c r="G18" s="55"/>
      <c r="H18" s="55"/>
      <c r="I18" s="55">
        <f t="shared" si="1"/>
        <v>0</v>
      </c>
      <c r="J18" s="55"/>
      <c r="K18" s="55"/>
      <c r="L18" s="55">
        <f t="shared" si="2"/>
        <v>0</v>
      </c>
    </row>
    <row r="19" spans="2:12" x14ac:dyDescent="0.25">
      <c r="B19" s="55"/>
      <c r="C19" s="55"/>
      <c r="D19" s="55"/>
      <c r="E19" s="55">
        <f t="shared" si="0"/>
        <v>0</v>
      </c>
      <c r="F19" s="55" t="s">
        <v>284</v>
      </c>
      <c r="G19" s="55"/>
      <c r="H19" s="55"/>
      <c r="I19" s="55">
        <f t="shared" si="1"/>
        <v>0</v>
      </c>
      <c r="J19" s="55"/>
      <c r="K19" s="55"/>
      <c r="L19" s="55">
        <f t="shared" si="2"/>
        <v>0</v>
      </c>
    </row>
    <row r="20" spans="2:12" x14ac:dyDescent="0.25">
      <c r="B20" s="55"/>
      <c r="C20" s="55"/>
      <c r="D20" s="55"/>
      <c r="E20" s="55">
        <f t="shared" si="0"/>
        <v>0</v>
      </c>
      <c r="F20" s="55"/>
      <c r="G20" s="55"/>
      <c r="H20" s="55"/>
      <c r="I20" s="55">
        <f t="shared" si="1"/>
        <v>0</v>
      </c>
      <c r="J20" s="55"/>
      <c r="K20" s="55"/>
      <c r="L20" s="55">
        <f t="shared" si="2"/>
        <v>0</v>
      </c>
    </row>
    <row r="21" spans="2:12" x14ac:dyDescent="0.25">
      <c r="B21" s="55" t="s">
        <v>287</v>
      </c>
      <c r="C21" s="55"/>
      <c r="D21" s="55"/>
      <c r="E21" s="55">
        <f t="shared" si="0"/>
        <v>0</v>
      </c>
      <c r="F21" s="55" t="s">
        <v>282</v>
      </c>
      <c r="G21" s="55"/>
      <c r="H21" s="55"/>
      <c r="I21" s="55">
        <f t="shared" si="1"/>
        <v>0</v>
      </c>
      <c r="J21" s="55"/>
      <c r="K21" s="55"/>
      <c r="L21" s="55">
        <f t="shared" si="2"/>
        <v>0</v>
      </c>
    </row>
    <row r="22" spans="2:12" x14ac:dyDescent="0.25">
      <c r="B22" s="55"/>
      <c r="C22" s="55"/>
      <c r="D22" s="55"/>
      <c r="E22" s="55">
        <f t="shared" si="0"/>
        <v>0</v>
      </c>
      <c r="F22" s="55" t="s">
        <v>284</v>
      </c>
      <c r="G22" s="55"/>
      <c r="H22" s="55"/>
      <c r="I22" s="55">
        <f t="shared" si="1"/>
        <v>0</v>
      </c>
      <c r="J22" s="55"/>
      <c r="K22" s="55"/>
      <c r="L22" s="55">
        <f t="shared" si="2"/>
        <v>0</v>
      </c>
    </row>
    <row r="23" spans="2:12" x14ac:dyDescent="0.25">
      <c r="B23" s="55"/>
      <c r="C23" s="55"/>
      <c r="D23" s="55"/>
      <c r="E23" s="55">
        <f t="shared" si="0"/>
        <v>0</v>
      </c>
      <c r="F23" s="55"/>
      <c r="G23" s="55"/>
      <c r="H23" s="55"/>
      <c r="I23" s="55">
        <f t="shared" si="1"/>
        <v>0</v>
      </c>
      <c r="J23" s="55"/>
      <c r="K23" s="55"/>
      <c r="L23" s="55">
        <f t="shared" si="2"/>
        <v>0</v>
      </c>
    </row>
    <row r="24" spans="2:12" x14ac:dyDescent="0.25">
      <c r="B24" s="55" t="s">
        <v>288</v>
      </c>
      <c r="C24" s="55"/>
      <c r="D24" s="55"/>
      <c r="E24" s="55">
        <f t="shared" si="0"/>
        <v>0</v>
      </c>
      <c r="F24" s="55" t="s">
        <v>289</v>
      </c>
      <c r="G24" s="55"/>
      <c r="H24" s="55"/>
      <c r="I24" s="55">
        <f t="shared" si="1"/>
        <v>0</v>
      </c>
      <c r="J24" s="55"/>
      <c r="K24" s="55"/>
      <c r="L24" s="55">
        <f t="shared" si="2"/>
        <v>0</v>
      </c>
    </row>
    <row r="25" spans="2:12" x14ac:dyDescent="0.25">
      <c r="B25" s="55"/>
      <c r="C25" s="55"/>
      <c r="D25" s="55"/>
      <c r="E25" s="55">
        <f t="shared" si="0"/>
        <v>0</v>
      </c>
      <c r="F25" s="55" t="s">
        <v>289</v>
      </c>
      <c r="G25" s="55"/>
      <c r="H25" s="55"/>
      <c r="I25" s="55">
        <f t="shared" si="1"/>
        <v>0</v>
      </c>
      <c r="J25" s="55"/>
      <c r="K25" s="55"/>
      <c r="L25" s="55">
        <f t="shared" si="2"/>
        <v>0</v>
      </c>
    </row>
    <row r="26" spans="2:12" x14ac:dyDescent="0.25">
      <c r="B26" s="55"/>
      <c r="C26" s="55"/>
      <c r="D26" s="55"/>
      <c r="E26" s="55">
        <f t="shared" si="0"/>
        <v>0</v>
      </c>
      <c r="F26" s="55" t="s">
        <v>289</v>
      </c>
      <c r="G26" s="55"/>
      <c r="H26" s="55"/>
      <c r="I26" s="55">
        <f t="shared" si="1"/>
        <v>0</v>
      </c>
      <c r="J26" s="55"/>
      <c r="K26" s="55"/>
      <c r="L26" s="55">
        <f t="shared" si="2"/>
        <v>0</v>
      </c>
    </row>
    <row r="27" spans="2:12" x14ac:dyDescent="0.25">
      <c r="B27" s="55"/>
      <c r="C27" s="55"/>
      <c r="D27" s="55"/>
      <c r="E27" s="55">
        <f t="shared" si="0"/>
        <v>0</v>
      </c>
      <c r="F27" s="55" t="s">
        <v>289</v>
      </c>
      <c r="G27" s="55"/>
      <c r="H27" s="55"/>
      <c r="I27" s="55">
        <f t="shared" si="1"/>
        <v>0</v>
      </c>
      <c r="J27" s="55"/>
      <c r="K27" s="55"/>
      <c r="L27" s="55">
        <f t="shared" si="2"/>
        <v>0</v>
      </c>
    </row>
    <row r="28" spans="2:12" x14ac:dyDescent="0.25">
      <c r="B28" s="55" t="s">
        <v>290</v>
      </c>
      <c r="C28" s="55"/>
      <c r="D28" s="55"/>
      <c r="E28" s="55">
        <f t="shared" si="0"/>
        <v>0</v>
      </c>
      <c r="F28" s="55" t="s">
        <v>289</v>
      </c>
      <c r="G28" s="55"/>
      <c r="H28" s="55"/>
      <c r="I28" s="55">
        <f t="shared" si="1"/>
        <v>0</v>
      </c>
      <c r="J28" s="55"/>
      <c r="K28" s="55"/>
      <c r="L28" s="55">
        <f t="shared" si="2"/>
        <v>0</v>
      </c>
    </row>
    <row r="29" spans="2:12" x14ac:dyDescent="0.25">
      <c r="B29" s="55" t="s">
        <v>291</v>
      </c>
      <c r="C29" s="55"/>
      <c r="D29" s="55"/>
      <c r="E29" s="55">
        <f t="shared" si="0"/>
        <v>0</v>
      </c>
      <c r="F29" s="55" t="s">
        <v>289</v>
      </c>
      <c r="G29" s="55"/>
      <c r="H29" s="55"/>
      <c r="I29" s="55">
        <f t="shared" si="1"/>
        <v>0</v>
      </c>
      <c r="J29" s="55"/>
      <c r="K29" s="55"/>
      <c r="L29" s="55">
        <f t="shared" si="2"/>
        <v>0</v>
      </c>
    </row>
    <row r="30" spans="2:12" x14ac:dyDescent="0.25">
      <c r="B30" s="55" t="s">
        <v>292</v>
      </c>
      <c r="C30" s="55"/>
      <c r="D30" s="55"/>
      <c r="E30" s="55">
        <f t="shared" si="0"/>
        <v>0</v>
      </c>
      <c r="F30" s="55"/>
      <c r="G30" s="55"/>
      <c r="H30" s="55"/>
      <c r="I30" s="55">
        <f t="shared" si="1"/>
        <v>0</v>
      </c>
      <c r="J30" s="55"/>
      <c r="K30" s="55"/>
      <c r="L30" s="55">
        <f t="shared" si="2"/>
        <v>0</v>
      </c>
    </row>
    <row r="31" spans="2:12" x14ac:dyDescent="0.25">
      <c r="B31" s="55"/>
      <c r="C31" s="55"/>
      <c r="D31" s="55"/>
      <c r="E31" s="55">
        <f t="shared" si="0"/>
        <v>0</v>
      </c>
      <c r="F31" s="55"/>
      <c r="G31" s="55"/>
      <c r="H31" s="55"/>
      <c r="I31" s="55">
        <f t="shared" si="1"/>
        <v>0</v>
      </c>
      <c r="J31" s="55"/>
      <c r="K31" s="55"/>
      <c r="L31" s="55">
        <f t="shared" si="2"/>
        <v>0</v>
      </c>
    </row>
    <row r="32" spans="2:12" x14ac:dyDescent="0.25">
      <c r="B32" s="55"/>
      <c r="C32" s="55"/>
      <c r="D32" s="55"/>
      <c r="E32" s="55">
        <f t="shared" si="0"/>
        <v>0</v>
      </c>
      <c r="F32" s="55"/>
      <c r="G32" s="55"/>
      <c r="H32" s="55"/>
      <c r="I32" s="55">
        <f t="shared" si="1"/>
        <v>0</v>
      </c>
      <c r="J32" s="55"/>
      <c r="K32" s="55"/>
      <c r="L32" s="55">
        <f t="shared" si="2"/>
        <v>0</v>
      </c>
    </row>
    <row r="33" spans="2:12" x14ac:dyDescent="0.25">
      <c r="B33" s="55" t="s">
        <v>293</v>
      </c>
      <c r="C33" s="55"/>
      <c r="D33" s="55"/>
      <c r="E33" s="55">
        <f t="shared" si="0"/>
        <v>0</v>
      </c>
      <c r="F33" s="55"/>
      <c r="G33" s="55"/>
      <c r="H33" s="55"/>
      <c r="I33" s="55">
        <f t="shared" si="1"/>
        <v>0</v>
      </c>
      <c r="J33" s="55"/>
      <c r="K33" s="55"/>
      <c r="L33" s="55">
        <f t="shared" si="2"/>
        <v>0</v>
      </c>
    </row>
    <row r="34" spans="2:12" x14ac:dyDescent="0.25">
      <c r="B34" s="55" t="s">
        <v>294</v>
      </c>
      <c r="C34" s="55"/>
      <c r="D34" s="55"/>
      <c r="E34" s="55">
        <f t="shared" si="0"/>
        <v>0</v>
      </c>
      <c r="F34" s="55"/>
      <c r="G34" s="55"/>
      <c r="H34" s="55"/>
      <c r="I34" s="55">
        <f t="shared" si="1"/>
        <v>0</v>
      </c>
      <c r="J34" s="55"/>
      <c r="K34" s="55"/>
      <c r="L34" s="55">
        <f t="shared" si="2"/>
        <v>0</v>
      </c>
    </row>
    <row r="35" spans="2:12" x14ac:dyDescent="0.25">
      <c r="B35" s="55" t="s">
        <v>295</v>
      </c>
      <c r="C35" s="55"/>
      <c r="D35" s="55"/>
      <c r="E35" s="55">
        <f t="shared" si="0"/>
        <v>0</v>
      </c>
      <c r="F35" s="55"/>
      <c r="G35" s="55"/>
      <c r="H35" s="55"/>
      <c r="I35" s="55">
        <f t="shared" si="1"/>
        <v>0</v>
      </c>
      <c r="J35" s="55"/>
      <c r="K35" s="55"/>
      <c r="L35" s="55">
        <f t="shared" si="2"/>
        <v>0</v>
      </c>
    </row>
    <row r="36" spans="2:12" x14ac:dyDescent="0.25">
      <c r="B36" s="55" t="s">
        <v>296</v>
      </c>
      <c r="C36" s="55"/>
      <c r="D36" s="55"/>
      <c r="E36" s="55">
        <f t="shared" si="0"/>
        <v>0</v>
      </c>
      <c r="F36" s="55"/>
      <c r="G36" s="55"/>
      <c r="H36" s="55"/>
      <c r="I36" s="55">
        <f>G36*H36</f>
        <v>0</v>
      </c>
      <c r="J36" s="55"/>
      <c r="K36" s="55"/>
      <c r="L36" s="55">
        <f>J36*K36</f>
        <v>0</v>
      </c>
    </row>
    <row r="37" spans="2:12" x14ac:dyDescent="0.25">
      <c r="B37" s="55"/>
      <c r="C37" s="55"/>
      <c r="D37" s="55"/>
      <c r="E37" s="55">
        <f t="shared" si="0"/>
        <v>0</v>
      </c>
      <c r="F37" s="55"/>
      <c r="G37" s="55"/>
      <c r="H37" s="55"/>
      <c r="I37" s="55">
        <f t="shared" ref="I37:I38" si="3">G37*H37</f>
        <v>0</v>
      </c>
      <c r="J37" s="55"/>
      <c r="K37" s="55"/>
      <c r="L37" s="55">
        <f t="shared" ref="L37:L38" si="4">J37*K37</f>
        <v>0</v>
      </c>
    </row>
    <row r="38" spans="2:12" x14ac:dyDescent="0.25">
      <c r="B38" s="55" t="s">
        <v>297</v>
      </c>
      <c r="C38" s="55"/>
      <c r="D38" s="55"/>
      <c r="E38" s="55">
        <f t="shared" si="0"/>
        <v>0</v>
      </c>
      <c r="F38" s="55"/>
      <c r="G38" s="55"/>
      <c r="H38" s="55"/>
      <c r="I38" s="55">
        <f t="shared" si="3"/>
        <v>0</v>
      </c>
      <c r="J38" s="55"/>
      <c r="K38" s="55"/>
      <c r="L38" s="55">
        <f t="shared" si="4"/>
        <v>0</v>
      </c>
    </row>
    <row r="39" spans="2:12" x14ac:dyDescent="0.25">
      <c r="B39" s="55"/>
      <c r="C39" s="55"/>
      <c r="D39" s="55"/>
      <c r="E39" s="55">
        <f t="shared" si="0"/>
        <v>0</v>
      </c>
      <c r="F39" s="55"/>
      <c r="G39" s="55"/>
      <c r="H39" s="55"/>
      <c r="I39" s="55">
        <f>G39*H39</f>
        <v>0</v>
      </c>
      <c r="J39" s="55"/>
      <c r="K39" s="55"/>
      <c r="L39" s="55">
        <f>J39*K39</f>
        <v>0</v>
      </c>
    </row>
    <row r="40" spans="2:12" x14ac:dyDescent="0.25">
      <c r="B40" s="55"/>
      <c r="C40" s="55"/>
      <c r="D40" s="55"/>
      <c r="E40" s="55">
        <f t="shared" si="0"/>
        <v>0</v>
      </c>
      <c r="F40" s="55"/>
      <c r="G40" s="55"/>
      <c r="H40" s="55"/>
      <c r="I40" s="55">
        <f>G40*H40</f>
        <v>0</v>
      </c>
      <c r="J40" s="55"/>
      <c r="K40" s="55"/>
      <c r="L40" s="55">
        <f>J40*K40</f>
        <v>0</v>
      </c>
    </row>
    <row r="41" spans="2:12" x14ac:dyDescent="0.25">
      <c r="B41" s="55"/>
      <c r="C41" s="55"/>
      <c r="D41" s="55"/>
      <c r="E41" s="55">
        <f t="shared" si="0"/>
        <v>0</v>
      </c>
      <c r="F41" s="55"/>
      <c r="G41" s="55"/>
      <c r="H41" s="55"/>
      <c r="I41" s="55">
        <f>G41*H41</f>
        <v>0</v>
      </c>
      <c r="J41" s="55"/>
      <c r="K41" s="55"/>
      <c r="L41" s="55">
        <f>J41*K41</f>
        <v>0</v>
      </c>
    </row>
    <row r="42" spans="2:12" x14ac:dyDescent="0.25">
      <c r="B42" s="55" t="s">
        <v>155</v>
      </c>
      <c r="C42" s="55"/>
      <c r="D42" s="55">
        <f>E42*10.764</f>
        <v>0</v>
      </c>
      <c r="E42" s="70">
        <f>SUM(E6:E41)</f>
        <v>0</v>
      </c>
      <c r="F42" s="55"/>
      <c r="G42" s="55"/>
      <c r="H42" s="55">
        <f>I42*10.764</f>
        <v>0</v>
      </c>
      <c r="I42" s="71">
        <f>SUM(I6:I41)</f>
        <v>0</v>
      </c>
      <c r="J42" s="55"/>
      <c r="K42" s="55">
        <f>L42*10.764</f>
        <v>0</v>
      </c>
      <c r="L42" s="72">
        <f>SUM(L6:L41)</f>
        <v>0</v>
      </c>
    </row>
    <row r="44" spans="2:12" x14ac:dyDescent="0.25">
      <c r="D44" s="67">
        <f>D42+H42</f>
        <v>0</v>
      </c>
      <c r="E44" s="67">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Construction table</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PC-51</cp:lastModifiedBy>
  <cp:lastPrinted>2025-09-01T11:32:20Z</cp:lastPrinted>
  <dcterms:created xsi:type="dcterms:W3CDTF">2010-11-23T11:42:48Z</dcterms:created>
  <dcterms:modified xsi:type="dcterms:W3CDTF">2025-09-01T11:38:09Z</dcterms:modified>
</cp:coreProperties>
</file>