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27-08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Report!$A$1:$H$411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1" i="1" l="1"/>
  <c r="J84" i="1" l="1"/>
  <c r="J83" i="1"/>
  <c r="J82" i="1"/>
  <c r="J81" i="1"/>
  <c r="I147" i="1" l="1"/>
  <c r="D217" i="1" l="1"/>
  <c r="D297" i="1"/>
  <c r="D302" i="1"/>
  <c r="D301" i="1"/>
  <c r="D300" i="1"/>
  <c r="G299" i="1"/>
  <c r="G300" i="1" s="1"/>
  <c r="G301" i="1" s="1"/>
  <c r="G302" i="1" s="1"/>
  <c r="D299" i="1"/>
  <c r="A299" i="1"/>
  <c r="A300" i="1" s="1"/>
  <c r="A301" i="1" s="1"/>
  <c r="A302" i="1" s="1"/>
  <c r="G296" i="1"/>
  <c r="G297" i="1" s="1"/>
  <c r="D296" i="1"/>
  <c r="A296" i="1"/>
  <c r="A297" i="1" s="1"/>
  <c r="D295" i="1"/>
  <c r="D293" i="1"/>
  <c r="D292" i="1"/>
  <c r="D291" i="1"/>
  <c r="G290" i="1"/>
  <c r="G291" i="1" s="1"/>
  <c r="G292" i="1" s="1"/>
  <c r="G293" i="1" s="1"/>
  <c r="G294" i="1" s="1"/>
  <c r="D290" i="1"/>
  <c r="A290" i="1"/>
  <c r="A291" i="1" s="1"/>
  <c r="A292" i="1" s="1"/>
  <c r="A293" i="1" s="1"/>
  <c r="A294" i="1" s="1"/>
  <c r="D288" i="1"/>
  <c r="D287" i="1"/>
  <c r="G286" i="1"/>
  <c r="G287" i="1" s="1"/>
  <c r="G288" i="1" s="1"/>
  <c r="D286" i="1"/>
  <c r="A286" i="1"/>
  <c r="A287" i="1" s="1"/>
  <c r="A288" i="1" s="1"/>
  <c r="D285" i="1"/>
  <c r="D284" i="1"/>
  <c r="D283" i="1"/>
  <c r="D282" i="1"/>
  <c r="G281" i="1"/>
  <c r="G282" i="1" s="1"/>
  <c r="G283" i="1" s="1"/>
  <c r="G284" i="1" s="1"/>
  <c r="D281" i="1"/>
  <c r="A281" i="1"/>
  <c r="A282" i="1" s="1"/>
  <c r="A283" i="1" s="1"/>
  <c r="A284" i="1" s="1"/>
  <c r="D279" i="1"/>
  <c r="D278" i="1"/>
  <c r="G277" i="1"/>
  <c r="G278" i="1" s="1"/>
  <c r="G279" i="1" s="1"/>
  <c r="D277" i="1"/>
  <c r="A277" i="1"/>
  <c r="A278" i="1" s="1"/>
  <c r="A279" i="1" s="1"/>
  <c r="D276" i="1"/>
  <c r="D275" i="1"/>
  <c r="D274" i="1"/>
  <c r="D273" i="1"/>
  <c r="G272" i="1"/>
  <c r="G273" i="1" s="1"/>
  <c r="G274" i="1" s="1"/>
  <c r="G275" i="1" s="1"/>
  <c r="D272" i="1"/>
  <c r="A272" i="1"/>
  <c r="A273" i="1" s="1"/>
  <c r="A274" i="1" s="1"/>
  <c r="A275" i="1" s="1"/>
  <c r="D270" i="1"/>
  <c r="G269" i="1"/>
  <c r="G270" i="1" s="1"/>
  <c r="D269" i="1"/>
  <c r="A269" i="1"/>
  <c r="A270" i="1" s="1"/>
  <c r="D268" i="1"/>
  <c r="D266" i="1"/>
  <c r="D265" i="1"/>
  <c r="D264" i="1"/>
  <c r="G263" i="1"/>
  <c r="G264" i="1" s="1"/>
  <c r="G265" i="1" s="1"/>
  <c r="G266" i="1" s="1"/>
  <c r="G267" i="1" s="1"/>
  <c r="D263" i="1"/>
  <c r="A263" i="1"/>
  <c r="A264" i="1" s="1"/>
  <c r="A265" i="1" s="1"/>
  <c r="A266" i="1" s="1"/>
  <c r="A267" i="1" s="1"/>
  <c r="D261" i="1"/>
  <c r="D260" i="1"/>
  <c r="G259" i="1"/>
  <c r="G260" i="1" s="1"/>
  <c r="G261" i="1" s="1"/>
  <c r="D259" i="1"/>
  <c r="A259" i="1"/>
  <c r="A260" i="1" s="1"/>
  <c r="A261" i="1" s="1"/>
  <c r="D258" i="1"/>
  <c r="D257" i="1"/>
  <c r="D256" i="1"/>
  <c r="D255" i="1"/>
  <c r="G254" i="1"/>
  <c r="G255" i="1" s="1"/>
  <c r="G256" i="1" s="1"/>
  <c r="G257" i="1" s="1"/>
  <c r="D254" i="1"/>
  <c r="A254" i="1"/>
  <c r="A255" i="1" s="1"/>
  <c r="A256" i="1" s="1"/>
  <c r="A257" i="1" s="1"/>
  <c r="D252" i="1"/>
  <c r="G251" i="1"/>
  <c r="G252" i="1" s="1"/>
  <c r="D251" i="1"/>
  <c r="A251" i="1"/>
  <c r="A252" i="1" s="1"/>
  <c r="D250" i="1"/>
  <c r="D248" i="1"/>
  <c r="D247" i="1"/>
  <c r="D246" i="1"/>
  <c r="G245" i="1"/>
  <c r="G246" i="1" s="1"/>
  <c r="G247" i="1" s="1"/>
  <c r="G248" i="1" s="1"/>
  <c r="G249" i="1" s="1"/>
  <c r="D245" i="1"/>
  <c r="A245" i="1"/>
  <c r="A246" i="1" s="1"/>
  <c r="A247" i="1" s="1"/>
  <c r="A248" i="1" s="1"/>
  <c r="A249" i="1" s="1"/>
  <c r="D243" i="1"/>
  <c r="D242" i="1"/>
  <c r="D241" i="1"/>
  <c r="D240" i="1"/>
  <c r="D239" i="1"/>
  <c r="D238" i="1"/>
  <c r="O237" i="1"/>
  <c r="O238" i="1" s="1"/>
  <c r="D237" i="1"/>
  <c r="G236" i="1"/>
  <c r="G237" i="1" s="1"/>
  <c r="G238" i="1" s="1"/>
  <c r="G239" i="1" s="1"/>
  <c r="G240" i="1" s="1"/>
  <c r="G241" i="1" s="1"/>
  <c r="G242" i="1" s="1"/>
  <c r="G243" i="1" s="1"/>
  <c r="D236" i="1"/>
  <c r="D234" i="1"/>
  <c r="D233" i="1"/>
  <c r="D232" i="1"/>
  <c r="D231" i="1"/>
  <c r="D230" i="1"/>
  <c r="D229" i="1"/>
  <c r="O228" i="1"/>
  <c r="O229" i="1" s="1"/>
  <c r="D228" i="1"/>
  <c r="G227" i="1"/>
  <c r="G228" i="1" s="1"/>
  <c r="G229" i="1" s="1"/>
  <c r="G230" i="1" s="1"/>
  <c r="G231" i="1" s="1"/>
  <c r="G232" i="1" s="1"/>
  <c r="G233" i="1" s="1"/>
  <c r="G234" i="1" s="1"/>
  <c r="D227" i="1"/>
  <c r="D204" i="1"/>
  <c r="D195" i="1"/>
  <c r="D186" i="1"/>
  <c r="D177" i="1"/>
  <c r="D168" i="1"/>
  <c r="D159" i="1"/>
  <c r="D222" i="1"/>
  <c r="D221" i="1"/>
  <c r="D220" i="1"/>
  <c r="D219" i="1"/>
  <c r="G219" i="1"/>
  <c r="G220" i="1" s="1"/>
  <c r="G221" i="1" s="1"/>
  <c r="G222" i="1" s="1"/>
  <c r="A219" i="1"/>
  <c r="A220" i="1" s="1"/>
  <c r="A221" i="1" s="1"/>
  <c r="A222" i="1" s="1"/>
  <c r="D216" i="1"/>
  <c r="D215" i="1"/>
  <c r="D213" i="1"/>
  <c r="D212" i="1"/>
  <c r="D211" i="1"/>
  <c r="D210" i="1"/>
  <c r="G216" i="1"/>
  <c r="G217" i="1" s="1"/>
  <c r="A216" i="1"/>
  <c r="A217" i="1" s="1"/>
  <c r="G210" i="1"/>
  <c r="G211" i="1" s="1"/>
  <c r="G212" i="1" s="1"/>
  <c r="G213" i="1" s="1"/>
  <c r="G214" i="1" s="1"/>
  <c r="A210" i="1"/>
  <c r="A211" i="1" s="1"/>
  <c r="A212" i="1" s="1"/>
  <c r="A213" i="1" s="1"/>
  <c r="A214" i="1" s="1"/>
  <c r="D207" i="1"/>
  <c r="D206" i="1"/>
  <c r="D208" i="1"/>
  <c r="D205" i="1"/>
  <c r="D203" i="1"/>
  <c r="D202" i="1"/>
  <c r="D201" i="1"/>
  <c r="G206" i="1"/>
  <c r="G207" i="1" s="1"/>
  <c r="G208" i="1" s="1"/>
  <c r="A206" i="1"/>
  <c r="A207" i="1" s="1"/>
  <c r="A208" i="1" s="1"/>
  <c r="G201" i="1"/>
  <c r="G202" i="1" s="1"/>
  <c r="G203" i="1" s="1"/>
  <c r="G204" i="1" s="1"/>
  <c r="A201" i="1"/>
  <c r="A202" i="1" s="1"/>
  <c r="A203" i="1" s="1"/>
  <c r="A204" i="1" s="1"/>
  <c r="D198" i="1"/>
  <c r="D197" i="1"/>
  <c r="D199" i="1"/>
  <c r="D196" i="1"/>
  <c r="D194" i="1"/>
  <c r="D193" i="1"/>
  <c r="D192" i="1"/>
  <c r="G197" i="1"/>
  <c r="G198" i="1" s="1"/>
  <c r="G199" i="1" s="1"/>
  <c r="A197" i="1"/>
  <c r="A198" i="1" s="1"/>
  <c r="A199" i="1" s="1"/>
  <c r="G192" i="1"/>
  <c r="G193" i="1" s="1"/>
  <c r="G194" i="1" s="1"/>
  <c r="G195" i="1" s="1"/>
  <c r="A192" i="1"/>
  <c r="A193" i="1" s="1"/>
  <c r="A194" i="1" s="1"/>
  <c r="A195" i="1" s="1"/>
  <c r="D190" i="1"/>
  <c r="D189" i="1"/>
  <c r="D188" i="1"/>
  <c r="D185" i="1"/>
  <c r="D184" i="1"/>
  <c r="D183" i="1"/>
  <c r="G189" i="1"/>
  <c r="G190" i="1" s="1"/>
  <c r="A189" i="1"/>
  <c r="A190" i="1" s="1"/>
  <c r="G183" i="1"/>
  <c r="G184" i="1" s="1"/>
  <c r="G185" i="1" s="1"/>
  <c r="G186" i="1" s="1"/>
  <c r="G187" i="1" s="1"/>
  <c r="A183" i="1"/>
  <c r="A184" i="1" s="1"/>
  <c r="A185" i="1" s="1"/>
  <c r="A186" i="1" s="1"/>
  <c r="A187" i="1" s="1"/>
  <c r="D180" i="1"/>
  <c r="D179" i="1"/>
  <c r="D181" i="1"/>
  <c r="D178" i="1"/>
  <c r="D176" i="1"/>
  <c r="D175" i="1"/>
  <c r="D174" i="1"/>
  <c r="G179" i="1"/>
  <c r="G180" i="1" s="1"/>
  <c r="G181" i="1" s="1"/>
  <c r="A179" i="1"/>
  <c r="A180" i="1" s="1"/>
  <c r="A181" i="1" s="1"/>
  <c r="G174" i="1"/>
  <c r="G175" i="1" s="1"/>
  <c r="G176" i="1" s="1"/>
  <c r="G177" i="1" s="1"/>
  <c r="A174" i="1"/>
  <c r="A175" i="1" s="1"/>
  <c r="A176" i="1" s="1"/>
  <c r="A177" i="1" s="1"/>
  <c r="D172" i="1"/>
  <c r="D171" i="1"/>
  <c r="D170" i="1"/>
  <c r="D167" i="1"/>
  <c r="D166" i="1"/>
  <c r="D165" i="1"/>
  <c r="D162" i="1"/>
  <c r="D161" i="1"/>
  <c r="D163" i="1"/>
  <c r="D160" i="1"/>
  <c r="D158" i="1"/>
  <c r="D157" i="1"/>
  <c r="D156" i="1"/>
  <c r="O157" i="1"/>
  <c r="O158" i="1" s="1"/>
  <c r="O159" i="1" s="1"/>
  <c r="G156" i="1"/>
  <c r="G157" i="1" s="1"/>
  <c r="G158" i="1" s="1"/>
  <c r="G159" i="1" s="1"/>
  <c r="G160" i="1" s="1"/>
  <c r="G161" i="1" s="1"/>
  <c r="G162" i="1" s="1"/>
  <c r="G163" i="1" s="1"/>
  <c r="D154" i="1"/>
  <c r="J154" i="1" s="1"/>
  <c r="D153" i="1"/>
  <c r="J153" i="1" s="1"/>
  <c r="D152" i="1"/>
  <c r="J152" i="1" s="1"/>
  <c r="D151" i="1"/>
  <c r="J151" i="1" s="1"/>
  <c r="D150" i="1"/>
  <c r="J150" i="1" s="1"/>
  <c r="D149" i="1"/>
  <c r="D148" i="1"/>
  <c r="J148" i="1" s="1"/>
  <c r="D147" i="1"/>
  <c r="J147" i="1" s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21" i="1"/>
  <c r="E137" i="1"/>
  <c r="E120" i="1"/>
  <c r="E138" i="1"/>
  <c r="E119" i="1"/>
  <c r="E140" i="1"/>
  <c r="E139" i="1"/>
  <c r="E118" i="1"/>
  <c r="E117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F117" i="1" s="1"/>
  <c r="P156" i="1"/>
  <c r="P227" i="1"/>
  <c r="P236" i="1"/>
  <c r="F138" i="1" l="1"/>
  <c r="J149" i="1"/>
  <c r="I149" i="1"/>
  <c r="F140" i="1"/>
  <c r="F139" i="1"/>
  <c r="F136" i="1"/>
  <c r="E105" i="1"/>
  <c r="C105" i="1"/>
  <c r="F126" i="1"/>
  <c r="F130" i="1"/>
  <c r="F134" i="1"/>
  <c r="C108" i="1"/>
  <c r="E108" i="1"/>
  <c r="E109" i="1"/>
  <c r="C109" i="1"/>
  <c r="G109" i="1"/>
  <c r="N236" i="1"/>
  <c r="A236" i="1" s="1"/>
  <c r="P237" i="1"/>
  <c r="P238" i="1" s="1"/>
  <c r="P239" i="1" s="1"/>
  <c r="P240" i="1" s="1"/>
  <c r="P241" i="1" s="1"/>
  <c r="P242" i="1" s="1"/>
  <c r="P243" i="1" s="1"/>
  <c r="O239" i="1"/>
  <c r="P228" i="1"/>
  <c r="P229" i="1" s="1"/>
  <c r="P230" i="1" s="1"/>
  <c r="P231" i="1" s="1"/>
  <c r="P232" i="1" s="1"/>
  <c r="P233" i="1" s="1"/>
  <c r="P234" i="1" s="1"/>
  <c r="N227" i="1"/>
  <c r="A227" i="1" s="1"/>
  <c r="O230" i="1"/>
  <c r="F132" i="1"/>
  <c r="F124" i="1"/>
  <c r="F128" i="1"/>
  <c r="F129" i="1"/>
  <c r="F125" i="1"/>
  <c r="F135" i="1"/>
  <c r="F127" i="1"/>
  <c r="F133" i="1"/>
  <c r="F131" i="1"/>
  <c r="F137" i="1"/>
  <c r="P157" i="1"/>
  <c r="N156" i="1"/>
  <c r="A156" i="1" s="1"/>
  <c r="O160" i="1"/>
  <c r="E110" i="1" l="1"/>
  <c r="C110" i="1"/>
  <c r="N238" i="1"/>
  <c r="A238" i="1" s="1"/>
  <c r="N237" i="1"/>
  <c r="A237" i="1" s="1"/>
  <c r="N239" i="1"/>
  <c r="A239" i="1" s="1"/>
  <c r="O240" i="1"/>
  <c r="N228" i="1"/>
  <c r="A228" i="1" s="1"/>
  <c r="O231" i="1"/>
  <c r="N230" i="1"/>
  <c r="A230" i="1" s="1"/>
  <c r="N229" i="1"/>
  <c r="A229" i="1" s="1"/>
  <c r="P158" i="1"/>
  <c r="N157" i="1"/>
  <c r="A157" i="1" s="1"/>
  <c r="O161" i="1"/>
  <c r="J70" i="1"/>
  <c r="J69" i="1"/>
  <c r="H60" i="1"/>
  <c r="O241" i="1" l="1"/>
  <c r="N240" i="1"/>
  <c r="A240" i="1" s="1"/>
  <c r="O232" i="1"/>
  <c r="N231" i="1"/>
  <c r="A231" i="1" s="1"/>
  <c r="O162" i="1"/>
  <c r="P159" i="1"/>
  <c r="N158" i="1"/>
  <c r="A158" i="1" s="1"/>
  <c r="D65" i="1"/>
  <c r="D71" i="1"/>
  <c r="J63" i="1"/>
  <c r="D72" i="1"/>
  <c r="D68" i="1"/>
  <c r="J64" i="1"/>
  <c r="J62" i="1"/>
  <c r="D67" i="1"/>
  <c r="D70" i="1"/>
  <c r="D66" i="1"/>
  <c r="J65" i="1"/>
  <c r="J66" i="1" s="1"/>
  <c r="J71" i="1" s="1"/>
  <c r="D69" i="1"/>
  <c r="G46" i="1"/>
  <c r="G47" i="1" s="1"/>
  <c r="A165" i="1"/>
  <c r="H74" i="1"/>
  <c r="D86" i="1" l="1"/>
  <c r="D82" i="1"/>
  <c r="D85" i="1"/>
  <c r="D81" i="1"/>
  <c r="J77" i="1"/>
  <c r="D80" i="1"/>
  <c r="J79" i="1"/>
  <c r="J80" i="1" s="1"/>
  <c r="J85" i="1" s="1"/>
  <c r="J86" i="1" s="1"/>
  <c r="C78" i="1" s="1"/>
  <c r="D79" i="1"/>
  <c r="J78" i="1"/>
  <c r="C77" i="1" s="1"/>
  <c r="J76" i="1"/>
  <c r="D84" i="1"/>
  <c r="D83" i="1"/>
  <c r="C63" i="1"/>
  <c r="D63" i="1" s="1"/>
  <c r="O242" i="1"/>
  <c r="N241" i="1"/>
  <c r="A241" i="1" s="1"/>
  <c r="O233" i="1"/>
  <c r="N232" i="1"/>
  <c r="A232" i="1" s="1"/>
  <c r="O163" i="1"/>
  <c r="P160" i="1"/>
  <c r="N159" i="1"/>
  <c r="A159" i="1" s="1"/>
  <c r="J67" i="1"/>
  <c r="J68" i="1" s="1"/>
  <c r="A305" i="1"/>
  <c r="A306" i="1" s="1"/>
  <c r="A307" i="1" s="1"/>
  <c r="A308" i="1" s="1"/>
  <c r="E77" i="1" l="1"/>
  <c r="D78" i="1"/>
  <c r="G77" i="1"/>
  <c r="D77" i="1"/>
  <c r="A309" i="1"/>
  <c r="O243" i="1"/>
  <c r="N243" i="1" s="1"/>
  <c r="A243" i="1" s="1"/>
  <c r="N242" i="1"/>
  <c r="A242" i="1" s="1"/>
  <c r="O234" i="1"/>
  <c r="N234" i="1" s="1"/>
  <c r="A234" i="1" s="1"/>
  <c r="N233" i="1"/>
  <c r="A233" i="1" s="1"/>
  <c r="P161" i="1"/>
  <c r="N160" i="1"/>
  <c r="A160" i="1" s="1"/>
  <c r="J72" i="1"/>
  <c r="C64" i="1" s="1"/>
  <c r="A166" i="1"/>
  <c r="A167" i="1" s="1"/>
  <c r="A168" i="1" s="1"/>
  <c r="P147" i="1"/>
  <c r="I73" i="1" l="1"/>
  <c r="C75" i="1" s="1"/>
  <c r="A171" i="1"/>
  <c r="A172" i="1" s="1"/>
  <c r="A169" i="1"/>
  <c r="P162" i="1"/>
  <c r="N161" i="1"/>
  <c r="A161" i="1" s="1"/>
  <c r="N147" i="1"/>
  <c r="E63" i="1"/>
  <c r="D64" i="1"/>
  <c r="G63" i="1"/>
  <c r="I59" i="1" l="1"/>
  <c r="P163" i="1"/>
  <c r="N163" i="1" s="1"/>
  <c r="A163" i="1" s="1"/>
  <c r="N162" i="1"/>
  <c r="A162" i="1" s="1"/>
  <c r="D58" i="1" l="1"/>
  <c r="F87" i="1" s="1"/>
  <c r="C13" i="1" l="1"/>
  <c r="E40" i="1" l="1"/>
  <c r="E41" i="1" s="1"/>
  <c r="G117" i="1" l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A118" i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F118" i="1"/>
  <c r="I118" i="1" s="1"/>
  <c r="F119" i="1"/>
  <c r="F120" i="1"/>
  <c r="F121" i="1"/>
  <c r="F122" i="1"/>
  <c r="F123" i="1"/>
  <c r="E3" i="1"/>
  <c r="D56" i="1" s="1"/>
  <c r="G105" i="1" l="1"/>
  <c r="G108" i="1"/>
  <c r="G110" i="1" s="1"/>
  <c r="O148" i="1"/>
  <c r="J108" i="1" l="1"/>
  <c r="A147" i="1"/>
  <c r="P148" i="1"/>
  <c r="P149" i="1" s="1"/>
  <c r="P150" i="1" s="1"/>
  <c r="P151" i="1" s="1"/>
  <c r="P152" i="1" s="1"/>
  <c r="P153" i="1" s="1"/>
  <c r="P154" i="1" s="1"/>
  <c r="O149" i="1"/>
  <c r="G147" i="1"/>
  <c r="G148" i="1" s="1"/>
  <c r="G149" i="1" s="1"/>
  <c r="G150" i="1" s="1"/>
  <c r="G151" i="1" s="1"/>
  <c r="G152" i="1" s="1"/>
  <c r="G153" i="1" s="1"/>
  <c r="G154" i="1" s="1"/>
  <c r="G165" i="1"/>
  <c r="G166" i="1" s="1"/>
  <c r="G167" i="1" s="1"/>
  <c r="G168" i="1" s="1"/>
  <c r="E24" i="1"/>
  <c r="E22" i="1"/>
  <c r="G171" i="1" l="1"/>
  <c r="G172" i="1" s="1"/>
  <c r="G169" i="1"/>
  <c r="N149" i="1"/>
  <c r="A149" i="1" s="1"/>
  <c r="N148" i="1"/>
  <c r="A148" i="1" s="1"/>
  <c r="O150" i="1"/>
  <c r="N150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A150" i="1" l="1"/>
  <c r="O151" i="1"/>
  <c r="N151" i="1" s="1"/>
  <c r="G12" i="5"/>
  <c r="A151" i="1" l="1"/>
  <c r="O152" i="1"/>
  <c r="N152" i="1" l="1"/>
  <c r="A152" i="1" s="1"/>
  <c r="O153" i="1"/>
  <c r="N153" i="1" l="1"/>
  <c r="A153" i="1" s="1"/>
  <c r="O154" i="1"/>
  <c r="N154" i="1" s="1"/>
  <c r="A154" i="1" s="1"/>
  <c r="E7" i="1"/>
  <c r="D326" i="1" l="1"/>
  <c r="F102" i="1"/>
  <c r="C46" i="1"/>
  <c r="C47" i="1" s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<sst xmlns="http://schemas.openxmlformats.org/spreadsheetml/2006/main" count="529" uniqueCount="260">
  <si>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</si>
  <si>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</si>
  <si>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</si>
  <si>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</si>
  <si>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</si>
  <si>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</si>
  <si>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</si>
  <si>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</si>
  <si>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</si>
  <si>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</si>
  <si>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</si>
  <si>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</si>
  <si>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</si>
  <si>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</si>
  <si>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</si>
  <si>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</si>
  <si>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</si>
  <si>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</si>
  <si>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</si>
  <si>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</si>
  <si>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</si>
  <si>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</si>
  <si>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</si>
  <si>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</si>
  <si>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</si>
  <si>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</si>
  <si>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</si>
  <si>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</si>
  <si>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</si>
  <si>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</si>
  <si>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</si>
  <si>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</si>
  <si>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</si>
  <si>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</si>
  <si>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</si>
  <si>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</si>
  <si>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</si>
  <si>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</si>
  <si>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</si>
  <si>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</si>
  <si>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</si>
  <si>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</si>
  <si>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</si>
  <si>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</si>
  <si>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</si>
  <si>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</si>
  <si>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</si>
  <si>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</si>
  <si>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</si>
  <si>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</si>
  <si>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</si>
  <si>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</si>
  <si>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</si>
  <si>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</si>
  <si>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</si>
  <si>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</si>
  <si>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</si>
  <si>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</si>
  <si>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</si>
  <si>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</si>
  <si>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</si>
  <si>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</si>
  <si>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</si>
  <si>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</si>
  <si>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</si>
  <si>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</si>
  <si>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</si>
  <si>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</si>
  <si>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</si>
  <si>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</si>
  <si>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</si>
  <si>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</si>
  <si>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</si>
  <si>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</si>
  <si>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</si>
  <si>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</si>
  <si>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</si>
  <si>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</si>
  <si>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</si>
  <si>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</si>
  <si>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</si>
  <si>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</si>
  <si>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</si>
  <si>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</si>
  <si>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</si>
  <si>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</si>
  <si>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</si>
  <si>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</si>
  <si>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</si>
  <si>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</si>
  <si>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</si>
  <si>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</si>
  <si>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</si>
  <si>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</si>
  <si>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</si>
  <si>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</si>
  <si>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</si>
  <si>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</si>
  <si>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</si>
  <si>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</si>
  <si>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</si>
  <si>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</si>
  <si>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</si>
  <si>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</si>
  <si>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</si>
  <si>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</si>
  <si>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</si>
  <si>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</si>
  <si>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</si>
  <si>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</si>
  <si>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</si>
  <si>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</si>
  <si>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</si>
  <si>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</si>
  <si>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</si>
  <si>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</si>
  <si>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</si>
  <si>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</si>
  <si>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</si>
  <si>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</si>
  <si>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</si>
  <si>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</si>
  <si>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</si>
  <si>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</si>
  <si>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</si>
  <si>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</si>
  <si>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</si>
  <si>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</si>
  <si>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</si>
  <si>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</si>
  <si>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</si>
  <si>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</si>
  <si>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</si>
  <si>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</si>
  <si>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</si>
  <si>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</si>
  <si>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</si>
  <si>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</si>
  <si>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</si>
  <si>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</si>
  <si>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</si>
  <si>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</si>
  <si>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</si>
  <si>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</si>
  <si>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</si>
  <si>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</si>
  <si>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</si>
  <si>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</si>
  <si>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</si>
  <si>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</si>
  <si>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</si>
  <si>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</si>
  <si>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</si>
  <si>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</si>
  <si>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</si>
  <si>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</si>
  <si>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</si>
  <si>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</si>
  <si>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</si>
  <si>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</si>
  <si>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</si>
  <si>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</si>
  <si>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</si>
  <si>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</si>
  <si>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</si>
  <si>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</si>
  <si>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</si>
  <si>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</si>
  <si>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</si>
  <si>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</si>
  <si>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</si>
  <si>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</si>
  <si>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</si>
  <si>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</si>
  <si>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</si>
  <si>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</si>
  <si>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</si>
  <si>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</si>
  <si>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</si>
  <si>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</si>
  <si>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</si>
  <si>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</si>
  <si>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</si>
  <si>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</si>
  <si>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</si>
  <si>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</si>
  <si>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</si>
  <si>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Sanpada</t>
  </si>
  <si>
    <t xml:space="preserve">M/s.Oscar Infrastructure Private Limited
</t>
  </si>
  <si>
    <t>Om Regency</t>
  </si>
  <si>
    <t>P52000027435</t>
  </si>
  <si>
    <t>Plot No</t>
  </si>
  <si>
    <t>Taloja</t>
  </si>
  <si>
    <t>Raigad</t>
  </si>
  <si>
    <t>Panvel</t>
  </si>
  <si>
    <t>1.3 Km  from Taloja Panchnanda Railway Station</t>
  </si>
  <si>
    <t>Internal Road</t>
  </si>
  <si>
    <t>Navi Mumbai</t>
  </si>
  <si>
    <t>Kaveesha Apt.</t>
  </si>
  <si>
    <t>Parvati Homes</t>
  </si>
  <si>
    <t>Open Land</t>
  </si>
  <si>
    <t>Open Plot</t>
  </si>
  <si>
    <t>02 Wings</t>
  </si>
  <si>
    <t>Wing - A &amp; B</t>
  </si>
  <si>
    <t>Ground Floor for Commercial &amp; Parking</t>
  </si>
  <si>
    <t>Attached Loft area</t>
  </si>
  <si>
    <t>Shop</t>
  </si>
  <si>
    <t>Wing - A</t>
  </si>
  <si>
    <t xml:space="preserve"> 3rd, 5th, 7th, 9th Floor</t>
  </si>
  <si>
    <t>2 BHK</t>
  </si>
  <si>
    <t>1 BHK</t>
  </si>
  <si>
    <t xml:space="preserve"> 4th, 6th Floor</t>
  </si>
  <si>
    <t>8th Floor (Part Refuge Area)</t>
  </si>
  <si>
    <t>10th Floor</t>
  </si>
  <si>
    <t>11th Floor (Part Refuge Area)</t>
  </si>
  <si>
    <t>12th Floor</t>
  </si>
  <si>
    <t>13th Floor</t>
  </si>
  <si>
    <t>14th Floor (Part Refuge Area)</t>
  </si>
  <si>
    <t>15th Floor (Part Terrace Area)</t>
  </si>
  <si>
    <t>Wing - B</t>
  </si>
  <si>
    <t xml:space="preserve">Builder Saleable area
</t>
  </si>
  <si>
    <t>We considered  Saleable area of Shop as per our calculation &amp; flats as per Builder Area.</t>
  </si>
  <si>
    <t>We considered Gross carpet area = Net carpet + Enclose balcony + C.C Area.</t>
  </si>
  <si>
    <t>A Wing = Gr + 1P + 2nd(Amenities) + 3rd to 15th Floor
B Wing = Gr + 1P + 2nd(Amenities) + 3rd to 15th Floor</t>
  </si>
  <si>
    <t>4, 4A &amp; 5 Sector No.15</t>
  </si>
  <si>
    <t>Flats - 194, Shops - 24</t>
  </si>
  <si>
    <t>Refuge Area</t>
  </si>
  <si>
    <t>3,00,000/-</t>
  </si>
  <si>
    <t>30/- from 5th Floor</t>
  </si>
  <si>
    <t>1,50,000/-</t>
  </si>
  <si>
    <t>15,000/-</t>
  </si>
  <si>
    <t xml:space="preserve">1.Vitrified tiles Flooring 2. Granite Kitchen Platform  3. Decorative Enternace  etc.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</si>
  <si>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1st Floor for Podium Parking</t>
  </si>
  <si>
    <t>2nd Floor for Amenities</t>
  </si>
  <si>
    <t xml:space="preserve">Proposed Amenities :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</si>
  <si>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Valid Up to:  Wing A &amp; B = Gr + 1P + 2nd(Amenities) + 3rd to 15th Floor</t>
  </si>
  <si>
    <t>RCC(Including podiums)</t>
  </si>
  <si>
    <t xml:space="preserve">Recommended rate should be considered as all inclusive rate if other charges are not mentioned. (Excluding GST &amp; other government Taxes).
</t>
  </si>
  <si>
    <t>A &amp; B Wing</t>
  </si>
  <si>
    <t>A &amp; B Wing = Gr + 1P + 2nd(Amenities) + 3rd to 15th Floor</t>
  </si>
  <si>
    <t>Location Link</t>
  </si>
  <si>
    <t>https://goo.gl/maps/12kVEi7CkEjFV6S46</t>
  </si>
  <si>
    <t>Wing A&amp;B</t>
  </si>
  <si>
    <t>Wing A</t>
  </si>
  <si>
    <t>Wing B</t>
  </si>
  <si>
    <t>Office No. 1031, Wing J, Akshar Business Park, Plot No. 03 Sector 25, Near APMC Market,
Vashi, Navi Mumbai, Maharashtra 400703 TEL: 022-46090378/79/80                                                                                                                               E mail : vsjcapf@gmail.com. Web site : www.vsjadon.com</t>
  </si>
  <si>
    <t>B Wing = Gr + 1P + 2nd(Amenities) + 3rd to 15th Floor</t>
  </si>
  <si>
    <t>2.5L to 3L</t>
  </si>
  <si>
    <t>Rushikesh</t>
  </si>
  <si>
    <t>Recommended Rates/Other Charges of the Property have been revised on 27/03/2024.</t>
  </si>
  <si>
    <t>Latitude,Longitude</t>
  </si>
  <si>
    <t>19.0805256,73.0975811</t>
  </si>
  <si>
    <t>On site we met Mr.Ashok : 9892296155.</t>
  </si>
  <si>
    <t>Sunil Peravi</t>
  </si>
  <si>
    <t>CIDCO/BP-15908/TPO(NM&amp;K) /2018/7138</t>
  </si>
  <si>
    <t>Wing A &amp; B = Gr + 1P + 2nd(Amenities) + 3rd to 15th Floor</t>
  </si>
  <si>
    <t>CIDCO/BP-15908/TPO(NM &amp; K)/2018 /14378
Approved upto : Gr/St + 1st to 15th Floor
Total BUA = 7874.37Sq.mtrs
No. of Residential Units = 194No. 
No.of Commercial Units = 24No</t>
  </si>
  <si>
    <t>Completed</t>
  </si>
  <si>
    <t>Pooja Kawale</t>
  </si>
  <si>
    <t>We have updated OC (On 28/08/2025).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</si>
</sst>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72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2" borderId="1" xfId="0" applyFill="1" applyBorder="1"/>
    <xf numFmtId="0" fontId="0" fillId="0" borderId="2" xfId="0" applyBorder="1" applyAlignme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7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0" applyFont="1" applyFill="1" applyBorder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7" fillId="0" borderId="0" xfId="1" applyNumberFormat="1" applyFont="1"/>
    <xf numFmtId="0" fontId="7" fillId="0" borderId="0" xfId="1" applyFont="1" applyAlignment="1">
      <alignment horizontal="center" vertical="center"/>
    </xf>
    <xf numFmtId="0" fontId="17" fillId="0" borderId="13" xfId="0" applyNumberFormat="1" applyFont="1" applyBorder="1" applyProtection="1">
      <protection hidden="1"/>
    </xf>
    <xf numFmtId="0" fontId="7" fillId="0" borderId="11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4" xfId="0" applyFont="1" applyFill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1" xfId="1" applyFont="1" applyFill="1" applyBorder="1" applyAlignment="1" applyProtection="1">
      <alignment horizontal="center" wrapText="1"/>
      <protection locked="0"/>
    </xf>
    <xf numFmtId="1" fontId="12" fillId="0" borderId="1" xfId="1" applyNumberFormat="1" applyFont="1" applyFill="1" applyBorder="1" applyAlignment="1" applyProtection="1">
      <alignment horizontal="center" wrapText="1"/>
      <protection locked="0"/>
    </xf>
    <xf numFmtId="0" fontId="12" fillId="0" borderId="7" xfId="1" applyFont="1" applyFill="1" applyBorder="1" applyAlignment="1" applyProtection="1">
      <alignment horizontal="center" wrapText="1"/>
      <protection locked="0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7" fillId="0" borderId="0" xfId="0" applyNumberFormat="1" applyFont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Fill="1" applyBorder="1" applyAlignment="1" applyProtection="1">
      <alignment horizontal="center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1" fontId="8" fillId="0" borderId="24" xfId="0" applyNumberFormat="1" applyFont="1" applyFill="1" applyBorder="1" applyAlignment="1" applyProtection="1">
      <alignment vertical="top" wrapText="1"/>
      <protection locked="0"/>
    </xf>
    <xf numFmtId="1" fontId="8" fillId="0" borderId="10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24" xfId="0" applyNumberFormat="1" applyFont="1" applyFill="1" applyBorder="1" applyAlignment="1" applyProtection="1">
      <alignment vertical="top" wrapText="1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center" vertical="center"/>
      <protection locked="0"/>
    </xf>
    <xf numFmtId="1" fontId="7" fillId="0" borderId="9" xfId="0" applyNumberFormat="1" applyFont="1" applyFill="1" applyBorder="1" applyAlignment="1" applyProtection="1">
      <alignment horizontal="center" vertical="top" wrapText="1"/>
      <protection locked="0"/>
    </xf>
    <xf numFmtId="1" fontId="7" fillId="0" borderId="10" xfId="0" applyNumberFormat="1" applyFont="1" applyFill="1" applyBorder="1" applyAlignment="1" applyProtection="1">
      <alignment horizontal="center" vertical="top" wrapText="1"/>
      <protection locked="0"/>
    </xf>
    <xf numFmtId="1" fontId="6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23" fillId="0" borderId="1" xfId="9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25" xfId="1" applyFont="1" applyFill="1" applyBorder="1" applyAlignment="1" applyProtection="1">
      <alignment horizontal="left" vertical="top" wrapText="1"/>
      <protection locked="0"/>
    </xf>
    <xf numFmtId="0" fontId="12" fillId="0" borderId="2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67" fontId="6" fillId="0" borderId="1" xfId="1" applyNumberFormat="1" applyFont="1" applyFill="1" applyBorder="1" applyAlignment="1" applyProtection="1">
      <alignment horizontal="left" vertical="top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9" xfId="1" applyFont="1" applyFill="1" applyBorder="1" applyAlignment="1" applyProtection="1">
      <alignment horizontal="left" vertical="top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10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1" fontId="8" fillId="0" borderId="23" xfId="1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0" fontId="7" fillId="0" borderId="1" xfId="1" applyFont="1" applyFill="1" applyBorder="1" applyAlignment="1" applyProtection="1">
      <alignment horizontal="left"/>
      <protection locked="0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504270</xdr:colOff>
      <xdr:row>370</xdr:row>
      <xdr:rowOff>100856</xdr:rowOff>
    </xdr:from>
    <xdr:to>
      <xdr:col>7</xdr:col>
      <xdr:colOff>388393</xdr:colOff>
      <xdr:row>389</xdr:row>
      <xdr:rowOff>46814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70" y="49843768"/>
          <a:ext cx="6013741" cy="377837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504270</xdr:colOff>
      <xdr:row>389</xdr:row>
      <xdr:rowOff>184837</xdr:rowOff>
    </xdr:from>
    <xdr:to>
      <xdr:col>7</xdr:col>
      <xdr:colOff>388393</xdr:colOff>
      <xdr:row>409</xdr:row>
      <xdr:rowOff>647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70" y="53760161"/>
          <a:ext cx="6013741" cy="3847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190500</xdr:colOff>
      <xdr:row>326</xdr:row>
      <xdr:rowOff>76200</xdr:rowOff>
    </xdr:from>
    <xdr:to>
      <xdr:col>7</xdr:col>
      <xdr:colOff>631047</xdr:colOff>
      <xdr:row>367</xdr:row>
      <xdr:rowOff>95250</xdr:rowOff>
    </xdr:to>
    <xdr:grpSp>
      <xdr:nvGrpSpPr>
        <xdr:cNvPr id="4" name="Group 3"/>
        <xdr:cNvGrpSpPr/>
      </xdr:nvGrpSpPr>
      <xdr:grpSpPr>
        <a:xfrm>
          <a:off x="190500" y="64973200"/>
          <a:ext cx="6415897" cy="8083550"/>
          <a:chOff x="190500" y="64776350"/>
          <a:chExt cx="6415897" cy="8083550"/>
        </a:xfrm>
      </xdr:grpSpPr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4371" y="71465597"/>
            <a:ext cx="1348594" cy="139430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64776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3517" y="64776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551" y="67630099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6534" y="64776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45952" y="69547848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7493" y="69547848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5393" y="71465597"/>
            <a:ext cx="1348594" cy="139430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1469" y="67630099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9780" y="69547848"/>
            <a:ext cx="239777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70543" y="71465597"/>
            <a:ext cx="1348594" cy="139430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89928" y="67630099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33010" y="67630099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2kVEi7CkEjFV6S46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411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13" customWidth="1"/>
    <col min="2" max="2" width="12" style="13" customWidth="1"/>
    <col min="3" max="3" width="12.7265625" style="13" customWidth="1"/>
    <col min="4" max="4" width="14.1796875" style="13" customWidth="1"/>
    <col min="5" max="7" width="11.7265625" style="13" customWidth="1"/>
    <col min="8" max="8" width="12.453125" style="13" customWidth="1"/>
    <col min="9" max="9" width="17.453125" style="8" customWidth="1"/>
    <col min="10" max="10" width="11.453125" style="8" customWidth="1"/>
    <col min="11" max="11" width="10.54296875" style="8" bestFit="1" customWidth="1"/>
    <col min="12" max="12" width="10.54296875" style="8" customWidth="1"/>
    <col min="13" max="13" width="12.54296875" style="8" hidden="1" customWidth="1"/>
    <col min="14" max="14" width="4.54296875" style="8" hidden="1" customWidth="1"/>
    <col min="15" max="16" width="4.81640625" style="8" hidden="1" customWidth="1"/>
    <col min="17" max="247" width="9.1796875" style="8"/>
    <col min="248" max="248" width="8.7265625" style="8" customWidth="1"/>
    <col min="249" max="249" width="9.81640625" style="8" customWidth="1"/>
    <col min="250" max="250" width="14.453125" style="8" customWidth="1"/>
    <col min="251" max="251" width="7.26953125" style="8" customWidth="1"/>
    <col min="252" max="252" width="5.54296875" style="8" customWidth="1"/>
    <col min="253" max="253" width="9" style="8" customWidth="1"/>
    <col min="254" max="255" width="9.81640625" style="8" customWidth="1"/>
    <col min="256" max="256" width="11.1796875" style="8" customWidth="1"/>
    <col min="257" max="257" width="2.81640625" style="8" customWidth="1"/>
    <col min="258" max="258" width="3.54296875" style="8" customWidth="1"/>
    <col min="259" max="503" width="9.1796875" style="8"/>
    <col min="504" max="504" width="8.7265625" style="8" customWidth="1"/>
    <col min="505" max="505" width="9.81640625" style="8" customWidth="1"/>
    <col min="506" max="506" width="14.453125" style="8" customWidth="1"/>
    <col min="507" max="507" width="7.26953125" style="8" customWidth="1"/>
    <col min="508" max="508" width="5.54296875" style="8" customWidth="1"/>
    <col min="509" max="509" width="9" style="8" customWidth="1"/>
    <col min="510" max="511" width="9.81640625" style="8" customWidth="1"/>
    <col min="512" max="512" width="11.1796875" style="8" customWidth="1"/>
    <col min="513" max="513" width="2.81640625" style="8" customWidth="1"/>
    <col min="514" max="514" width="3.54296875" style="8" customWidth="1"/>
    <col min="515" max="759" width="9.1796875" style="8"/>
    <col min="760" max="760" width="8.7265625" style="8" customWidth="1"/>
    <col min="761" max="761" width="9.81640625" style="8" customWidth="1"/>
    <col min="762" max="762" width="14.453125" style="8" customWidth="1"/>
    <col min="763" max="763" width="7.26953125" style="8" customWidth="1"/>
    <col min="764" max="764" width="5.54296875" style="8" customWidth="1"/>
    <col min="765" max="765" width="9" style="8" customWidth="1"/>
    <col min="766" max="767" width="9.81640625" style="8" customWidth="1"/>
    <col min="768" max="768" width="11.1796875" style="8" customWidth="1"/>
    <col min="769" max="769" width="2.81640625" style="8" customWidth="1"/>
    <col min="770" max="770" width="3.54296875" style="8" customWidth="1"/>
    <col min="771" max="1015" width="9.1796875" style="8"/>
    <col min="1016" max="1016" width="8.7265625" style="8" customWidth="1"/>
    <col min="1017" max="1017" width="9.81640625" style="8" customWidth="1"/>
    <col min="1018" max="1018" width="14.453125" style="8" customWidth="1"/>
    <col min="1019" max="1019" width="7.26953125" style="8" customWidth="1"/>
    <col min="1020" max="1020" width="5.54296875" style="8" customWidth="1"/>
    <col min="1021" max="1021" width="9" style="8" customWidth="1"/>
    <col min="1022" max="1023" width="9.81640625" style="8" customWidth="1"/>
    <col min="1024" max="1024" width="11.1796875" style="8" customWidth="1"/>
    <col min="1025" max="1025" width="2.81640625" style="8" customWidth="1"/>
    <col min="1026" max="1026" width="3.54296875" style="8" customWidth="1"/>
    <col min="1027" max="1271" width="9.1796875" style="8"/>
    <col min="1272" max="1272" width="8.7265625" style="8" customWidth="1"/>
    <col min="1273" max="1273" width="9.81640625" style="8" customWidth="1"/>
    <col min="1274" max="1274" width="14.453125" style="8" customWidth="1"/>
    <col min="1275" max="1275" width="7.26953125" style="8" customWidth="1"/>
    <col min="1276" max="1276" width="5.54296875" style="8" customWidth="1"/>
    <col min="1277" max="1277" width="9" style="8" customWidth="1"/>
    <col min="1278" max="1279" width="9.81640625" style="8" customWidth="1"/>
    <col min="1280" max="1280" width="11.1796875" style="8" customWidth="1"/>
    <col min="1281" max="1281" width="2.81640625" style="8" customWidth="1"/>
    <col min="1282" max="1282" width="3.54296875" style="8" customWidth="1"/>
    <col min="1283" max="1527" width="9.1796875" style="8"/>
    <col min="1528" max="1528" width="8.7265625" style="8" customWidth="1"/>
    <col min="1529" max="1529" width="9.81640625" style="8" customWidth="1"/>
    <col min="1530" max="1530" width="14.453125" style="8" customWidth="1"/>
    <col min="1531" max="1531" width="7.26953125" style="8" customWidth="1"/>
    <col min="1532" max="1532" width="5.54296875" style="8" customWidth="1"/>
    <col min="1533" max="1533" width="9" style="8" customWidth="1"/>
    <col min="1534" max="1535" width="9.81640625" style="8" customWidth="1"/>
    <col min="1536" max="1536" width="11.1796875" style="8" customWidth="1"/>
    <col min="1537" max="1537" width="2.81640625" style="8" customWidth="1"/>
    <col min="1538" max="1538" width="3.54296875" style="8" customWidth="1"/>
    <col min="1539" max="1783" width="9.1796875" style="8"/>
    <col min="1784" max="1784" width="8.7265625" style="8" customWidth="1"/>
    <col min="1785" max="1785" width="9.81640625" style="8" customWidth="1"/>
    <col min="1786" max="1786" width="14.453125" style="8" customWidth="1"/>
    <col min="1787" max="1787" width="7.26953125" style="8" customWidth="1"/>
    <col min="1788" max="1788" width="5.54296875" style="8" customWidth="1"/>
    <col min="1789" max="1789" width="9" style="8" customWidth="1"/>
    <col min="1790" max="1791" width="9.81640625" style="8" customWidth="1"/>
    <col min="1792" max="1792" width="11.1796875" style="8" customWidth="1"/>
    <col min="1793" max="1793" width="2.81640625" style="8" customWidth="1"/>
    <col min="1794" max="1794" width="3.54296875" style="8" customWidth="1"/>
    <col min="1795" max="2039" width="9.1796875" style="8"/>
    <col min="2040" max="2040" width="8.7265625" style="8" customWidth="1"/>
    <col min="2041" max="2041" width="9.81640625" style="8" customWidth="1"/>
    <col min="2042" max="2042" width="14.453125" style="8" customWidth="1"/>
    <col min="2043" max="2043" width="7.26953125" style="8" customWidth="1"/>
    <col min="2044" max="2044" width="5.54296875" style="8" customWidth="1"/>
    <col min="2045" max="2045" width="9" style="8" customWidth="1"/>
    <col min="2046" max="2047" width="9.81640625" style="8" customWidth="1"/>
    <col min="2048" max="2048" width="11.1796875" style="8" customWidth="1"/>
    <col min="2049" max="2049" width="2.81640625" style="8" customWidth="1"/>
    <col min="2050" max="2050" width="3.54296875" style="8" customWidth="1"/>
    <col min="2051" max="2295" width="9.1796875" style="8"/>
    <col min="2296" max="2296" width="8.7265625" style="8" customWidth="1"/>
    <col min="2297" max="2297" width="9.81640625" style="8" customWidth="1"/>
    <col min="2298" max="2298" width="14.453125" style="8" customWidth="1"/>
    <col min="2299" max="2299" width="7.26953125" style="8" customWidth="1"/>
    <col min="2300" max="2300" width="5.54296875" style="8" customWidth="1"/>
    <col min="2301" max="2301" width="9" style="8" customWidth="1"/>
    <col min="2302" max="2303" width="9.81640625" style="8" customWidth="1"/>
    <col min="2304" max="2304" width="11.1796875" style="8" customWidth="1"/>
    <col min="2305" max="2305" width="2.81640625" style="8" customWidth="1"/>
    <col min="2306" max="2306" width="3.54296875" style="8" customWidth="1"/>
    <col min="2307" max="2551" width="9.1796875" style="8"/>
    <col min="2552" max="2552" width="8.7265625" style="8" customWidth="1"/>
    <col min="2553" max="2553" width="9.81640625" style="8" customWidth="1"/>
    <col min="2554" max="2554" width="14.453125" style="8" customWidth="1"/>
    <col min="2555" max="2555" width="7.26953125" style="8" customWidth="1"/>
    <col min="2556" max="2556" width="5.54296875" style="8" customWidth="1"/>
    <col min="2557" max="2557" width="9" style="8" customWidth="1"/>
    <col min="2558" max="2559" width="9.81640625" style="8" customWidth="1"/>
    <col min="2560" max="2560" width="11.1796875" style="8" customWidth="1"/>
    <col min="2561" max="2561" width="2.81640625" style="8" customWidth="1"/>
    <col min="2562" max="2562" width="3.54296875" style="8" customWidth="1"/>
    <col min="2563" max="2807" width="9.1796875" style="8"/>
    <col min="2808" max="2808" width="8.7265625" style="8" customWidth="1"/>
    <col min="2809" max="2809" width="9.81640625" style="8" customWidth="1"/>
    <col min="2810" max="2810" width="14.453125" style="8" customWidth="1"/>
    <col min="2811" max="2811" width="7.26953125" style="8" customWidth="1"/>
    <col min="2812" max="2812" width="5.54296875" style="8" customWidth="1"/>
    <col min="2813" max="2813" width="9" style="8" customWidth="1"/>
    <col min="2814" max="2815" width="9.81640625" style="8" customWidth="1"/>
    <col min="2816" max="2816" width="11.1796875" style="8" customWidth="1"/>
    <col min="2817" max="2817" width="2.81640625" style="8" customWidth="1"/>
    <col min="2818" max="2818" width="3.54296875" style="8" customWidth="1"/>
    <col min="2819" max="3063" width="9.1796875" style="8"/>
    <col min="3064" max="3064" width="8.7265625" style="8" customWidth="1"/>
    <col min="3065" max="3065" width="9.81640625" style="8" customWidth="1"/>
    <col min="3066" max="3066" width="14.453125" style="8" customWidth="1"/>
    <col min="3067" max="3067" width="7.26953125" style="8" customWidth="1"/>
    <col min="3068" max="3068" width="5.54296875" style="8" customWidth="1"/>
    <col min="3069" max="3069" width="9" style="8" customWidth="1"/>
    <col min="3070" max="3071" width="9.81640625" style="8" customWidth="1"/>
    <col min="3072" max="3072" width="11.1796875" style="8" customWidth="1"/>
    <col min="3073" max="3073" width="2.81640625" style="8" customWidth="1"/>
    <col min="3074" max="3074" width="3.54296875" style="8" customWidth="1"/>
    <col min="3075" max="3319" width="9.1796875" style="8"/>
    <col min="3320" max="3320" width="8.7265625" style="8" customWidth="1"/>
    <col min="3321" max="3321" width="9.81640625" style="8" customWidth="1"/>
    <col min="3322" max="3322" width="14.453125" style="8" customWidth="1"/>
    <col min="3323" max="3323" width="7.26953125" style="8" customWidth="1"/>
    <col min="3324" max="3324" width="5.54296875" style="8" customWidth="1"/>
    <col min="3325" max="3325" width="9" style="8" customWidth="1"/>
    <col min="3326" max="3327" width="9.81640625" style="8" customWidth="1"/>
    <col min="3328" max="3328" width="11.1796875" style="8" customWidth="1"/>
    <col min="3329" max="3329" width="2.81640625" style="8" customWidth="1"/>
    <col min="3330" max="3330" width="3.54296875" style="8" customWidth="1"/>
    <col min="3331" max="3575" width="9.1796875" style="8"/>
    <col min="3576" max="3576" width="8.7265625" style="8" customWidth="1"/>
    <col min="3577" max="3577" width="9.81640625" style="8" customWidth="1"/>
    <col min="3578" max="3578" width="14.453125" style="8" customWidth="1"/>
    <col min="3579" max="3579" width="7.26953125" style="8" customWidth="1"/>
    <col min="3580" max="3580" width="5.54296875" style="8" customWidth="1"/>
    <col min="3581" max="3581" width="9" style="8" customWidth="1"/>
    <col min="3582" max="3583" width="9.81640625" style="8" customWidth="1"/>
    <col min="3584" max="3584" width="11.1796875" style="8" customWidth="1"/>
    <col min="3585" max="3585" width="2.81640625" style="8" customWidth="1"/>
    <col min="3586" max="3586" width="3.54296875" style="8" customWidth="1"/>
    <col min="3587" max="3831" width="9.1796875" style="8"/>
    <col min="3832" max="3832" width="8.7265625" style="8" customWidth="1"/>
    <col min="3833" max="3833" width="9.81640625" style="8" customWidth="1"/>
    <col min="3834" max="3834" width="14.453125" style="8" customWidth="1"/>
    <col min="3835" max="3835" width="7.26953125" style="8" customWidth="1"/>
    <col min="3836" max="3836" width="5.54296875" style="8" customWidth="1"/>
    <col min="3837" max="3837" width="9" style="8" customWidth="1"/>
    <col min="3838" max="3839" width="9.81640625" style="8" customWidth="1"/>
    <col min="3840" max="3840" width="11.1796875" style="8" customWidth="1"/>
    <col min="3841" max="3841" width="2.81640625" style="8" customWidth="1"/>
    <col min="3842" max="3842" width="3.54296875" style="8" customWidth="1"/>
    <col min="3843" max="4087" width="9.1796875" style="8"/>
    <col min="4088" max="4088" width="8.7265625" style="8" customWidth="1"/>
    <col min="4089" max="4089" width="9.81640625" style="8" customWidth="1"/>
    <col min="4090" max="4090" width="14.453125" style="8" customWidth="1"/>
    <col min="4091" max="4091" width="7.26953125" style="8" customWidth="1"/>
    <col min="4092" max="4092" width="5.54296875" style="8" customWidth="1"/>
    <col min="4093" max="4093" width="9" style="8" customWidth="1"/>
    <col min="4094" max="4095" width="9.81640625" style="8" customWidth="1"/>
    <col min="4096" max="4096" width="11.1796875" style="8" customWidth="1"/>
    <col min="4097" max="4097" width="2.81640625" style="8" customWidth="1"/>
    <col min="4098" max="4098" width="3.54296875" style="8" customWidth="1"/>
    <col min="4099" max="4343" width="9.1796875" style="8"/>
    <col min="4344" max="4344" width="8.7265625" style="8" customWidth="1"/>
    <col min="4345" max="4345" width="9.81640625" style="8" customWidth="1"/>
    <col min="4346" max="4346" width="14.453125" style="8" customWidth="1"/>
    <col min="4347" max="4347" width="7.26953125" style="8" customWidth="1"/>
    <col min="4348" max="4348" width="5.54296875" style="8" customWidth="1"/>
    <col min="4349" max="4349" width="9" style="8" customWidth="1"/>
    <col min="4350" max="4351" width="9.81640625" style="8" customWidth="1"/>
    <col min="4352" max="4352" width="11.1796875" style="8" customWidth="1"/>
    <col min="4353" max="4353" width="2.81640625" style="8" customWidth="1"/>
    <col min="4354" max="4354" width="3.54296875" style="8" customWidth="1"/>
    <col min="4355" max="4599" width="9.1796875" style="8"/>
    <col min="4600" max="4600" width="8.7265625" style="8" customWidth="1"/>
    <col min="4601" max="4601" width="9.81640625" style="8" customWidth="1"/>
    <col min="4602" max="4602" width="14.453125" style="8" customWidth="1"/>
    <col min="4603" max="4603" width="7.26953125" style="8" customWidth="1"/>
    <col min="4604" max="4604" width="5.54296875" style="8" customWidth="1"/>
    <col min="4605" max="4605" width="9" style="8" customWidth="1"/>
    <col min="4606" max="4607" width="9.81640625" style="8" customWidth="1"/>
    <col min="4608" max="4608" width="11.1796875" style="8" customWidth="1"/>
    <col min="4609" max="4609" width="2.81640625" style="8" customWidth="1"/>
    <col min="4610" max="4610" width="3.54296875" style="8" customWidth="1"/>
    <col min="4611" max="4855" width="9.1796875" style="8"/>
    <col min="4856" max="4856" width="8.7265625" style="8" customWidth="1"/>
    <col min="4857" max="4857" width="9.81640625" style="8" customWidth="1"/>
    <col min="4858" max="4858" width="14.453125" style="8" customWidth="1"/>
    <col min="4859" max="4859" width="7.26953125" style="8" customWidth="1"/>
    <col min="4860" max="4860" width="5.54296875" style="8" customWidth="1"/>
    <col min="4861" max="4861" width="9" style="8" customWidth="1"/>
    <col min="4862" max="4863" width="9.81640625" style="8" customWidth="1"/>
    <col min="4864" max="4864" width="11.1796875" style="8" customWidth="1"/>
    <col min="4865" max="4865" width="2.81640625" style="8" customWidth="1"/>
    <col min="4866" max="4866" width="3.54296875" style="8" customWidth="1"/>
    <col min="4867" max="5111" width="9.1796875" style="8"/>
    <col min="5112" max="5112" width="8.7265625" style="8" customWidth="1"/>
    <col min="5113" max="5113" width="9.81640625" style="8" customWidth="1"/>
    <col min="5114" max="5114" width="14.453125" style="8" customWidth="1"/>
    <col min="5115" max="5115" width="7.26953125" style="8" customWidth="1"/>
    <col min="5116" max="5116" width="5.54296875" style="8" customWidth="1"/>
    <col min="5117" max="5117" width="9" style="8" customWidth="1"/>
    <col min="5118" max="5119" width="9.81640625" style="8" customWidth="1"/>
    <col min="5120" max="5120" width="11.1796875" style="8" customWidth="1"/>
    <col min="5121" max="5121" width="2.81640625" style="8" customWidth="1"/>
    <col min="5122" max="5122" width="3.54296875" style="8" customWidth="1"/>
    <col min="5123" max="5367" width="9.1796875" style="8"/>
    <col min="5368" max="5368" width="8.7265625" style="8" customWidth="1"/>
    <col min="5369" max="5369" width="9.81640625" style="8" customWidth="1"/>
    <col min="5370" max="5370" width="14.453125" style="8" customWidth="1"/>
    <col min="5371" max="5371" width="7.26953125" style="8" customWidth="1"/>
    <col min="5372" max="5372" width="5.54296875" style="8" customWidth="1"/>
    <col min="5373" max="5373" width="9" style="8" customWidth="1"/>
    <col min="5374" max="5375" width="9.81640625" style="8" customWidth="1"/>
    <col min="5376" max="5376" width="11.1796875" style="8" customWidth="1"/>
    <col min="5377" max="5377" width="2.81640625" style="8" customWidth="1"/>
    <col min="5378" max="5378" width="3.54296875" style="8" customWidth="1"/>
    <col min="5379" max="5623" width="9.1796875" style="8"/>
    <col min="5624" max="5624" width="8.7265625" style="8" customWidth="1"/>
    <col min="5625" max="5625" width="9.81640625" style="8" customWidth="1"/>
    <col min="5626" max="5626" width="14.453125" style="8" customWidth="1"/>
    <col min="5627" max="5627" width="7.26953125" style="8" customWidth="1"/>
    <col min="5628" max="5628" width="5.54296875" style="8" customWidth="1"/>
    <col min="5629" max="5629" width="9" style="8" customWidth="1"/>
    <col min="5630" max="5631" width="9.81640625" style="8" customWidth="1"/>
    <col min="5632" max="5632" width="11.1796875" style="8" customWidth="1"/>
    <col min="5633" max="5633" width="2.81640625" style="8" customWidth="1"/>
    <col min="5634" max="5634" width="3.54296875" style="8" customWidth="1"/>
    <col min="5635" max="5879" width="9.1796875" style="8"/>
    <col min="5880" max="5880" width="8.7265625" style="8" customWidth="1"/>
    <col min="5881" max="5881" width="9.81640625" style="8" customWidth="1"/>
    <col min="5882" max="5882" width="14.453125" style="8" customWidth="1"/>
    <col min="5883" max="5883" width="7.26953125" style="8" customWidth="1"/>
    <col min="5884" max="5884" width="5.54296875" style="8" customWidth="1"/>
    <col min="5885" max="5885" width="9" style="8" customWidth="1"/>
    <col min="5886" max="5887" width="9.81640625" style="8" customWidth="1"/>
    <col min="5888" max="5888" width="11.1796875" style="8" customWidth="1"/>
    <col min="5889" max="5889" width="2.81640625" style="8" customWidth="1"/>
    <col min="5890" max="5890" width="3.54296875" style="8" customWidth="1"/>
    <col min="5891" max="6135" width="9.1796875" style="8"/>
    <col min="6136" max="6136" width="8.7265625" style="8" customWidth="1"/>
    <col min="6137" max="6137" width="9.81640625" style="8" customWidth="1"/>
    <col min="6138" max="6138" width="14.453125" style="8" customWidth="1"/>
    <col min="6139" max="6139" width="7.26953125" style="8" customWidth="1"/>
    <col min="6140" max="6140" width="5.54296875" style="8" customWidth="1"/>
    <col min="6141" max="6141" width="9" style="8" customWidth="1"/>
    <col min="6142" max="6143" width="9.81640625" style="8" customWidth="1"/>
    <col min="6144" max="6144" width="11.1796875" style="8" customWidth="1"/>
    <col min="6145" max="6145" width="2.81640625" style="8" customWidth="1"/>
    <col min="6146" max="6146" width="3.54296875" style="8" customWidth="1"/>
    <col min="6147" max="6391" width="9.1796875" style="8"/>
    <col min="6392" max="6392" width="8.7265625" style="8" customWidth="1"/>
    <col min="6393" max="6393" width="9.81640625" style="8" customWidth="1"/>
    <col min="6394" max="6394" width="14.453125" style="8" customWidth="1"/>
    <col min="6395" max="6395" width="7.26953125" style="8" customWidth="1"/>
    <col min="6396" max="6396" width="5.54296875" style="8" customWidth="1"/>
    <col min="6397" max="6397" width="9" style="8" customWidth="1"/>
    <col min="6398" max="6399" width="9.81640625" style="8" customWidth="1"/>
    <col min="6400" max="6400" width="11.1796875" style="8" customWidth="1"/>
    <col min="6401" max="6401" width="2.81640625" style="8" customWidth="1"/>
    <col min="6402" max="6402" width="3.54296875" style="8" customWidth="1"/>
    <col min="6403" max="6647" width="9.1796875" style="8"/>
    <col min="6648" max="6648" width="8.7265625" style="8" customWidth="1"/>
    <col min="6649" max="6649" width="9.81640625" style="8" customWidth="1"/>
    <col min="6650" max="6650" width="14.453125" style="8" customWidth="1"/>
    <col min="6651" max="6651" width="7.26953125" style="8" customWidth="1"/>
    <col min="6652" max="6652" width="5.54296875" style="8" customWidth="1"/>
    <col min="6653" max="6653" width="9" style="8" customWidth="1"/>
    <col min="6654" max="6655" width="9.81640625" style="8" customWidth="1"/>
    <col min="6656" max="6656" width="11.1796875" style="8" customWidth="1"/>
    <col min="6657" max="6657" width="2.81640625" style="8" customWidth="1"/>
    <col min="6658" max="6658" width="3.54296875" style="8" customWidth="1"/>
    <col min="6659" max="6903" width="9.1796875" style="8"/>
    <col min="6904" max="6904" width="8.7265625" style="8" customWidth="1"/>
    <col min="6905" max="6905" width="9.81640625" style="8" customWidth="1"/>
    <col min="6906" max="6906" width="14.453125" style="8" customWidth="1"/>
    <col min="6907" max="6907" width="7.26953125" style="8" customWidth="1"/>
    <col min="6908" max="6908" width="5.54296875" style="8" customWidth="1"/>
    <col min="6909" max="6909" width="9" style="8" customWidth="1"/>
    <col min="6910" max="6911" width="9.81640625" style="8" customWidth="1"/>
    <col min="6912" max="6912" width="11.1796875" style="8" customWidth="1"/>
    <col min="6913" max="6913" width="2.81640625" style="8" customWidth="1"/>
    <col min="6914" max="6914" width="3.54296875" style="8" customWidth="1"/>
    <col min="6915" max="7159" width="9.1796875" style="8"/>
    <col min="7160" max="7160" width="8.7265625" style="8" customWidth="1"/>
    <col min="7161" max="7161" width="9.81640625" style="8" customWidth="1"/>
    <col min="7162" max="7162" width="14.453125" style="8" customWidth="1"/>
    <col min="7163" max="7163" width="7.26953125" style="8" customWidth="1"/>
    <col min="7164" max="7164" width="5.54296875" style="8" customWidth="1"/>
    <col min="7165" max="7165" width="9" style="8" customWidth="1"/>
    <col min="7166" max="7167" width="9.81640625" style="8" customWidth="1"/>
    <col min="7168" max="7168" width="11.1796875" style="8" customWidth="1"/>
    <col min="7169" max="7169" width="2.81640625" style="8" customWidth="1"/>
    <col min="7170" max="7170" width="3.54296875" style="8" customWidth="1"/>
    <col min="7171" max="7415" width="9.1796875" style="8"/>
    <col min="7416" max="7416" width="8.7265625" style="8" customWidth="1"/>
    <col min="7417" max="7417" width="9.81640625" style="8" customWidth="1"/>
    <col min="7418" max="7418" width="14.453125" style="8" customWidth="1"/>
    <col min="7419" max="7419" width="7.26953125" style="8" customWidth="1"/>
    <col min="7420" max="7420" width="5.54296875" style="8" customWidth="1"/>
    <col min="7421" max="7421" width="9" style="8" customWidth="1"/>
    <col min="7422" max="7423" width="9.81640625" style="8" customWidth="1"/>
    <col min="7424" max="7424" width="11.1796875" style="8" customWidth="1"/>
    <col min="7425" max="7425" width="2.81640625" style="8" customWidth="1"/>
    <col min="7426" max="7426" width="3.54296875" style="8" customWidth="1"/>
    <col min="7427" max="7671" width="9.1796875" style="8"/>
    <col min="7672" max="7672" width="8.7265625" style="8" customWidth="1"/>
    <col min="7673" max="7673" width="9.81640625" style="8" customWidth="1"/>
    <col min="7674" max="7674" width="14.453125" style="8" customWidth="1"/>
    <col min="7675" max="7675" width="7.26953125" style="8" customWidth="1"/>
    <col min="7676" max="7676" width="5.54296875" style="8" customWidth="1"/>
    <col min="7677" max="7677" width="9" style="8" customWidth="1"/>
    <col min="7678" max="7679" width="9.81640625" style="8" customWidth="1"/>
    <col min="7680" max="7680" width="11.1796875" style="8" customWidth="1"/>
    <col min="7681" max="7681" width="2.81640625" style="8" customWidth="1"/>
    <col min="7682" max="7682" width="3.54296875" style="8" customWidth="1"/>
    <col min="7683" max="7927" width="9.1796875" style="8"/>
    <col min="7928" max="7928" width="8.7265625" style="8" customWidth="1"/>
    <col min="7929" max="7929" width="9.81640625" style="8" customWidth="1"/>
    <col min="7930" max="7930" width="14.453125" style="8" customWidth="1"/>
    <col min="7931" max="7931" width="7.26953125" style="8" customWidth="1"/>
    <col min="7932" max="7932" width="5.54296875" style="8" customWidth="1"/>
    <col min="7933" max="7933" width="9" style="8" customWidth="1"/>
    <col min="7934" max="7935" width="9.81640625" style="8" customWidth="1"/>
    <col min="7936" max="7936" width="11.1796875" style="8" customWidth="1"/>
    <col min="7937" max="7937" width="2.81640625" style="8" customWidth="1"/>
    <col min="7938" max="7938" width="3.54296875" style="8" customWidth="1"/>
    <col min="7939" max="8183" width="9.1796875" style="8"/>
    <col min="8184" max="8184" width="8.7265625" style="8" customWidth="1"/>
    <col min="8185" max="8185" width="9.81640625" style="8" customWidth="1"/>
    <col min="8186" max="8186" width="14.453125" style="8" customWidth="1"/>
    <col min="8187" max="8187" width="7.26953125" style="8" customWidth="1"/>
    <col min="8188" max="8188" width="5.54296875" style="8" customWidth="1"/>
    <col min="8189" max="8189" width="9" style="8" customWidth="1"/>
    <col min="8190" max="8191" width="9.81640625" style="8" customWidth="1"/>
    <col min="8192" max="8192" width="11.1796875" style="8" customWidth="1"/>
    <col min="8193" max="8193" width="2.81640625" style="8" customWidth="1"/>
    <col min="8194" max="8194" width="3.54296875" style="8" customWidth="1"/>
    <col min="8195" max="8439" width="9.1796875" style="8"/>
    <col min="8440" max="8440" width="8.7265625" style="8" customWidth="1"/>
    <col min="8441" max="8441" width="9.81640625" style="8" customWidth="1"/>
    <col min="8442" max="8442" width="14.453125" style="8" customWidth="1"/>
    <col min="8443" max="8443" width="7.26953125" style="8" customWidth="1"/>
    <col min="8444" max="8444" width="5.54296875" style="8" customWidth="1"/>
    <col min="8445" max="8445" width="9" style="8" customWidth="1"/>
    <col min="8446" max="8447" width="9.81640625" style="8" customWidth="1"/>
    <col min="8448" max="8448" width="11.1796875" style="8" customWidth="1"/>
    <col min="8449" max="8449" width="2.81640625" style="8" customWidth="1"/>
    <col min="8450" max="8450" width="3.54296875" style="8" customWidth="1"/>
    <col min="8451" max="8695" width="9.1796875" style="8"/>
    <col min="8696" max="8696" width="8.7265625" style="8" customWidth="1"/>
    <col min="8697" max="8697" width="9.81640625" style="8" customWidth="1"/>
    <col min="8698" max="8698" width="14.453125" style="8" customWidth="1"/>
    <col min="8699" max="8699" width="7.26953125" style="8" customWidth="1"/>
    <col min="8700" max="8700" width="5.54296875" style="8" customWidth="1"/>
    <col min="8701" max="8701" width="9" style="8" customWidth="1"/>
    <col min="8702" max="8703" width="9.81640625" style="8" customWidth="1"/>
    <col min="8704" max="8704" width="11.1796875" style="8" customWidth="1"/>
    <col min="8705" max="8705" width="2.81640625" style="8" customWidth="1"/>
    <col min="8706" max="8706" width="3.54296875" style="8" customWidth="1"/>
    <col min="8707" max="8951" width="9.1796875" style="8"/>
    <col min="8952" max="8952" width="8.7265625" style="8" customWidth="1"/>
    <col min="8953" max="8953" width="9.81640625" style="8" customWidth="1"/>
    <col min="8954" max="8954" width="14.453125" style="8" customWidth="1"/>
    <col min="8955" max="8955" width="7.26953125" style="8" customWidth="1"/>
    <col min="8956" max="8956" width="5.54296875" style="8" customWidth="1"/>
    <col min="8957" max="8957" width="9" style="8" customWidth="1"/>
    <col min="8958" max="8959" width="9.81640625" style="8" customWidth="1"/>
    <col min="8960" max="8960" width="11.1796875" style="8" customWidth="1"/>
    <col min="8961" max="8961" width="2.81640625" style="8" customWidth="1"/>
    <col min="8962" max="8962" width="3.54296875" style="8" customWidth="1"/>
    <col min="8963" max="9207" width="9.1796875" style="8"/>
    <col min="9208" max="9208" width="8.7265625" style="8" customWidth="1"/>
    <col min="9209" max="9209" width="9.81640625" style="8" customWidth="1"/>
    <col min="9210" max="9210" width="14.453125" style="8" customWidth="1"/>
    <col min="9211" max="9211" width="7.26953125" style="8" customWidth="1"/>
    <col min="9212" max="9212" width="5.54296875" style="8" customWidth="1"/>
    <col min="9213" max="9213" width="9" style="8" customWidth="1"/>
    <col min="9214" max="9215" width="9.81640625" style="8" customWidth="1"/>
    <col min="9216" max="9216" width="11.1796875" style="8" customWidth="1"/>
    <col min="9217" max="9217" width="2.81640625" style="8" customWidth="1"/>
    <col min="9218" max="9218" width="3.54296875" style="8" customWidth="1"/>
    <col min="9219" max="9463" width="9.1796875" style="8"/>
    <col min="9464" max="9464" width="8.7265625" style="8" customWidth="1"/>
    <col min="9465" max="9465" width="9.81640625" style="8" customWidth="1"/>
    <col min="9466" max="9466" width="14.453125" style="8" customWidth="1"/>
    <col min="9467" max="9467" width="7.26953125" style="8" customWidth="1"/>
    <col min="9468" max="9468" width="5.54296875" style="8" customWidth="1"/>
    <col min="9469" max="9469" width="9" style="8" customWidth="1"/>
    <col min="9470" max="9471" width="9.81640625" style="8" customWidth="1"/>
    <col min="9472" max="9472" width="11.1796875" style="8" customWidth="1"/>
    <col min="9473" max="9473" width="2.81640625" style="8" customWidth="1"/>
    <col min="9474" max="9474" width="3.54296875" style="8" customWidth="1"/>
    <col min="9475" max="9719" width="9.1796875" style="8"/>
    <col min="9720" max="9720" width="8.7265625" style="8" customWidth="1"/>
    <col min="9721" max="9721" width="9.81640625" style="8" customWidth="1"/>
    <col min="9722" max="9722" width="14.453125" style="8" customWidth="1"/>
    <col min="9723" max="9723" width="7.26953125" style="8" customWidth="1"/>
    <col min="9724" max="9724" width="5.54296875" style="8" customWidth="1"/>
    <col min="9725" max="9725" width="9" style="8" customWidth="1"/>
    <col min="9726" max="9727" width="9.81640625" style="8" customWidth="1"/>
    <col min="9728" max="9728" width="11.1796875" style="8" customWidth="1"/>
    <col min="9729" max="9729" width="2.81640625" style="8" customWidth="1"/>
    <col min="9730" max="9730" width="3.54296875" style="8" customWidth="1"/>
    <col min="9731" max="9975" width="9.1796875" style="8"/>
    <col min="9976" max="9976" width="8.7265625" style="8" customWidth="1"/>
    <col min="9977" max="9977" width="9.81640625" style="8" customWidth="1"/>
    <col min="9978" max="9978" width="14.453125" style="8" customWidth="1"/>
    <col min="9979" max="9979" width="7.26953125" style="8" customWidth="1"/>
    <col min="9980" max="9980" width="5.54296875" style="8" customWidth="1"/>
    <col min="9981" max="9981" width="9" style="8" customWidth="1"/>
    <col min="9982" max="9983" width="9.81640625" style="8" customWidth="1"/>
    <col min="9984" max="9984" width="11.1796875" style="8" customWidth="1"/>
    <col min="9985" max="9985" width="2.81640625" style="8" customWidth="1"/>
    <col min="9986" max="9986" width="3.54296875" style="8" customWidth="1"/>
    <col min="9987" max="10231" width="9.1796875" style="8"/>
    <col min="10232" max="10232" width="8.7265625" style="8" customWidth="1"/>
    <col min="10233" max="10233" width="9.81640625" style="8" customWidth="1"/>
    <col min="10234" max="10234" width="14.453125" style="8" customWidth="1"/>
    <col min="10235" max="10235" width="7.26953125" style="8" customWidth="1"/>
    <col min="10236" max="10236" width="5.54296875" style="8" customWidth="1"/>
    <col min="10237" max="10237" width="9" style="8" customWidth="1"/>
    <col min="10238" max="10239" width="9.81640625" style="8" customWidth="1"/>
    <col min="10240" max="10240" width="11.1796875" style="8" customWidth="1"/>
    <col min="10241" max="10241" width="2.81640625" style="8" customWidth="1"/>
    <col min="10242" max="10242" width="3.54296875" style="8" customWidth="1"/>
    <col min="10243" max="10487" width="9.1796875" style="8"/>
    <col min="10488" max="10488" width="8.7265625" style="8" customWidth="1"/>
    <col min="10489" max="10489" width="9.81640625" style="8" customWidth="1"/>
    <col min="10490" max="10490" width="14.453125" style="8" customWidth="1"/>
    <col min="10491" max="10491" width="7.26953125" style="8" customWidth="1"/>
    <col min="10492" max="10492" width="5.54296875" style="8" customWidth="1"/>
    <col min="10493" max="10493" width="9" style="8" customWidth="1"/>
    <col min="10494" max="10495" width="9.81640625" style="8" customWidth="1"/>
    <col min="10496" max="10496" width="11.1796875" style="8" customWidth="1"/>
    <col min="10497" max="10497" width="2.81640625" style="8" customWidth="1"/>
    <col min="10498" max="10498" width="3.54296875" style="8" customWidth="1"/>
    <col min="10499" max="10743" width="9.1796875" style="8"/>
    <col min="10744" max="10744" width="8.7265625" style="8" customWidth="1"/>
    <col min="10745" max="10745" width="9.81640625" style="8" customWidth="1"/>
    <col min="10746" max="10746" width="14.453125" style="8" customWidth="1"/>
    <col min="10747" max="10747" width="7.26953125" style="8" customWidth="1"/>
    <col min="10748" max="10748" width="5.54296875" style="8" customWidth="1"/>
    <col min="10749" max="10749" width="9" style="8" customWidth="1"/>
    <col min="10750" max="10751" width="9.81640625" style="8" customWidth="1"/>
    <col min="10752" max="10752" width="11.1796875" style="8" customWidth="1"/>
    <col min="10753" max="10753" width="2.81640625" style="8" customWidth="1"/>
    <col min="10754" max="10754" width="3.54296875" style="8" customWidth="1"/>
    <col min="10755" max="10999" width="9.1796875" style="8"/>
    <col min="11000" max="11000" width="8.7265625" style="8" customWidth="1"/>
    <col min="11001" max="11001" width="9.81640625" style="8" customWidth="1"/>
    <col min="11002" max="11002" width="14.453125" style="8" customWidth="1"/>
    <col min="11003" max="11003" width="7.26953125" style="8" customWidth="1"/>
    <col min="11004" max="11004" width="5.54296875" style="8" customWidth="1"/>
    <col min="11005" max="11005" width="9" style="8" customWidth="1"/>
    <col min="11006" max="11007" width="9.81640625" style="8" customWidth="1"/>
    <col min="11008" max="11008" width="11.1796875" style="8" customWidth="1"/>
    <col min="11009" max="11009" width="2.81640625" style="8" customWidth="1"/>
    <col min="11010" max="11010" width="3.54296875" style="8" customWidth="1"/>
    <col min="11011" max="11255" width="9.1796875" style="8"/>
    <col min="11256" max="11256" width="8.7265625" style="8" customWidth="1"/>
    <col min="11257" max="11257" width="9.81640625" style="8" customWidth="1"/>
    <col min="11258" max="11258" width="14.453125" style="8" customWidth="1"/>
    <col min="11259" max="11259" width="7.26953125" style="8" customWidth="1"/>
    <col min="11260" max="11260" width="5.54296875" style="8" customWidth="1"/>
    <col min="11261" max="11261" width="9" style="8" customWidth="1"/>
    <col min="11262" max="11263" width="9.81640625" style="8" customWidth="1"/>
    <col min="11264" max="11264" width="11.1796875" style="8" customWidth="1"/>
    <col min="11265" max="11265" width="2.81640625" style="8" customWidth="1"/>
    <col min="11266" max="11266" width="3.54296875" style="8" customWidth="1"/>
    <col min="11267" max="11511" width="9.1796875" style="8"/>
    <col min="11512" max="11512" width="8.7265625" style="8" customWidth="1"/>
    <col min="11513" max="11513" width="9.81640625" style="8" customWidth="1"/>
    <col min="11514" max="11514" width="14.453125" style="8" customWidth="1"/>
    <col min="11515" max="11515" width="7.26953125" style="8" customWidth="1"/>
    <col min="11516" max="11516" width="5.54296875" style="8" customWidth="1"/>
    <col min="11517" max="11517" width="9" style="8" customWidth="1"/>
    <col min="11518" max="11519" width="9.81640625" style="8" customWidth="1"/>
    <col min="11520" max="11520" width="11.1796875" style="8" customWidth="1"/>
    <col min="11521" max="11521" width="2.81640625" style="8" customWidth="1"/>
    <col min="11522" max="11522" width="3.54296875" style="8" customWidth="1"/>
    <col min="11523" max="11767" width="9.1796875" style="8"/>
    <col min="11768" max="11768" width="8.7265625" style="8" customWidth="1"/>
    <col min="11769" max="11769" width="9.81640625" style="8" customWidth="1"/>
    <col min="11770" max="11770" width="14.453125" style="8" customWidth="1"/>
    <col min="11771" max="11771" width="7.26953125" style="8" customWidth="1"/>
    <col min="11772" max="11772" width="5.54296875" style="8" customWidth="1"/>
    <col min="11773" max="11773" width="9" style="8" customWidth="1"/>
    <col min="11774" max="11775" width="9.81640625" style="8" customWidth="1"/>
    <col min="11776" max="11776" width="11.1796875" style="8" customWidth="1"/>
    <col min="11777" max="11777" width="2.81640625" style="8" customWidth="1"/>
    <col min="11778" max="11778" width="3.54296875" style="8" customWidth="1"/>
    <col min="11779" max="12023" width="9.1796875" style="8"/>
    <col min="12024" max="12024" width="8.7265625" style="8" customWidth="1"/>
    <col min="12025" max="12025" width="9.81640625" style="8" customWidth="1"/>
    <col min="12026" max="12026" width="14.453125" style="8" customWidth="1"/>
    <col min="12027" max="12027" width="7.26953125" style="8" customWidth="1"/>
    <col min="12028" max="12028" width="5.54296875" style="8" customWidth="1"/>
    <col min="12029" max="12029" width="9" style="8" customWidth="1"/>
    <col min="12030" max="12031" width="9.81640625" style="8" customWidth="1"/>
    <col min="12032" max="12032" width="11.1796875" style="8" customWidth="1"/>
    <col min="12033" max="12033" width="2.81640625" style="8" customWidth="1"/>
    <col min="12034" max="12034" width="3.54296875" style="8" customWidth="1"/>
    <col min="12035" max="12279" width="9.1796875" style="8"/>
    <col min="12280" max="12280" width="8.7265625" style="8" customWidth="1"/>
    <col min="12281" max="12281" width="9.81640625" style="8" customWidth="1"/>
    <col min="12282" max="12282" width="14.453125" style="8" customWidth="1"/>
    <col min="12283" max="12283" width="7.26953125" style="8" customWidth="1"/>
    <col min="12284" max="12284" width="5.54296875" style="8" customWidth="1"/>
    <col min="12285" max="12285" width="9" style="8" customWidth="1"/>
    <col min="12286" max="12287" width="9.81640625" style="8" customWidth="1"/>
    <col min="12288" max="12288" width="11.1796875" style="8" customWidth="1"/>
    <col min="12289" max="12289" width="2.81640625" style="8" customWidth="1"/>
    <col min="12290" max="12290" width="3.54296875" style="8" customWidth="1"/>
    <col min="12291" max="12535" width="9.1796875" style="8"/>
    <col min="12536" max="12536" width="8.7265625" style="8" customWidth="1"/>
    <col min="12537" max="12537" width="9.81640625" style="8" customWidth="1"/>
    <col min="12538" max="12538" width="14.453125" style="8" customWidth="1"/>
    <col min="12539" max="12539" width="7.26953125" style="8" customWidth="1"/>
    <col min="12540" max="12540" width="5.54296875" style="8" customWidth="1"/>
    <col min="12541" max="12541" width="9" style="8" customWidth="1"/>
    <col min="12542" max="12543" width="9.81640625" style="8" customWidth="1"/>
    <col min="12544" max="12544" width="11.1796875" style="8" customWidth="1"/>
    <col min="12545" max="12545" width="2.81640625" style="8" customWidth="1"/>
    <col min="12546" max="12546" width="3.54296875" style="8" customWidth="1"/>
    <col min="12547" max="12791" width="9.1796875" style="8"/>
    <col min="12792" max="12792" width="8.7265625" style="8" customWidth="1"/>
    <col min="12793" max="12793" width="9.81640625" style="8" customWidth="1"/>
    <col min="12794" max="12794" width="14.453125" style="8" customWidth="1"/>
    <col min="12795" max="12795" width="7.26953125" style="8" customWidth="1"/>
    <col min="12796" max="12796" width="5.54296875" style="8" customWidth="1"/>
    <col min="12797" max="12797" width="9" style="8" customWidth="1"/>
    <col min="12798" max="12799" width="9.81640625" style="8" customWidth="1"/>
    <col min="12800" max="12800" width="11.1796875" style="8" customWidth="1"/>
    <col min="12801" max="12801" width="2.81640625" style="8" customWidth="1"/>
    <col min="12802" max="12802" width="3.54296875" style="8" customWidth="1"/>
    <col min="12803" max="13047" width="9.1796875" style="8"/>
    <col min="13048" max="13048" width="8.7265625" style="8" customWidth="1"/>
    <col min="13049" max="13049" width="9.81640625" style="8" customWidth="1"/>
    <col min="13050" max="13050" width="14.453125" style="8" customWidth="1"/>
    <col min="13051" max="13051" width="7.26953125" style="8" customWidth="1"/>
    <col min="13052" max="13052" width="5.54296875" style="8" customWidth="1"/>
    <col min="13053" max="13053" width="9" style="8" customWidth="1"/>
    <col min="13054" max="13055" width="9.81640625" style="8" customWidth="1"/>
    <col min="13056" max="13056" width="11.1796875" style="8" customWidth="1"/>
    <col min="13057" max="13057" width="2.81640625" style="8" customWidth="1"/>
    <col min="13058" max="13058" width="3.54296875" style="8" customWidth="1"/>
    <col min="13059" max="13303" width="9.1796875" style="8"/>
    <col min="13304" max="13304" width="8.7265625" style="8" customWidth="1"/>
    <col min="13305" max="13305" width="9.81640625" style="8" customWidth="1"/>
    <col min="13306" max="13306" width="14.453125" style="8" customWidth="1"/>
    <col min="13307" max="13307" width="7.26953125" style="8" customWidth="1"/>
    <col min="13308" max="13308" width="5.54296875" style="8" customWidth="1"/>
    <col min="13309" max="13309" width="9" style="8" customWidth="1"/>
    <col min="13310" max="13311" width="9.81640625" style="8" customWidth="1"/>
    <col min="13312" max="13312" width="11.1796875" style="8" customWidth="1"/>
    <col min="13313" max="13313" width="2.81640625" style="8" customWidth="1"/>
    <col min="13314" max="13314" width="3.54296875" style="8" customWidth="1"/>
    <col min="13315" max="13559" width="9.1796875" style="8"/>
    <col min="13560" max="13560" width="8.7265625" style="8" customWidth="1"/>
    <col min="13561" max="13561" width="9.81640625" style="8" customWidth="1"/>
    <col min="13562" max="13562" width="14.453125" style="8" customWidth="1"/>
    <col min="13563" max="13563" width="7.26953125" style="8" customWidth="1"/>
    <col min="13564" max="13564" width="5.54296875" style="8" customWidth="1"/>
    <col min="13565" max="13565" width="9" style="8" customWidth="1"/>
    <col min="13566" max="13567" width="9.81640625" style="8" customWidth="1"/>
    <col min="13568" max="13568" width="11.1796875" style="8" customWidth="1"/>
    <col min="13569" max="13569" width="2.81640625" style="8" customWidth="1"/>
    <col min="13570" max="13570" width="3.54296875" style="8" customWidth="1"/>
    <col min="13571" max="13815" width="9.1796875" style="8"/>
    <col min="13816" max="13816" width="8.7265625" style="8" customWidth="1"/>
    <col min="13817" max="13817" width="9.81640625" style="8" customWidth="1"/>
    <col min="13818" max="13818" width="14.453125" style="8" customWidth="1"/>
    <col min="13819" max="13819" width="7.26953125" style="8" customWidth="1"/>
    <col min="13820" max="13820" width="5.54296875" style="8" customWidth="1"/>
    <col min="13821" max="13821" width="9" style="8" customWidth="1"/>
    <col min="13822" max="13823" width="9.81640625" style="8" customWidth="1"/>
    <col min="13824" max="13824" width="11.1796875" style="8" customWidth="1"/>
    <col min="13825" max="13825" width="2.81640625" style="8" customWidth="1"/>
    <col min="13826" max="13826" width="3.54296875" style="8" customWidth="1"/>
    <col min="13827" max="14071" width="9.1796875" style="8"/>
    <col min="14072" max="14072" width="8.7265625" style="8" customWidth="1"/>
    <col min="14073" max="14073" width="9.81640625" style="8" customWidth="1"/>
    <col min="14074" max="14074" width="14.453125" style="8" customWidth="1"/>
    <col min="14075" max="14075" width="7.26953125" style="8" customWidth="1"/>
    <col min="14076" max="14076" width="5.54296875" style="8" customWidth="1"/>
    <col min="14077" max="14077" width="9" style="8" customWidth="1"/>
    <col min="14078" max="14079" width="9.81640625" style="8" customWidth="1"/>
    <col min="14080" max="14080" width="11.1796875" style="8" customWidth="1"/>
    <col min="14081" max="14081" width="2.81640625" style="8" customWidth="1"/>
    <col min="14082" max="14082" width="3.54296875" style="8" customWidth="1"/>
    <col min="14083" max="14327" width="9.1796875" style="8"/>
    <col min="14328" max="14328" width="8.7265625" style="8" customWidth="1"/>
    <col min="14329" max="14329" width="9.81640625" style="8" customWidth="1"/>
    <col min="14330" max="14330" width="14.453125" style="8" customWidth="1"/>
    <col min="14331" max="14331" width="7.26953125" style="8" customWidth="1"/>
    <col min="14332" max="14332" width="5.54296875" style="8" customWidth="1"/>
    <col min="14333" max="14333" width="9" style="8" customWidth="1"/>
    <col min="14334" max="14335" width="9.81640625" style="8" customWidth="1"/>
    <col min="14336" max="14336" width="11.1796875" style="8" customWidth="1"/>
    <col min="14337" max="14337" width="2.81640625" style="8" customWidth="1"/>
    <col min="14338" max="14338" width="3.54296875" style="8" customWidth="1"/>
    <col min="14339" max="14583" width="9.1796875" style="8"/>
    <col min="14584" max="14584" width="8.7265625" style="8" customWidth="1"/>
    <col min="14585" max="14585" width="9.81640625" style="8" customWidth="1"/>
    <col min="14586" max="14586" width="14.453125" style="8" customWidth="1"/>
    <col min="14587" max="14587" width="7.26953125" style="8" customWidth="1"/>
    <col min="14588" max="14588" width="5.54296875" style="8" customWidth="1"/>
    <col min="14589" max="14589" width="9" style="8" customWidth="1"/>
    <col min="14590" max="14591" width="9.81640625" style="8" customWidth="1"/>
    <col min="14592" max="14592" width="11.1796875" style="8" customWidth="1"/>
    <col min="14593" max="14593" width="2.81640625" style="8" customWidth="1"/>
    <col min="14594" max="14594" width="3.54296875" style="8" customWidth="1"/>
    <col min="14595" max="14839" width="9.1796875" style="8"/>
    <col min="14840" max="14840" width="8.7265625" style="8" customWidth="1"/>
    <col min="14841" max="14841" width="9.81640625" style="8" customWidth="1"/>
    <col min="14842" max="14842" width="14.453125" style="8" customWidth="1"/>
    <col min="14843" max="14843" width="7.26953125" style="8" customWidth="1"/>
    <col min="14844" max="14844" width="5.54296875" style="8" customWidth="1"/>
    <col min="14845" max="14845" width="9" style="8" customWidth="1"/>
    <col min="14846" max="14847" width="9.81640625" style="8" customWidth="1"/>
    <col min="14848" max="14848" width="11.1796875" style="8" customWidth="1"/>
    <col min="14849" max="14849" width="2.81640625" style="8" customWidth="1"/>
    <col min="14850" max="14850" width="3.54296875" style="8" customWidth="1"/>
    <col min="14851" max="15095" width="9.1796875" style="8"/>
    <col min="15096" max="15096" width="8.7265625" style="8" customWidth="1"/>
    <col min="15097" max="15097" width="9.81640625" style="8" customWidth="1"/>
    <col min="15098" max="15098" width="14.453125" style="8" customWidth="1"/>
    <col min="15099" max="15099" width="7.26953125" style="8" customWidth="1"/>
    <col min="15100" max="15100" width="5.54296875" style="8" customWidth="1"/>
    <col min="15101" max="15101" width="9" style="8" customWidth="1"/>
    <col min="15102" max="15103" width="9.81640625" style="8" customWidth="1"/>
    <col min="15104" max="15104" width="11.1796875" style="8" customWidth="1"/>
    <col min="15105" max="15105" width="2.81640625" style="8" customWidth="1"/>
    <col min="15106" max="15106" width="3.54296875" style="8" customWidth="1"/>
    <col min="15107" max="15351" width="9.1796875" style="8"/>
    <col min="15352" max="15352" width="8.7265625" style="8" customWidth="1"/>
    <col min="15353" max="15353" width="9.81640625" style="8" customWidth="1"/>
    <col min="15354" max="15354" width="14.453125" style="8" customWidth="1"/>
    <col min="15355" max="15355" width="7.26953125" style="8" customWidth="1"/>
    <col min="15356" max="15356" width="5.54296875" style="8" customWidth="1"/>
    <col min="15357" max="15357" width="9" style="8" customWidth="1"/>
    <col min="15358" max="15359" width="9.81640625" style="8" customWidth="1"/>
    <col min="15360" max="15360" width="11.1796875" style="8" customWidth="1"/>
    <col min="15361" max="15361" width="2.81640625" style="8" customWidth="1"/>
    <col min="15362" max="15362" width="3.54296875" style="8" customWidth="1"/>
    <col min="15363" max="15607" width="9.1796875" style="8"/>
    <col min="15608" max="15608" width="8.7265625" style="8" customWidth="1"/>
    <col min="15609" max="15609" width="9.81640625" style="8" customWidth="1"/>
    <col min="15610" max="15610" width="14.453125" style="8" customWidth="1"/>
    <col min="15611" max="15611" width="7.26953125" style="8" customWidth="1"/>
    <col min="15612" max="15612" width="5.54296875" style="8" customWidth="1"/>
    <col min="15613" max="15613" width="9" style="8" customWidth="1"/>
    <col min="15614" max="15615" width="9.81640625" style="8" customWidth="1"/>
    <col min="15616" max="15616" width="11.1796875" style="8" customWidth="1"/>
    <col min="15617" max="15617" width="2.81640625" style="8" customWidth="1"/>
    <col min="15618" max="15618" width="3.54296875" style="8" customWidth="1"/>
    <col min="15619" max="15863" width="9.1796875" style="8"/>
    <col min="15864" max="15864" width="8.7265625" style="8" customWidth="1"/>
    <col min="15865" max="15865" width="9.81640625" style="8" customWidth="1"/>
    <col min="15866" max="15866" width="14.453125" style="8" customWidth="1"/>
    <col min="15867" max="15867" width="7.26953125" style="8" customWidth="1"/>
    <col min="15868" max="15868" width="5.54296875" style="8" customWidth="1"/>
    <col min="15869" max="15869" width="9" style="8" customWidth="1"/>
    <col min="15870" max="15871" width="9.81640625" style="8" customWidth="1"/>
    <col min="15872" max="15872" width="11.1796875" style="8" customWidth="1"/>
    <col min="15873" max="15873" width="2.81640625" style="8" customWidth="1"/>
    <col min="15874" max="15874" width="3.54296875" style="8" customWidth="1"/>
    <col min="15875" max="16119" width="9.1796875" style="8"/>
    <col min="16120" max="16120" width="8.7265625" style="8" customWidth="1"/>
    <col min="16121" max="16121" width="9.81640625" style="8" customWidth="1"/>
    <col min="16122" max="16122" width="14.453125" style="8" customWidth="1"/>
    <col min="16123" max="16123" width="7.26953125" style="8" customWidth="1"/>
    <col min="16124" max="16124" width="5.54296875" style="8" customWidth="1"/>
    <col min="16125" max="16125" width="9" style="8" customWidth="1"/>
    <col min="16126" max="16127" width="9.81640625" style="8" customWidth="1"/>
    <col min="16128" max="16128" width="11.1796875" style="8" customWidth="1"/>
    <col min="16129" max="16129" width="2.81640625" style="8" customWidth="1"/>
    <col min="16130" max="16130" width="3.54296875" style="8" customWidth="1"/>
    <col min="16131" max="16384" width="9.1796875" style="8"/>
  </cols>
  <sheetData>
    <row r="1" spans="1:8" ht="46.5" customHeight="1" x14ac:dyDescent="0.35">
      <c r="A1" s="127" t="s">
        <v>245</v>
      </c>
      <c r="B1" s="127"/>
      <c r="C1" s="127"/>
      <c r="D1" s="127"/>
      <c r="E1" s="127"/>
      <c r="F1" s="127"/>
      <c r="G1" s="127"/>
      <c r="H1" s="127"/>
    </row>
    <row r="2" spans="1:8" ht="16.5" customHeight="1" x14ac:dyDescent="0.35">
      <c r="A2" s="92" t="s">
        <v>0</v>
      </c>
      <c r="B2" s="92"/>
      <c r="C2" s="92"/>
      <c r="D2" s="92"/>
      <c r="E2" s="92"/>
      <c r="F2" s="92"/>
      <c r="G2" s="92"/>
      <c r="H2" s="92"/>
    </row>
    <row r="3" spans="1:8" x14ac:dyDescent="0.35">
      <c r="A3" s="91" t="s">
        <v>1</v>
      </c>
      <c r="B3" s="91"/>
      <c r="C3" s="91"/>
      <c r="D3" s="91"/>
      <c r="E3" s="125" t="str">
        <f ca="1">TEXT(TODAY(),"DD/MM/YYYY")</f>
        <v>28/08/2025</v>
      </c>
      <c r="F3" s="125"/>
      <c r="G3" s="125"/>
      <c r="H3" s="125"/>
    </row>
    <row r="4" spans="1:8" ht="15" customHeight="1" x14ac:dyDescent="0.35">
      <c r="A4" s="91" t="s">
        <v>2</v>
      </c>
      <c r="B4" s="91"/>
      <c r="C4" s="91"/>
      <c r="D4" s="91"/>
      <c r="E4" s="123" t="s">
        <v>187</v>
      </c>
      <c r="F4" s="123"/>
      <c r="G4" s="123"/>
      <c r="H4" s="123"/>
    </row>
    <row r="5" spans="1:8" x14ac:dyDescent="0.35">
      <c r="A5" s="91" t="s">
        <v>3</v>
      </c>
      <c r="B5" s="91"/>
      <c r="C5" s="91"/>
      <c r="D5" s="91"/>
      <c r="E5" s="125">
        <v>45897</v>
      </c>
      <c r="F5" s="125"/>
      <c r="G5" s="125"/>
      <c r="H5" s="125"/>
    </row>
    <row r="6" spans="1:8" ht="16.5" customHeight="1" x14ac:dyDescent="0.35">
      <c r="A6" s="91" t="s">
        <v>4</v>
      </c>
      <c r="B6" s="91"/>
      <c r="C6" s="91"/>
      <c r="D6" s="91"/>
      <c r="E6" s="122" t="s">
        <v>188</v>
      </c>
      <c r="F6" s="122"/>
      <c r="G6" s="122"/>
      <c r="H6" s="122"/>
    </row>
    <row r="7" spans="1:8" ht="15" customHeight="1" x14ac:dyDescent="0.35">
      <c r="A7" s="91" t="s">
        <v>5</v>
      </c>
      <c r="B7" s="91"/>
      <c r="C7" s="91"/>
      <c r="D7" s="91"/>
      <c r="E7" s="122" t="str">
        <f>E6</f>
        <v xml:space="preserve">M/s.Oscar Infrastructure Private Limited
</v>
      </c>
      <c r="F7" s="122"/>
      <c r="G7" s="122"/>
      <c r="H7" s="122"/>
    </row>
    <row r="8" spans="1:8" x14ac:dyDescent="0.35">
      <c r="A8" s="91" t="s">
        <v>6</v>
      </c>
      <c r="B8" s="91"/>
      <c r="C8" s="91"/>
      <c r="D8" s="91"/>
      <c r="E8" s="128" t="s">
        <v>189</v>
      </c>
      <c r="F8" s="112"/>
      <c r="G8" s="112"/>
      <c r="H8" s="112"/>
    </row>
    <row r="9" spans="1:8" x14ac:dyDescent="0.35">
      <c r="A9" s="91" t="s">
        <v>161</v>
      </c>
      <c r="B9" s="91"/>
      <c r="C9" s="91"/>
      <c r="D9" s="91"/>
      <c r="E9" s="91">
        <v>9833933016</v>
      </c>
      <c r="F9" s="91"/>
      <c r="G9" s="91"/>
      <c r="H9" s="91"/>
    </row>
    <row r="10" spans="1:8" x14ac:dyDescent="0.35">
      <c r="A10" s="90" t="s">
        <v>7</v>
      </c>
      <c r="B10" s="90"/>
      <c r="C10" s="90"/>
      <c r="D10" s="90"/>
      <c r="E10" s="90" t="s">
        <v>238</v>
      </c>
      <c r="F10" s="90"/>
      <c r="G10" s="90"/>
      <c r="H10" s="90"/>
    </row>
    <row r="11" spans="1:8" ht="32.25" customHeight="1" x14ac:dyDescent="0.35">
      <c r="A11" s="91" t="s">
        <v>8</v>
      </c>
      <c r="B11" s="91"/>
      <c r="C11" s="91"/>
      <c r="D11" s="91"/>
      <c r="E11" s="117" t="s">
        <v>141</v>
      </c>
      <c r="F11" s="117"/>
      <c r="G11" s="117"/>
      <c r="H11" s="117"/>
    </row>
    <row r="12" spans="1:8" x14ac:dyDescent="0.35">
      <c r="A12" s="91" t="s">
        <v>9</v>
      </c>
      <c r="B12" s="91"/>
      <c r="C12" s="91"/>
      <c r="D12" s="91"/>
      <c r="E12" s="117" t="s">
        <v>190</v>
      </c>
      <c r="F12" s="90"/>
      <c r="G12" s="90"/>
      <c r="H12" s="90"/>
    </row>
    <row r="13" spans="1:8" ht="34.5" customHeight="1" x14ac:dyDescent="0.35">
      <c r="A13" s="122" t="s">
        <v>10</v>
      </c>
      <c r="B13" s="122"/>
      <c r="C13" s="122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Om Regency, Plot No.4, 4A &amp; 5 Sector No.15, near Kaveesha Apt., Internal Road, Taloja, Navi Mumbai, Panvel, Raigad.</v>
      </c>
      <c r="D13" s="122"/>
      <c r="E13" s="122"/>
      <c r="F13" s="122"/>
      <c r="G13" s="122"/>
      <c r="H13" s="122"/>
    </row>
    <row r="14" spans="1:8" x14ac:dyDescent="0.35">
      <c r="A14" s="122" t="s">
        <v>191</v>
      </c>
      <c r="B14" s="122"/>
      <c r="C14" s="117" t="s">
        <v>224</v>
      </c>
      <c r="D14" s="117"/>
      <c r="E14" s="117"/>
      <c r="F14" s="117"/>
      <c r="G14" s="117"/>
      <c r="H14" s="117"/>
    </row>
    <row r="15" spans="1:8" ht="15.75" customHeight="1" x14ac:dyDescent="0.35">
      <c r="A15" s="122" t="s">
        <v>11</v>
      </c>
      <c r="B15" s="122"/>
      <c r="C15" s="90" t="s">
        <v>196</v>
      </c>
      <c r="D15" s="90"/>
      <c r="E15" s="122" t="s">
        <v>102</v>
      </c>
      <c r="F15" s="122"/>
      <c r="G15" s="117" t="s">
        <v>192</v>
      </c>
      <c r="H15" s="117"/>
    </row>
    <row r="16" spans="1:8" x14ac:dyDescent="0.35">
      <c r="A16" s="91" t="s">
        <v>13</v>
      </c>
      <c r="B16" s="91"/>
      <c r="C16" s="117" t="s">
        <v>197</v>
      </c>
      <c r="D16" s="117"/>
      <c r="E16" s="122" t="s">
        <v>12</v>
      </c>
      <c r="F16" s="122"/>
      <c r="G16" s="124" t="s">
        <v>193</v>
      </c>
      <c r="H16" s="124"/>
    </row>
    <row r="17" spans="1:8" x14ac:dyDescent="0.35">
      <c r="A17" s="91" t="s">
        <v>103</v>
      </c>
      <c r="B17" s="91"/>
      <c r="C17" s="117" t="s">
        <v>194</v>
      </c>
      <c r="D17" s="117"/>
      <c r="E17" s="122" t="s">
        <v>14</v>
      </c>
      <c r="F17" s="122"/>
      <c r="G17" s="117">
        <v>410218</v>
      </c>
      <c r="H17" s="117"/>
    </row>
    <row r="18" spans="1:8" ht="51.75" customHeight="1" x14ac:dyDescent="0.35">
      <c r="A18" s="91" t="s">
        <v>162</v>
      </c>
      <c r="B18" s="91"/>
      <c r="C18" s="122" t="s">
        <v>198</v>
      </c>
      <c r="D18" s="122"/>
      <c r="E18" s="122" t="s">
        <v>15</v>
      </c>
      <c r="F18" s="122"/>
      <c r="G18" s="117" t="s">
        <v>195</v>
      </c>
      <c r="H18" s="117"/>
    </row>
    <row r="19" spans="1:8" ht="15" customHeight="1" x14ac:dyDescent="0.35">
      <c r="A19" s="122" t="s">
        <v>106</v>
      </c>
      <c r="B19" s="122"/>
      <c r="C19" s="122"/>
      <c r="D19" s="122"/>
      <c r="E19" s="90" t="s">
        <v>16</v>
      </c>
      <c r="F19" s="90"/>
      <c r="G19" s="90"/>
      <c r="H19" s="90"/>
    </row>
    <row r="20" spans="1:8" ht="18.75" customHeight="1" x14ac:dyDescent="0.35">
      <c r="A20" s="122"/>
      <c r="B20" s="122"/>
      <c r="C20" s="122"/>
      <c r="D20" s="122"/>
      <c r="E20" s="90"/>
      <c r="F20" s="90"/>
      <c r="G20" s="90"/>
      <c r="H20" s="90"/>
    </row>
    <row r="21" spans="1:8" ht="15" customHeight="1" x14ac:dyDescent="0.35">
      <c r="A21" s="122" t="s">
        <v>17</v>
      </c>
      <c r="B21" s="122"/>
      <c r="C21" s="122"/>
      <c r="D21" s="122"/>
      <c r="E21" s="117" t="s">
        <v>18</v>
      </c>
      <c r="F21" s="117"/>
      <c r="G21" s="117"/>
      <c r="H21" s="117"/>
    </row>
    <row r="22" spans="1:8" ht="15" customHeight="1" x14ac:dyDescent="0.35">
      <c r="A22" s="91" t="s">
        <v>19</v>
      </c>
      <c r="B22" s="91"/>
      <c r="C22" s="91"/>
      <c r="D22" s="91"/>
      <c r="E22" s="117" t="str">
        <f>IF(AND(G16="Mumbai"),"Upper Class","Middle Class")</f>
        <v>Middle Class</v>
      </c>
      <c r="F22" s="117"/>
      <c r="G22" s="117"/>
      <c r="H22" s="117"/>
    </row>
    <row r="23" spans="1:8" x14ac:dyDescent="0.35">
      <c r="A23" s="91" t="s">
        <v>20</v>
      </c>
      <c r="B23" s="91"/>
      <c r="C23" s="91"/>
      <c r="D23" s="91"/>
      <c r="E23" s="117" t="s">
        <v>21</v>
      </c>
      <c r="F23" s="117"/>
      <c r="G23" s="117"/>
      <c r="H23" s="117"/>
    </row>
    <row r="24" spans="1:8" ht="15.75" customHeight="1" x14ac:dyDescent="0.35">
      <c r="A24" s="91" t="s">
        <v>22</v>
      </c>
      <c r="B24" s="91"/>
      <c r="C24" s="91"/>
      <c r="D24" s="91"/>
      <c r="E24" s="117" t="str">
        <f>IF(AND(G16="Mumbai"),"Developed","Developing")</f>
        <v>Developing</v>
      </c>
      <c r="F24" s="117"/>
      <c r="G24" s="117"/>
      <c r="H24" s="117"/>
    </row>
    <row r="25" spans="1:8" x14ac:dyDescent="0.35">
      <c r="A25" s="91" t="s">
        <v>23</v>
      </c>
      <c r="B25" s="91"/>
      <c r="C25" s="91"/>
      <c r="D25" s="91"/>
      <c r="E25" s="117" t="s">
        <v>24</v>
      </c>
      <c r="F25" s="117"/>
      <c r="G25" s="117"/>
      <c r="H25" s="117"/>
    </row>
    <row r="26" spans="1:8" x14ac:dyDescent="0.35">
      <c r="A26" s="91" t="s">
        <v>113</v>
      </c>
      <c r="B26" s="91"/>
      <c r="C26" s="91"/>
      <c r="D26" s="91"/>
      <c r="E26" s="117" t="s">
        <v>114</v>
      </c>
      <c r="F26" s="117"/>
      <c r="G26" s="117"/>
      <c r="H26" s="117"/>
    </row>
    <row r="27" spans="1:8" ht="15" customHeight="1" x14ac:dyDescent="0.35">
      <c r="A27" s="122" t="s">
        <v>33</v>
      </c>
      <c r="B27" s="122"/>
      <c r="C27" s="122"/>
      <c r="D27" s="122"/>
      <c r="E27" s="123" t="s">
        <v>110</v>
      </c>
      <c r="F27" s="123"/>
      <c r="G27" s="123"/>
      <c r="H27" s="123"/>
    </row>
    <row r="28" spans="1:8" x14ac:dyDescent="0.35">
      <c r="A28" s="122" t="s">
        <v>125</v>
      </c>
      <c r="B28" s="122"/>
      <c r="C28" s="122"/>
      <c r="D28" s="122"/>
      <c r="E28" s="122" t="s">
        <v>34</v>
      </c>
      <c r="F28" s="122"/>
      <c r="G28" s="122"/>
      <c r="H28" s="122"/>
    </row>
    <row r="29" spans="1:8" s="11" customFormat="1" x14ac:dyDescent="0.35">
      <c r="A29" s="114" t="s">
        <v>126</v>
      </c>
      <c r="B29" s="114"/>
      <c r="C29" s="111" t="s">
        <v>29</v>
      </c>
      <c r="D29" s="111"/>
      <c r="E29" s="111"/>
      <c r="F29" s="111" t="s">
        <v>31</v>
      </c>
      <c r="G29" s="111"/>
      <c r="H29" s="111"/>
    </row>
    <row r="30" spans="1:8" s="11" customFormat="1" x14ac:dyDescent="0.35">
      <c r="A30" s="113" t="s">
        <v>25</v>
      </c>
      <c r="B30" s="113" t="s">
        <v>30</v>
      </c>
      <c r="C30" s="110" t="s">
        <v>30</v>
      </c>
      <c r="D30" s="110"/>
      <c r="E30" s="110"/>
      <c r="F30" s="110" t="s">
        <v>199</v>
      </c>
      <c r="G30" s="110"/>
      <c r="H30" s="110"/>
    </row>
    <row r="31" spans="1:8" x14ac:dyDescent="0.35">
      <c r="A31" s="113" t="s">
        <v>26</v>
      </c>
      <c r="B31" s="113" t="s">
        <v>30</v>
      </c>
      <c r="C31" s="110" t="s">
        <v>30</v>
      </c>
      <c r="D31" s="110"/>
      <c r="E31" s="110"/>
      <c r="F31" s="110" t="s">
        <v>200</v>
      </c>
      <c r="G31" s="110"/>
      <c r="H31" s="110"/>
    </row>
    <row r="32" spans="1:8" s="11" customFormat="1" x14ac:dyDescent="0.35">
      <c r="A32" s="113" t="s">
        <v>28</v>
      </c>
      <c r="B32" s="113" t="s">
        <v>30</v>
      </c>
      <c r="C32" s="110" t="s">
        <v>30</v>
      </c>
      <c r="D32" s="110"/>
      <c r="E32" s="110"/>
      <c r="F32" s="110" t="s">
        <v>196</v>
      </c>
      <c r="G32" s="110"/>
      <c r="H32" s="110"/>
    </row>
    <row r="33" spans="1:8" x14ac:dyDescent="0.35">
      <c r="A33" s="113" t="s">
        <v>27</v>
      </c>
      <c r="B33" s="113" t="s">
        <v>30</v>
      </c>
      <c r="C33" s="110" t="s">
        <v>30</v>
      </c>
      <c r="D33" s="110"/>
      <c r="E33" s="110"/>
      <c r="F33" s="110" t="s">
        <v>201</v>
      </c>
      <c r="G33" s="110"/>
      <c r="H33" s="110"/>
    </row>
    <row r="34" spans="1:8" x14ac:dyDescent="0.35">
      <c r="A34" s="91" t="s">
        <v>32</v>
      </c>
      <c r="B34" s="91"/>
      <c r="C34" s="91"/>
      <c r="D34" s="91"/>
      <c r="E34" s="91"/>
      <c r="F34" s="91"/>
      <c r="G34" s="91"/>
      <c r="H34" s="91"/>
    </row>
    <row r="35" spans="1:8" ht="15.75" customHeight="1" x14ac:dyDescent="0.35">
      <c r="A35" s="112" t="s">
        <v>250</v>
      </c>
      <c r="B35" s="112"/>
      <c r="C35" s="162" t="s">
        <v>251</v>
      </c>
      <c r="D35" s="162"/>
      <c r="E35" s="162"/>
      <c r="F35" s="162"/>
      <c r="G35" s="162"/>
      <c r="H35" s="162"/>
    </row>
    <row r="36" spans="1:8" ht="15.75" customHeight="1" x14ac:dyDescent="0.35">
      <c r="A36" s="112" t="s">
        <v>240</v>
      </c>
      <c r="B36" s="112"/>
      <c r="C36" s="115" t="s">
        <v>241</v>
      </c>
      <c r="D36" s="116"/>
      <c r="E36" s="116"/>
      <c r="F36" s="116"/>
      <c r="G36" s="116"/>
      <c r="H36" s="116"/>
    </row>
    <row r="37" spans="1:8" x14ac:dyDescent="0.35">
      <c r="A37" s="112" t="s">
        <v>35</v>
      </c>
      <c r="B37" s="112"/>
      <c r="C37" s="112"/>
      <c r="D37" s="112"/>
      <c r="E37" s="112"/>
      <c r="F37" s="112"/>
      <c r="G37" s="112"/>
      <c r="H37" s="112"/>
    </row>
    <row r="38" spans="1:8" x14ac:dyDescent="0.35">
      <c r="A38" s="91" t="s">
        <v>36</v>
      </c>
      <c r="B38" s="91"/>
      <c r="C38" s="91"/>
      <c r="D38" s="91"/>
      <c r="E38" s="109">
        <v>5249.99</v>
      </c>
      <c r="F38" s="109"/>
      <c r="G38" s="109"/>
      <c r="H38" s="109"/>
    </row>
    <row r="39" spans="1:8" x14ac:dyDescent="0.35">
      <c r="A39" s="91" t="s">
        <v>37</v>
      </c>
      <c r="B39" s="91"/>
      <c r="C39" s="91"/>
      <c r="D39" s="91"/>
      <c r="E39" s="126">
        <v>1.5</v>
      </c>
      <c r="F39" s="126"/>
      <c r="G39" s="126"/>
      <c r="H39" s="126"/>
    </row>
    <row r="40" spans="1:8" x14ac:dyDescent="0.35">
      <c r="A40" s="91" t="s">
        <v>38</v>
      </c>
      <c r="B40" s="91"/>
      <c r="C40" s="91"/>
      <c r="D40" s="91"/>
      <c r="E40" s="126">
        <f>E42/E38-E39</f>
        <v>9.5238276642817254E-7</v>
      </c>
      <c r="F40" s="126"/>
      <c r="G40" s="126"/>
      <c r="H40" s="126"/>
    </row>
    <row r="41" spans="1:8" x14ac:dyDescent="0.35">
      <c r="A41" s="91" t="s">
        <v>39</v>
      </c>
      <c r="B41" s="91"/>
      <c r="C41" s="91"/>
      <c r="D41" s="91"/>
      <c r="E41" s="126">
        <f>E39+E40</f>
        <v>1.5000009523827664</v>
      </c>
      <c r="F41" s="126"/>
      <c r="G41" s="126"/>
      <c r="H41" s="126"/>
    </row>
    <row r="42" spans="1:8" x14ac:dyDescent="0.35">
      <c r="A42" s="91" t="s">
        <v>124</v>
      </c>
      <c r="B42" s="91"/>
      <c r="C42" s="91"/>
      <c r="D42" s="91"/>
      <c r="E42" s="129">
        <v>7874.99</v>
      </c>
      <c r="F42" s="129"/>
      <c r="G42" s="129"/>
      <c r="H42" s="129"/>
    </row>
    <row r="43" spans="1:8" x14ac:dyDescent="0.35">
      <c r="A43" s="90" t="s">
        <v>40</v>
      </c>
      <c r="B43" s="90"/>
      <c r="C43" s="90"/>
      <c r="D43" s="90"/>
      <c r="E43" s="90" t="s">
        <v>202</v>
      </c>
      <c r="F43" s="90"/>
      <c r="G43" s="90"/>
      <c r="H43" s="90"/>
    </row>
    <row r="44" spans="1:8" x14ac:dyDescent="0.35">
      <c r="A44" s="112" t="s">
        <v>41</v>
      </c>
      <c r="B44" s="112"/>
      <c r="C44" s="112"/>
      <c r="D44" s="112"/>
      <c r="E44" s="112"/>
      <c r="F44" s="112"/>
      <c r="G44" s="112"/>
      <c r="H44" s="112"/>
    </row>
    <row r="45" spans="1:8" ht="35.25" customHeight="1" x14ac:dyDescent="0.35">
      <c r="A45" s="117" t="s">
        <v>42</v>
      </c>
      <c r="B45" s="117"/>
      <c r="C45" s="117" t="s">
        <v>254</v>
      </c>
      <c r="D45" s="117"/>
      <c r="E45" s="117"/>
      <c r="F45" s="57" t="s">
        <v>43</v>
      </c>
      <c r="G45" s="121">
        <v>43955</v>
      </c>
      <c r="H45" s="121"/>
    </row>
    <row r="46" spans="1:8" ht="32.25" customHeight="1" x14ac:dyDescent="0.35">
      <c r="A46" s="90" t="s">
        <v>44</v>
      </c>
      <c r="B46" s="90"/>
      <c r="C46" s="117" t="str">
        <f>C45</f>
        <v>CIDCO/BP-15908/TPO(NM&amp;K) /2018/7138</v>
      </c>
      <c r="D46" s="117"/>
      <c r="E46" s="117"/>
      <c r="F46" s="57" t="s">
        <v>43</v>
      </c>
      <c r="G46" s="121">
        <f>G45</f>
        <v>43955</v>
      </c>
      <c r="H46" s="121"/>
    </row>
    <row r="47" spans="1:8" s="10" customFormat="1" ht="36.75" customHeight="1" x14ac:dyDescent="0.35">
      <c r="A47" s="117" t="s">
        <v>45</v>
      </c>
      <c r="B47" s="117"/>
      <c r="C47" s="117" t="str">
        <f>C46</f>
        <v>CIDCO/BP-15908/TPO(NM&amp;K) /2018/7138</v>
      </c>
      <c r="D47" s="90"/>
      <c r="E47" s="90"/>
      <c r="F47" s="60" t="s">
        <v>43</v>
      </c>
      <c r="G47" s="121">
        <f>G46</f>
        <v>43955</v>
      </c>
      <c r="H47" s="121"/>
    </row>
    <row r="48" spans="1:8" s="10" customFormat="1" x14ac:dyDescent="0.35">
      <c r="A48" s="117"/>
      <c r="B48" s="117"/>
      <c r="C48" s="134" t="s">
        <v>235</v>
      </c>
      <c r="D48" s="135"/>
      <c r="E48" s="135"/>
      <c r="F48" s="135"/>
      <c r="G48" s="135"/>
      <c r="H48" s="136"/>
    </row>
    <row r="49" spans="1:14" ht="108" customHeight="1" x14ac:dyDescent="0.35">
      <c r="A49" s="128" t="s">
        <v>46</v>
      </c>
      <c r="B49" s="128"/>
      <c r="C49" s="130" t="s">
        <v>256</v>
      </c>
      <c r="D49" s="131"/>
      <c r="E49" s="131" t="s">
        <v>47</v>
      </c>
      <c r="F49" s="56" t="s">
        <v>43</v>
      </c>
      <c r="G49" s="133">
        <v>45882</v>
      </c>
      <c r="H49" s="133"/>
    </row>
    <row r="50" spans="1:14" x14ac:dyDescent="0.35">
      <c r="A50" s="132" t="s">
        <v>49</v>
      </c>
      <c r="B50" s="132"/>
      <c r="C50" s="132"/>
      <c r="D50" s="132"/>
      <c r="E50" s="132"/>
      <c r="F50" s="132"/>
      <c r="G50" s="132"/>
      <c r="H50" s="132"/>
    </row>
    <row r="51" spans="1:14" x14ac:dyDescent="0.35">
      <c r="A51" s="122" t="s">
        <v>123</v>
      </c>
      <c r="B51" s="122"/>
      <c r="C51" s="122"/>
      <c r="D51" s="91">
        <f>E42</f>
        <v>7874.99</v>
      </c>
      <c r="E51" s="91"/>
      <c r="F51" s="91"/>
      <c r="G51" s="91"/>
      <c r="H51" s="91"/>
    </row>
    <row r="52" spans="1:14" x14ac:dyDescent="0.35">
      <c r="A52" s="117" t="s">
        <v>50</v>
      </c>
      <c r="B52" s="90"/>
      <c r="C52" s="90"/>
      <c r="D52" s="90" t="s">
        <v>225</v>
      </c>
      <c r="E52" s="90"/>
      <c r="F52" s="90"/>
      <c r="G52" s="90"/>
      <c r="H52" s="90"/>
      <c r="I52" s="39"/>
    </row>
    <row r="53" spans="1:14" ht="31.5" customHeight="1" x14ac:dyDescent="0.35">
      <c r="A53" s="118" t="s">
        <v>51</v>
      </c>
      <c r="B53" s="119"/>
      <c r="C53" s="120"/>
      <c r="D53" s="117" t="s">
        <v>223</v>
      </c>
      <c r="E53" s="90"/>
      <c r="F53" s="90"/>
      <c r="G53" s="90"/>
      <c r="H53" s="90"/>
      <c r="I53" s="40"/>
    </row>
    <row r="54" spans="1:14" ht="15.75" customHeight="1" x14ac:dyDescent="0.35">
      <c r="A54" s="118" t="s">
        <v>121</v>
      </c>
      <c r="B54" s="119"/>
      <c r="C54" s="119"/>
      <c r="D54" s="90" t="s">
        <v>239</v>
      </c>
      <c r="E54" s="90"/>
      <c r="F54" s="90"/>
      <c r="G54" s="90"/>
      <c r="H54" s="90"/>
      <c r="I54" s="40"/>
    </row>
    <row r="55" spans="1:14" ht="15.75" customHeight="1" x14ac:dyDescent="0.35">
      <c r="A55" s="90" t="s">
        <v>48</v>
      </c>
      <c r="B55" s="90"/>
      <c r="C55" s="90"/>
      <c r="D55" s="117" t="s">
        <v>257</v>
      </c>
      <c r="E55" s="117"/>
      <c r="F55" s="117"/>
      <c r="G55" s="117"/>
      <c r="H55" s="117"/>
      <c r="J55" s="38"/>
      <c r="K55" s="39"/>
      <c r="N55" s="39"/>
    </row>
    <row r="56" spans="1:14" ht="15.75" customHeight="1" x14ac:dyDescent="0.35">
      <c r="A56" s="90" t="s">
        <v>119</v>
      </c>
      <c r="B56" s="90"/>
      <c r="C56" s="90"/>
      <c r="D56" s="139" t="str">
        <f ca="1">(IF(G49="NA","60 Years After Completion",IF(G49&lt;&gt;"NA",""&amp;60-ROUNDDOWN((E3-G49)/360,0)&amp;" Years"," ")))</f>
        <v>60 Years</v>
      </c>
      <c r="E56" s="139"/>
      <c r="F56" s="139"/>
      <c r="G56" s="139"/>
      <c r="H56" s="139"/>
      <c r="N56" s="39"/>
    </row>
    <row r="57" spans="1:14" ht="15.75" customHeight="1" x14ac:dyDescent="0.35">
      <c r="A57" s="90" t="s">
        <v>120</v>
      </c>
      <c r="B57" s="90"/>
      <c r="C57" s="90"/>
      <c r="D57" s="117" t="s">
        <v>24</v>
      </c>
      <c r="E57" s="117"/>
      <c r="F57" s="117"/>
      <c r="G57" s="117"/>
      <c r="H57" s="117"/>
      <c r="J57" s="14"/>
      <c r="K57" s="14"/>
    </row>
    <row r="58" spans="1:14" ht="15.75" customHeight="1" thickBot="1" x14ac:dyDescent="0.4">
      <c r="A58" s="90" t="s">
        <v>118</v>
      </c>
      <c r="B58" s="90"/>
      <c r="C58" s="90"/>
      <c r="D58" s="117" t="str">
        <f ca="1">(IF(G63&gt;95%,"Nothing",IF(G63&gt;0%,"Cement, Aggregate, Steel, etc",IF(G63=0%,"Work not yet Started"))))</f>
        <v>Nothing</v>
      </c>
      <c r="E58" s="117"/>
      <c r="F58" s="117"/>
      <c r="G58" s="117"/>
      <c r="H58" s="117"/>
      <c r="J58" s="14"/>
    </row>
    <row r="59" spans="1:14" ht="15.75" customHeight="1" x14ac:dyDescent="0.35">
      <c r="A59" s="130" t="s">
        <v>179</v>
      </c>
      <c r="B59" s="130"/>
      <c r="C59" s="130" t="s">
        <v>255</v>
      </c>
      <c r="D59" s="130"/>
      <c r="E59" s="130"/>
      <c r="F59" s="130"/>
      <c r="G59" s="130"/>
      <c r="H59" s="130"/>
      <c r="I59" s="43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All work completed. Please provide OC.</v>
      </c>
      <c r="J59" s="15"/>
    </row>
    <row r="60" spans="1:14" x14ac:dyDescent="0.35">
      <c r="A60" s="77" t="s">
        <v>181</v>
      </c>
      <c r="B60" s="77">
        <v>0</v>
      </c>
      <c r="C60" s="77" t="s">
        <v>101</v>
      </c>
      <c r="D60" s="77">
        <v>1</v>
      </c>
      <c r="E60" s="77" t="s">
        <v>100</v>
      </c>
      <c r="F60" s="77">
        <v>0</v>
      </c>
      <c r="G60" s="77" t="s">
        <v>112</v>
      </c>
      <c r="H60" s="77">
        <f ca="1">--TRIM(RIGHT(SUBSTITUTE(LEFT(C59,_xlfn.AGGREGATE(16,6,FIND({0,1,2,3,4,5,6,7,8,9},C59,ROW(INDIRECT("1:"&amp;LEN(C59)))),1))," ",REPT(" ",LEN(C59))),LEN(C59)))</f>
        <v>15</v>
      </c>
      <c r="I60" s="44"/>
      <c r="J60" s="16"/>
    </row>
    <row r="61" spans="1:14" x14ac:dyDescent="0.35">
      <c r="A61" s="131" t="s">
        <v>122</v>
      </c>
      <c r="B61" s="131"/>
      <c r="C61" s="130" t="str">
        <f>I61</f>
        <v>All work Completed. OC Received.</v>
      </c>
      <c r="D61" s="130"/>
      <c r="E61" s="130"/>
      <c r="F61" s="130"/>
      <c r="G61" s="130"/>
      <c r="H61" s="130"/>
      <c r="I61" s="44" t="s">
        <v>140</v>
      </c>
      <c r="J61" s="16"/>
    </row>
    <row r="62" spans="1:14" ht="15.75" customHeight="1" x14ac:dyDescent="0.35">
      <c r="A62" s="137" t="s">
        <v>52</v>
      </c>
      <c r="B62" s="137"/>
      <c r="C62" s="75" t="s">
        <v>178</v>
      </c>
      <c r="D62" s="75" t="s">
        <v>115</v>
      </c>
      <c r="E62" s="137" t="s">
        <v>117</v>
      </c>
      <c r="F62" s="137"/>
      <c r="G62" s="137" t="s">
        <v>116</v>
      </c>
      <c r="H62" s="137"/>
      <c r="I62" s="37" t="s">
        <v>180</v>
      </c>
      <c r="J62" s="17">
        <f ca="1">H60*25%</f>
        <v>3.75</v>
      </c>
    </row>
    <row r="63" spans="1:14" x14ac:dyDescent="0.35">
      <c r="A63" s="137" t="s">
        <v>168</v>
      </c>
      <c r="B63" s="137"/>
      <c r="C63" s="61">
        <f ca="1">J64</f>
        <v>15</v>
      </c>
      <c r="D63" s="76">
        <f ca="1">((100/H60)*C63)/100</f>
        <v>1</v>
      </c>
      <c r="E63" s="138">
        <f ca="1">(((C64/H60*10)+(40/(D60+F60+H60)*C65)+(7.5/(H60)*C66)+(7.5/(H60)*C67)+(10/H60*C68)+(10/H60*C69)+(5/H60*C70)+(5/H60*C71)+(5/H60*C72))/100)</f>
        <v>1</v>
      </c>
      <c r="F63" s="138"/>
      <c r="G63" s="138">
        <f ca="1">((((C63/H60)*20)+((C64/H60)*25)+(30/(H60+F60+D60)*C65)+(5/H60*C66)+(5/H60*C67)+(5/H60*C68)+(5/H60*C69)+(0/H60*C70)+(0/H60*C71)+(5/H60*C72))/100)</f>
        <v>1</v>
      </c>
      <c r="H63" s="138"/>
      <c r="I63" s="37" t="s">
        <v>135</v>
      </c>
      <c r="J63" s="42">
        <f ca="1">H60*50%</f>
        <v>7.5</v>
      </c>
    </row>
    <row r="64" spans="1:14" x14ac:dyDescent="0.35">
      <c r="A64" s="137" t="s">
        <v>53</v>
      </c>
      <c r="B64" s="137"/>
      <c r="C64" s="62">
        <f ca="1">J72</f>
        <v>15</v>
      </c>
      <c r="D64" s="76">
        <f ca="1">((100/H60)*C64)/100</f>
        <v>1</v>
      </c>
      <c r="E64" s="138"/>
      <c r="F64" s="138"/>
      <c r="G64" s="138"/>
      <c r="H64" s="138"/>
      <c r="I64" s="37" t="s">
        <v>136</v>
      </c>
      <c r="J64" s="42">
        <f ca="1">H60</f>
        <v>15</v>
      </c>
    </row>
    <row r="65" spans="1:10" ht="15.75" customHeight="1" x14ac:dyDescent="0.35">
      <c r="A65" s="110" t="s">
        <v>236</v>
      </c>
      <c r="B65" s="110"/>
      <c r="C65" s="62">
        <v>16</v>
      </c>
      <c r="D65" s="76">
        <f ca="1">((100/(D60+F60+H60))*C65)/100</f>
        <v>1</v>
      </c>
      <c r="E65" s="138"/>
      <c r="F65" s="138"/>
      <c r="G65" s="138"/>
      <c r="H65" s="138"/>
      <c r="I65" s="37" t="s">
        <v>137</v>
      </c>
      <c r="J65" s="46">
        <f ca="1">(IF(B60&gt;1,(H60/(B60+2)),H60/4))</f>
        <v>3.75</v>
      </c>
    </row>
    <row r="66" spans="1:10" ht="15.75" customHeight="1" x14ac:dyDescent="0.35">
      <c r="A66" s="137" t="s">
        <v>175</v>
      </c>
      <c r="B66" s="137" t="s">
        <v>169</v>
      </c>
      <c r="C66" s="61">
        <v>15</v>
      </c>
      <c r="D66" s="76">
        <f ca="1">((100/H60)*C66)/100</f>
        <v>1</v>
      </c>
      <c r="E66" s="138"/>
      <c r="F66" s="138"/>
      <c r="G66" s="138"/>
      <c r="H66" s="138"/>
      <c r="I66" s="37" t="s">
        <v>138</v>
      </c>
      <c r="J66" s="46">
        <f ca="1">(IF(B60&gt;1,(H60/(B60+2)+J65),H60/4+J65))</f>
        <v>7.5</v>
      </c>
    </row>
    <row r="67" spans="1:10" ht="15.75" customHeight="1" x14ac:dyDescent="0.35">
      <c r="A67" s="137" t="s">
        <v>176</v>
      </c>
      <c r="B67" s="137" t="s">
        <v>169</v>
      </c>
      <c r="C67" s="61">
        <v>15</v>
      </c>
      <c r="D67" s="76">
        <f ca="1">((100/H60)*C67)/100</f>
        <v>1</v>
      </c>
      <c r="E67" s="138"/>
      <c r="F67" s="138"/>
      <c r="G67" s="138"/>
      <c r="H67" s="138"/>
      <c r="I67" s="37" t="s">
        <v>185</v>
      </c>
      <c r="J67" s="46">
        <f>(IF(B60&gt;1,(H60/(B60+2)+J66),0))</f>
        <v>0</v>
      </c>
    </row>
    <row r="68" spans="1:10" ht="15" customHeight="1" x14ac:dyDescent="0.35">
      <c r="A68" s="137" t="s">
        <v>174</v>
      </c>
      <c r="B68" s="137" t="s">
        <v>171</v>
      </c>
      <c r="C68" s="61">
        <v>15</v>
      </c>
      <c r="D68" s="76">
        <f ca="1">((100/(H60))*C68)/100</f>
        <v>1</v>
      </c>
      <c r="E68" s="138"/>
      <c r="F68" s="138"/>
      <c r="G68" s="138"/>
      <c r="H68" s="138"/>
      <c r="I68" s="37" t="s">
        <v>182</v>
      </c>
      <c r="J68" s="46">
        <f>(IF(B60&gt;2,(H60/(B60+2)+J67),0))</f>
        <v>0</v>
      </c>
    </row>
    <row r="69" spans="1:10" ht="15.75" customHeight="1" x14ac:dyDescent="0.35">
      <c r="A69" s="137" t="s">
        <v>170</v>
      </c>
      <c r="B69" s="137" t="s">
        <v>170</v>
      </c>
      <c r="C69" s="61">
        <v>15</v>
      </c>
      <c r="D69" s="76">
        <f ca="1">((100/H60)*C69)/100</f>
        <v>1</v>
      </c>
      <c r="E69" s="138"/>
      <c r="F69" s="138"/>
      <c r="G69" s="138"/>
      <c r="H69" s="138"/>
      <c r="I69" s="37" t="s">
        <v>183</v>
      </c>
      <c r="J69" s="47">
        <f>(IF(B60&gt;3,(H60/(B60+2)+J68),0))</f>
        <v>0</v>
      </c>
    </row>
    <row r="70" spans="1:10" ht="15.75" customHeight="1" x14ac:dyDescent="0.35">
      <c r="A70" s="137" t="s">
        <v>177</v>
      </c>
      <c r="B70" s="137"/>
      <c r="C70" s="61">
        <v>15</v>
      </c>
      <c r="D70" s="76">
        <f ca="1">((100/H60)*C70)/100</f>
        <v>1</v>
      </c>
      <c r="E70" s="138"/>
      <c r="F70" s="138"/>
      <c r="G70" s="138"/>
      <c r="H70" s="138"/>
      <c r="I70" s="37" t="s">
        <v>184</v>
      </c>
      <c r="J70" s="46">
        <f>(IF(B60&gt;4,(H60/(B60+2)+J69),0))</f>
        <v>0</v>
      </c>
    </row>
    <row r="71" spans="1:10" ht="15.75" customHeight="1" x14ac:dyDescent="0.35">
      <c r="A71" s="137" t="s">
        <v>172</v>
      </c>
      <c r="B71" s="137" t="s">
        <v>172</v>
      </c>
      <c r="C71" s="61">
        <v>15</v>
      </c>
      <c r="D71" s="76">
        <f ca="1">((100/(H60))*C71)/100</f>
        <v>1</v>
      </c>
      <c r="E71" s="138"/>
      <c r="F71" s="138"/>
      <c r="G71" s="138"/>
      <c r="H71" s="138"/>
      <c r="I71" s="37" t="s">
        <v>186</v>
      </c>
      <c r="J71" s="46">
        <f ca="1">(IF(B60=1,(H60/(B60+3)+J66),IF(B60=0,(H60/4+J66),IF(B60&gt;1,0))))</f>
        <v>11.25</v>
      </c>
    </row>
    <row r="72" spans="1:10" ht="16" thickBot="1" x14ac:dyDescent="0.4">
      <c r="A72" s="137" t="s">
        <v>173</v>
      </c>
      <c r="B72" s="137"/>
      <c r="C72" s="61">
        <v>15</v>
      </c>
      <c r="D72" s="76">
        <f ca="1">((100/(H60))*C72)/100</f>
        <v>1</v>
      </c>
      <c r="E72" s="138"/>
      <c r="F72" s="138"/>
      <c r="G72" s="138"/>
      <c r="H72" s="138"/>
      <c r="I72" s="45" t="s">
        <v>139</v>
      </c>
      <c r="J72" s="48">
        <f ca="1">(IF(B60&gt;1.5,(H60/(B60+2)+J66+MAX(0,J67-J66)+MAX(0,J68-J67)+MAX(0,J69-J68)+MAX(0,J70-J69)+MAX(0,J71-J70)),IF(B60=1,(H60/(B60+3)+J71),IF(B60=0,H60/4+J71))))</f>
        <v>15</v>
      </c>
    </row>
    <row r="73" spans="1:10" ht="15.75" hidden="1" customHeight="1" x14ac:dyDescent="0.35">
      <c r="A73" s="130" t="s">
        <v>179</v>
      </c>
      <c r="B73" s="130"/>
      <c r="C73" s="130" t="s">
        <v>246</v>
      </c>
      <c r="D73" s="130"/>
      <c r="E73" s="130"/>
      <c r="F73" s="130"/>
      <c r="G73" s="130"/>
      <c r="H73" s="130"/>
      <c r="I73" s="43" t="str">
        <f ca="1">(IF(E77&gt;99%,"All work completed. Please provide OC.",IF(E77&gt;89.8%,"Plinth, RCC, Brick, Plaster, Flooring, Painting work Completed. Finishing work is in process.",IF(E77&lt;94%,(IF(C77=0,"Work not yet Started.",IF(D77=25%,"Piling work in process",IF(D77=50%,"Excavation work in process",IF(D77=100%,"Excavation work Completed. ","0")))&amp;(IF(C78=0%,"",IF(C78=J79,"Footing work is process",IF(C78=J80,"Footing work Completed",IF(C78=J81,"1st Basement Completed",IF(C78=J82,"1st &amp; 2nd Basement Completed",IF(C78=J83,"1st to 3rd Basement Completed",IF(C78=J84,"1st to 4th Basement Completed",IF(C78=J85,"Plinth work is process",IF(C78=J86,"Plinth work completed","0")))))))))))&amp;(IF(C79=(D74+F74+H74),", RCC Slab",IF(C79&gt;0,", RCC upto "&amp;C79&amp;" Slab",""))&amp;(IF(C80=H74,", Brickwork",IF(C80&gt;0,", Brickwork upto "&amp;C80&amp;" Floor",""))&amp;(IF(C81=H74,", Internal Plaster",IF(C81&gt;0,", Internal Plaster upto "&amp;C81&amp;" Floor",""))&amp;(IF(C82=H74,", External Plaster",IF(C82&gt;0,", External Plaster upto "&amp;C82&amp;" Floor",""))&amp;(IF(C83=H74,", Flooring",IF(C83&gt;0,", Flooring upto "&amp;C83&amp;" Floor",""))&amp;(IF(C84=H74,", Painting",IF(C84&gt;0,", Painting upto "&amp;C84&amp;" Floor",""))&amp;(IF(C85&gt;0,", Finishing upto "&amp;C85&amp;" Floor","")&amp;(IF(C79&gt;0.5," Completed",""))))))))))))))</f>
        <v>Plinth, RCC, Brick, Plaster, Flooring, Painting work Completed. Finishing work is in process.</v>
      </c>
      <c r="J73" s="15"/>
    </row>
    <row r="74" spans="1:10" hidden="1" x14ac:dyDescent="0.35">
      <c r="A74" s="74" t="s">
        <v>181</v>
      </c>
      <c r="B74" s="74">
        <v>0</v>
      </c>
      <c r="C74" s="74" t="s">
        <v>101</v>
      </c>
      <c r="D74" s="74">
        <v>1</v>
      </c>
      <c r="E74" s="74" t="s">
        <v>100</v>
      </c>
      <c r="F74" s="74">
        <v>0</v>
      </c>
      <c r="G74" s="74" t="s">
        <v>112</v>
      </c>
      <c r="H74" s="74">
        <f ca="1">--TRIM(RIGHT(SUBSTITUTE(LEFT(C73,_xlfn.AGGREGATE(16,6,FIND({0,1,2,3,4,5,6,7,8,9},C73,ROW(INDIRECT("1:"&amp;LEN(C73)))),1))," ",REPT(" ",LEN(C73))),LEN(C73)))</f>
        <v>15</v>
      </c>
      <c r="I74" s="44"/>
      <c r="J74" s="16"/>
    </row>
    <row r="75" spans="1:10" ht="33" hidden="1" customHeight="1" x14ac:dyDescent="0.35">
      <c r="A75" s="131" t="s">
        <v>122</v>
      </c>
      <c r="B75" s="131"/>
      <c r="C75" s="130" t="str">
        <f ca="1">I73</f>
        <v>Plinth, RCC, Brick, Plaster, Flooring, Painting work Completed. Finishing work is in process.</v>
      </c>
      <c r="D75" s="130"/>
      <c r="E75" s="130"/>
      <c r="F75" s="130"/>
      <c r="G75" s="130"/>
      <c r="H75" s="130"/>
      <c r="I75" s="44" t="s">
        <v>140</v>
      </c>
      <c r="J75" s="16"/>
    </row>
    <row r="76" spans="1:10" ht="15.75" hidden="1" customHeight="1" x14ac:dyDescent="0.35">
      <c r="A76" s="140" t="s">
        <v>52</v>
      </c>
      <c r="B76" s="137"/>
      <c r="C76" s="69" t="s">
        <v>178</v>
      </c>
      <c r="D76" s="69" t="s">
        <v>115</v>
      </c>
      <c r="E76" s="137" t="s">
        <v>117</v>
      </c>
      <c r="F76" s="137"/>
      <c r="G76" s="137" t="s">
        <v>116</v>
      </c>
      <c r="H76" s="146"/>
      <c r="I76" s="37" t="s">
        <v>180</v>
      </c>
      <c r="J76" s="17">
        <f ca="1">H74*25%</f>
        <v>3.75</v>
      </c>
    </row>
    <row r="77" spans="1:10" hidden="1" x14ac:dyDescent="0.35">
      <c r="A77" s="140" t="s">
        <v>168</v>
      </c>
      <c r="B77" s="137"/>
      <c r="C77" s="61">
        <f ca="1">J78</f>
        <v>15</v>
      </c>
      <c r="D77" s="70">
        <f ca="1">((100/H74)*C77)/100</f>
        <v>1</v>
      </c>
      <c r="E77" s="138">
        <f ca="1">(((C78/H74*10)+(40/(D74+F74+H74)*C79)+(7.5/(H74)*C80)+(7.5/(H74)*C81)+(10/H74*C82)+(10/H74*C83)+(5/H74*C84)+(5/H74*C85)+(5/H74*C86))/100)</f>
        <v>0.93</v>
      </c>
      <c r="F77" s="138"/>
      <c r="G77" s="138">
        <f ca="1">((((C77/H74)*20)+((C78/H74)*25)+(30/(H74+F74+D74)*C79)+(5/H74*C80)+(5/H74*C81)+(5/H74*C82)+(5/H74*C83)+(0/H74*C84)+(0/H74*C85)+(5/H74*C86))/100)</f>
        <v>0.95</v>
      </c>
      <c r="H77" s="164"/>
      <c r="I77" s="37" t="s">
        <v>135</v>
      </c>
      <c r="J77" s="42">
        <f ca="1">H74*50%</f>
        <v>7.5</v>
      </c>
    </row>
    <row r="78" spans="1:10" hidden="1" x14ac:dyDescent="0.35">
      <c r="A78" s="140" t="s">
        <v>53</v>
      </c>
      <c r="B78" s="137"/>
      <c r="C78" s="62">
        <f ca="1">J86</f>
        <v>15</v>
      </c>
      <c r="D78" s="70">
        <f ca="1">((100/H74)*C78)/100</f>
        <v>1</v>
      </c>
      <c r="E78" s="138"/>
      <c r="F78" s="138"/>
      <c r="G78" s="138"/>
      <c r="H78" s="164"/>
      <c r="I78" s="37" t="s">
        <v>136</v>
      </c>
      <c r="J78" s="42">
        <f ca="1">H74</f>
        <v>15</v>
      </c>
    </row>
    <row r="79" spans="1:10" ht="15.75" hidden="1" customHeight="1" x14ac:dyDescent="0.35">
      <c r="A79" s="166" t="s">
        <v>236</v>
      </c>
      <c r="B79" s="110"/>
      <c r="C79" s="62">
        <v>16</v>
      </c>
      <c r="D79" s="70">
        <f ca="1">((100/(D74+F74+H74))*C79)/100</f>
        <v>1</v>
      </c>
      <c r="E79" s="138"/>
      <c r="F79" s="138"/>
      <c r="G79" s="138"/>
      <c r="H79" s="164"/>
      <c r="I79" s="37" t="s">
        <v>137</v>
      </c>
      <c r="J79" s="46">
        <f ca="1">(IF(B74&gt;1,(H74/(B74+2)),H74/4))</f>
        <v>3.75</v>
      </c>
    </row>
    <row r="80" spans="1:10" ht="15.75" hidden="1" customHeight="1" x14ac:dyDescent="0.35">
      <c r="A80" s="140" t="s">
        <v>175</v>
      </c>
      <c r="B80" s="137" t="s">
        <v>169</v>
      </c>
      <c r="C80" s="61">
        <v>15</v>
      </c>
      <c r="D80" s="70">
        <f ca="1">((100/H74)*C80)/100</f>
        <v>1</v>
      </c>
      <c r="E80" s="138"/>
      <c r="F80" s="138"/>
      <c r="G80" s="138"/>
      <c r="H80" s="164"/>
      <c r="I80" s="37" t="s">
        <v>138</v>
      </c>
      <c r="J80" s="46">
        <f ca="1">(IF(B74&gt;1,(H74/(B74+2)+J79),H74/4+J79))</f>
        <v>7.5</v>
      </c>
    </row>
    <row r="81" spans="1:10" ht="15.75" hidden="1" customHeight="1" x14ac:dyDescent="0.35">
      <c r="A81" s="140" t="s">
        <v>176</v>
      </c>
      <c r="B81" s="137" t="s">
        <v>169</v>
      </c>
      <c r="C81" s="61">
        <v>15</v>
      </c>
      <c r="D81" s="70">
        <f ca="1">((100/H74)*C81)/100</f>
        <v>1</v>
      </c>
      <c r="E81" s="138"/>
      <c r="F81" s="138"/>
      <c r="G81" s="138"/>
      <c r="H81" s="164"/>
      <c r="I81" s="37" t="s">
        <v>185</v>
      </c>
      <c r="J81" s="46">
        <f>(IF(B74&gt;1,(H74/(B74+2)+J80),0))</f>
        <v>0</v>
      </c>
    </row>
    <row r="82" spans="1:10" ht="15" hidden="1" customHeight="1" x14ac:dyDescent="0.35">
      <c r="A82" s="140" t="s">
        <v>174</v>
      </c>
      <c r="B82" s="137" t="s">
        <v>171</v>
      </c>
      <c r="C82" s="61">
        <v>15</v>
      </c>
      <c r="D82" s="70">
        <f ca="1">((100/(H74))*C82)/100</f>
        <v>1</v>
      </c>
      <c r="E82" s="138"/>
      <c r="F82" s="138"/>
      <c r="G82" s="138"/>
      <c r="H82" s="164"/>
      <c r="I82" s="37" t="s">
        <v>182</v>
      </c>
      <c r="J82" s="46">
        <f>(IF(B74&gt;2,(H74/(B74+2)+J81),0))</f>
        <v>0</v>
      </c>
    </row>
    <row r="83" spans="1:10" ht="15.75" hidden="1" customHeight="1" x14ac:dyDescent="0.35">
      <c r="A83" s="140" t="s">
        <v>170</v>
      </c>
      <c r="B83" s="137" t="s">
        <v>170</v>
      </c>
      <c r="C83" s="61">
        <v>15</v>
      </c>
      <c r="D83" s="70">
        <f ca="1">((100/H74)*C83)/100</f>
        <v>1</v>
      </c>
      <c r="E83" s="138"/>
      <c r="F83" s="138"/>
      <c r="G83" s="138"/>
      <c r="H83" s="164"/>
      <c r="I83" s="37" t="s">
        <v>183</v>
      </c>
      <c r="J83" s="47">
        <f>(IF(B74&gt;3,(H74/(B74+2)+J82),0))</f>
        <v>0</v>
      </c>
    </row>
    <row r="84" spans="1:10" ht="15.75" hidden="1" customHeight="1" x14ac:dyDescent="0.35">
      <c r="A84" s="140" t="s">
        <v>177</v>
      </c>
      <c r="B84" s="137"/>
      <c r="C84" s="61">
        <v>14</v>
      </c>
      <c r="D84" s="70">
        <f ca="1">((100/H74)*C84)/100</f>
        <v>0.93333333333333346</v>
      </c>
      <c r="E84" s="138"/>
      <c r="F84" s="138"/>
      <c r="G84" s="138"/>
      <c r="H84" s="164"/>
      <c r="I84" s="37" t="s">
        <v>184</v>
      </c>
      <c r="J84" s="46">
        <f>(IF(B74&gt;4,(H74/(B74+2)+J83),0))</f>
        <v>0</v>
      </c>
    </row>
    <row r="85" spans="1:10" ht="15.75" hidden="1" customHeight="1" x14ac:dyDescent="0.35">
      <c r="A85" s="140" t="s">
        <v>172</v>
      </c>
      <c r="B85" s="137" t="s">
        <v>172</v>
      </c>
      <c r="C85" s="61">
        <v>10</v>
      </c>
      <c r="D85" s="70">
        <f ca="1">((100/(H74))*C85)/100</f>
        <v>0.66666666666666674</v>
      </c>
      <c r="E85" s="138"/>
      <c r="F85" s="138"/>
      <c r="G85" s="138"/>
      <c r="H85" s="164"/>
      <c r="I85" s="37" t="s">
        <v>186</v>
      </c>
      <c r="J85" s="46">
        <f ca="1">(IF(B74=1,(H74/(B74+3)+J80),IF(B74=0,(H74/4+J80),IF(B74&gt;1,0))))</f>
        <v>11.25</v>
      </c>
    </row>
    <row r="86" spans="1:10" ht="16" hidden="1" thickBot="1" x14ac:dyDescent="0.4">
      <c r="A86" s="167" t="s">
        <v>173</v>
      </c>
      <c r="B86" s="168"/>
      <c r="C86" s="63">
        <v>0</v>
      </c>
      <c r="D86" s="71">
        <f ca="1">((100/(H74))*C86)/100</f>
        <v>0</v>
      </c>
      <c r="E86" s="163"/>
      <c r="F86" s="163"/>
      <c r="G86" s="163"/>
      <c r="H86" s="165"/>
      <c r="I86" s="45" t="s">
        <v>139</v>
      </c>
      <c r="J86" s="48">
        <f ca="1">(IF(B74&gt;1.5,(H74/(B74+2)+J80+MAX(0,J81-J80)+MAX(0,J82-J81)+MAX(0,J83-J82)+MAX(0,J84-J83)+MAX(0,J85-J84)),IF(B74=1,(H74/(B74+3)+J85),IF(B74=0,H74/4+J85))))</f>
        <v>15</v>
      </c>
    </row>
    <row r="87" spans="1:10" x14ac:dyDescent="0.35">
      <c r="A87" s="158" t="s">
        <v>155</v>
      </c>
      <c r="B87" s="159"/>
      <c r="C87" s="159"/>
      <c r="D87" s="159"/>
      <c r="E87" s="160"/>
      <c r="F87" s="158" t="str">
        <f ca="1">(IF(D58="Nothing","Yes",IF(D58="Cement, Aggregate, Steel, etc","Under Construction",IF(D58="Work not yet Started","Work not yet Started"))))</f>
        <v>Yes</v>
      </c>
      <c r="G87" s="159"/>
      <c r="H87" s="160"/>
    </row>
    <row r="88" spans="1:10" x14ac:dyDescent="0.35">
      <c r="A88" s="91" t="s">
        <v>54</v>
      </c>
      <c r="B88" s="91"/>
      <c r="C88" s="91"/>
      <c r="D88" s="91"/>
      <c r="E88" s="91"/>
      <c r="F88" s="91"/>
      <c r="G88" s="91"/>
      <c r="H88" s="91"/>
    </row>
    <row r="89" spans="1:10" ht="15" customHeight="1" x14ac:dyDescent="0.35">
      <c r="A89" s="90" t="s">
        <v>234</v>
      </c>
      <c r="B89" s="90"/>
      <c r="C89" s="117" t="s">
        <v>231</v>
      </c>
      <c r="D89" s="117"/>
      <c r="E89" s="117"/>
      <c r="F89" s="117"/>
      <c r="G89" s="117"/>
      <c r="H89" s="117"/>
    </row>
    <row r="90" spans="1:10" x14ac:dyDescent="0.35">
      <c r="A90" s="112" t="s">
        <v>55</v>
      </c>
      <c r="B90" s="112"/>
      <c r="C90" s="112"/>
      <c r="D90" s="112"/>
      <c r="E90" s="112"/>
      <c r="F90" s="112"/>
      <c r="G90" s="112"/>
      <c r="H90" s="112"/>
    </row>
    <row r="91" spans="1:10" x14ac:dyDescent="0.35">
      <c r="A91" s="91" t="s">
        <v>104</v>
      </c>
      <c r="B91" s="91"/>
      <c r="C91" s="91"/>
      <c r="D91" s="91"/>
      <c r="E91" s="91"/>
      <c r="F91" s="90">
        <v>5800</v>
      </c>
      <c r="G91" s="90"/>
      <c r="H91" s="90"/>
    </row>
    <row r="92" spans="1:10" x14ac:dyDescent="0.35">
      <c r="A92" s="91" t="s">
        <v>111</v>
      </c>
      <c r="B92" s="91"/>
      <c r="C92" s="91"/>
      <c r="D92" s="91"/>
      <c r="E92" s="91"/>
      <c r="F92" s="90">
        <v>12000</v>
      </c>
      <c r="G92" s="90"/>
      <c r="H92" s="90"/>
    </row>
    <row r="93" spans="1:10" s="12" customFormat="1" x14ac:dyDescent="0.3">
      <c r="A93" s="91" t="s">
        <v>127</v>
      </c>
      <c r="B93" s="91"/>
      <c r="C93" s="91"/>
      <c r="D93" s="91"/>
      <c r="E93" s="91"/>
      <c r="F93" s="90" t="s">
        <v>228</v>
      </c>
      <c r="G93" s="90"/>
      <c r="H93" s="90"/>
    </row>
    <row r="94" spans="1:10" s="12" customFormat="1" x14ac:dyDescent="0.3">
      <c r="A94" s="91" t="s">
        <v>128</v>
      </c>
      <c r="B94" s="91"/>
      <c r="C94" s="91"/>
      <c r="D94" s="91"/>
      <c r="E94" s="91"/>
      <c r="F94" s="90" t="s">
        <v>227</v>
      </c>
      <c r="G94" s="90"/>
      <c r="H94" s="90"/>
    </row>
    <row r="95" spans="1:10" s="12" customFormat="1" x14ac:dyDescent="0.3">
      <c r="A95" s="91" t="s">
        <v>129</v>
      </c>
      <c r="B95" s="91"/>
      <c r="C95" s="91"/>
      <c r="D95" s="91"/>
      <c r="E95" s="91"/>
      <c r="F95" s="90" t="s">
        <v>229</v>
      </c>
      <c r="G95" s="90"/>
      <c r="H95" s="90"/>
    </row>
    <row r="96" spans="1:10" s="12" customFormat="1" hidden="1" x14ac:dyDescent="0.3">
      <c r="A96" s="91" t="s">
        <v>130</v>
      </c>
      <c r="B96" s="91"/>
      <c r="C96" s="91"/>
      <c r="D96" s="91"/>
      <c r="E96" s="91"/>
      <c r="F96" s="90" t="s">
        <v>230</v>
      </c>
      <c r="G96" s="90"/>
      <c r="H96" s="90"/>
    </row>
    <row r="97" spans="1:11" s="12" customFormat="1" hidden="1" x14ac:dyDescent="0.3">
      <c r="A97" s="91" t="s">
        <v>131</v>
      </c>
      <c r="B97" s="91"/>
      <c r="C97" s="91"/>
      <c r="D97" s="91"/>
      <c r="E97" s="91"/>
      <c r="F97" s="90" t="s">
        <v>30</v>
      </c>
      <c r="G97" s="90"/>
      <c r="H97" s="90"/>
    </row>
    <row r="98" spans="1:11" s="12" customFormat="1" hidden="1" x14ac:dyDescent="0.3">
      <c r="A98" s="91" t="s">
        <v>132</v>
      </c>
      <c r="B98" s="91"/>
      <c r="C98" s="91"/>
      <c r="D98" s="91"/>
      <c r="E98" s="91"/>
      <c r="F98" s="90" t="s">
        <v>30</v>
      </c>
      <c r="G98" s="90"/>
      <c r="H98" s="90"/>
    </row>
    <row r="99" spans="1:11" s="12" customFormat="1" hidden="1" x14ac:dyDescent="0.3">
      <c r="A99" s="91" t="s">
        <v>133</v>
      </c>
      <c r="B99" s="91"/>
      <c r="C99" s="91"/>
      <c r="D99" s="91"/>
      <c r="E99" s="91"/>
      <c r="F99" s="90" t="s">
        <v>30</v>
      </c>
      <c r="G99" s="90"/>
      <c r="H99" s="90"/>
    </row>
    <row r="100" spans="1:11" s="12" customFormat="1" hidden="1" x14ac:dyDescent="0.3">
      <c r="A100" s="91" t="s">
        <v>134</v>
      </c>
      <c r="B100" s="91"/>
      <c r="C100" s="91"/>
      <c r="D100" s="91"/>
      <c r="E100" s="91"/>
      <c r="F100" s="90" t="s">
        <v>30</v>
      </c>
      <c r="G100" s="90"/>
      <c r="H100" s="90"/>
    </row>
    <row r="101" spans="1:11" x14ac:dyDescent="0.35">
      <c r="A101" s="91" t="s">
        <v>56</v>
      </c>
      <c r="B101" s="91"/>
      <c r="C101" s="91"/>
      <c r="D101" s="91"/>
      <c r="E101" s="91"/>
      <c r="F101" s="117" t="s">
        <v>227</v>
      </c>
      <c r="G101" s="117"/>
      <c r="H101" s="117"/>
      <c r="I101" s="8" t="s">
        <v>247</v>
      </c>
      <c r="J101" s="38">
        <v>45378</v>
      </c>
      <c r="K101" s="8" t="s">
        <v>248</v>
      </c>
    </row>
    <row r="102" spans="1:11" s="9" customFormat="1" x14ac:dyDescent="0.35">
      <c r="A102" s="112" t="s">
        <v>57</v>
      </c>
      <c r="B102" s="112"/>
      <c r="C102" s="112"/>
      <c r="D102" s="112"/>
      <c r="E102" s="112"/>
      <c r="F102" s="90">
        <f>F91*0.8</f>
        <v>4640</v>
      </c>
      <c r="G102" s="90"/>
      <c r="H102" s="90"/>
    </row>
    <row r="103" spans="1:11" s="1" customFormat="1" ht="15.75" customHeight="1" x14ac:dyDescent="0.35">
      <c r="A103" s="156" t="s">
        <v>105</v>
      </c>
      <c r="B103" s="156"/>
      <c r="C103" s="156"/>
      <c r="D103" s="156"/>
      <c r="E103" s="156"/>
      <c r="F103" s="156"/>
      <c r="G103" s="156"/>
      <c r="H103" s="156"/>
    </row>
    <row r="104" spans="1:11" s="1" customFormat="1" ht="15.75" customHeight="1" x14ac:dyDescent="0.35">
      <c r="A104" s="106" t="s">
        <v>58</v>
      </c>
      <c r="B104" s="106"/>
      <c r="C104" s="105" t="s">
        <v>108</v>
      </c>
      <c r="D104" s="105"/>
      <c r="E104" s="157" t="s">
        <v>59</v>
      </c>
      <c r="F104" s="157"/>
      <c r="G104" s="106" t="s">
        <v>60</v>
      </c>
      <c r="H104" s="106"/>
    </row>
    <row r="105" spans="1:11" s="1" customFormat="1" x14ac:dyDescent="0.35">
      <c r="A105" s="108" t="s">
        <v>242</v>
      </c>
      <c r="B105" s="108"/>
      <c r="C105" s="153">
        <f>COUNT(D117:D140)</f>
        <v>24</v>
      </c>
      <c r="D105" s="93"/>
      <c r="E105" s="94">
        <f>SUM(D117:D140)</f>
        <v>8336.2874400000019</v>
      </c>
      <c r="F105" s="95"/>
      <c r="G105" s="94">
        <f>SUM(F117:F140)</f>
        <v>15248.669904000002</v>
      </c>
      <c r="H105" s="95"/>
      <c r="J105" s="68"/>
      <c r="K105" s="68"/>
    </row>
    <row r="106" spans="1:11" s="1" customFormat="1" x14ac:dyDescent="0.35">
      <c r="A106" s="156" t="s">
        <v>99</v>
      </c>
      <c r="B106" s="156"/>
      <c r="C106" s="156"/>
      <c r="D106" s="156"/>
      <c r="E106" s="156"/>
      <c r="F106" s="156"/>
      <c r="G106" s="156"/>
      <c r="H106" s="156"/>
    </row>
    <row r="107" spans="1:11" s="1" customFormat="1" ht="15.75" customHeight="1" x14ac:dyDescent="0.35">
      <c r="A107" s="106" t="s">
        <v>58</v>
      </c>
      <c r="B107" s="106"/>
      <c r="C107" s="105" t="s">
        <v>108</v>
      </c>
      <c r="D107" s="105"/>
      <c r="E107" s="157" t="s">
        <v>59</v>
      </c>
      <c r="F107" s="157"/>
      <c r="G107" s="106" t="s">
        <v>60</v>
      </c>
      <c r="H107" s="106"/>
    </row>
    <row r="108" spans="1:11" s="1" customFormat="1" x14ac:dyDescent="0.35">
      <c r="A108" s="101" t="s">
        <v>243</v>
      </c>
      <c r="B108" s="102"/>
      <c r="C108" s="93">
        <f>COUNT(D147:D154)*4+COUNT(D156:D163)*2+COUNT(D165:D172)+COUNT(D174:D181)+COUNT(D183:D190)+COUNT(D192:D199)+COUNT(D201:D208)+COUNT(D210:D217)+COUNT(D219:D222)</f>
        <v>97</v>
      </c>
      <c r="D108" s="93"/>
      <c r="E108" s="94">
        <f>SUM(D147:D154)*4+SUM(D156:D163)*2+SUM(D165:D172)+SUM(D174:D181)+SUM(D183:D190)+SUM(D192:D199)+SUM(D201:D208)+SUM(D210:D217)+SUM(D219:D222)</f>
        <v>45644.957279999995</v>
      </c>
      <c r="F108" s="94"/>
      <c r="G108" s="94">
        <f>SUM(F147:F154)*4+SUM(F156:F163)*2+SUM(F165:F172)+SUM(F174:F181)+SUM(F183:F190)+SUM(F192:F199)+SUM(F201:F208)+SUM(F210:F217)+SUM(F219:F222)</f>
        <v>84400</v>
      </c>
      <c r="H108" s="94"/>
      <c r="J108" s="68">
        <f>SUM(G105,G110)</f>
        <v>184048.66990400001</v>
      </c>
    </row>
    <row r="109" spans="1:11" s="1" customFormat="1" x14ac:dyDescent="0.35">
      <c r="A109" s="101" t="s">
        <v>244</v>
      </c>
      <c r="B109" s="102"/>
      <c r="C109" s="97">
        <f>COUNT(D227:D234)*4+COUNT(D236:D243)*2+COUNT(D245:D252)+COUNT(D254:D261)+COUNT(D263:D270)+COUNT(D272:D279)+COUNT(D281:D288)+COUNT(D290:D297)+COUNT(D299:D302)</f>
        <v>97</v>
      </c>
      <c r="D109" s="98"/>
      <c r="E109" s="99">
        <f>SUM(D227:D234)*4+SUM(D236:D243)*2+SUM(D245:D252)+SUM(D254:D261)+SUM(D263:D270)+SUM(D272:D279)+SUM(D281:D288)+SUM(D290:D297)+SUM(D299:D302)</f>
        <v>45644.957279999995</v>
      </c>
      <c r="F109" s="100"/>
      <c r="G109" s="99">
        <f>SUM(F227:F234)*4+SUM(F236:F243)*2+SUM(F245:F252)+SUM(F254:F261)+SUM(F263:F270)+SUM(F272:F279)+SUM(F281:F288)+SUM(F290:F297)+SUM(F299:F302)</f>
        <v>84400</v>
      </c>
      <c r="H109" s="100"/>
    </row>
    <row r="110" spans="1:11" s="1" customFormat="1" x14ac:dyDescent="0.35">
      <c r="A110" s="108" t="s">
        <v>62</v>
      </c>
      <c r="B110" s="108"/>
      <c r="C110" s="93">
        <f>SUM(C108:D109)</f>
        <v>194</v>
      </c>
      <c r="D110" s="93"/>
      <c r="E110" s="94">
        <f>SUM(E108:F109)</f>
        <v>91289.91455999999</v>
      </c>
      <c r="F110" s="95"/>
      <c r="G110" s="96">
        <f>SUM(G108:H109)</f>
        <v>168800</v>
      </c>
      <c r="H110" s="96"/>
    </row>
    <row r="111" spans="1:11" s="9" customFormat="1" x14ac:dyDescent="0.35">
      <c r="A111" s="92" t="s">
        <v>63</v>
      </c>
      <c r="B111" s="92"/>
      <c r="C111" s="92"/>
      <c r="D111" s="92"/>
      <c r="E111" s="92"/>
      <c r="F111" s="92"/>
      <c r="G111" s="92"/>
      <c r="H111" s="92"/>
    </row>
    <row r="112" spans="1:11" x14ac:dyDescent="0.35">
      <c r="A112" s="92" t="s">
        <v>64</v>
      </c>
      <c r="B112" s="92"/>
      <c r="C112" s="92"/>
      <c r="D112" s="92"/>
      <c r="E112" s="92"/>
      <c r="F112" s="92"/>
      <c r="G112" s="92"/>
      <c r="H112" s="92"/>
    </row>
    <row r="113" spans="1:14" ht="47.25" customHeight="1" x14ac:dyDescent="0.35">
      <c r="A113" s="103" t="s">
        <v>158</v>
      </c>
      <c r="B113" s="103" t="s">
        <v>157</v>
      </c>
      <c r="C113" s="103" t="s">
        <v>65</v>
      </c>
      <c r="D113" s="103" t="s">
        <v>66</v>
      </c>
      <c r="E113" s="147" t="s">
        <v>205</v>
      </c>
      <c r="F113" s="55" t="s">
        <v>156</v>
      </c>
      <c r="G113" s="149" t="s">
        <v>68</v>
      </c>
      <c r="H113" s="150"/>
    </row>
    <row r="114" spans="1:14" s="2" customFormat="1" x14ac:dyDescent="0.35">
      <c r="A114" s="104"/>
      <c r="B114" s="104"/>
      <c r="C114" s="104"/>
      <c r="D114" s="104"/>
      <c r="E114" s="148"/>
      <c r="F114" s="32">
        <v>0.6</v>
      </c>
      <c r="G114" s="151"/>
      <c r="H114" s="152"/>
    </row>
    <row r="115" spans="1:14" s="9" customFormat="1" x14ac:dyDescent="0.35">
      <c r="A115" s="92" t="s">
        <v>203</v>
      </c>
      <c r="B115" s="92"/>
      <c r="C115" s="92"/>
      <c r="D115" s="92"/>
      <c r="E115" s="92"/>
      <c r="F115" s="92"/>
      <c r="G115" s="92"/>
      <c r="H115" s="92"/>
    </row>
    <row r="116" spans="1:14" s="2" customFormat="1" x14ac:dyDescent="0.35">
      <c r="A116" s="86" t="s">
        <v>204</v>
      </c>
      <c r="B116" s="86"/>
      <c r="C116" s="86"/>
      <c r="D116" s="86"/>
      <c r="E116" s="86"/>
      <c r="F116" s="86"/>
      <c r="G116" s="86"/>
      <c r="H116" s="86"/>
    </row>
    <row r="117" spans="1:14" s="2" customFormat="1" x14ac:dyDescent="0.35">
      <c r="A117" s="87">
        <v>1</v>
      </c>
      <c r="B117" s="87"/>
      <c r="C117" s="78" t="s">
        <v>206</v>
      </c>
      <c r="D117" s="78">
        <f>(23.57)*10.764</f>
        <v>253.70747999999998</v>
      </c>
      <c r="E117" s="78">
        <f>(2.5*3)*10.764</f>
        <v>80.72999999999999</v>
      </c>
      <c r="F117" s="78">
        <f>D117*(($F$114)+1)+E117</f>
        <v>486.661968</v>
      </c>
      <c r="G117" s="87" t="str">
        <f>A116</f>
        <v>Ground Floor for Commercial &amp; Parking</v>
      </c>
      <c r="H117" s="87"/>
      <c r="I117" s="33"/>
      <c r="L117" s="107"/>
      <c r="M117" s="107"/>
      <c r="N117" s="33"/>
    </row>
    <row r="118" spans="1:14" s="2" customFormat="1" x14ac:dyDescent="0.35">
      <c r="A118" s="87">
        <f>A117+1</f>
        <v>2</v>
      </c>
      <c r="B118" s="87"/>
      <c r="C118" s="78" t="s">
        <v>206</v>
      </c>
      <c r="D118" s="78">
        <f>(23.12)*10.764</f>
        <v>248.86367999999999</v>
      </c>
      <c r="E118" s="78">
        <f>(2.5*3)*10.764</f>
        <v>80.72999999999999</v>
      </c>
      <c r="F118" s="78">
        <f t="shared" ref="F118:F119" si="0">D118*(($F$114)+1)+E118</f>
        <v>478.91188799999998</v>
      </c>
      <c r="G118" s="87" t="str">
        <f t="shared" ref="G118:G140" si="1">G117</f>
        <v>Ground Floor for Commercial &amp; Parking</v>
      </c>
      <c r="H118" s="87"/>
      <c r="I118" s="33">
        <f>6550000/F118</f>
        <v>13676.837355935504</v>
      </c>
      <c r="L118" s="107"/>
      <c r="M118" s="107"/>
      <c r="N118" s="33"/>
    </row>
    <row r="119" spans="1:14" s="2" customFormat="1" x14ac:dyDescent="0.35">
      <c r="A119" s="87">
        <f t="shared" ref="A119:A121" si="2">A118+1</f>
        <v>3</v>
      </c>
      <c r="B119" s="87"/>
      <c r="C119" s="78" t="s">
        <v>206</v>
      </c>
      <c r="D119" s="78">
        <f>(50.7)*10.764</f>
        <v>545.73479999999995</v>
      </c>
      <c r="E119" s="78">
        <f>(2.5*2.5)*10.764</f>
        <v>67.274999999999991</v>
      </c>
      <c r="F119" s="78">
        <f t="shared" si="0"/>
        <v>940.45067999999992</v>
      </c>
      <c r="G119" s="87" t="str">
        <f t="shared" si="1"/>
        <v>Ground Floor for Commercial &amp; Parking</v>
      </c>
      <c r="H119" s="87"/>
      <c r="I119" s="33"/>
      <c r="L119" s="107"/>
      <c r="M119" s="107"/>
      <c r="N119" s="33"/>
    </row>
    <row r="120" spans="1:14" s="2" customFormat="1" x14ac:dyDescent="0.35">
      <c r="A120" s="87">
        <f t="shared" si="2"/>
        <v>4</v>
      </c>
      <c r="B120" s="87"/>
      <c r="C120" s="78" t="s">
        <v>206</v>
      </c>
      <c r="D120" s="78">
        <f>(28.08)*10.764</f>
        <v>302.25311999999997</v>
      </c>
      <c r="E120" s="78">
        <f>(2.5*3)*10.764</f>
        <v>80.72999999999999</v>
      </c>
      <c r="F120" s="78">
        <f t="shared" ref="F120:F121" si="3">D120*(($F$114)+1)+E120</f>
        <v>564.33499199999994</v>
      </c>
      <c r="G120" s="87" t="str">
        <f t="shared" si="1"/>
        <v>Ground Floor for Commercial &amp; Parking</v>
      </c>
      <c r="H120" s="87"/>
      <c r="I120" s="33"/>
      <c r="L120" s="107"/>
      <c r="M120" s="107"/>
      <c r="N120" s="33"/>
    </row>
    <row r="121" spans="1:14" s="2" customFormat="1" x14ac:dyDescent="0.35">
      <c r="A121" s="87">
        <f t="shared" si="2"/>
        <v>5</v>
      </c>
      <c r="B121" s="87"/>
      <c r="C121" s="78" t="s">
        <v>206</v>
      </c>
      <c r="D121" s="78">
        <f t="shared" ref="D121:D136" si="4">(32.72)*10.764</f>
        <v>352.19807999999995</v>
      </c>
      <c r="E121" s="78">
        <f>(3*2.5)*10.764</f>
        <v>80.72999999999999</v>
      </c>
      <c r="F121" s="78">
        <f t="shared" si="3"/>
        <v>644.24692799999991</v>
      </c>
      <c r="G121" s="87" t="str">
        <f t="shared" si="1"/>
        <v>Ground Floor for Commercial &amp; Parking</v>
      </c>
      <c r="H121" s="87"/>
      <c r="I121" s="33"/>
      <c r="L121" s="107"/>
      <c r="M121" s="107"/>
      <c r="N121" s="33"/>
    </row>
    <row r="122" spans="1:14" s="2" customFormat="1" x14ac:dyDescent="0.35">
      <c r="A122" s="87">
        <f t="shared" ref="A122:A123" si="5">A121+1</f>
        <v>6</v>
      </c>
      <c r="B122" s="87"/>
      <c r="C122" s="78" t="s">
        <v>206</v>
      </c>
      <c r="D122" s="78">
        <f t="shared" si="4"/>
        <v>352.19807999999995</v>
      </c>
      <c r="E122" s="78">
        <f t="shared" ref="E122:E136" si="6">(3*2.5)*10.764</f>
        <v>80.72999999999999</v>
      </c>
      <c r="F122" s="78">
        <f t="shared" ref="F122:F127" si="7">D122*(($F$114)+1)+E122</f>
        <v>644.24692799999991</v>
      </c>
      <c r="G122" s="87" t="str">
        <f t="shared" si="1"/>
        <v>Ground Floor for Commercial &amp; Parking</v>
      </c>
      <c r="H122" s="87"/>
      <c r="I122" s="33"/>
      <c r="L122" s="107"/>
      <c r="M122" s="107"/>
      <c r="N122" s="33"/>
    </row>
    <row r="123" spans="1:14" s="2" customFormat="1" x14ac:dyDescent="0.35">
      <c r="A123" s="87">
        <f t="shared" si="5"/>
        <v>7</v>
      </c>
      <c r="B123" s="87"/>
      <c r="C123" s="78" t="s">
        <v>206</v>
      </c>
      <c r="D123" s="78">
        <f t="shared" si="4"/>
        <v>352.19807999999995</v>
      </c>
      <c r="E123" s="78">
        <f t="shared" si="6"/>
        <v>80.72999999999999</v>
      </c>
      <c r="F123" s="78">
        <f t="shared" si="7"/>
        <v>644.24692799999991</v>
      </c>
      <c r="G123" s="87" t="str">
        <f t="shared" si="1"/>
        <v>Ground Floor for Commercial &amp; Parking</v>
      </c>
      <c r="H123" s="87"/>
      <c r="I123" s="33"/>
      <c r="L123" s="107"/>
      <c r="M123" s="107"/>
      <c r="N123" s="33"/>
    </row>
    <row r="124" spans="1:14" s="50" customFormat="1" x14ac:dyDescent="0.35">
      <c r="A124" s="87">
        <f>A123+1</f>
        <v>8</v>
      </c>
      <c r="B124" s="87"/>
      <c r="C124" s="78" t="s">
        <v>206</v>
      </c>
      <c r="D124" s="78">
        <f t="shared" si="4"/>
        <v>352.19807999999995</v>
      </c>
      <c r="E124" s="78">
        <f t="shared" si="6"/>
        <v>80.72999999999999</v>
      </c>
      <c r="F124" s="78">
        <f t="shared" si="7"/>
        <v>644.24692799999991</v>
      </c>
      <c r="G124" s="87" t="str">
        <f t="shared" si="1"/>
        <v>Ground Floor for Commercial &amp; Parking</v>
      </c>
      <c r="H124" s="87"/>
      <c r="I124" s="33"/>
      <c r="L124" s="107"/>
      <c r="M124" s="107"/>
      <c r="N124" s="33"/>
    </row>
    <row r="125" spans="1:14" s="50" customFormat="1" x14ac:dyDescent="0.35">
      <c r="A125" s="87">
        <f t="shared" ref="A125:A140" si="8">A124+1</f>
        <v>9</v>
      </c>
      <c r="B125" s="87"/>
      <c r="C125" s="78" t="s">
        <v>206</v>
      </c>
      <c r="D125" s="78">
        <f t="shared" si="4"/>
        <v>352.19807999999995</v>
      </c>
      <c r="E125" s="78">
        <f t="shared" si="6"/>
        <v>80.72999999999999</v>
      </c>
      <c r="F125" s="78">
        <f t="shared" si="7"/>
        <v>644.24692799999991</v>
      </c>
      <c r="G125" s="87" t="str">
        <f t="shared" si="1"/>
        <v>Ground Floor for Commercial &amp; Parking</v>
      </c>
      <c r="H125" s="87"/>
      <c r="I125" s="33"/>
      <c r="L125" s="107"/>
      <c r="M125" s="107"/>
      <c r="N125" s="33"/>
    </row>
    <row r="126" spans="1:14" s="50" customFormat="1" x14ac:dyDescent="0.35">
      <c r="A126" s="88">
        <f t="shared" si="8"/>
        <v>10</v>
      </c>
      <c r="B126" s="89"/>
      <c r="C126" s="59" t="s">
        <v>206</v>
      </c>
      <c r="D126" s="59">
        <f t="shared" si="4"/>
        <v>352.19807999999995</v>
      </c>
      <c r="E126" s="59">
        <f t="shared" si="6"/>
        <v>80.72999999999999</v>
      </c>
      <c r="F126" s="59">
        <f t="shared" si="7"/>
        <v>644.24692799999991</v>
      </c>
      <c r="G126" s="88" t="str">
        <f t="shared" si="1"/>
        <v>Ground Floor for Commercial &amp; Parking</v>
      </c>
      <c r="H126" s="89"/>
      <c r="I126" s="33"/>
      <c r="L126" s="107"/>
      <c r="M126" s="107"/>
      <c r="N126" s="33"/>
    </row>
    <row r="127" spans="1:14" s="50" customFormat="1" x14ac:dyDescent="0.35">
      <c r="A127" s="88">
        <f t="shared" si="8"/>
        <v>11</v>
      </c>
      <c r="B127" s="89"/>
      <c r="C127" s="59" t="s">
        <v>206</v>
      </c>
      <c r="D127" s="59">
        <f t="shared" si="4"/>
        <v>352.19807999999995</v>
      </c>
      <c r="E127" s="59">
        <f t="shared" si="6"/>
        <v>80.72999999999999</v>
      </c>
      <c r="F127" s="59">
        <f t="shared" si="7"/>
        <v>644.24692799999991</v>
      </c>
      <c r="G127" s="88" t="str">
        <f t="shared" si="1"/>
        <v>Ground Floor for Commercial &amp; Parking</v>
      </c>
      <c r="H127" s="89"/>
      <c r="I127" s="33"/>
      <c r="L127" s="107"/>
      <c r="M127" s="107"/>
      <c r="N127" s="33"/>
    </row>
    <row r="128" spans="1:14" s="50" customFormat="1" x14ac:dyDescent="0.35">
      <c r="A128" s="88">
        <f t="shared" si="8"/>
        <v>12</v>
      </c>
      <c r="B128" s="89"/>
      <c r="C128" s="59" t="s">
        <v>206</v>
      </c>
      <c r="D128" s="59">
        <f t="shared" si="4"/>
        <v>352.19807999999995</v>
      </c>
      <c r="E128" s="59">
        <f t="shared" si="6"/>
        <v>80.72999999999999</v>
      </c>
      <c r="F128" s="59">
        <f t="shared" ref="F128:F133" si="9">D128*(($F$114)+1)+E128</f>
        <v>644.24692799999991</v>
      </c>
      <c r="G128" s="88" t="str">
        <f t="shared" si="1"/>
        <v>Ground Floor for Commercial &amp; Parking</v>
      </c>
      <c r="H128" s="89"/>
      <c r="I128" s="33"/>
      <c r="L128" s="107"/>
      <c r="M128" s="107"/>
      <c r="N128" s="33"/>
    </row>
    <row r="129" spans="1:14" s="50" customFormat="1" x14ac:dyDescent="0.35">
      <c r="A129" s="88">
        <f t="shared" si="8"/>
        <v>13</v>
      </c>
      <c r="B129" s="89"/>
      <c r="C129" s="59" t="s">
        <v>206</v>
      </c>
      <c r="D129" s="59">
        <f t="shared" si="4"/>
        <v>352.19807999999995</v>
      </c>
      <c r="E129" s="59">
        <f t="shared" si="6"/>
        <v>80.72999999999999</v>
      </c>
      <c r="F129" s="59">
        <f t="shared" si="9"/>
        <v>644.24692799999991</v>
      </c>
      <c r="G129" s="88" t="str">
        <f t="shared" si="1"/>
        <v>Ground Floor for Commercial &amp; Parking</v>
      </c>
      <c r="H129" s="89"/>
      <c r="I129" s="33"/>
      <c r="L129" s="107"/>
      <c r="M129" s="107"/>
      <c r="N129" s="33"/>
    </row>
    <row r="130" spans="1:14" s="50" customFormat="1" x14ac:dyDescent="0.35">
      <c r="A130" s="88">
        <f>A129+1</f>
        <v>14</v>
      </c>
      <c r="B130" s="89"/>
      <c r="C130" s="59" t="s">
        <v>206</v>
      </c>
      <c r="D130" s="59">
        <f t="shared" si="4"/>
        <v>352.19807999999995</v>
      </c>
      <c r="E130" s="59">
        <f t="shared" si="6"/>
        <v>80.72999999999999</v>
      </c>
      <c r="F130" s="59">
        <f t="shared" si="9"/>
        <v>644.24692799999991</v>
      </c>
      <c r="G130" s="88" t="str">
        <f t="shared" si="1"/>
        <v>Ground Floor for Commercial &amp; Parking</v>
      </c>
      <c r="H130" s="89"/>
      <c r="I130" s="33"/>
      <c r="L130" s="107"/>
      <c r="M130" s="107"/>
      <c r="N130" s="33"/>
    </row>
    <row r="131" spans="1:14" s="50" customFormat="1" x14ac:dyDescent="0.35">
      <c r="A131" s="88">
        <f t="shared" si="8"/>
        <v>15</v>
      </c>
      <c r="B131" s="89"/>
      <c r="C131" s="59" t="s">
        <v>206</v>
      </c>
      <c r="D131" s="59">
        <f t="shared" si="4"/>
        <v>352.19807999999995</v>
      </c>
      <c r="E131" s="59">
        <f t="shared" si="6"/>
        <v>80.72999999999999</v>
      </c>
      <c r="F131" s="59">
        <f t="shared" si="9"/>
        <v>644.24692799999991</v>
      </c>
      <c r="G131" s="88" t="str">
        <f t="shared" si="1"/>
        <v>Ground Floor for Commercial &amp; Parking</v>
      </c>
      <c r="H131" s="89"/>
      <c r="I131" s="33"/>
      <c r="L131" s="107"/>
      <c r="M131" s="107"/>
      <c r="N131" s="33"/>
    </row>
    <row r="132" spans="1:14" s="50" customFormat="1" x14ac:dyDescent="0.35">
      <c r="A132" s="88">
        <f t="shared" si="8"/>
        <v>16</v>
      </c>
      <c r="B132" s="89"/>
      <c r="C132" s="59" t="s">
        <v>206</v>
      </c>
      <c r="D132" s="59">
        <f t="shared" si="4"/>
        <v>352.19807999999995</v>
      </c>
      <c r="E132" s="59">
        <f t="shared" si="6"/>
        <v>80.72999999999999</v>
      </c>
      <c r="F132" s="59">
        <f t="shared" si="9"/>
        <v>644.24692799999991</v>
      </c>
      <c r="G132" s="88" t="str">
        <f t="shared" si="1"/>
        <v>Ground Floor for Commercial &amp; Parking</v>
      </c>
      <c r="H132" s="89"/>
      <c r="I132" s="33"/>
      <c r="L132" s="107"/>
      <c r="M132" s="107"/>
      <c r="N132" s="33"/>
    </row>
    <row r="133" spans="1:14" s="50" customFormat="1" x14ac:dyDescent="0.35">
      <c r="A133" s="88">
        <f t="shared" si="8"/>
        <v>17</v>
      </c>
      <c r="B133" s="89"/>
      <c r="C133" s="59" t="s">
        <v>206</v>
      </c>
      <c r="D133" s="59">
        <f t="shared" si="4"/>
        <v>352.19807999999995</v>
      </c>
      <c r="E133" s="59">
        <f t="shared" si="6"/>
        <v>80.72999999999999</v>
      </c>
      <c r="F133" s="59">
        <f t="shared" si="9"/>
        <v>644.24692799999991</v>
      </c>
      <c r="G133" s="88" t="str">
        <f t="shared" si="1"/>
        <v>Ground Floor for Commercial &amp; Parking</v>
      </c>
      <c r="H133" s="89"/>
      <c r="I133" s="33"/>
      <c r="L133" s="107"/>
      <c r="M133" s="107"/>
      <c r="N133" s="33"/>
    </row>
    <row r="134" spans="1:14" s="50" customFormat="1" x14ac:dyDescent="0.35">
      <c r="A134" s="88">
        <f t="shared" si="8"/>
        <v>18</v>
      </c>
      <c r="B134" s="89"/>
      <c r="C134" s="59" t="s">
        <v>206</v>
      </c>
      <c r="D134" s="59">
        <f t="shared" si="4"/>
        <v>352.19807999999995</v>
      </c>
      <c r="E134" s="59">
        <f t="shared" si="6"/>
        <v>80.72999999999999</v>
      </c>
      <c r="F134" s="59">
        <f t="shared" ref="F134:F138" si="10">D134*(($F$114)+1)+E134</f>
        <v>644.24692799999991</v>
      </c>
      <c r="G134" s="88" t="str">
        <f t="shared" si="1"/>
        <v>Ground Floor for Commercial &amp; Parking</v>
      </c>
      <c r="H134" s="89"/>
      <c r="I134" s="33"/>
      <c r="L134" s="107"/>
      <c r="M134" s="107"/>
      <c r="N134" s="33"/>
    </row>
    <row r="135" spans="1:14" s="50" customFormat="1" x14ac:dyDescent="0.35">
      <c r="A135" s="88">
        <f t="shared" si="8"/>
        <v>19</v>
      </c>
      <c r="B135" s="89"/>
      <c r="C135" s="59" t="s">
        <v>206</v>
      </c>
      <c r="D135" s="59">
        <f t="shared" si="4"/>
        <v>352.19807999999995</v>
      </c>
      <c r="E135" s="59">
        <f t="shared" si="6"/>
        <v>80.72999999999999</v>
      </c>
      <c r="F135" s="59">
        <f t="shared" si="10"/>
        <v>644.24692799999991</v>
      </c>
      <c r="G135" s="88" t="str">
        <f t="shared" si="1"/>
        <v>Ground Floor for Commercial &amp; Parking</v>
      </c>
      <c r="H135" s="89"/>
      <c r="I135" s="33"/>
      <c r="L135" s="107"/>
      <c r="M135" s="107"/>
      <c r="N135" s="33"/>
    </row>
    <row r="136" spans="1:14" s="50" customFormat="1" x14ac:dyDescent="0.35">
      <c r="A136" s="88">
        <f t="shared" si="8"/>
        <v>20</v>
      </c>
      <c r="B136" s="89"/>
      <c r="C136" s="59" t="s">
        <v>206</v>
      </c>
      <c r="D136" s="59">
        <f t="shared" si="4"/>
        <v>352.19807999999995</v>
      </c>
      <c r="E136" s="59">
        <f t="shared" si="6"/>
        <v>80.72999999999999</v>
      </c>
      <c r="F136" s="59">
        <f t="shared" si="10"/>
        <v>644.24692799999991</v>
      </c>
      <c r="G136" s="88" t="str">
        <f t="shared" si="1"/>
        <v>Ground Floor for Commercial &amp; Parking</v>
      </c>
      <c r="H136" s="89"/>
      <c r="I136" s="33"/>
      <c r="L136" s="107"/>
      <c r="M136" s="107"/>
      <c r="N136" s="33"/>
    </row>
    <row r="137" spans="1:14" s="50" customFormat="1" x14ac:dyDescent="0.35">
      <c r="A137" s="88">
        <f t="shared" si="8"/>
        <v>21</v>
      </c>
      <c r="B137" s="89"/>
      <c r="C137" s="59" t="s">
        <v>206</v>
      </c>
      <c r="D137" s="59">
        <f>(28.08)*10.764</f>
        <v>302.25311999999997</v>
      </c>
      <c r="E137" s="59">
        <f>(2.5*3)*10.764</f>
        <v>80.72999999999999</v>
      </c>
      <c r="F137" s="59">
        <f t="shared" si="10"/>
        <v>564.33499199999994</v>
      </c>
      <c r="G137" s="88" t="str">
        <f t="shared" si="1"/>
        <v>Ground Floor for Commercial &amp; Parking</v>
      </c>
      <c r="H137" s="89"/>
      <c r="I137" s="33"/>
      <c r="L137" s="107"/>
      <c r="M137" s="107"/>
      <c r="N137" s="33"/>
    </row>
    <row r="138" spans="1:14" s="50" customFormat="1" x14ac:dyDescent="0.35">
      <c r="A138" s="88">
        <f t="shared" si="8"/>
        <v>22</v>
      </c>
      <c r="B138" s="89"/>
      <c r="C138" s="59" t="s">
        <v>206</v>
      </c>
      <c r="D138" s="59">
        <f>(50.7)*10.764</f>
        <v>545.73479999999995</v>
      </c>
      <c r="E138" s="59">
        <f>(2.5*2.5)*10.764</f>
        <v>67.274999999999991</v>
      </c>
      <c r="F138" s="59">
        <f t="shared" si="10"/>
        <v>940.45067999999992</v>
      </c>
      <c r="G138" s="88" t="str">
        <f t="shared" si="1"/>
        <v>Ground Floor for Commercial &amp; Parking</v>
      </c>
      <c r="H138" s="89"/>
      <c r="I138" s="33"/>
      <c r="L138" s="107"/>
      <c r="M138" s="107"/>
      <c r="N138" s="33"/>
    </row>
    <row r="139" spans="1:14" s="50" customFormat="1" x14ac:dyDescent="0.35">
      <c r="A139" s="88">
        <f t="shared" si="8"/>
        <v>23</v>
      </c>
      <c r="B139" s="89"/>
      <c r="C139" s="59" t="s">
        <v>206</v>
      </c>
      <c r="D139" s="59">
        <f>(23.12)*10.764</f>
        <v>248.86367999999999</v>
      </c>
      <c r="E139" s="59">
        <f>(2.5*3)*10.764</f>
        <v>80.72999999999999</v>
      </c>
      <c r="F139" s="59">
        <f t="shared" ref="F139:F140" si="11">D139*(($F$114)+1)+E139</f>
        <v>478.91188799999998</v>
      </c>
      <c r="G139" s="88" t="str">
        <f t="shared" si="1"/>
        <v>Ground Floor for Commercial &amp; Parking</v>
      </c>
      <c r="H139" s="89"/>
      <c r="I139" s="33"/>
      <c r="L139" s="107"/>
      <c r="M139" s="107"/>
      <c r="N139" s="33"/>
    </row>
    <row r="140" spans="1:14" s="50" customFormat="1" x14ac:dyDescent="0.35">
      <c r="A140" s="88">
        <f t="shared" si="8"/>
        <v>24</v>
      </c>
      <c r="B140" s="89"/>
      <c r="C140" s="59" t="s">
        <v>206</v>
      </c>
      <c r="D140" s="59">
        <f>(23.57)*10.764</f>
        <v>253.70747999999998</v>
      </c>
      <c r="E140" s="59">
        <f>(2.5*3)*10.764</f>
        <v>80.72999999999999</v>
      </c>
      <c r="F140" s="59">
        <f t="shared" si="11"/>
        <v>486.661968</v>
      </c>
      <c r="G140" s="88" t="str">
        <f t="shared" si="1"/>
        <v>Ground Floor for Commercial &amp; Parking</v>
      </c>
      <c r="H140" s="89"/>
      <c r="I140" s="33"/>
      <c r="L140" s="107"/>
      <c r="M140" s="107"/>
      <c r="N140" s="33"/>
    </row>
    <row r="141" spans="1:14" s="35" customFormat="1" x14ac:dyDescent="0.35">
      <c r="A141" s="88"/>
      <c r="B141" s="145"/>
      <c r="C141" s="145"/>
      <c r="D141" s="145"/>
      <c r="E141" s="145"/>
      <c r="F141" s="145"/>
      <c r="G141" s="145"/>
      <c r="H141" s="89"/>
      <c r="I141" s="33"/>
      <c r="N141" s="33"/>
    </row>
    <row r="142" spans="1:14" ht="47.25" customHeight="1" x14ac:dyDescent="0.35">
      <c r="A142" s="54" t="s">
        <v>159</v>
      </c>
      <c r="B142" s="54" t="s">
        <v>160</v>
      </c>
      <c r="C142" s="55" t="s">
        <v>65</v>
      </c>
      <c r="D142" s="55" t="s">
        <v>66</v>
      </c>
      <c r="E142" s="53" t="s">
        <v>67</v>
      </c>
      <c r="F142" s="55" t="s">
        <v>220</v>
      </c>
      <c r="G142" s="149" t="s">
        <v>68</v>
      </c>
      <c r="H142" s="150"/>
      <c r="I142" s="33"/>
    </row>
    <row r="143" spans="1:14" s="9" customFormat="1" x14ac:dyDescent="0.35">
      <c r="A143" s="92" t="s">
        <v>207</v>
      </c>
      <c r="B143" s="92"/>
      <c r="C143" s="92"/>
      <c r="D143" s="92"/>
      <c r="E143" s="92"/>
      <c r="F143" s="92"/>
      <c r="G143" s="92"/>
      <c r="H143" s="92"/>
    </row>
    <row r="144" spans="1:14" s="9" customFormat="1" x14ac:dyDescent="0.35">
      <c r="A144" s="92" t="s">
        <v>232</v>
      </c>
      <c r="B144" s="92"/>
      <c r="C144" s="92"/>
      <c r="D144" s="92"/>
      <c r="E144" s="92"/>
      <c r="F144" s="92"/>
      <c r="G144" s="92"/>
      <c r="H144" s="92"/>
    </row>
    <row r="145" spans="1:16" s="9" customFormat="1" x14ac:dyDescent="0.35">
      <c r="A145" s="92" t="s">
        <v>233</v>
      </c>
      <c r="B145" s="92"/>
      <c r="C145" s="92"/>
      <c r="D145" s="92"/>
      <c r="E145" s="92"/>
      <c r="F145" s="92"/>
      <c r="G145" s="92"/>
      <c r="H145" s="92"/>
    </row>
    <row r="146" spans="1:16" s="2" customFormat="1" ht="15.75" customHeight="1" x14ac:dyDescent="0.35">
      <c r="A146" s="142" t="s">
        <v>208</v>
      </c>
      <c r="B146" s="143"/>
      <c r="C146" s="143"/>
      <c r="D146" s="143"/>
      <c r="E146" s="143"/>
      <c r="F146" s="143"/>
      <c r="G146" s="143"/>
      <c r="H146" s="144"/>
      <c r="I146" s="33"/>
      <c r="L146" s="41"/>
      <c r="M146" s="41"/>
      <c r="P146" s="34"/>
    </row>
    <row r="147" spans="1:16" s="2" customFormat="1" x14ac:dyDescent="0.35">
      <c r="A147" s="88" t="str">
        <f t="shared" ref="A147:A152" ca="1" si="12">N147</f>
        <v>301,..,901</v>
      </c>
      <c r="B147" s="89"/>
      <c r="C147" s="59" t="s">
        <v>209</v>
      </c>
      <c r="D147" s="59">
        <f>(42.76+0.7*(2.7+2.5+2.7+2.7))*10.764</f>
        <v>540.13751999999999</v>
      </c>
      <c r="E147" s="59">
        <v>0</v>
      </c>
      <c r="F147" s="59">
        <v>995</v>
      </c>
      <c r="G147" s="88" t="str">
        <f>A146</f>
        <v xml:space="preserve"> 3rd, 5th, 7th, 9th Floor</v>
      </c>
      <c r="H147" s="89"/>
      <c r="I147" s="33">
        <f>5771000/F147</f>
        <v>5800</v>
      </c>
      <c r="J147" s="52">
        <f>F147/D147</f>
        <v>1.8421234651501344</v>
      </c>
      <c r="M147" s="41"/>
      <c r="N147" s="41" t="str">
        <f t="shared" ref="N147:N152" ca="1" si="13">O147&amp;""&amp;",..,"&amp;""&amp;P147</f>
        <v>301,..,901</v>
      </c>
      <c r="O147" s="2">
        <v>301</v>
      </c>
      <c r="P147" s="2">
        <f ca="1">(SUMPRODUCT(MID(0&amp;(--TRIM(RIGHT(SUBSTITUTE(LEFT(A146,_xlfn.AGGREGATE(16,6,FIND({0,1,2,3,4,5,6,7,8,9},A146,ROW(INDIRECT("1:"&amp;LEN(A146)))),1))," ",REPT(" ",LEN(A146))),LEN(A146)))), LARGE(INDEX(ISNUMBER(--MID((--TRIM(RIGHT(SUBSTITUTE(LEFT(A146,_xlfn.AGGREGATE(16,6,FIND({0,1,2,3,4,5,6,7,8,9},A146,ROW(INDIRECT("1:"&amp;LEN(A146)))),1))," ",REPT(" ",LEN(A146))),LEN(A146)))), ROW(INDIRECT("1:"&amp;LEN((--TRIM(RIGHT(SUBSTITUTE(LEFT(A146,_xlfn.AGGREGATE(16,6,FIND({0,1,2,3,4,5,6,7,8,9},A146,ROW(INDIRECT("1:"&amp;LEN(A146)))),1))," ",REPT(" ",LEN(A146))),LEN(A146))))))), 1)) * ROW(INDIRECT("1:"&amp;LEN((--TRIM(RIGHT(SUBSTITUTE(LEFT(A146,_xlfn.AGGREGATE(16,6,FIND({0,1,2,3,4,5,6,7,8,9},A146,ROW(INDIRECT("1:"&amp;LEN(A146)))),1))," ",REPT(" ",LEN(A146))),LEN(A146))))))), 0), ROW(INDIRECT("1:"&amp;LEN((--TRIM(RIGHT(SUBSTITUTE(LEFT(A146,_xlfn.AGGREGATE(16,6,FIND({0,1,2,3,4,5,6,7,8,9},A146,ROW(INDIRECT("1:"&amp;LEN(A146)))),1))," ",REPT(" ",LEN(A146))),LEN(A146))))))))+1, 1) * 10^ROW(INDIRECT("1:"&amp;LEN((--TRIM(RIGHT(SUBSTITUTE(LEFT(A146,_xlfn.AGGREGATE(16,6,FIND({0,1,2,3,4,5,6,7,8,9},A146,ROW(INDIRECT("1:"&amp;LEN(A146)))),1))," ",REPT(" ",LEN(A146))),LEN(A146)))))))/10))*100+1</f>
        <v>901</v>
      </c>
    </row>
    <row r="148" spans="1:16" s="2" customFormat="1" x14ac:dyDescent="0.35">
      <c r="A148" s="88" t="str">
        <f t="shared" ca="1" si="12"/>
        <v>302,..,902</v>
      </c>
      <c r="B148" s="89"/>
      <c r="C148" s="59" t="s">
        <v>209</v>
      </c>
      <c r="D148" s="59">
        <f>(45.32+0.7*(2.7+2.1+2.7+1.8))*10.764</f>
        <v>557.89811999999995</v>
      </c>
      <c r="E148" s="59">
        <v>0</v>
      </c>
      <c r="F148" s="59">
        <v>1030</v>
      </c>
      <c r="G148" s="88" t="str">
        <f t="shared" ref="G148:G154" si="14">G147</f>
        <v xml:space="preserve"> 3rd, 5th, 7th, 9th Floor</v>
      </c>
      <c r="H148" s="89"/>
      <c r="I148" s="33"/>
      <c r="J148" s="52">
        <f t="shared" ref="J148:J154" si="15">F148/D148</f>
        <v>1.8462152193665755</v>
      </c>
      <c r="M148" s="41"/>
      <c r="N148" s="49" t="str">
        <f t="shared" ca="1" si="13"/>
        <v>302,..,902</v>
      </c>
      <c r="O148" s="2">
        <f t="shared" ref="O148:P151" si="16">O147+1</f>
        <v>302</v>
      </c>
      <c r="P148" s="2">
        <f t="shared" ca="1" si="16"/>
        <v>902</v>
      </c>
    </row>
    <row r="149" spans="1:16" s="2" customFormat="1" x14ac:dyDescent="0.35">
      <c r="A149" s="88" t="str">
        <f t="shared" ca="1" si="12"/>
        <v>303,..,903</v>
      </c>
      <c r="B149" s="89"/>
      <c r="C149" s="59" t="s">
        <v>209</v>
      </c>
      <c r="D149" s="59">
        <f>(45.31+0.7*(2.7+2.1+2.7+1.8))*10.764</f>
        <v>557.79048</v>
      </c>
      <c r="E149" s="59">
        <v>0</v>
      </c>
      <c r="F149" s="59">
        <v>1030</v>
      </c>
      <c r="G149" s="88" t="str">
        <f t="shared" si="14"/>
        <v xml:space="preserve"> 3rd, 5th, 7th, 9th Floor</v>
      </c>
      <c r="H149" s="89"/>
      <c r="I149" s="52">
        <f>F149/D149</f>
        <v>1.8465714940133076</v>
      </c>
      <c r="J149" s="52">
        <f t="shared" si="15"/>
        <v>1.8465714940133076</v>
      </c>
      <c r="M149" s="41"/>
      <c r="N149" s="49" t="str">
        <f t="shared" ca="1" si="13"/>
        <v>303,..,903</v>
      </c>
      <c r="O149" s="2">
        <f t="shared" si="16"/>
        <v>303</v>
      </c>
      <c r="P149" s="2">
        <f t="shared" ca="1" si="16"/>
        <v>903</v>
      </c>
    </row>
    <row r="150" spans="1:16" s="2" customFormat="1" x14ac:dyDescent="0.35">
      <c r="A150" s="88" t="str">
        <f t="shared" ca="1" si="12"/>
        <v>304,..,904</v>
      </c>
      <c r="B150" s="89"/>
      <c r="C150" s="59" t="s">
        <v>209</v>
      </c>
      <c r="D150" s="59">
        <f>(44.77+0.7*(2.7+2.1+2.9+2.3))*10.764</f>
        <v>557.25228000000004</v>
      </c>
      <c r="E150" s="59">
        <v>0</v>
      </c>
      <c r="F150" s="59">
        <v>1050</v>
      </c>
      <c r="G150" s="88" t="str">
        <f t="shared" si="14"/>
        <v xml:space="preserve"> 3rd, 5th, 7th, 9th Floor</v>
      </c>
      <c r="H150" s="89"/>
      <c r="I150" s="33"/>
      <c r="J150" s="52">
        <f t="shared" si="15"/>
        <v>1.8842453188347654</v>
      </c>
      <c r="M150" s="41"/>
      <c r="N150" s="49" t="str">
        <f t="shared" ca="1" si="13"/>
        <v>304,..,904</v>
      </c>
      <c r="O150" s="2">
        <f t="shared" si="16"/>
        <v>304</v>
      </c>
      <c r="P150" s="2">
        <f t="shared" ca="1" si="16"/>
        <v>904</v>
      </c>
    </row>
    <row r="151" spans="1:16" s="2" customFormat="1" x14ac:dyDescent="0.35">
      <c r="A151" s="88" t="str">
        <f t="shared" ca="1" si="12"/>
        <v>305,..,905</v>
      </c>
      <c r="B151" s="89"/>
      <c r="C151" s="59" t="s">
        <v>210</v>
      </c>
      <c r="D151" s="59">
        <f>(29.54+0.7*(2.7+2.1+2.7))*10.764</f>
        <v>374.47955999999999</v>
      </c>
      <c r="E151" s="59">
        <v>0</v>
      </c>
      <c r="F151" s="59">
        <v>685</v>
      </c>
      <c r="G151" s="88" t="str">
        <f t="shared" si="14"/>
        <v xml:space="preserve"> 3rd, 5th, 7th, 9th Floor</v>
      </c>
      <c r="H151" s="89"/>
      <c r="I151" s="33"/>
      <c r="J151" s="52">
        <f t="shared" si="15"/>
        <v>1.8292053109654369</v>
      </c>
      <c r="M151" s="41"/>
      <c r="N151" s="49" t="str">
        <f t="shared" ca="1" si="13"/>
        <v>305,..,905</v>
      </c>
      <c r="O151" s="2">
        <f t="shared" si="16"/>
        <v>305</v>
      </c>
      <c r="P151" s="2">
        <f t="shared" ca="1" si="16"/>
        <v>905</v>
      </c>
    </row>
    <row r="152" spans="1:16" s="36" customFormat="1" x14ac:dyDescent="0.35">
      <c r="A152" s="88" t="str">
        <f t="shared" ca="1" si="12"/>
        <v>306,..,906</v>
      </c>
      <c r="B152" s="89"/>
      <c r="C152" s="59" t="s">
        <v>210</v>
      </c>
      <c r="D152" s="59">
        <f>(29.6+0.7*(2.7+2.1+2.7))*10.764</f>
        <v>375.12540000000001</v>
      </c>
      <c r="E152" s="59">
        <v>0</v>
      </c>
      <c r="F152" s="59">
        <v>690</v>
      </c>
      <c r="G152" s="88" t="str">
        <f t="shared" si="14"/>
        <v xml:space="preserve"> 3rd, 5th, 7th, 9th Floor</v>
      </c>
      <c r="H152" s="89"/>
      <c r="I152" s="33"/>
      <c r="J152" s="52">
        <f t="shared" si="15"/>
        <v>1.8393849096862009</v>
      </c>
      <c r="M152" s="41"/>
      <c r="N152" s="49" t="str">
        <f t="shared" ca="1" si="13"/>
        <v>306,..,906</v>
      </c>
      <c r="O152" s="36">
        <f t="shared" ref="O152:P152" si="17">O151+1</f>
        <v>306</v>
      </c>
      <c r="P152" s="36">
        <f t="shared" ca="1" si="17"/>
        <v>906</v>
      </c>
    </row>
    <row r="153" spans="1:16" s="50" customFormat="1" x14ac:dyDescent="0.35">
      <c r="A153" s="88" t="str">
        <f t="shared" ref="A153:A154" ca="1" si="18">N153</f>
        <v>307,..,907</v>
      </c>
      <c r="B153" s="89"/>
      <c r="C153" s="59" t="s">
        <v>210</v>
      </c>
      <c r="D153" s="59">
        <f>(29.6+0.7*(2.7+2.1+2.7))*10.764</f>
        <v>375.12540000000001</v>
      </c>
      <c r="E153" s="59">
        <v>0</v>
      </c>
      <c r="F153" s="59">
        <v>690</v>
      </c>
      <c r="G153" s="88" t="str">
        <f t="shared" si="14"/>
        <v xml:space="preserve"> 3rd, 5th, 7th, 9th Floor</v>
      </c>
      <c r="H153" s="89"/>
      <c r="I153" s="33"/>
      <c r="J153" s="52">
        <f t="shared" si="15"/>
        <v>1.8393849096862009</v>
      </c>
      <c r="N153" s="50" t="str">
        <f t="shared" ref="N153:N154" ca="1" si="19">O153&amp;""&amp;",..,"&amp;""&amp;P153</f>
        <v>307,..,907</v>
      </c>
      <c r="O153" s="50">
        <f t="shared" ref="O153:P153" si="20">O152+1</f>
        <v>307</v>
      </c>
      <c r="P153" s="50">
        <f t="shared" ca="1" si="20"/>
        <v>907</v>
      </c>
    </row>
    <row r="154" spans="1:16" s="50" customFormat="1" x14ac:dyDescent="0.35">
      <c r="A154" s="88" t="str">
        <f t="shared" ca="1" si="18"/>
        <v>308,..,908</v>
      </c>
      <c r="B154" s="89"/>
      <c r="C154" s="59" t="s">
        <v>210</v>
      </c>
      <c r="D154" s="59">
        <f>(29.54+0.7*(2.7+2.1+2.7))*10.764</f>
        <v>374.47955999999999</v>
      </c>
      <c r="E154" s="59">
        <v>0</v>
      </c>
      <c r="F154" s="59">
        <v>685</v>
      </c>
      <c r="G154" s="88" t="str">
        <f t="shared" si="14"/>
        <v xml:space="preserve"> 3rd, 5th, 7th, 9th Floor</v>
      </c>
      <c r="H154" s="89"/>
      <c r="I154" s="33"/>
      <c r="J154" s="52">
        <f t="shared" si="15"/>
        <v>1.8292053109654369</v>
      </c>
      <c r="N154" s="50" t="str">
        <f t="shared" ca="1" si="19"/>
        <v>308,..,908</v>
      </c>
      <c r="O154" s="50">
        <f t="shared" ref="O154:P154" si="21">O153+1</f>
        <v>308</v>
      </c>
      <c r="P154" s="50">
        <f t="shared" ca="1" si="21"/>
        <v>908</v>
      </c>
    </row>
    <row r="155" spans="1:16" s="50" customFormat="1" ht="15.75" customHeight="1" x14ac:dyDescent="0.35">
      <c r="A155" s="86" t="s">
        <v>211</v>
      </c>
      <c r="B155" s="86"/>
      <c r="C155" s="86"/>
      <c r="D155" s="86"/>
      <c r="E155" s="86"/>
      <c r="F155" s="86"/>
      <c r="G155" s="86"/>
      <c r="H155" s="86"/>
      <c r="I155" s="33"/>
      <c r="P155" s="34"/>
    </row>
    <row r="156" spans="1:16" s="50" customFormat="1" x14ac:dyDescent="0.35">
      <c r="A156" s="87" t="str">
        <f ca="1">N156</f>
        <v>401,..,601</v>
      </c>
      <c r="B156" s="87"/>
      <c r="C156" s="73" t="s">
        <v>209</v>
      </c>
      <c r="D156" s="73">
        <f>(42.76+0.7*(2.7+2.5+2.7+2.7))*10.764</f>
        <v>540.13751999999999</v>
      </c>
      <c r="E156" s="73">
        <v>0</v>
      </c>
      <c r="F156" s="73">
        <v>1000</v>
      </c>
      <c r="G156" s="87" t="str">
        <f>A155</f>
        <v xml:space="preserve"> 4th, 6th Floor</v>
      </c>
      <c r="H156" s="87"/>
      <c r="I156" s="33"/>
      <c r="N156" s="50" t="str">
        <f t="shared" ref="N156:N163" ca="1" si="22">O156&amp;""&amp;",..,"&amp;""&amp;P156</f>
        <v>401,..,601</v>
      </c>
      <c r="O156" s="50">
        <v>401</v>
      </c>
      <c r="P156" s="50">
        <f ca="1">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",LEN(A155))),LEN(A155)))))))/10))*100+1</f>
        <v>601</v>
      </c>
    </row>
    <row r="157" spans="1:16" s="50" customFormat="1" x14ac:dyDescent="0.35">
      <c r="A157" s="87" t="str">
        <f t="shared" ref="A157:A163" ca="1" si="23">N157</f>
        <v>402,..,602</v>
      </c>
      <c r="B157" s="87"/>
      <c r="C157" s="73" t="s">
        <v>209</v>
      </c>
      <c r="D157" s="73">
        <f>(45.32+0.7*(2.7+2.1+2.7+1.8))*10.764</f>
        <v>557.89811999999995</v>
      </c>
      <c r="E157" s="73">
        <v>0</v>
      </c>
      <c r="F157" s="73">
        <v>1035</v>
      </c>
      <c r="G157" s="87" t="str">
        <f t="shared" ref="G157:G163" si="24">G156</f>
        <v xml:space="preserve"> 4th, 6th Floor</v>
      </c>
      <c r="H157" s="87"/>
      <c r="I157" s="33"/>
      <c r="N157" s="50" t="str">
        <f t="shared" ca="1" si="22"/>
        <v>402,..,602</v>
      </c>
      <c r="O157" s="50">
        <f t="shared" ref="O157:P157" si="25">O156+1</f>
        <v>402</v>
      </c>
      <c r="P157" s="50">
        <f t="shared" ca="1" si="25"/>
        <v>602</v>
      </c>
    </row>
    <row r="158" spans="1:16" s="50" customFormat="1" x14ac:dyDescent="0.35">
      <c r="A158" s="87" t="str">
        <f t="shared" ca="1" si="23"/>
        <v>403,..,603</v>
      </c>
      <c r="B158" s="87"/>
      <c r="C158" s="73" t="s">
        <v>209</v>
      </c>
      <c r="D158" s="73">
        <f>(45.32+0.7*(2.7+2.1+2.7+1.8))*10.764</f>
        <v>557.89811999999995</v>
      </c>
      <c r="E158" s="73">
        <v>0</v>
      </c>
      <c r="F158" s="73">
        <v>1035</v>
      </c>
      <c r="G158" s="87" t="str">
        <f t="shared" si="24"/>
        <v xml:space="preserve"> 4th, 6th Floor</v>
      </c>
      <c r="H158" s="87"/>
      <c r="I158" s="33"/>
      <c r="N158" s="50" t="str">
        <f t="shared" ca="1" si="22"/>
        <v>403,..,603</v>
      </c>
      <c r="O158" s="50">
        <f t="shared" ref="O158:P158" si="26">O157+1</f>
        <v>403</v>
      </c>
      <c r="P158" s="50">
        <f t="shared" ca="1" si="26"/>
        <v>603</v>
      </c>
    </row>
    <row r="159" spans="1:16" s="50" customFormat="1" x14ac:dyDescent="0.35">
      <c r="A159" s="87" t="str">
        <f t="shared" ca="1" si="23"/>
        <v>404,..,604</v>
      </c>
      <c r="B159" s="87"/>
      <c r="C159" s="73" t="s">
        <v>209</v>
      </c>
      <c r="D159" s="73">
        <f>(44.77+0.7*(2.7+2.1+2.9+2.4))*10.764</f>
        <v>558.00576000000001</v>
      </c>
      <c r="E159" s="73">
        <v>0</v>
      </c>
      <c r="F159" s="73">
        <v>1050</v>
      </c>
      <c r="G159" s="87" t="str">
        <f t="shared" si="24"/>
        <v xml:space="preserve"> 4th, 6th Floor</v>
      </c>
      <c r="H159" s="87"/>
      <c r="I159" s="33"/>
      <c r="N159" s="50" t="str">
        <f t="shared" ca="1" si="22"/>
        <v>404,..,604</v>
      </c>
      <c r="O159" s="50">
        <f t="shared" ref="O159:P159" si="27">O158+1</f>
        <v>404</v>
      </c>
      <c r="P159" s="50">
        <f t="shared" ca="1" si="27"/>
        <v>604</v>
      </c>
    </row>
    <row r="160" spans="1:16" s="50" customFormat="1" x14ac:dyDescent="0.35">
      <c r="A160" s="88" t="str">
        <f t="shared" ca="1" si="23"/>
        <v>405,..,605</v>
      </c>
      <c r="B160" s="89"/>
      <c r="C160" s="59" t="s">
        <v>210</v>
      </c>
      <c r="D160" s="59">
        <f>(29.54+0.7*(2.7+2.1+2.7))*10.764</f>
        <v>374.47955999999999</v>
      </c>
      <c r="E160" s="59">
        <v>0</v>
      </c>
      <c r="F160" s="59">
        <v>685</v>
      </c>
      <c r="G160" s="88" t="str">
        <f t="shared" si="24"/>
        <v xml:space="preserve"> 4th, 6th Floor</v>
      </c>
      <c r="H160" s="89"/>
      <c r="I160" s="33"/>
      <c r="N160" s="50" t="str">
        <f t="shared" ca="1" si="22"/>
        <v>405,..,605</v>
      </c>
      <c r="O160" s="50">
        <f t="shared" ref="O160:P160" si="28">O159+1</f>
        <v>405</v>
      </c>
      <c r="P160" s="50">
        <f t="shared" ca="1" si="28"/>
        <v>605</v>
      </c>
    </row>
    <row r="161" spans="1:16" s="50" customFormat="1" x14ac:dyDescent="0.35">
      <c r="A161" s="88" t="str">
        <f t="shared" ca="1" si="23"/>
        <v>406,..,606</v>
      </c>
      <c r="B161" s="89"/>
      <c r="C161" s="59" t="s">
        <v>210</v>
      </c>
      <c r="D161" s="59">
        <f>(29.6+0.7*(2.7+2.1+2.7))*10.764</f>
        <v>375.12540000000001</v>
      </c>
      <c r="E161" s="59">
        <v>0</v>
      </c>
      <c r="F161" s="59">
        <v>690</v>
      </c>
      <c r="G161" s="88" t="str">
        <f t="shared" si="24"/>
        <v xml:space="preserve"> 4th, 6th Floor</v>
      </c>
      <c r="H161" s="89"/>
      <c r="I161" s="33"/>
      <c r="N161" s="50" t="str">
        <f t="shared" ca="1" si="22"/>
        <v>406,..,606</v>
      </c>
      <c r="O161" s="50">
        <f t="shared" ref="O161:P161" si="29">O160+1</f>
        <v>406</v>
      </c>
      <c r="P161" s="50">
        <f t="shared" ca="1" si="29"/>
        <v>606</v>
      </c>
    </row>
    <row r="162" spans="1:16" s="50" customFormat="1" x14ac:dyDescent="0.35">
      <c r="A162" s="88" t="str">
        <f t="shared" ca="1" si="23"/>
        <v>407,..,607</v>
      </c>
      <c r="B162" s="89"/>
      <c r="C162" s="59" t="s">
        <v>210</v>
      </c>
      <c r="D162" s="59">
        <f>(29.6+0.7*(2.7+2.1+2.7))*10.764</f>
        <v>375.12540000000001</v>
      </c>
      <c r="E162" s="59">
        <v>0</v>
      </c>
      <c r="F162" s="59">
        <v>690</v>
      </c>
      <c r="G162" s="88" t="str">
        <f t="shared" si="24"/>
        <v xml:space="preserve"> 4th, 6th Floor</v>
      </c>
      <c r="H162" s="89"/>
      <c r="I162" s="33"/>
      <c r="N162" s="50" t="str">
        <f t="shared" ca="1" si="22"/>
        <v>407,..,607</v>
      </c>
      <c r="O162" s="50">
        <f t="shared" ref="O162:P162" si="30">O161+1</f>
        <v>407</v>
      </c>
      <c r="P162" s="50">
        <f t="shared" ca="1" si="30"/>
        <v>607</v>
      </c>
    </row>
    <row r="163" spans="1:16" s="50" customFormat="1" x14ac:dyDescent="0.35">
      <c r="A163" s="88" t="str">
        <f t="shared" ca="1" si="23"/>
        <v>408,..,608</v>
      </c>
      <c r="B163" s="89"/>
      <c r="C163" s="59" t="s">
        <v>210</v>
      </c>
      <c r="D163" s="59">
        <f>(29.54+0.7*(2.7+2.1+2.7))*10.764</f>
        <v>374.47955999999999</v>
      </c>
      <c r="E163" s="59">
        <v>0</v>
      </c>
      <c r="F163" s="59">
        <v>685</v>
      </c>
      <c r="G163" s="88" t="str">
        <f t="shared" si="24"/>
        <v xml:space="preserve"> 4th, 6th Floor</v>
      </c>
      <c r="H163" s="89"/>
      <c r="I163" s="33"/>
      <c r="N163" s="50" t="str">
        <f t="shared" ca="1" si="22"/>
        <v>408,..,608</v>
      </c>
      <c r="O163" s="50">
        <f t="shared" ref="O163:P163" si="31">O162+1</f>
        <v>408</v>
      </c>
      <c r="P163" s="50">
        <f t="shared" ca="1" si="31"/>
        <v>608</v>
      </c>
    </row>
    <row r="164" spans="1:16" s="2" customFormat="1" x14ac:dyDescent="0.35">
      <c r="A164" s="86" t="s">
        <v>212</v>
      </c>
      <c r="B164" s="86"/>
      <c r="C164" s="86"/>
      <c r="D164" s="86"/>
      <c r="E164" s="86"/>
      <c r="F164" s="86"/>
      <c r="G164" s="86"/>
      <c r="H164" s="86"/>
      <c r="I164" s="33"/>
      <c r="L164" s="107"/>
      <c r="M164" s="107"/>
    </row>
    <row r="165" spans="1:16" s="2" customFormat="1" x14ac:dyDescent="0.35">
      <c r="A165" s="87">
        <f>LEFT(A164,SUM(LEN(A164)-LEN(SUBSTITUTE(A164,{"0","1","2","3","4","5","6","7","8","9"},""))))*100+1</f>
        <v>801</v>
      </c>
      <c r="B165" s="87"/>
      <c r="C165" s="59" t="s">
        <v>209</v>
      </c>
      <c r="D165" s="59">
        <f>(42.76+0.7*(2.7+2.5+2.7+2.7))*10.764</f>
        <v>540.13751999999999</v>
      </c>
      <c r="E165" s="59">
        <v>0</v>
      </c>
      <c r="F165" s="59">
        <v>1000</v>
      </c>
      <c r="G165" s="87" t="str">
        <f>A164</f>
        <v>8th Floor (Part Refuge Area)</v>
      </c>
      <c r="H165" s="87"/>
      <c r="I165" s="33"/>
      <c r="L165" s="41"/>
      <c r="M165" s="41"/>
      <c r="N165" s="33"/>
    </row>
    <row r="166" spans="1:16" s="2" customFormat="1" x14ac:dyDescent="0.35">
      <c r="A166" s="87">
        <f>A165+1</f>
        <v>802</v>
      </c>
      <c r="B166" s="87"/>
      <c r="C166" s="59" t="s">
        <v>209</v>
      </c>
      <c r="D166" s="59">
        <f>(45.32+0.7*(2.7+2.1+2.7+1.8))*10.764</f>
        <v>557.89811999999995</v>
      </c>
      <c r="E166" s="59">
        <v>0</v>
      </c>
      <c r="F166" s="59">
        <v>1035</v>
      </c>
      <c r="G166" s="87" t="str">
        <f t="shared" ref="G166:G172" si="32">G165</f>
        <v>8th Floor (Part Refuge Area)</v>
      </c>
      <c r="H166" s="87"/>
      <c r="I166" s="33"/>
      <c r="L166" s="41"/>
      <c r="M166" s="41"/>
      <c r="N166" s="33"/>
    </row>
    <row r="167" spans="1:16" s="2" customFormat="1" x14ac:dyDescent="0.35">
      <c r="A167" s="87">
        <f>A166+1</f>
        <v>803</v>
      </c>
      <c r="B167" s="87"/>
      <c r="C167" s="59" t="s">
        <v>209</v>
      </c>
      <c r="D167" s="59">
        <f>(45.32+0.7*(2.7+2.1+2.7+1.8))*10.764</f>
        <v>557.89811999999995</v>
      </c>
      <c r="E167" s="59">
        <v>0</v>
      </c>
      <c r="F167" s="59">
        <v>1035</v>
      </c>
      <c r="G167" s="87" t="str">
        <f t="shared" si="32"/>
        <v>8th Floor (Part Refuge Area)</v>
      </c>
      <c r="H167" s="87"/>
      <c r="I167" s="33"/>
      <c r="L167" s="41"/>
      <c r="M167" s="41"/>
      <c r="N167" s="33"/>
    </row>
    <row r="168" spans="1:16" s="2" customFormat="1" x14ac:dyDescent="0.35">
      <c r="A168" s="87">
        <f t="shared" ref="A168:A172" si="33">A167+1</f>
        <v>804</v>
      </c>
      <c r="B168" s="87"/>
      <c r="C168" s="59" t="s">
        <v>209</v>
      </c>
      <c r="D168" s="59">
        <f>(44.77+0.7*(2.7+2.1+2.9+2.4))*10.764</f>
        <v>558.00576000000001</v>
      </c>
      <c r="E168" s="59">
        <v>0</v>
      </c>
      <c r="F168" s="59">
        <v>1050</v>
      </c>
      <c r="G168" s="87" t="str">
        <f t="shared" si="32"/>
        <v>8th Floor (Part Refuge Area)</v>
      </c>
      <c r="H168" s="87"/>
      <c r="I168" s="33"/>
      <c r="L168" s="41"/>
      <c r="M168" s="41"/>
      <c r="N168" s="33"/>
    </row>
    <row r="169" spans="1:16" s="51" customFormat="1" x14ac:dyDescent="0.35">
      <c r="A169" s="87">
        <f t="shared" si="33"/>
        <v>805</v>
      </c>
      <c r="B169" s="87"/>
      <c r="C169" s="88" t="s">
        <v>226</v>
      </c>
      <c r="D169" s="145"/>
      <c r="E169" s="145"/>
      <c r="F169" s="89"/>
      <c r="G169" s="88" t="str">
        <f>G168</f>
        <v>8th Floor (Part Refuge Area)</v>
      </c>
      <c r="H169" s="89"/>
      <c r="I169" s="33"/>
      <c r="N169" s="33"/>
    </row>
    <row r="170" spans="1:16" s="2" customFormat="1" x14ac:dyDescent="0.35">
      <c r="A170" s="87">
        <v>806</v>
      </c>
      <c r="B170" s="87"/>
      <c r="C170" s="59" t="s">
        <v>210</v>
      </c>
      <c r="D170" s="59">
        <f>(29.61+0.7*(2.7+2.1+2.7))*10.764</f>
        <v>375.23303999999996</v>
      </c>
      <c r="E170" s="59">
        <v>0</v>
      </c>
      <c r="F170" s="59">
        <v>690</v>
      </c>
      <c r="G170" s="87" t="s">
        <v>212</v>
      </c>
      <c r="H170" s="87"/>
      <c r="I170" s="33"/>
      <c r="L170" s="41"/>
      <c r="M170" s="41"/>
      <c r="N170" s="33"/>
    </row>
    <row r="171" spans="1:16" s="50" customFormat="1" x14ac:dyDescent="0.35">
      <c r="A171" s="87">
        <f t="shared" si="33"/>
        <v>807</v>
      </c>
      <c r="B171" s="87"/>
      <c r="C171" s="59" t="s">
        <v>210</v>
      </c>
      <c r="D171" s="59">
        <f>(29.61+0.7*(2.7+2.1+2.7))*10.764</f>
        <v>375.23303999999996</v>
      </c>
      <c r="E171" s="59">
        <v>0</v>
      </c>
      <c r="F171" s="59">
        <v>690</v>
      </c>
      <c r="G171" s="87" t="str">
        <f t="shared" si="32"/>
        <v>8th Floor (Part Refuge Area)</v>
      </c>
      <c r="H171" s="87"/>
      <c r="I171" s="33"/>
      <c r="N171" s="33"/>
    </row>
    <row r="172" spans="1:16" s="50" customFormat="1" x14ac:dyDescent="0.35">
      <c r="A172" s="87">
        <f t="shared" si="33"/>
        <v>808</v>
      </c>
      <c r="B172" s="87"/>
      <c r="C172" s="59" t="s">
        <v>210</v>
      </c>
      <c r="D172" s="59">
        <f>(29.54+0.7*(2.7+2.1+2.7))*10.764</f>
        <v>374.47955999999999</v>
      </c>
      <c r="E172" s="59">
        <v>0</v>
      </c>
      <c r="F172" s="59">
        <v>685</v>
      </c>
      <c r="G172" s="87" t="str">
        <f t="shared" si="32"/>
        <v>8th Floor (Part Refuge Area)</v>
      </c>
      <c r="H172" s="87"/>
      <c r="I172" s="33"/>
      <c r="N172" s="33"/>
    </row>
    <row r="173" spans="1:16" s="50" customFormat="1" x14ac:dyDescent="0.35">
      <c r="A173" s="86" t="s">
        <v>213</v>
      </c>
      <c r="B173" s="86"/>
      <c r="C173" s="86"/>
      <c r="D173" s="86"/>
      <c r="E173" s="86"/>
      <c r="F173" s="86"/>
      <c r="G173" s="86"/>
      <c r="H173" s="86"/>
      <c r="I173" s="33"/>
      <c r="L173" s="107"/>
      <c r="M173" s="107"/>
    </row>
    <row r="174" spans="1:16" s="50" customFormat="1" x14ac:dyDescent="0.35">
      <c r="A174" s="87">
        <f>LEFT(A173,SUM(LEN(A173)-LEN(SUBSTITUTE(A173,{"0","1","2","3","4","5","6","7","8","9"},""))))*100+1</f>
        <v>1001</v>
      </c>
      <c r="B174" s="87"/>
      <c r="C174" s="59" t="s">
        <v>209</v>
      </c>
      <c r="D174" s="59">
        <f>(42.76+0.7*(2.7+2.5+2.7+2.7))*10.764</f>
        <v>540.13751999999999</v>
      </c>
      <c r="E174" s="59">
        <v>0</v>
      </c>
      <c r="F174" s="59">
        <v>1000</v>
      </c>
      <c r="G174" s="87" t="str">
        <f>A173</f>
        <v>10th Floor</v>
      </c>
      <c r="H174" s="87"/>
      <c r="I174" s="33"/>
      <c r="N174" s="33"/>
    </row>
    <row r="175" spans="1:16" s="50" customFormat="1" x14ac:dyDescent="0.35">
      <c r="A175" s="87">
        <f>A174+1</f>
        <v>1002</v>
      </c>
      <c r="B175" s="87"/>
      <c r="C175" s="59" t="s">
        <v>209</v>
      </c>
      <c r="D175" s="59">
        <f>(45.32+0.7*(2.7+2.1+2.7+1.8))*10.764</f>
        <v>557.89811999999995</v>
      </c>
      <c r="E175" s="59">
        <v>0</v>
      </c>
      <c r="F175" s="59">
        <v>1035</v>
      </c>
      <c r="G175" s="87" t="str">
        <f t="shared" ref="G175:G181" si="34">G174</f>
        <v>10th Floor</v>
      </c>
      <c r="H175" s="87"/>
      <c r="I175" s="33"/>
      <c r="N175" s="33"/>
    </row>
    <row r="176" spans="1:16" s="50" customFormat="1" x14ac:dyDescent="0.35">
      <c r="A176" s="87">
        <f>A175+1</f>
        <v>1003</v>
      </c>
      <c r="B176" s="87"/>
      <c r="C176" s="59" t="s">
        <v>209</v>
      </c>
      <c r="D176" s="59">
        <f>(45.32+0.7*(2.7+2.1+2.7+1.8))*10.764</f>
        <v>557.89811999999995</v>
      </c>
      <c r="E176" s="59">
        <v>0</v>
      </c>
      <c r="F176" s="59">
        <v>1035</v>
      </c>
      <c r="G176" s="87" t="str">
        <f t="shared" si="34"/>
        <v>10th Floor</v>
      </c>
      <c r="H176" s="87"/>
      <c r="I176" s="33"/>
      <c r="N176" s="33"/>
    </row>
    <row r="177" spans="1:14" s="50" customFormat="1" x14ac:dyDescent="0.35">
      <c r="A177" s="87">
        <f t="shared" ref="A177:A181" si="35">A176+1</f>
        <v>1004</v>
      </c>
      <c r="B177" s="87"/>
      <c r="C177" s="59" t="s">
        <v>209</v>
      </c>
      <c r="D177" s="59">
        <f>(44.77+0.7*(2.7+2.1+2.9+2.4))*10.764</f>
        <v>558.00576000000001</v>
      </c>
      <c r="E177" s="59">
        <v>0</v>
      </c>
      <c r="F177" s="59">
        <v>1050</v>
      </c>
      <c r="G177" s="87" t="str">
        <f t="shared" si="34"/>
        <v>10th Floor</v>
      </c>
      <c r="H177" s="87"/>
      <c r="I177" s="33"/>
      <c r="N177" s="33"/>
    </row>
    <row r="178" spans="1:14" s="50" customFormat="1" x14ac:dyDescent="0.35">
      <c r="A178" s="87">
        <v>1005</v>
      </c>
      <c r="B178" s="87"/>
      <c r="C178" s="59" t="s">
        <v>210</v>
      </c>
      <c r="D178" s="59">
        <f>(29.54+0.7*(2.7+2+2.7))*10.764</f>
        <v>373.72607999999997</v>
      </c>
      <c r="E178" s="59">
        <v>0</v>
      </c>
      <c r="F178" s="59">
        <v>685</v>
      </c>
      <c r="G178" s="87" t="s">
        <v>213</v>
      </c>
      <c r="H178" s="87"/>
      <c r="I178" s="33"/>
      <c r="N178" s="33"/>
    </row>
    <row r="179" spans="1:14" s="50" customFormat="1" x14ac:dyDescent="0.35">
      <c r="A179" s="87">
        <f t="shared" si="35"/>
        <v>1006</v>
      </c>
      <c r="B179" s="87"/>
      <c r="C179" s="59" t="s">
        <v>210</v>
      </c>
      <c r="D179" s="59">
        <f>(29.6+0.7*(2.7+2.1+2.7))*10.764</f>
        <v>375.12540000000001</v>
      </c>
      <c r="E179" s="59">
        <v>0</v>
      </c>
      <c r="F179" s="59">
        <v>690</v>
      </c>
      <c r="G179" s="87" t="str">
        <f t="shared" si="34"/>
        <v>10th Floor</v>
      </c>
      <c r="H179" s="87"/>
      <c r="I179" s="33"/>
      <c r="N179" s="33"/>
    </row>
    <row r="180" spans="1:14" s="50" customFormat="1" x14ac:dyDescent="0.35">
      <c r="A180" s="87">
        <f t="shared" si="35"/>
        <v>1007</v>
      </c>
      <c r="B180" s="87"/>
      <c r="C180" s="59" t="s">
        <v>210</v>
      </c>
      <c r="D180" s="59">
        <f>(29.6+0.7*(2.7+2.1+2.7))*10.764</f>
        <v>375.12540000000001</v>
      </c>
      <c r="E180" s="59">
        <v>0</v>
      </c>
      <c r="F180" s="59">
        <v>690</v>
      </c>
      <c r="G180" s="87" t="str">
        <f t="shared" si="34"/>
        <v>10th Floor</v>
      </c>
      <c r="H180" s="87"/>
      <c r="I180" s="33"/>
      <c r="N180" s="33"/>
    </row>
    <row r="181" spans="1:14" s="50" customFormat="1" x14ac:dyDescent="0.35">
      <c r="A181" s="87">
        <f t="shared" si="35"/>
        <v>1008</v>
      </c>
      <c r="B181" s="87"/>
      <c r="C181" s="59" t="s">
        <v>210</v>
      </c>
      <c r="D181" s="59">
        <f>(29.54+0.7*(2.7+2+2.7))*10.764</f>
        <v>373.72607999999997</v>
      </c>
      <c r="E181" s="59">
        <v>0</v>
      </c>
      <c r="F181" s="59">
        <v>685</v>
      </c>
      <c r="G181" s="87" t="str">
        <f t="shared" si="34"/>
        <v>10th Floor</v>
      </c>
      <c r="H181" s="87"/>
      <c r="I181" s="33"/>
      <c r="N181" s="33"/>
    </row>
    <row r="182" spans="1:14" s="50" customFormat="1" x14ac:dyDescent="0.35">
      <c r="A182" s="86" t="s">
        <v>214</v>
      </c>
      <c r="B182" s="86"/>
      <c r="C182" s="86"/>
      <c r="D182" s="86"/>
      <c r="E182" s="86"/>
      <c r="F182" s="86"/>
      <c r="G182" s="86"/>
      <c r="H182" s="86"/>
      <c r="I182" s="33"/>
      <c r="L182" s="107"/>
      <c r="M182" s="107"/>
    </row>
    <row r="183" spans="1:14" s="50" customFormat="1" x14ac:dyDescent="0.35">
      <c r="A183" s="87">
        <f>LEFT(A182,SUM(LEN(A182)-LEN(SUBSTITUTE(A182,{"0","1","2","3","4","5","6","7","8","9"},""))))*100+1</f>
        <v>1101</v>
      </c>
      <c r="B183" s="87"/>
      <c r="C183" s="59" t="s">
        <v>209</v>
      </c>
      <c r="D183" s="59">
        <f>(42.76+0.7*(2.7+2.5+2.7+2.7))*10.764</f>
        <v>540.13751999999999</v>
      </c>
      <c r="E183" s="59">
        <v>0</v>
      </c>
      <c r="F183" s="59">
        <v>995</v>
      </c>
      <c r="G183" s="87" t="str">
        <f>A182</f>
        <v>11th Floor (Part Refuge Area)</v>
      </c>
      <c r="H183" s="87"/>
      <c r="I183" s="33"/>
      <c r="N183" s="33"/>
    </row>
    <row r="184" spans="1:14" s="50" customFormat="1" x14ac:dyDescent="0.35">
      <c r="A184" s="87">
        <f>A183+1</f>
        <v>1102</v>
      </c>
      <c r="B184" s="87"/>
      <c r="C184" s="59" t="s">
        <v>209</v>
      </c>
      <c r="D184" s="59">
        <f>(45.32+0.7*(2.7+2.1+2.7+1.8))*10.764</f>
        <v>557.89811999999995</v>
      </c>
      <c r="E184" s="59">
        <v>0</v>
      </c>
      <c r="F184" s="59">
        <v>1030</v>
      </c>
      <c r="G184" s="87" t="str">
        <f t="shared" ref="G184:G190" si="36">G183</f>
        <v>11th Floor (Part Refuge Area)</v>
      </c>
      <c r="H184" s="87"/>
      <c r="I184" s="33"/>
      <c r="N184" s="33"/>
    </row>
    <row r="185" spans="1:14" s="50" customFormat="1" x14ac:dyDescent="0.35">
      <c r="A185" s="87">
        <f>A184+1</f>
        <v>1103</v>
      </c>
      <c r="B185" s="87"/>
      <c r="C185" s="59" t="s">
        <v>209</v>
      </c>
      <c r="D185" s="59">
        <f>(45.32+0.7*(2.7+2.1+2.7+1.8))*10.764</f>
        <v>557.89811999999995</v>
      </c>
      <c r="E185" s="59">
        <v>0</v>
      </c>
      <c r="F185" s="59">
        <v>1030</v>
      </c>
      <c r="G185" s="87" t="str">
        <f t="shared" si="36"/>
        <v>11th Floor (Part Refuge Area)</v>
      </c>
      <c r="H185" s="87"/>
      <c r="I185" s="33"/>
      <c r="N185" s="33"/>
    </row>
    <row r="186" spans="1:14" s="50" customFormat="1" x14ac:dyDescent="0.35">
      <c r="A186" s="87">
        <f t="shared" ref="A186:A190" si="37">A185+1</f>
        <v>1104</v>
      </c>
      <c r="B186" s="87"/>
      <c r="C186" s="59" t="s">
        <v>209</v>
      </c>
      <c r="D186" s="59">
        <f>(44.77+0.7*(2.7+2.1+2.9+2.4))*10.764</f>
        <v>558.00576000000001</v>
      </c>
      <c r="E186" s="59">
        <v>0</v>
      </c>
      <c r="F186" s="59">
        <v>1050</v>
      </c>
      <c r="G186" s="87" t="str">
        <f t="shared" si="36"/>
        <v>11th Floor (Part Refuge Area)</v>
      </c>
      <c r="H186" s="87"/>
      <c r="I186" s="33"/>
      <c r="N186" s="33"/>
    </row>
    <row r="187" spans="1:14" s="51" customFormat="1" x14ac:dyDescent="0.35">
      <c r="A187" s="87">
        <f t="shared" si="37"/>
        <v>1105</v>
      </c>
      <c r="B187" s="87"/>
      <c r="C187" s="88" t="s">
        <v>226</v>
      </c>
      <c r="D187" s="145"/>
      <c r="E187" s="145"/>
      <c r="F187" s="89"/>
      <c r="G187" s="88" t="str">
        <f>G186</f>
        <v>11th Floor (Part Refuge Area)</v>
      </c>
      <c r="H187" s="89"/>
      <c r="I187" s="33"/>
      <c r="N187" s="33"/>
    </row>
    <row r="188" spans="1:14" s="50" customFormat="1" x14ac:dyDescent="0.35">
      <c r="A188" s="87">
        <v>1106</v>
      </c>
      <c r="B188" s="87"/>
      <c r="C188" s="59" t="s">
        <v>210</v>
      </c>
      <c r="D188" s="59">
        <f>(29.61+0.7*(2.7+2.1+2.7))*10.764</f>
        <v>375.23303999999996</v>
      </c>
      <c r="E188" s="59">
        <v>0</v>
      </c>
      <c r="F188" s="59">
        <v>690</v>
      </c>
      <c r="G188" s="87" t="s">
        <v>214</v>
      </c>
      <c r="H188" s="87"/>
      <c r="I188" s="33"/>
      <c r="N188" s="33"/>
    </row>
    <row r="189" spans="1:14" s="50" customFormat="1" x14ac:dyDescent="0.35">
      <c r="A189" s="87">
        <f t="shared" si="37"/>
        <v>1107</v>
      </c>
      <c r="B189" s="87"/>
      <c r="C189" s="59" t="s">
        <v>210</v>
      </c>
      <c r="D189" s="59">
        <f>(29.61+0.7*(2.7+2.1+2.7))*10.764</f>
        <v>375.23303999999996</v>
      </c>
      <c r="E189" s="59">
        <v>0</v>
      </c>
      <c r="F189" s="59">
        <v>690</v>
      </c>
      <c r="G189" s="87" t="str">
        <f t="shared" si="36"/>
        <v>11th Floor (Part Refuge Area)</v>
      </c>
      <c r="H189" s="87"/>
      <c r="I189" s="33"/>
      <c r="N189" s="33"/>
    </row>
    <row r="190" spans="1:14" s="50" customFormat="1" x14ac:dyDescent="0.35">
      <c r="A190" s="87">
        <f t="shared" si="37"/>
        <v>1108</v>
      </c>
      <c r="B190" s="87"/>
      <c r="C190" s="59" t="s">
        <v>210</v>
      </c>
      <c r="D190" s="59">
        <f>(29.54+0.7*(2.7+2.1+2.7))*10.764</f>
        <v>374.47955999999999</v>
      </c>
      <c r="E190" s="59">
        <v>0</v>
      </c>
      <c r="F190" s="59">
        <v>685</v>
      </c>
      <c r="G190" s="87" t="str">
        <f t="shared" si="36"/>
        <v>11th Floor (Part Refuge Area)</v>
      </c>
      <c r="H190" s="87"/>
      <c r="I190" s="33"/>
      <c r="N190" s="33"/>
    </row>
    <row r="191" spans="1:14" s="50" customFormat="1" x14ac:dyDescent="0.35">
      <c r="A191" s="86" t="s">
        <v>215</v>
      </c>
      <c r="B191" s="86"/>
      <c r="C191" s="86"/>
      <c r="D191" s="86"/>
      <c r="E191" s="86"/>
      <c r="F191" s="86"/>
      <c r="G191" s="86"/>
      <c r="H191" s="86"/>
      <c r="I191" s="33"/>
      <c r="L191" s="107"/>
      <c r="M191" s="107"/>
    </row>
    <row r="192" spans="1:14" s="50" customFormat="1" x14ac:dyDescent="0.35">
      <c r="A192" s="87">
        <f>LEFT(A191,SUM(LEN(A191)-LEN(SUBSTITUTE(A191,{"0","1","2","3","4","5","6","7","8","9"},""))))*100+1</f>
        <v>1201</v>
      </c>
      <c r="B192" s="87"/>
      <c r="C192" s="59" t="s">
        <v>209</v>
      </c>
      <c r="D192" s="59">
        <f>(42.76+0.7*(2.7+2.5+2.7+2.7))*10.764</f>
        <v>540.13751999999999</v>
      </c>
      <c r="E192" s="59">
        <v>0</v>
      </c>
      <c r="F192" s="59">
        <v>1000</v>
      </c>
      <c r="G192" s="87" t="str">
        <f>A191</f>
        <v>12th Floor</v>
      </c>
      <c r="H192" s="87"/>
      <c r="I192" s="33"/>
      <c r="N192" s="33"/>
    </row>
    <row r="193" spans="1:14" s="50" customFormat="1" x14ac:dyDescent="0.35">
      <c r="A193" s="87">
        <f>A192+1</f>
        <v>1202</v>
      </c>
      <c r="B193" s="87"/>
      <c r="C193" s="59" t="s">
        <v>209</v>
      </c>
      <c r="D193" s="59">
        <f>(45.32+0.7*(2.7+2.1+2.7+1.8))*10.764</f>
        <v>557.89811999999995</v>
      </c>
      <c r="E193" s="59">
        <v>0</v>
      </c>
      <c r="F193" s="59">
        <v>1035</v>
      </c>
      <c r="G193" s="87" t="str">
        <f t="shared" ref="G193:G199" si="38">G192</f>
        <v>12th Floor</v>
      </c>
      <c r="H193" s="87"/>
      <c r="I193" s="33"/>
      <c r="N193" s="33"/>
    </row>
    <row r="194" spans="1:14" s="50" customFormat="1" x14ac:dyDescent="0.35">
      <c r="A194" s="87">
        <f>A193+1</f>
        <v>1203</v>
      </c>
      <c r="B194" s="87"/>
      <c r="C194" s="59" t="s">
        <v>209</v>
      </c>
      <c r="D194" s="59">
        <f>(45.32+0.7*(2.7+2.1+2.7+1.8))*10.764</f>
        <v>557.89811999999995</v>
      </c>
      <c r="E194" s="59">
        <v>0</v>
      </c>
      <c r="F194" s="59">
        <v>1035</v>
      </c>
      <c r="G194" s="87" t="str">
        <f t="shared" si="38"/>
        <v>12th Floor</v>
      </c>
      <c r="H194" s="87"/>
      <c r="I194" s="33"/>
      <c r="N194" s="33"/>
    </row>
    <row r="195" spans="1:14" s="50" customFormat="1" x14ac:dyDescent="0.35">
      <c r="A195" s="87">
        <f t="shared" ref="A195:A199" si="39">A194+1</f>
        <v>1204</v>
      </c>
      <c r="B195" s="87"/>
      <c r="C195" s="59" t="s">
        <v>209</v>
      </c>
      <c r="D195" s="59">
        <f>(44.77+0.7*(2.7+2.1+2.9+2.4))*10.764</f>
        <v>558.00576000000001</v>
      </c>
      <c r="E195" s="59">
        <v>0</v>
      </c>
      <c r="F195" s="59">
        <v>1050</v>
      </c>
      <c r="G195" s="87" t="str">
        <f t="shared" si="38"/>
        <v>12th Floor</v>
      </c>
      <c r="H195" s="87"/>
      <c r="I195" s="33"/>
      <c r="N195" s="33"/>
    </row>
    <row r="196" spans="1:14" s="50" customFormat="1" x14ac:dyDescent="0.35">
      <c r="A196" s="87">
        <v>1205</v>
      </c>
      <c r="B196" s="87"/>
      <c r="C196" s="59" t="s">
        <v>210</v>
      </c>
      <c r="D196" s="59">
        <f>(29.54+0.7*(2.7+2.1+2.7))*10.764</f>
        <v>374.47955999999999</v>
      </c>
      <c r="E196" s="59">
        <v>0</v>
      </c>
      <c r="F196" s="59">
        <v>685</v>
      </c>
      <c r="G196" s="87" t="s">
        <v>215</v>
      </c>
      <c r="H196" s="87"/>
      <c r="I196" s="33"/>
      <c r="N196" s="33"/>
    </row>
    <row r="197" spans="1:14" s="50" customFormat="1" x14ac:dyDescent="0.35">
      <c r="A197" s="87">
        <f t="shared" si="39"/>
        <v>1206</v>
      </c>
      <c r="B197" s="87"/>
      <c r="C197" s="59" t="s">
        <v>210</v>
      </c>
      <c r="D197" s="59">
        <f>(29.6+0.7*(2.7+2.1+2.7))*10.764</f>
        <v>375.12540000000001</v>
      </c>
      <c r="E197" s="59">
        <v>0</v>
      </c>
      <c r="F197" s="59">
        <v>690</v>
      </c>
      <c r="G197" s="87" t="str">
        <f t="shared" si="38"/>
        <v>12th Floor</v>
      </c>
      <c r="H197" s="87"/>
      <c r="I197" s="33"/>
      <c r="N197" s="33"/>
    </row>
    <row r="198" spans="1:14" s="50" customFormat="1" x14ac:dyDescent="0.35">
      <c r="A198" s="87">
        <f t="shared" si="39"/>
        <v>1207</v>
      </c>
      <c r="B198" s="87"/>
      <c r="C198" s="59" t="s">
        <v>210</v>
      </c>
      <c r="D198" s="59">
        <f>(29.6+0.7*(2.7+2.1+2.7))*10.764</f>
        <v>375.12540000000001</v>
      </c>
      <c r="E198" s="59">
        <v>0</v>
      </c>
      <c r="F198" s="59">
        <v>690</v>
      </c>
      <c r="G198" s="87" t="str">
        <f t="shared" si="38"/>
        <v>12th Floor</v>
      </c>
      <c r="H198" s="87"/>
      <c r="I198" s="33"/>
      <c r="N198" s="33"/>
    </row>
    <row r="199" spans="1:14" s="50" customFormat="1" x14ac:dyDescent="0.35">
      <c r="A199" s="87">
        <f t="shared" si="39"/>
        <v>1208</v>
      </c>
      <c r="B199" s="87"/>
      <c r="C199" s="59" t="s">
        <v>210</v>
      </c>
      <c r="D199" s="59">
        <f>(29.54+0.7*(2.7+2.1+2.7))*10.764</f>
        <v>374.47955999999999</v>
      </c>
      <c r="E199" s="59">
        <v>0</v>
      </c>
      <c r="F199" s="59">
        <v>685</v>
      </c>
      <c r="G199" s="87" t="str">
        <f t="shared" si="38"/>
        <v>12th Floor</v>
      </c>
      <c r="H199" s="87"/>
      <c r="I199" s="33"/>
      <c r="N199" s="33"/>
    </row>
    <row r="200" spans="1:14" s="50" customFormat="1" x14ac:dyDescent="0.35">
      <c r="A200" s="86" t="s">
        <v>216</v>
      </c>
      <c r="B200" s="86"/>
      <c r="C200" s="86"/>
      <c r="D200" s="86"/>
      <c r="E200" s="86"/>
      <c r="F200" s="86"/>
      <c r="G200" s="86"/>
      <c r="H200" s="86"/>
      <c r="I200" s="33"/>
      <c r="L200" s="107"/>
      <c r="M200" s="107"/>
    </row>
    <row r="201" spans="1:14" s="50" customFormat="1" x14ac:dyDescent="0.35">
      <c r="A201" s="87">
        <f>LEFT(A200,SUM(LEN(A200)-LEN(SUBSTITUTE(A200,{"0","1","2","3","4","5","6","7","8","9"},""))))*100+1</f>
        <v>1301</v>
      </c>
      <c r="B201" s="87"/>
      <c r="C201" s="73" t="s">
        <v>209</v>
      </c>
      <c r="D201" s="73">
        <f>(42.76+0.7*(2.7+2.5+2.7+2.7))*10.764</f>
        <v>540.13751999999999</v>
      </c>
      <c r="E201" s="73">
        <v>0</v>
      </c>
      <c r="F201" s="73">
        <v>995</v>
      </c>
      <c r="G201" s="87" t="str">
        <f>A200</f>
        <v>13th Floor</v>
      </c>
      <c r="H201" s="87"/>
      <c r="I201" s="33"/>
      <c r="N201" s="33"/>
    </row>
    <row r="202" spans="1:14" s="50" customFormat="1" x14ac:dyDescent="0.35">
      <c r="A202" s="87">
        <f>A201+1</f>
        <v>1302</v>
      </c>
      <c r="B202" s="87"/>
      <c r="C202" s="73" t="s">
        <v>209</v>
      </c>
      <c r="D202" s="73">
        <f>(45.32+0.7*(2.7+2.1+2.7+1.8))*10.764</f>
        <v>557.89811999999995</v>
      </c>
      <c r="E202" s="73">
        <v>0</v>
      </c>
      <c r="F202" s="73">
        <v>1030</v>
      </c>
      <c r="G202" s="87" t="str">
        <f t="shared" ref="G202:G208" si="40">G201</f>
        <v>13th Floor</v>
      </c>
      <c r="H202" s="87"/>
      <c r="I202" s="33"/>
      <c r="N202" s="33"/>
    </row>
    <row r="203" spans="1:14" s="50" customFormat="1" x14ac:dyDescent="0.35">
      <c r="A203" s="87">
        <f>A202+1</f>
        <v>1303</v>
      </c>
      <c r="B203" s="87"/>
      <c r="C203" s="73" t="s">
        <v>209</v>
      </c>
      <c r="D203" s="73">
        <f>(45.32+0.7*(2.7+2.1+2.7+1.8))*10.764</f>
        <v>557.89811999999995</v>
      </c>
      <c r="E203" s="73">
        <v>0</v>
      </c>
      <c r="F203" s="73">
        <v>1030</v>
      </c>
      <c r="G203" s="87" t="str">
        <f t="shared" si="40"/>
        <v>13th Floor</v>
      </c>
      <c r="H203" s="87"/>
      <c r="I203" s="33"/>
      <c r="N203" s="33"/>
    </row>
    <row r="204" spans="1:14" s="50" customFormat="1" x14ac:dyDescent="0.35">
      <c r="A204" s="87">
        <f t="shared" ref="A204:A208" si="41">A203+1</f>
        <v>1304</v>
      </c>
      <c r="B204" s="87"/>
      <c r="C204" s="73" t="s">
        <v>209</v>
      </c>
      <c r="D204" s="73">
        <f>(44.77+0.7*(2.7+2.1+2.9+2.4))*10.764</f>
        <v>558.00576000000001</v>
      </c>
      <c r="E204" s="73">
        <v>0</v>
      </c>
      <c r="F204" s="73">
        <v>1050</v>
      </c>
      <c r="G204" s="87" t="str">
        <f t="shared" si="40"/>
        <v>13th Floor</v>
      </c>
      <c r="H204" s="87"/>
      <c r="I204" s="33"/>
      <c r="N204" s="33"/>
    </row>
    <row r="205" spans="1:14" s="50" customFormat="1" x14ac:dyDescent="0.35">
      <c r="A205" s="87">
        <v>1305</v>
      </c>
      <c r="B205" s="87"/>
      <c r="C205" s="59" t="s">
        <v>210</v>
      </c>
      <c r="D205" s="59">
        <f>(29.55+0.7*(2.7+2.1+2.7))*10.764</f>
        <v>374.58719999999994</v>
      </c>
      <c r="E205" s="59">
        <v>0</v>
      </c>
      <c r="F205" s="59">
        <v>685</v>
      </c>
      <c r="G205" s="87" t="s">
        <v>216</v>
      </c>
      <c r="H205" s="87"/>
      <c r="I205" s="33"/>
      <c r="N205" s="33"/>
    </row>
    <row r="206" spans="1:14" s="50" customFormat="1" x14ac:dyDescent="0.35">
      <c r="A206" s="87">
        <f t="shared" si="41"/>
        <v>1306</v>
      </c>
      <c r="B206" s="87"/>
      <c r="C206" s="59" t="s">
        <v>210</v>
      </c>
      <c r="D206" s="59">
        <f>(29.6+0.7*(2.7+2.1+2.7))*10.764</f>
        <v>375.12540000000001</v>
      </c>
      <c r="E206" s="59">
        <v>0</v>
      </c>
      <c r="F206" s="59">
        <v>690</v>
      </c>
      <c r="G206" s="87" t="str">
        <f t="shared" si="40"/>
        <v>13th Floor</v>
      </c>
      <c r="H206" s="87"/>
      <c r="I206" s="33"/>
      <c r="N206" s="33"/>
    </row>
    <row r="207" spans="1:14" s="50" customFormat="1" x14ac:dyDescent="0.35">
      <c r="A207" s="87">
        <f t="shared" si="41"/>
        <v>1307</v>
      </c>
      <c r="B207" s="87"/>
      <c r="C207" s="59" t="s">
        <v>210</v>
      </c>
      <c r="D207" s="59">
        <f>(29.6+0.7*(2.7+2.1+2.7))*10.764</f>
        <v>375.12540000000001</v>
      </c>
      <c r="E207" s="59">
        <v>0</v>
      </c>
      <c r="F207" s="59">
        <v>690</v>
      </c>
      <c r="G207" s="87" t="str">
        <f t="shared" si="40"/>
        <v>13th Floor</v>
      </c>
      <c r="H207" s="87"/>
      <c r="I207" s="33"/>
      <c r="N207" s="33"/>
    </row>
    <row r="208" spans="1:14" s="50" customFormat="1" x14ac:dyDescent="0.35">
      <c r="A208" s="87">
        <f t="shared" si="41"/>
        <v>1308</v>
      </c>
      <c r="B208" s="87"/>
      <c r="C208" s="59" t="s">
        <v>210</v>
      </c>
      <c r="D208" s="59">
        <f>(29.55+0.7*(2.7+2.1+2.7))*10.764</f>
        <v>374.58719999999994</v>
      </c>
      <c r="E208" s="59">
        <v>0</v>
      </c>
      <c r="F208" s="59">
        <v>685</v>
      </c>
      <c r="G208" s="87" t="str">
        <f t="shared" si="40"/>
        <v>13th Floor</v>
      </c>
      <c r="H208" s="87"/>
      <c r="I208" s="33"/>
      <c r="N208" s="33"/>
    </row>
    <row r="209" spans="1:14" s="50" customFormat="1" x14ac:dyDescent="0.35">
      <c r="A209" s="86" t="s">
        <v>217</v>
      </c>
      <c r="B209" s="86"/>
      <c r="C209" s="86"/>
      <c r="D209" s="86"/>
      <c r="E209" s="86"/>
      <c r="F209" s="86"/>
      <c r="G209" s="86"/>
      <c r="H209" s="86"/>
      <c r="I209" s="33"/>
      <c r="L209" s="107"/>
      <c r="M209" s="107"/>
    </row>
    <row r="210" spans="1:14" s="50" customFormat="1" x14ac:dyDescent="0.35">
      <c r="A210" s="87">
        <f>LEFT(A209,SUM(LEN(A209)-LEN(SUBSTITUTE(A209,{"0","1","2","3","4","5","6","7","8","9"},""))))*100+1</f>
        <v>1401</v>
      </c>
      <c r="B210" s="87"/>
      <c r="C210" s="59" t="s">
        <v>209</v>
      </c>
      <c r="D210" s="59">
        <f>(42.76+0.7*(2.7+2.5+2.7+2.7))*10.764</f>
        <v>540.13751999999999</v>
      </c>
      <c r="E210" s="59">
        <v>0</v>
      </c>
      <c r="F210" s="59">
        <v>1000</v>
      </c>
      <c r="G210" s="87" t="str">
        <f>A209</f>
        <v>14th Floor (Part Refuge Area)</v>
      </c>
      <c r="H210" s="87"/>
      <c r="I210" s="33"/>
      <c r="N210" s="33"/>
    </row>
    <row r="211" spans="1:14" s="50" customFormat="1" x14ac:dyDescent="0.35">
      <c r="A211" s="87">
        <f>A210+1</f>
        <v>1402</v>
      </c>
      <c r="B211" s="87"/>
      <c r="C211" s="59" t="s">
        <v>209</v>
      </c>
      <c r="D211" s="59">
        <f>(45.32+0.7*(2.7+2.1+2.7+1.8))*10.764</f>
        <v>557.89811999999995</v>
      </c>
      <c r="E211" s="59">
        <v>0</v>
      </c>
      <c r="F211" s="59">
        <v>1035</v>
      </c>
      <c r="G211" s="87" t="str">
        <f t="shared" ref="G211:G217" si="42">G210</f>
        <v>14th Floor (Part Refuge Area)</v>
      </c>
      <c r="H211" s="87"/>
      <c r="I211" s="33"/>
      <c r="N211" s="33"/>
    </row>
    <row r="212" spans="1:14" s="50" customFormat="1" x14ac:dyDescent="0.35">
      <c r="A212" s="87">
        <f>A211+1</f>
        <v>1403</v>
      </c>
      <c r="B212" s="87"/>
      <c r="C212" s="59" t="s">
        <v>209</v>
      </c>
      <c r="D212" s="59">
        <f>(45.32+0.7*(2.7+2.1+2.7+1.8))*10.764</f>
        <v>557.89811999999995</v>
      </c>
      <c r="E212" s="59">
        <v>0</v>
      </c>
      <c r="F212" s="59">
        <v>1035</v>
      </c>
      <c r="G212" s="87" t="str">
        <f t="shared" si="42"/>
        <v>14th Floor (Part Refuge Area)</v>
      </c>
      <c r="H212" s="87"/>
      <c r="I212" s="33"/>
      <c r="N212" s="33"/>
    </row>
    <row r="213" spans="1:14" s="50" customFormat="1" x14ac:dyDescent="0.35">
      <c r="A213" s="87">
        <f t="shared" ref="A213:A217" si="43">A212+1</f>
        <v>1404</v>
      </c>
      <c r="B213" s="87"/>
      <c r="C213" s="59" t="s">
        <v>209</v>
      </c>
      <c r="D213" s="59">
        <f>(44.77+0.7*(2.7+2.1+2.9+2.4))*10.764</f>
        <v>558.00576000000001</v>
      </c>
      <c r="E213" s="59">
        <v>0</v>
      </c>
      <c r="F213" s="59">
        <v>1050</v>
      </c>
      <c r="G213" s="87" t="str">
        <f t="shared" si="42"/>
        <v>14th Floor (Part Refuge Area)</v>
      </c>
      <c r="H213" s="87"/>
      <c r="I213" s="33"/>
      <c r="N213" s="33"/>
    </row>
    <row r="214" spans="1:14" s="51" customFormat="1" x14ac:dyDescent="0.35">
      <c r="A214" s="87">
        <f t="shared" si="43"/>
        <v>1405</v>
      </c>
      <c r="B214" s="87"/>
      <c r="C214" s="88" t="s">
        <v>226</v>
      </c>
      <c r="D214" s="145"/>
      <c r="E214" s="145"/>
      <c r="F214" s="89"/>
      <c r="G214" s="88" t="str">
        <f>G213</f>
        <v>14th Floor (Part Refuge Area)</v>
      </c>
      <c r="H214" s="89"/>
      <c r="I214" s="33"/>
      <c r="N214" s="33"/>
    </row>
    <row r="215" spans="1:14" s="50" customFormat="1" x14ac:dyDescent="0.35">
      <c r="A215" s="87">
        <v>1406</v>
      </c>
      <c r="B215" s="87"/>
      <c r="C215" s="59" t="s">
        <v>210</v>
      </c>
      <c r="D215" s="59">
        <f>(29.61+0.7*(2.7+2.1+2.7))*10.764</f>
        <v>375.23303999999996</v>
      </c>
      <c r="E215" s="59">
        <v>0</v>
      </c>
      <c r="F215" s="59">
        <v>690</v>
      </c>
      <c r="G215" s="87" t="s">
        <v>217</v>
      </c>
      <c r="H215" s="87"/>
      <c r="I215" s="33"/>
      <c r="N215" s="33"/>
    </row>
    <row r="216" spans="1:14" s="50" customFormat="1" x14ac:dyDescent="0.35">
      <c r="A216" s="87">
        <f t="shared" si="43"/>
        <v>1407</v>
      </c>
      <c r="B216" s="87"/>
      <c r="C216" s="59" t="s">
        <v>210</v>
      </c>
      <c r="D216" s="59">
        <f>(29.61+0.7*(2.7+2.1+2.7))*10.764</f>
        <v>375.23303999999996</v>
      </c>
      <c r="E216" s="59">
        <v>0</v>
      </c>
      <c r="F216" s="59">
        <v>690</v>
      </c>
      <c r="G216" s="87" t="str">
        <f t="shared" si="42"/>
        <v>14th Floor (Part Refuge Area)</v>
      </c>
      <c r="H216" s="87"/>
      <c r="I216" s="33"/>
      <c r="N216" s="33"/>
    </row>
    <row r="217" spans="1:14" s="50" customFormat="1" x14ac:dyDescent="0.35">
      <c r="A217" s="87">
        <f t="shared" si="43"/>
        <v>1408</v>
      </c>
      <c r="B217" s="87"/>
      <c r="C217" s="59" t="s">
        <v>210</v>
      </c>
      <c r="D217" s="59">
        <f>(29.61+0.7*(2.7+2.1+2.7))*10.764</f>
        <v>375.23303999999996</v>
      </c>
      <c r="E217" s="59">
        <v>0</v>
      </c>
      <c r="F217" s="59">
        <v>685</v>
      </c>
      <c r="G217" s="87" t="str">
        <f t="shared" si="42"/>
        <v>14th Floor (Part Refuge Area)</v>
      </c>
      <c r="H217" s="87"/>
      <c r="I217" s="33"/>
      <c r="N217" s="33"/>
    </row>
    <row r="218" spans="1:14" s="50" customFormat="1" x14ac:dyDescent="0.35">
      <c r="A218" s="86" t="s">
        <v>218</v>
      </c>
      <c r="B218" s="86"/>
      <c r="C218" s="86"/>
      <c r="D218" s="86"/>
      <c r="E218" s="86"/>
      <c r="F218" s="86"/>
      <c r="G218" s="86"/>
      <c r="H218" s="86"/>
      <c r="I218" s="33"/>
      <c r="L218" s="107"/>
      <c r="M218" s="107"/>
    </row>
    <row r="219" spans="1:14" s="50" customFormat="1" x14ac:dyDescent="0.35">
      <c r="A219" s="87">
        <f>LEFT(A218,SUM(LEN(A218)-LEN(SUBSTITUTE(A218,{"0","1","2","3","4","5","6","7","8","9"},""))))*100+1</f>
        <v>1501</v>
      </c>
      <c r="B219" s="87"/>
      <c r="C219" s="59" t="s">
        <v>209</v>
      </c>
      <c r="D219" s="59">
        <f>(42.76+0.7*(2.7+2.5+2.7+2.7))*10.764</f>
        <v>540.13751999999999</v>
      </c>
      <c r="E219" s="59">
        <v>0</v>
      </c>
      <c r="F219" s="59">
        <v>995</v>
      </c>
      <c r="G219" s="87" t="str">
        <f>A218</f>
        <v>15th Floor (Part Terrace Area)</v>
      </c>
      <c r="H219" s="87"/>
      <c r="I219" s="33"/>
      <c r="N219" s="33"/>
    </row>
    <row r="220" spans="1:14" s="50" customFormat="1" x14ac:dyDescent="0.35">
      <c r="A220" s="87">
        <f>A219+1</f>
        <v>1502</v>
      </c>
      <c r="B220" s="87"/>
      <c r="C220" s="59" t="s">
        <v>209</v>
      </c>
      <c r="D220" s="59">
        <f>(45.32+0.7*(2.7+2.1+2.7+1.8))*10.764</f>
        <v>557.89811999999995</v>
      </c>
      <c r="E220" s="59">
        <v>0</v>
      </c>
      <c r="F220" s="59">
        <v>1030</v>
      </c>
      <c r="G220" s="87" t="str">
        <f t="shared" ref="G220:G222" si="44">G219</f>
        <v>15th Floor (Part Terrace Area)</v>
      </c>
      <c r="H220" s="87"/>
      <c r="I220" s="33"/>
      <c r="N220" s="33"/>
    </row>
    <row r="221" spans="1:14" s="50" customFormat="1" x14ac:dyDescent="0.35">
      <c r="A221" s="87">
        <f>A220+1</f>
        <v>1503</v>
      </c>
      <c r="B221" s="87"/>
      <c r="C221" s="59" t="s">
        <v>209</v>
      </c>
      <c r="D221" s="59">
        <f>(45.32+0.7*(2.7+2.1+2.7+1.8))*10.764</f>
        <v>557.89811999999995</v>
      </c>
      <c r="E221" s="59">
        <v>0</v>
      </c>
      <c r="F221" s="59">
        <v>1030</v>
      </c>
      <c r="G221" s="87" t="str">
        <f t="shared" si="44"/>
        <v>15th Floor (Part Terrace Area)</v>
      </c>
      <c r="H221" s="87"/>
      <c r="I221" s="33"/>
      <c r="N221" s="33"/>
    </row>
    <row r="222" spans="1:14" s="50" customFormat="1" x14ac:dyDescent="0.35">
      <c r="A222" s="87">
        <f t="shared" ref="A222" si="45">A221+1</f>
        <v>1504</v>
      </c>
      <c r="B222" s="87"/>
      <c r="C222" s="59" t="s">
        <v>209</v>
      </c>
      <c r="D222" s="59">
        <f>(44.77+0.7*(2.7+2.1+2.9+2.4))*10.764</f>
        <v>558.00576000000001</v>
      </c>
      <c r="E222" s="59">
        <v>0</v>
      </c>
      <c r="F222" s="59">
        <v>1050</v>
      </c>
      <c r="G222" s="87" t="str">
        <f t="shared" si="44"/>
        <v>15th Floor (Part Terrace Area)</v>
      </c>
      <c r="H222" s="87"/>
      <c r="I222" s="33"/>
      <c r="N222" s="33"/>
    </row>
    <row r="223" spans="1:14" s="9" customFormat="1" x14ac:dyDescent="0.35">
      <c r="A223" s="92" t="s">
        <v>219</v>
      </c>
      <c r="B223" s="92"/>
      <c r="C223" s="92"/>
      <c r="D223" s="92"/>
      <c r="E223" s="92"/>
      <c r="F223" s="92"/>
      <c r="G223" s="92"/>
      <c r="H223" s="92"/>
    </row>
    <row r="224" spans="1:14" s="9" customFormat="1" x14ac:dyDescent="0.35">
      <c r="A224" s="92" t="s">
        <v>232</v>
      </c>
      <c r="B224" s="92"/>
      <c r="C224" s="92"/>
      <c r="D224" s="92"/>
      <c r="E224" s="92"/>
      <c r="F224" s="92"/>
      <c r="G224" s="92"/>
      <c r="H224" s="92"/>
    </row>
    <row r="225" spans="1:16" s="9" customFormat="1" x14ac:dyDescent="0.35">
      <c r="A225" s="92" t="s">
        <v>233</v>
      </c>
      <c r="B225" s="92"/>
      <c r="C225" s="92"/>
      <c r="D225" s="92"/>
      <c r="E225" s="92"/>
      <c r="F225" s="92"/>
      <c r="G225" s="92"/>
      <c r="H225" s="92"/>
    </row>
    <row r="226" spans="1:16" s="50" customFormat="1" ht="15.75" customHeight="1" x14ac:dyDescent="0.35">
      <c r="A226" s="142" t="s">
        <v>208</v>
      </c>
      <c r="B226" s="143"/>
      <c r="C226" s="143"/>
      <c r="D226" s="143"/>
      <c r="E226" s="143"/>
      <c r="F226" s="143"/>
      <c r="G226" s="143"/>
      <c r="H226" s="144"/>
      <c r="I226" s="33"/>
      <c r="P226" s="34"/>
    </row>
    <row r="227" spans="1:16" s="50" customFormat="1" x14ac:dyDescent="0.35">
      <c r="A227" s="88" t="str">
        <f t="shared" ref="A227:A234" ca="1" si="46">N227</f>
        <v>301,..,901</v>
      </c>
      <c r="B227" s="89"/>
      <c r="C227" s="59" t="s">
        <v>209</v>
      </c>
      <c r="D227" s="59">
        <f>(42.76+0.7*(2.7+2.5+2.7+2.7))*10.764</f>
        <v>540.13751999999999</v>
      </c>
      <c r="E227" s="59">
        <v>0</v>
      </c>
      <c r="F227" s="59">
        <v>995</v>
      </c>
      <c r="G227" s="88" t="str">
        <f>A226</f>
        <v xml:space="preserve"> 3rd, 5th, 7th, 9th Floor</v>
      </c>
      <c r="H227" s="89"/>
      <c r="I227" s="33"/>
      <c r="N227" s="50" t="str">
        <f t="shared" ref="N227:N234" ca="1" si="47">O227&amp;""&amp;",..,"&amp;""&amp;P227</f>
        <v>301,..,901</v>
      </c>
      <c r="O227" s="50">
        <v>301</v>
      </c>
      <c r="P227" s="50">
        <f ca="1">(SUMPRODUCT(MID(0&amp;(--TRIM(RIGHT(SUBSTITUTE(LEFT(A226,_xlfn.AGGREGATE(16,6,FIND({0,1,2,3,4,5,6,7,8,9},A226,ROW(INDIRECT("1:"&amp;LEN(A226)))),1))," ",REPT(" ",LEN(A226))),LEN(A226)))), LARGE(INDEX(ISNUMBER(--MID((--TRIM(RIGHT(SUBSTITUTE(LEFT(A226,_xlfn.AGGREGATE(16,6,FIND({0,1,2,3,4,5,6,7,8,9},A226,ROW(INDIRECT("1:"&amp;LEN(A226)))),1))," ",REPT(" ",LEN(A226))),LEN(A226)))), ROW(INDIRECT("1:"&amp;LEN((--TRIM(RIGHT(SUBSTITUTE(LEFT(A226,_xlfn.AGGREGATE(16,6,FIND({0,1,2,3,4,5,6,7,8,9},A226,ROW(INDIRECT("1:"&amp;LEN(A226)))),1))," ",REPT(" ",LEN(A226))),LEN(A226))))))), 1)) * ROW(INDIRECT("1:"&amp;LEN((--TRIM(RIGHT(SUBSTITUTE(LEFT(A226,_xlfn.AGGREGATE(16,6,FIND({0,1,2,3,4,5,6,7,8,9},A226,ROW(INDIRECT("1:"&amp;LEN(A226)))),1))," ",REPT(" ",LEN(A226))),LEN(A226))))))), 0), ROW(INDIRECT("1:"&amp;LEN((--TRIM(RIGHT(SUBSTITUTE(LEFT(A226,_xlfn.AGGREGATE(16,6,FIND({0,1,2,3,4,5,6,7,8,9},A226,ROW(INDIRECT("1:"&amp;LEN(A226)))),1))," ",REPT(" ",LEN(A226))),LEN(A226))))))))+1, 1) * 10^ROW(INDIRECT("1:"&amp;LEN((--TRIM(RIGHT(SUBSTITUTE(LEFT(A226,_xlfn.AGGREGATE(16,6,FIND({0,1,2,3,4,5,6,7,8,9},A226,ROW(INDIRECT("1:"&amp;LEN(A226)))),1))," ",REPT(" ",LEN(A226))),LEN(A226)))))))/10))*100+1</f>
        <v>901</v>
      </c>
    </row>
    <row r="228" spans="1:16" s="50" customFormat="1" x14ac:dyDescent="0.35">
      <c r="A228" s="88" t="str">
        <f t="shared" ca="1" si="46"/>
        <v>302,..,902</v>
      </c>
      <c r="B228" s="89"/>
      <c r="C228" s="59" t="s">
        <v>209</v>
      </c>
      <c r="D228" s="59">
        <f>(45.32+0.7*(2.7+2.1+2.7+1.8))*10.764</f>
        <v>557.89811999999995</v>
      </c>
      <c r="E228" s="59">
        <v>0</v>
      </c>
      <c r="F228" s="59">
        <v>1030</v>
      </c>
      <c r="G228" s="88" t="str">
        <f t="shared" ref="G228:G234" si="48">G227</f>
        <v xml:space="preserve"> 3rd, 5th, 7th, 9th Floor</v>
      </c>
      <c r="H228" s="89"/>
      <c r="I228" s="33"/>
      <c r="N228" s="50" t="str">
        <f t="shared" ca="1" si="47"/>
        <v>302,..,902</v>
      </c>
      <c r="O228" s="50">
        <f t="shared" ref="O228:P228" si="49">O227+1</f>
        <v>302</v>
      </c>
      <c r="P228" s="50">
        <f t="shared" ca="1" si="49"/>
        <v>902</v>
      </c>
    </row>
    <row r="229" spans="1:16" s="50" customFormat="1" x14ac:dyDescent="0.35">
      <c r="A229" s="88" t="str">
        <f t="shared" ca="1" si="46"/>
        <v>303,..,903</v>
      </c>
      <c r="B229" s="89"/>
      <c r="C229" s="59" t="s">
        <v>209</v>
      </c>
      <c r="D229" s="59">
        <f>(45.31+0.7*(2.7+2.1+2.7+1.8))*10.764</f>
        <v>557.79048</v>
      </c>
      <c r="E229" s="59">
        <v>0</v>
      </c>
      <c r="F229" s="59">
        <v>1030</v>
      </c>
      <c r="G229" s="88" t="str">
        <f t="shared" si="48"/>
        <v xml:space="preserve"> 3rd, 5th, 7th, 9th Floor</v>
      </c>
      <c r="H229" s="89"/>
      <c r="I229" s="33"/>
      <c r="N229" s="50" t="str">
        <f t="shared" ca="1" si="47"/>
        <v>303,..,903</v>
      </c>
      <c r="O229" s="50">
        <f t="shared" ref="O229:P229" si="50">O228+1</f>
        <v>303</v>
      </c>
      <c r="P229" s="50">
        <f t="shared" ca="1" si="50"/>
        <v>903</v>
      </c>
    </row>
    <row r="230" spans="1:16" s="50" customFormat="1" x14ac:dyDescent="0.35">
      <c r="A230" s="88" t="str">
        <f t="shared" ca="1" si="46"/>
        <v>304,..,904</v>
      </c>
      <c r="B230" s="89"/>
      <c r="C230" s="59" t="s">
        <v>209</v>
      </c>
      <c r="D230" s="59">
        <f>(44.77+0.7*(2.7+2.1+2.9+2.3))*10.764</f>
        <v>557.25228000000004</v>
      </c>
      <c r="E230" s="59">
        <v>0</v>
      </c>
      <c r="F230" s="59">
        <v>1050</v>
      </c>
      <c r="G230" s="88" t="str">
        <f t="shared" si="48"/>
        <v xml:space="preserve"> 3rd, 5th, 7th, 9th Floor</v>
      </c>
      <c r="H230" s="89"/>
      <c r="I230" s="33"/>
      <c r="N230" s="50" t="str">
        <f t="shared" ca="1" si="47"/>
        <v>304,..,904</v>
      </c>
      <c r="O230" s="50">
        <f t="shared" ref="O230:P230" si="51">O229+1</f>
        <v>304</v>
      </c>
      <c r="P230" s="50">
        <f t="shared" ca="1" si="51"/>
        <v>904</v>
      </c>
    </row>
    <row r="231" spans="1:16" s="50" customFormat="1" x14ac:dyDescent="0.35">
      <c r="A231" s="88" t="str">
        <f t="shared" ca="1" si="46"/>
        <v>305,..,905</v>
      </c>
      <c r="B231" s="89"/>
      <c r="C231" s="59" t="s">
        <v>210</v>
      </c>
      <c r="D231" s="59">
        <f>(29.54+0.7*(2.7+2.1+2.7))*10.764</f>
        <v>374.47955999999999</v>
      </c>
      <c r="E231" s="59">
        <v>0</v>
      </c>
      <c r="F231" s="59">
        <v>685</v>
      </c>
      <c r="G231" s="88" t="str">
        <f t="shared" si="48"/>
        <v xml:space="preserve"> 3rd, 5th, 7th, 9th Floor</v>
      </c>
      <c r="H231" s="89"/>
      <c r="I231" s="33"/>
      <c r="N231" s="50" t="str">
        <f t="shared" ca="1" si="47"/>
        <v>305,..,905</v>
      </c>
      <c r="O231" s="50">
        <f t="shared" ref="O231:P231" si="52">O230+1</f>
        <v>305</v>
      </c>
      <c r="P231" s="50">
        <f t="shared" ca="1" si="52"/>
        <v>905</v>
      </c>
    </row>
    <row r="232" spans="1:16" s="50" customFormat="1" x14ac:dyDescent="0.35">
      <c r="A232" s="88" t="str">
        <f t="shared" ca="1" si="46"/>
        <v>306,..,906</v>
      </c>
      <c r="B232" s="89"/>
      <c r="C232" s="59" t="s">
        <v>210</v>
      </c>
      <c r="D232" s="59">
        <f>(29.6+0.7*(2.7+2.1+2.7))*10.764</f>
        <v>375.12540000000001</v>
      </c>
      <c r="E232" s="59">
        <v>0</v>
      </c>
      <c r="F232" s="59">
        <v>690</v>
      </c>
      <c r="G232" s="88" t="str">
        <f t="shared" si="48"/>
        <v xml:space="preserve"> 3rd, 5th, 7th, 9th Floor</v>
      </c>
      <c r="H232" s="89"/>
      <c r="I232" s="33"/>
      <c r="N232" s="50" t="str">
        <f t="shared" ca="1" si="47"/>
        <v>306,..,906</v>
      </c>
      <c r="O232" s="50">
        <f t="shared" ref="O232:P232" si="53">O231+1</f>
        <v>306</v>
      </c>
      <c r="P232" s="50">
        <f t="shared" ca="1" si="53"/>
        <v>906</v>
      </c>
    </row>
    <row r="233" spans="1:16" s="50" customFormat="1" x14ac:dyDescent="0.35">
      <c r="A233" s="88" t="str">
        <f t="shared" ca="1" si="46"/>
        <v>307,..,907</v>
      </c>
      <c r="B233" s="89"/>
      <c r="C233" s="59" t="s">
        <v>210</v>
      </c>
      <c r="D233" s="59">
        <f>(29.6+0.7*(2.7+2.1+2.7))*10.764</f>
        <v>375.12540000000001</v>
      </c>
      <c r="E233" s="59">
        <v>0</v>
      </c>
      <c r="F233" s="59">
        <v>690</v>
      </c>
      <c r="G233" s="88" t="str">
        <f t="shared" si="48"/>
        <v xml:space="preserve"> 3rd, 5th, 7th, 9th Floor</v>
      </c>
      <c r="H233" s="89"/>
      <c r="I233" s="33"/>
      <c r="N233" s="50" t="str">
        <f t="shared" ca="1" si="47"/>
        <v>307,..,907</v>
      </c>
      <c r="O233" s="50">
        <f t="shared" ref="O233:P233" si="54">O232+1</f>
        <v>307</v>
      </c>
      <c r="P233" s="50">
        <f t="shared" ca="1" si="54"/>
        <v>907</v>
      </c>
    </row>
    <row r="234" spans="1:16" s="50" customFormat="1" x14ac:dyDescent="0.35">
      <c r="A234" s="88" t="str">
        <f t="shared" ca="1" si="46"/>
        <v>308,..,908</v>
      </c>
      <c r="B234" s="89"/>
      <c r="C234" s="59" t="s">
        <v>210</v>
      </c>
      <c r="D234" s="59">
        <f>(29.54+0.7*(2.7+2.1+2.7))*10.764</f>
        <v>374.47955999999999</v>
      </c>
      <c r="E234" s="59">
        <v>0</v>
      </c>
      <c r="F234" s="59">
        <v>685</v>
      </c>
      <c r="G234" s="88" t="str">
        <f t="shared" si="48"/>
        <v xml:space="preserve"> 3rd, 5th, 7th, 9th Floor</v>
      </c>
      <c r="H234" s="89"/>
      <c r="I234" s="33"/>
      <c r="N234" s="50" t="str">
        <f t="shared" ca="1" si="47"/>
        <v>308,..,908</v>
      </c>
      <c r="O234" s="50">
        <f t="shared" ref="O234:P234" si="55">O233+1</f>
        <v>308</v>
      </c>
      <c r="P234" s="50">
        <f t="shared" ca="1" si="55"/>
        <v>908</v>
      </c>
    </row>
    <row r="235" spans="1:16" s="50" customFormat="1" ht="15.75" customHeight="1" x14ac:dyDescent="0.35">
      <c r="A235" s="142" t="s">
        <v>211</v>
      </c>
      <c r="B235" s="143"/>
      <c r="C235" s="143"/>
      <c r="D235" s="143"/>
      <c r="E235" s="143"/>
      <c r="F235" s="143"/>
      <c r="G235" s="143"/>
      <c r="H235" s="144"/>
      <c r="I235" s="33"/>
      <c r="P235" s="34"/>
    </row>
    <row r="236" spans="1:16" s="50" customFormat="1" x14ac:dyDescent="0.35">
      <c r="A236" s="88" t="str">
        <f ca="1">N236</f>
        <v>401,..,601</v>
      </c>
      <c r="B236" s="89"/>
      <c r="C236" s="59" t="s">
        <v>209</v>
      </c>
      <c r="D236" s="59">
        <f>(42.76+0.7*(2.7+2.5+2.7+2.7))*10.764</f>
        <v>540.13751999999999</v>
      </c>
      <c r="E236" s="59">
        <v>0</v>
      </c>
      <c r="F236" s="59">
        <v>1000</v>
      </c>
      <c r="G236" s="88" t="str">
        <f>A235</f>
        <v xml:space="preserve"> 4th, 6th Floor</v>
      </c>
      <c r="H236" s="89"/>
      <c r="I236" s="33"/>
      <c r="N236" s="50" t="str">
        <f t="shared" ref="N236:N243" ca="1" si="56">O236&amp;""&amp;",..,"&amp;""&amp;P236</f>
        <v>401,..,601</v>
      </c>
      <c r="O236" s="50">
        <v>401</v>
      </c>
      <c r="P236" s="50">
        <f ca="1">(SUMPRODUCT(MID(0&amp;(--TRIM(RIGHT(SUBSTITUTE(LEFT(A235,_xlfn.AGGREGATE(16,6,FIND({0,1,2,3,4,5,6,7,8,9},A235,ROW(INDIRECT("1:"&amp;LEN(A235)))),1))," ",REPT(" ",LEN(A235))),LEN(A235)))), LARGE(INDEX(ISNUMBER(--MID((--TRIM(RIGHT(SUBSTITUTE(LEFT(A235,_xlfn.AGGREGATE(16,6,FIND({0,1,2,3,4,5,6,7,8,9},A235,ROW(INDIRECT("1:"&amp;LEN(A235)))),1))," ",REPT(" ",LEN(A235))),LEN(A235)))), ROW(INDIRECT("1:"&amp;LEN((--TRIM(RIGHT(SUBSTITUTE(LEFT(A235,_xlfn.AGGREGATE(16,6,FIND({0,1,2,3,4,5,6,7,8,9},A235,ROW(INDIRECT("1:"&amp;LEN(A235)))),1))," ",REPT(" ",LEN(A235))),LEN(A235))))))), 1)) * ROW(INDIRECT("1:"&amp;LEN((--TRIM(RIGHT(SUBSTITUTE(LEFT(A235,_xlfn.AGGREGATE(16,6,FIND({0,1,2,3,4,5,6,7,8,9},A235,ROW(INDIRECT("1:"&amp;LEN(A235)))),1))," ",REPT(" ",LEN(A235))),LEN(A235))))))), 0), ROW(INDIRECT("1:"&amp;LEN((--TRIM(RIGHT(SUBSTITUTE(LEFT(A235,_xlfn.AGGREGATE(16,6,FIND({0,1,2,3,4,5,6,7,8,9},A235,ROW(INDIRECT("1:"&amp;LEN(A235)))),1))," ",REPT(" ",LEN(A235))),LEN(A235))))))))+1, 1) * 10^ROW(INDIRECT("1:"&amp;LEN((--TRIM(RIGHT(SUBSTITUTE(LEFT(A235,_xlfn.AGGREGATE(16,6,FIND({0,1,2,3,4,5,6,7,8,9},A235,ROW(INDIRECT("1:"&amp;LEN(A235)))),1))," ",REPT(" ",LEN(A235))),LEN(A235)))))))/10))*100+1</f>
        <v>601</v>
      </c>
    </row>
    <row r="237" spans="1:16" s="50" customFormat="1" x14ac:dyDescent="0.35">
      <c r="A237" s="88" t="str">
        <f t="shared" ref="A237:A243" ca="1" si="57">N237</f>
        <v>402,..,602</v>
      </c>
      <c r="B237" s="89"/>
      <c r="C237" s="59" t="s">
        <v>209</v>
      </c>
      <c r="D237" s="59">
        <f>(45.32+0.7*(2.7+2.1+2.7+1.8))*10.764</f>
        <v>557.89811999999995</v>
      </c>
      <c r="E237" s="59">
        <v>0</v>
      </c>
      <c r="F237" s="59">
        <v>1035</v>
      </c>
      <c r="G237" s="88" t="str">
        <f t="shared" ref="G237:G243" si="58">G236</f>
        <v xml:space="preserve"> 4th, 6th Floor</v>
      </c>
      <c r="H237" s="89"/>
      <c r="I237" s="33"/>
      <c r="N237" s="50" t="str">
        <f t="shared" ca="1" si="56"/>
        <v>402,..,602</v>
      </c>
      <c r="O237" s="50">
        <f t="shared" ref="O237:P237" si="59">O236+1</f>
        <v>402</v>
      </c>
      <c r="P237" s="50">
        <f t="shared" ca="1" si="59"/>
        <v>602</v>
      </c>
    </row>
    <row r="238" spans="1:16" s="50" customFormat="1" x14ac:dyDescent="0.35">
      <c r="A238" s="88" t="str">
        <f t="shared" ca="1" si="57"/>
        <v>403,..,603</v>
      </c>
      <c r="B238" s="89"/>
      <c r="C238" s="59" t="s">
        <v>209</v>
      </c>
      <c r="D238" s="59">
        <f>(45.32+0.7*(2.7+2.1+2.7+1.8))*10.764</f>
        <v>557.89811999999995</v>
      </c>
      <c r="E238" s="59">
        <v>0</v>
      </c>
      <c r="F238" s="59">
        <v>1035</v>
      </c>
      <c r="G238" s="88" t="str">
        <f t="shared" si="58"/>
        <v xml:space="preserve"> 4th, 6th Floor</v>
      </c>
      <c r="H238" s="89"/>
      <c r="I238" s="33"/>
      <c r="N238" s="50" t="str">
        <f t="shared" ca="1" si="56"/>
        <v>403,..,603</v>
      </c>
      <c r="O238" s="50">
        <f t="shared" ref="O238:P238" si="60">O237+1</f>
        <v>403</v>
      </c>
      <c r="P238" s="50">
        <f t="shared" ca="1" si="60"/>
        <v>603</v>
      </c>
    </row>
    <row r="239" spans="1:16" s="50" customFormat="1" x14ac:dyDescent="0.35">
      <c r="A239" s="88" t="str">
        <f t="shared" ca="1" si="57"/>
        <v>404,..,604</v>
      </c>
      <c r="B239" s="89"/>
      <c r="C239" s="59" t="s">
        <v>209</v>
      </c>
      <c r="D239" s="59">
        <f>(44.77+0.7*(2.7+2.1+2.9+2.4))*10.764</f>
        <v>558.00576000000001</v>
      </c>
      <c r="E239" s="59">
        <v>0</v>
      </c>
      <c r="F239" s="59">
        <v>1050</v>
      </c>
      <c r="G239" s="88" t="str">
        <f t="shared" si="58"/>
        <v xml:space="preserve"> 4th, 6th Floor</v>
      </c>
      <c r="H239" s="89"/>
      <c r="I239" s="33"/>
      <c r="N239" s="50" t="str">
        <f t="shared" ca="1" si="56"/>
        <v>404,..,604</v>
      </c>
      <c r="O239" s="50">
        <f t="shared" ref="O239:P239" si="61">O238+1</f>
        <v>404</v>
      </c>
      <c r="P239" s="50">
        <f t="shared" ca="1" si="61"/>
        <v>604</v>
      </c>
    </row>
    <row r="240" spans="1:16" s="50" customFormat="1" x14ac:dyDescent="0.35">
      <c r="A240" s="88" t="str">
        <f t="shared" ca="1" si="57"/>
        <v>405,..,605</v>
      </c>
      <c r="B240" s="89"/>
      <c r="C240" s="59" t="s">
        <v>210</v>
      </c>
      <c r="D240" s="59">
        <f>(29.54+0.7*(2.7+2.1+2.7))*10.764</f>
        <v>374.47955999999999</v>
      </c>
      <c r="E240" s="59">
        <v>0</v>
      </c>
      <c r="F240" s="59">
        <v>685</v>
      </c>
      <c r="G240" s="88" t="str">
        <f t="shared" si="58"/>
        <v xml:space="preserve"> 4th, 6th Floor</v>
      </c>
      <c r="H240" s="89"/>
      <c r="I240" s="33"/>
      <c r="N240" s="50" t="str">
        <f t="shared" ca="1" si="56"/>
        <v>405,..,605</v>
      </c>
      <c r="O240" s="50">
        <f t="shared" ref="O240:P240" si="62">O239+1</f>
        <v>405</v>
      </c>
      <c r="P240" s="50">
        <f t="shared" ca="1" si="62"/>
        <v>605</v>
      </c>
    </row>
    <row r="241" spans="1:16" s="50" customFormat="1" x14ac:dyDescent="0.35">
      <c r="A241" s="88" t="str">
        <f t="shared" ca="1" si="57"/>
        <v>406,..,606</v>
      </c>
      <c r="B241" s="89"/>
      <c r="C241" s="59" t="s">
        <v>210</v>
      </c>
      <c r="D241" s="59">
        <f>(29.6+0.7*(2.7+2.1+2.7))*10.764</f>
        <v>375.12540000000001</v>
      </c>
      <c r="E241" s="59">
        <v>0</v>
      </c>
      <c r="F241" s="59">
        <v>690</v>
      </c>
      <c r="G241" s="88" t="str">
        <f t="shared" si="58"/>
        <v xml:space="preserve"> 4th, 6th Floor</v>
      </c>
      <c r="H241" s="89"/>
      <c r="I241" s="33"/>
      <c r="N241" s="50" t="str">
        <f t="shared" ca="1" si="56"/>
        <v>406,..,606</v>
      </c>
      <c r="O241" s="50">
        <f t="shared" ref="O241:P241" si="63">O240+1</f>
        <v>406</v>
      </c>
      <c r="P241" s="50">
        <f t="shared" ca="1" si="63"/>
        <v>606</v>
      </c>
    </row>
    <row r="242" spans="1:16" s="50" customFormat="1" x14ac:dyDescent="0.35">
      <c r="A242" s="88" t="str">
        <f t="shared" ca="1" si="57"/>
        <v>407,..,607</v>
      </c>
      <c r="B242" s="89"/>
      <c r="C242" s="59" t="s">
        <v>210</v>
      </c>
      <c r="D242" s="59">
        <f>(29.6+0.7*(2.7+2.1+2.7))*10.764</f>
        <v>375.12540000000001</v>
      </c>
      <c r="E242" s="59">
        <v>0</v>
      </c>
      <c r="F242" s="59">
        <v>690</v>
      </c>
      <c r="G242" s="88" t="str">
        <f t="shared" si="58"/>
        <v xml:space="preserve"> 4th, 6th Floor</v>
      </c>
      <c r="H242" s="89"/>
      <c r="I242" s="33"/>
      <c r="N242" s="50" t="str">
        <f t="shared" ca="1" si="56"/>
        <v>407,..,607</v>
      </c>
      <c r="O242" s="50">
        <f t="shared" ref="O242:P242" si="64">O241+1</f>
        <v>407</v>
      </c>
      <c r="P242" s="50">
        <f t="shared" ca="1" si="64"/>
        <v>607</v>
      </c>
    </row>
    <row r="243" spans="1:16" s="50" customFormat="1" x14ac:dyDescent="0.35">
      <c r="A243" s="88" t="str">
        <f t="shared" ca="1" si="57"/>
        <v>408,..,608</v>
      </c>
      <c r="B243" s="89"/>
      <c r="C243" s="59" t="s">
        <v>210</v>
      </c>
      <c r="D243" s="59">
        <f>(29.54+0.7*(2.7+2.1+2.7))*10.764</f>
        <v>374.47955999999999</v>
      </c>
      <c r="E243" s="59">
        <v>0</v>
      </c>
      <c r="F243" s="59">
        <v>685</v>
      </c>
      <c r="G243" s="88" t="str">
        <f t="shared" si="58"/>
        <v xml:space="preserve"> 4th, 6th Floor</v>
      </c>
      <c r="H243" s="89"/>
      <c r="I243" s="33"/>
      <c r="N243" s="50" t="str">
        <f t="shared" ca="1" si="56"/>
        <v>408,..,608</v>
      </c>
      <c r="O243" s="50">
        <f t="shared" ref="O243:P243" si="65">O242+1</f>
        <v>408</v>
      </c>
      <c r="P243" s="50">
        <f t="shared" ca="1" si="65"/>
        <v>608</v>
      </c>
    </row>
    <row r="244" spans="1:16" s="50" customFormat="1" x14ac:dyDescent="0.35">
      <c r="A244" s="86" t="s">
        <v>212</v>
      </c>
      <c r="B244" s="86"/>
      <c r="C244" s="86"/>
      <c r="D244" s="86"/>
      <c r="E244" s="86"/>
      <c r="F244" s="86"/>
      <c r="G244" s="86"/>
      <c r="H244" s="86"/>
      <c r="I244" s="33"/>
      <c r="L244" s="107"/>
      <c r="M244" s="107"/>
    </row>
    <row r="245" spans="1:16" s="50" customFormat="1" x14ac:dyDescent="0.35">
      <c r="A245" s="87">
        <f>LEFT(A244,SUM(LEN(A244)-LEN(SUBSTITUTE(A244,{"0","1","2","3","4","5","6","7","8","9"},""))))*100+1</f>
        <v>801</v>
      </c>
      <c r="B245" s="87"/>
      <c r="C245" s="73" t="s">
        <v>209</v>
      </c>
      <c r="D245" s="73">
        <f>(42.76+0.7*(2.7+2.5+2.7+2.7))*10.764</f>
        <v>540.13751999999999</v>
      </c>
      <c r="E245" s="73">
        <v>0</v>
      </c>
      <c r="F245" s="73">
        <v>1000</v>
      </c>
      <c r="G245" s="87" t="str">
        <f>A244</f>
        <v>8th Floor (Part Refuge Area)</v>
      </c>
      <c r="H245" s="87"/>
      <c r="I245" s="33"/>
      <c r="N245" s="33"/>
    </row>
    <row r="246" spans="1:16" s="50" customFormat="1" x14ac:dyDescent="0.35">
      <c r="A246" s="87">
        <f>A245+1</f>
        <v>802</v>
      </c>
      <c r="B246" s="87"/>
      <c r="C246" s="73" t="s">
        <v>209</v>
      </c>
      <c r="D246" s="73">
        <f>(45.32+0.7*(2.7+2.1+2.7+1.8))*10.764</f>
        <v>557.89811999999995</v>
      </c>
      <c r="E246" s="73">
        <v>0</v>
      </c>
      <c r="F246" s="73">
        <v>1035</v>
      </c>
      <c r="G246" s="87" t="str">
        <f t="shared" ref="G246:G252" si="66">G245</f>
        <v>8th Floor (Part Refuge Area)</v>
      </c>
      <c r="H246" s="87"/>
      <c r="I246" s="33"/>
      <c r="N246" s="33"/>
    </row>
    <row r="247" spans="1:16" s="50" customFormat="1" x14ac:dyDescent="0.35">
      <c r="A247" s="87">
        <f>A246+1</f>
        <v>803</v>
      </c>
      <c r="B247" s="87"/>
      <c r="C247" s="59" t="s">
        <v>209</v>
      </c>
      <c r="D247" s="59">
        <f>(45.32+0.7*(2.7+2.1+2.7+1.8))*10.764</f>
        <v>557.89811999999995</v>
      </c>
      <c r="E247" s="59">
        <v>0</v>
      </c>
      <c r="F247" s="59">
        <v>1035</v>
      </c>
      <c r="G247" s="87" t="str">
        <f t="shared" si="66"/>
        <v>8th Floor (Part Refuge Area)</v>
      </c>
      <c r="H247" s="87"/>
      <c r="I247" s="33"/>
      <c r="N247" s="33"/>
    </row>
    <row r="248" spans="1:16" s="50" customFormat="1" x14ac:dyDescent="0.35">
      <c r="A248" s="87">
        <f t="shared" ref="A248:A252" si="67">A247+1</f>
        <v>804</v>
      </c>
      <c r="B248" s="87"/>
      <c r="C248" s="59" t="s">
        <v>209</v>
      </c>
      <c r="D248" s="59">
        <f>(44.77+0.7*(2.7+2.1+2.9+2.4))*10.764</f>
        <v>558.00576000000001</v>
      </c>
      <c r="E248" s="59">
        <v>0</v>
      </c>
      <c r="F248" s="59">
        <v>1050</v>
      </c>
      <c r="G248" s="87" t="str">
        <f t="shared" si="66"/>
        <v>8th Floor (Part Refuge Area)</v>
      </c>
      <c r="H248" s="87"/>
      <c r="I248" s="33"/>
      <c r="N248" s="33"/>
    </row>
    <row r="249" spans="1:16" s="51" customFormat="1" x14ac:dyDescent="0.35">
      <c r="A249" s="87">
        <f t="shared" si="67"/>
        <v>805</v>
      </c>
      <c r="B249" s="87"/>
      <c r="C249" s="88" t="s">
        <v>226</v>
      </c>
      <c r="D249" s="145"/>
      <c r="E249" s="145"/>
      <c r="F249" s="89"/>
      <c r="G249" s="88" t="str">
        <f>G248</f>
        <v>8th Floor (Part Refuge Area)</v>
      </c>
      <c r="H249" s="89"/>
      <c r="I249" s="33"/>
      <c r="N249" s="33"/>
    </row>
    <row r="250" spans="1:16" s="50" customFormat="1" x14ac:dyDescent="0.35">
      <c r="A250" s="87">
        <v>806</v>
      </c>
      <c r="B250" s="87"/>
      <c r="C250" s="59" t="s">
        <v>210</v>
      </c>
      <c r="D250" s="59">
        <f>(29.61+0.7*(2.7+2.1+2.7))*10.764</f>
        <v>375.23303999999996</v>
      </c>
      <c r="E250" s="59">
        <v>0</v>
      </c>
      <c r="F250" s="59">
        <v>690</v>
      </c>
      <c r="G250" s="87" t="s">
        <v>212</v>
      </c>
      <c r="H250" s="87"/>
      <c r="I250" s="33"/>
      <c r="N250" s="33"/>
    </row>
    <row r="251" spans="1:16" s="50" customFormat="1" x14ac:dyDescent="0.35">
      <c r="A251" s="87">
        <f t="shared" si="67"/>
        <v>807</v>
      </c>
      <c r="B251" s="87"/>
      <c r="C251" s="59" t="s">
        <v>210</v>
      </c>
      <c r="D251" s="59">
        <f>(29.61+0.7*(2.7+2.1+2.7))*10.764</f>
        <v>375.23303999999996</v>
      </c>
      <c r="E251" s="59">
        <v>0</v>
      </c>
      <c r="F251" s="59">
        <v>690</v>
      </c>
      <c r="G251" s="87" t="str">
        <f t="shared" si="66"/>
        <v>8th Floor (Part Refuge Area)</v>
      </c>
      <c r="H251" s="87"/>
      <c r="I251" s="33"/>
      <c r="N251" s="33"/>
    </row>
    <row r="252" spans="1:16" s="50" customFormat="1" x14ac:dyDescent="0.35">
      <c r="A252" s="87">
        <f t="shared" si="67"/>
        <v>808</v>
      </c>
      <c r="B252" s="87"/>
      <c r="C252" s="59" t="s">
        <v>210</v>
      </c>
      <c r="D252" s="59">
        <f>(29.54+0.7*(2.7+2.1+2.7))*10.764</f>
        <v>374.47955999999999</v>
      </c>
      <c r="E252" s="59">
        <v>0</v>
      </c>
      <c r="F252" s="59">
        <v>685</v>
      </c>
      <c r="G252" s="87" t="str">
        <f t="shared" si="66"/>
        <v>8th Floor (Part Refuge Area)</v>
      </c>
      <c r="H252" s="87"/>
      <c r="I252" s="33"/>
      <c r="N252" s="33"/>
    </row>
    <row r="253" spans="1:16" s="50" customFormat="1" x14ac:dyDescent="0.35">
      <c r="A253" s="86" t="s">
        <v>213</v>
      </c>
      <c r="B253" s="86"/>
      <c r="C253" s="86"/>
      <c r="D253" s="86"/>
      <c r="E253" s="86"/>
      <c r="F253" s="86"/>
      <c r="G253" s="86"/>
      <c r="H253" s="86"/>
      <c r="I253" s="33"/>
      <c r="L253" s="107"/>
      <c r="M253" s="107"/>
    </row>
    <row r="254" spans="1:16" s="50" customFormat="1" x14ac:dyDescent="0.35">
      <c r="A254" s="87">
        <f>LEFT(A253,SUM(LEN(A253)-LEN(SUBSTITUTE(A253,{"0","1","2","3","4","5","6","7","8","9"},""))))*100+1</f>
        <v>1001</v>
      </c>
      <c r="B254" s="87"/>
      <c r="C254" s="59" t="s">
        <v>209</v>
      </c>
      <c r="D254" s="59">
        <f>(42.76+0.7*(2.7+2.5+2.7+2.7))*10.764</f>
        <v>540.13751999999999</v>
      </c>
      <c r="E254" s="59">
        <v>0</v>
      </c>
      <c r="F254" s="59">
        <v>1000</v>
      </c>
      <c r="G254" s="87" t="str">
        <f>A253</f>
        <v>10th Floor</v>
      </c>
      <c r="H254" s="87"/>
      <c r="I254" s="33"/>
      <c r="N254" s="33"/>
    </row>
    <row r="255" spans="1:16" s="50" customFormat="1" x14ac:dyDescent="0.35">
      <c r="A255" s="87">
        <f>A254+1</f>
        <v>1002</v>
      </c>
      <c r="B255" s="87"/>
      <c r="C255" s="59" t="s">
        <v>209</v>
      </c>
      <c r="D255" s="59">
        <f>(45.32+0.7*(2.7+2.1+2.7+1.8))*10.764</f>
        <v>557.89811999999995</v>
      </c>
      <c r="E255" s="59">
        <v>0</v>
      </c>
      <c r="F255" s="59">
        <v>1035</v>
      </c>
      <c r="G255" s="87" t="str">
        <f t="shared" ref="G255:G261" si="68">G254</f>
        <v>10th Floor</v>
      </c>
      <c r="H255" s="87"/>
      <c r="I255" s="33"/>
      <c r="N255" s="33"/>
    </row>
    <row r="256" spans="1:16" s="50" customFormat="1" x14ac:dyDescent="0.35">
      <c r="A256" s="87">
        <f>A255+1</f>
        <v>1003</v>
      </c>
      <c r="B256" s="87"/>
      <c r="C256" s="59" t="s">
        <v>209</v>
      </c>
      <c r="D256" s="59">
        <f>(45.32+0.7*(2.7+2.1+2.7+1.8))*10.764</f>
        <v>557.89811999999995</v>
      </c>
      <c r="E256" s="59">
        <v>0</v>
      </c>
      <c r="F256" s="59">
        <v>1035</v>
      </c>
      <c r="G256" s="87" t="str">
        <f t="shared" si="68"/>
        <v>10th Floor</v>
      </c>
      <c r="H256" s="87"/>
      <c r="I256" s="33"/>
      <c r="N256" s="33"/>
    </row>
    <row r="257" spans="1:14" s="50" customFormat="1" x14ac:dyDescent="0.35">
      <c r="A257" s="87">
        <f t="shared" ref="A257:A261" si="69">A256+1</f>
        <v>1004</v>
      </c>
      <c r="B257" s="87"/>
      <c r="C257" s="59" t="s">
        <v>209</v>
      </c>
      <c r="D257" s="59">
        <f>(44.77+0.7*(2.7+2.1+2.9+2.4))*10.764</f>
        <v>558.00576000000001</v>
      </c>
      <c r="E257" s="59">
        <v>0</v>
      </c>
      <c r="F257" s="59">
        <v>1050</v>
      </c>
      <c r="G257" s="87" t="str">
        <f t="shared" si="68"/>
        <v>10th Floor</v>
      </c>
      <c r="H257" s="87"/>
      <c r="I257" s="33"/>
      <c r="N257" s="33"/>
    </row>
    <row r="258" spans="1:14" s="50" customFormat="1" x14ac:dyDescent="0.35">
      <c r="A258" s="87">
        <v>1005</v>
      </c>
      <c r="B258" s="87"/>
      <c r="C258" s="59" t="s">
        <v>210</v>
      </c>
      <c r="D258" s="59">
        <f>(29.54+0.7*(2.7+2+2.7))*10.764</f>
        <v>373.72607999999997</v>
      </c>
      <c r="E258" s="59">
        <v>0</v>
      </c>
      <c r="F258" s="59">
        <v>685</v>
      </c>
      <c r="G258" s="87" t="s">
        <v>213</v>
      </c>
      <c r="H258" s="87"/>
      <c r="I258" s="33"/>
      <c r="N258" s="33"/>
    </row>
    <row r="259" spans="1:14" s="50" customFormat="1" x14ac:dyDescent="0.35">
      <c r="A259" s="87">
        <f t="shared" si="69"/>
        <v>1006</v>
      </c>
      <c r="B259" s="87"/>
      <c r="C259" s="59" t="s">
        <v>210</v>
      </c>
      <c r="D259" s="59">
        <f>(29.6+0.7*(2.7+2.1+2.7))*10.764</f>
        <v>375.12540000000001</v>
      </c>
      <c r="E259" s="59">
        <v>0</v>
      </c>
      <c r="F259" s="59">
        <v>690</v>
      </c>
      <c r="G259" s="87" t="str">
        <f t="shared" si="68"/>
        <v>10th Floor</v>
      </c>
      <c r="H259" s="87"/>
      <c r="I259" s="33"/>
      <c r="N259" s="33"/>
    </row>
    <row r="260" spans="1:14" s="50" customFormat="1" x14ac:dyDescent="0.35">
      <c r="A260" s="87">
        <f t="shared" si="69"/>
        <v>1007</v>
      </c>
      <c r="B260" s="87"/>
      <c r="C260" s="59" t="s">
        <v>210</v>
      </c>
      <c r="D260" s="59">
        <f>(29.6+0.7*(2.7+2.1+2.7))*10.764</f>
        <v>375.12540000000001</v>
      </c>
      <c r="E260" s="59">
        <v>0</v>
      </c>
      <c r="F260" s="59">
        <v>690</v>
      </c>
      <c r="G260" s="87" t="str">
        <f t="shared" si="68"/>
        <v>10th Floor</v>
      </c>
      <c r="H260" s="87"/>
      <c r="I260" s="33"/>
      <c r="N260" s="33"/>
    </row>
    <row r="261" spans="1:14" s="50" customFormat="1" x14ac:dyDescent="0.35">
      <c r="A261" s="87">
        <f t="shared" si="69"/>
        <v>1008</v>
      </c>
      <c r="B261" s="87"/>
      <c r="C261" s="59" t="s">
        <v>210</v>
      </c>
      <c r="D261" s="59">
        <f>(29.54+0.7*(2.7+2+2.7))*10.764</f>
        <v>373.72607999999997</v>
      </c>
      <c r="E261" s="59">
        <v>0</v>
      </c>
      <c r="F261" s="59">
        <v>685</v>
      </c>
      <c r="G261" s="87" t="str">
        <f t="shared" si="68"/>
        <v>10th Floor</v>
      </c>
      <c r="H261" s="87"/>
      <c r="I261" s="33"/>
      <c r="N261" s="33"/>
    </row>
    <row r="262" spans="1:14" s="50" customFormat="1" x14ac:dyDescent="0.35">
      <c r="A262" s="86" t="s">
        <v>214</v>
      </c>
      <c r="B262" s="86"/>
      <c r="C262" s="86"/>
      <c r="D262" s="86"/>
      <c r="E262" s="86"/>
      <c r="F262" s="86"/>
      <c r="G262" s="86"/>
      <c r="H262" s="86"/>
      <c r="I262" s="33"/>
      <c r="L262" s="107"/>
      <c r="M262" s="107"/>
    </row>
    <row r="263" spans="1:14" s="50" customFormat="1" x14ac:dyDescent="0.35">
      <c r="A263" s="87">
        <f>LEFT(A262,SUM(LEN(A262)-LEN(SUBSTITUTE(A262,{"0","1","2","3","4","5","6","7","8","9"},""))))*100+1</f>
        <v>1101</v>
      </c>
      <c r="B263" s="87"/>
      <c r="C263" s="59" t="s">
        <v>209</v>
      </c>
      <c r="D263" s="59">
        <f>(42.76+0.7*(2.7+2.5+2.7+2.7))*10.764</f>
        <v>540.13751999999999</v>
      </c>
      <c r="E263" s="59">
        <v>0</v>
      </c>
      <c r="F263" s="59">
        <v>995</v>
      </c>
      <c r="G263" s="87" t="str">
        <f>A262</f>
        <v>11th Floor (Part Refuge Area)</v>
      </c>
      <c r="H263" s="87"/>
      <c r="I263" s="33"/>
      <c r="N263" s="33"/>
    </row>
    <row r="264" spans="1:14" s="50" customFormat="1" x14ac:dyDescent="0.35">
      <c r="A264" s="87">
        <f>A263+1</f>
        <v>1102</v>
      </c>
      <c r="B264" s="87"/>
      <c r="C264" s="59" t="s">
        <v>209</v>
      </c>
      <c r="D264" s="59">
        <f>(45.32+0.7*(2.7+2.1+2.7+1.8))*10.764</f>
        <v>557.89811999999995</v>
      </c>
      <c r="E264" s="59">
        <v>0</v>
      </c>
      <c r="F264" s="59">
        <v>1030</v>
      </c>
      <c r="G264" s="87" t="str">
        <f t="shared" ref="G264:G270" si="70">G263</f>
        <v>11th Floor (Part Refuge Area)</v>
      </c>
      <c r="H264" s="87"/>
      <c r="I264" s="33"/>
      <c r="N264" s="33"/>
    </row>
    <row r="265" spans="1:14" s="50" customFormat="1" x14ac:dyDescent="0.35">
      <c r="A265" s="87">
        <f>A264+1</f>
        <v>1103</v>
      </c>
      <c r="B265" s="87"/>
      <c r="C265" s="59" t="s">
        <v>209</v>
      </c>
      <c r="D265" s="59">
        <f>(45.32+0.7*(2.7+2.1+2.7+1.8))*10.764</f>
        <v>557.89811999999995</v>
      </c>
      <c r="E265" s="59">
        <v>0</v>
      </c>
      <c r="F265" s="59">
        <v>1030</v>
      </c>
      <c r="G265" s="87" t="str">
        <f t="shared" si="70"/>
        <v>11th Floor (Part Refuge Area)</v>
      </c>
      <c r="H265" s="87"/>
      <c r="I265" s="33"/>
      <c r="N265" s="33"/>
    </row>
    <row r="266" spans="1:14" s="50" customFormat="1" x14ac:dyDescent="0.35">
      <c r="A266" s="87">
        <f t="shared" ref="A266:A270" si="71">A265+1</f>
        <v>1104</v>
      </c>
      <c r="B266" s="87"/>
      <c r="C266" s="59" t="s">
        <v>209</v>
      </c>
      <c r="D266" s="59">
        <f>(44.77+0.7*(2.7+2.1+2.9+2.4))*10.764</f>
        <v>558.00576000000001</v>
      </c>
      <c r="E266" s="59">
        <v>0</v>
      </c>
      <c r="F266" s="59">
        <v>1050</v>
      </c>
      <c r="G266" s="87" t="str">
        <f t="shared" si="70"/>
        <v>11th Floor (Part Refuge Area)</v>
      </c>
      <c r="H266" s="87"/>
      <c r="I266" s="33"/>
      <c r="N266" s="33"/>
    </row>
    <row r="267" spans="1:14" s="51" customFormat="1" x14ac:dyDescent="0.35">
      <c r="A267" s="87">
        <f t="shared" si="71"/>
        <v>1105</v>
      </c>
      <c r="B267" s="87"/>
      <c r="C267" s="88" t="s">
        <v>226</v>
      </c>
      <c r="D267" s="145"/>
      <c r="E267" s="145"/>
      <c r="F267" s="89"/>
      <c r="G267" s="88" t="str">
        <f>G266</f>
        <v>11th Floor (Part Refuge Area)</v>
      </c>
      <c r="H267" s="89"/>
      <c r="I267" s="33"/>
      <c r="N267" s="33"/>
    </row>
    <row r="268" spans="1:14" s="50" customFormat="1" x14ac:dyDescent="0.35">
      <c r="A268" s="87">
        <v>1106</v>
      </c>
      <c r="B268" s="87"/>
      <c r="C268" s="59" t="s">
        <v>210</v>
      </c>
      <c r="D268" s="59">
        <f>(29.61+0.7*(2.7+2.1+2.7))*10.764</f>
        <v>375.23303999999996</v>
      </c>
      <c r="E268" s="59">
        <v>0</v>
      </c>
      <c r="F268" s="59">
        <v>690</v>
      </c>
      <c r="G268" s="87" t="s">
        <v>214</v>
      </c>
      <c r="H268" s="87"/>
      <c r="I268" s="33"/>
      <c r="N268" s="33"/>
    </row>
    <row r="269" spans="1:14" s="50" customFormat="1" x14ac:dyDescent="0.35">
      <c r="A269" s="87">
        <f t="shared" si="71"/>
        <v>1107</v>
      </c>
      <c r="B269" s="87"/>
      <c r="C269" s="59" t="s">
        <v>210</v>
      </c>
      <c r="D269" s="59">
        <f>(29.61+0.7*(2.7+2.1+2.7))*10.764</f>
        <v>375.23303999999996</v>
      </c>
      <c r="E269" s="59">
        <v>0</v>
      </c>
      <c r="F269" s="59">
        <v>690</v>
      </c>
      <c r="G269" s="87" t="str">
        <f t="shared" si="70"/>
        <v>11th Floor (Part Refuge Area)</v>
      </c>
      <c r="H269" s="87"/>
      <c r="I269" s="33"/>
      <c r="N269" s="33"/>
    </row>
    <row r="270" spans="1:14" s="50" customFormat="1" x14ac:dyDescent="0.35">
      <c r="A270" s="87">
        <f t="shared" si="71"/>
        <v>1108</v>
      </c>
      <c r="B270" s="87"/>
      <c r="C270" s="59" t="s">
        <v>210</v>
      </c>
      <c r="D270" s="59">
        <f>(29.54+0.7*(2.7+2.1+2.7))*10.764</f>
        <v>374.47955999999999</v>
      </c>
      <c r="E270" s="59">
        <v>0</v>
      </c>
      <c r="F270" s="59">
        <v>685</v>
      </c>
      <c r="G270" s="87" t="str">
        <f t="shared" si="70"/>
        <v>11th Floor (Part Refuge Area)</v>
      </c>
      <c r="H270" s="87"/>
      <c r="I270" s="33"/>
      <c r="N270" s="33"/>
    </row>
    <row r="271" spans="1:14" s="50" customFormat="1" x14ac:dyDescent="0.35">
      <c r="A271" s="86" t="s">
        <v>215</v>
      </c>
      <c r="B271" s="86"/>
      <c r="C271" s="86"/>
      <c r="D271" s="86"/>
      <c r="E271" s="86"/>
      <c r="F271" s="86"/>
      <c r="G271" s="86"/>
      <c r="H271" s="86"/>
      <c r="I271" s="33"/>
      <c r="L271" s="107"/>
      <c r="M271" s="107"/>
    </row>
    <row r="272" spans="1:14" s="50" customFormat="1" x14ac:dyDescent="0.35">
      <c r="A272" s="87">
        <f>LEFT(A271,SUM(LEN(A271)-LEN(SUBSTITUTE(A271,{"0","1","2","3","4","5","6","7","8","9"},""))))*100+1</f>
        <v>1201</v>
      </c>
      <c r="B272" s="87"/>
      <c r="C272" s="59" t="s">
        <v>209</v>
      </c>
      <c r="D272" s="59">
        <f>(42.76+0.7*(2.7+2.5+2.7+2.7))*10.764</f>
        <v>540.13751999999999</v>
      </c>
      <c r="E272" s="59">
        <v>0</v>
      </c>
      <c r="F272" s="59">
        <v>1000</v>
      </c>
      <c r="G272" s="87" t="str">
        <f>A271</f>
        <v>12th Floor</v>
      </c>
      <c r="H272" s="87"/>
      <c r="I272" s="33"/>
      <c r="N272" s="33"/>
    </row>
    <row r="273" spans="1:14" s="50" customFormat="1" x14ac:dyDescent="0.35">
      <c r="A273" s="87">
        <f>A272+1</f>
        <v>1202</v>
      </c>
      <c r="B273" s="87"/>
      <c r="C273" s="59" t="s">
        <v>209</v>
      </c>
      <c r="D273" s="59">
        <f>(45.32+0.7*(2.7+2.1+2.7+1.8))*10.764</f>
        <v>557.89811999999995</v>
      </c>
      <c r="E273" s="59">
        <v>0</v>
      </c>
      <c r="F273" s="59">
        <v>1035</v>
      </c>
      <c r="G273" s="87" t="str">
        <f t="shared" ref="G273:G279" si="72">G272</f>
        <v>12th Floor</v>
      </c>
      <c r="H273" s="87"/>
      <c r="I273" s="33"/>
      <c r="N273" s="33"/>
    </row>
    <row r="274" spans="1:14" s="50" customFormat="1" x14ac:dyDescent="0.35">
      <c r="A274" s="87">
        <f>A273+1</f>
        <v>1203</v>
      </c>
      <c r="B274" s="87"/>
      <c r="C274" s="59" t="s">
        <v>209</v>
      </c>
      <c r="D274" s="59">
        <f>(45.32+0.7*(2.7+2.1+2.7+1.8))*10.764</f>
        <v>557.89811999999995</v>
      </c>
      <c r="E274" s="59">
        <v>0</v>
      </c>
      <c r="F274" s="59">
        <v>1035</v>
      </c>
      <c r="G274" s="87" t="str">
        <f t="shared" si="72"/>
        <v>12th Floor</v>
      </c>
      <c r="H274" s="87"/>
      <c r="I274" s="33"/>
      <c r="N274" s="33"/>
    </row>
    <row r="275" spans="1:14" s="50" customFormat="1" x14ac:dyDescent="0.35">
      <c r="A275" s="87">
        <f t="shared" ref="A275:A279" si="73">A274+1</f>
        <v>1204</v>
      </c>
      <c r="B275" s="87"/>
      <c r="C275" s="59" t="s">
        <v>209</v>
      </c>
      <c r="D275" s="59">
        <f>(44.77+0.7*(2.7+2.1+2.9+2.4))*10.764</f>
        <v>558.00576000000001</v>
      </c>
      <c r="E275" s="59">
        <v>0</v>
      </c>
      <c r="F275" s="59">
        <v>1050</v>
      </c>
      <c r="G275" s="87" t="str">
        <f t="shared" si="72"/>
        <v>12th Floor</v>
      </c>
      <c r="H275" s="87"/>
      <c r="I275" s="33"/>
      <c r="N275" s="33"/>
    </row>
    <row r="276" spans="1:14" s="50" customFormat="1" x14ac:dyDescent="0.35">
      <c r="A276" s="87">
        <v>1205</v>
      </c>
      <c r="B276" s="87"/>
      <c r="C276" s="59" t="s">
        <v>210</v>
      </c>
      <c r="D276" s="59">
        <f>(29.54+0.7*(2.7+2.1+2.7))*10.764</f>
        <v>374.47955999999999</v>
      </c>
      <c r="E276" s="59">
        <v>0</v>
      </c>
      <c r="F276" s="59">
        <v>685</v>
      </c>
      <c r="G276" s="87" t="s">
        <v>215</v>
      </c>
      <c r="H276" s="87"/>
      <c r="I276" s="33"/>
      <c r="N276" s="33"/>
    </row>
    <row r="277" spans="1:14" s="50" customFormat="1" x14ac:dyDescent="0.35">
      <c r="A277" s="87">
        <f t="shared" si="73"/>
        <v>1206</v>
      </c>
      <c r="B277" s="87"/>
      <c r="C277" s="59" t="s">
        <v>210</v>
      </c>
      <c r="D277" s="59">
        <f>(29.6+0.7*(2.7+2.1+2.7))*10.764</f>
        <v>375.12540000000001</v>
      </c>
      <c r="E277" s="59">
        <v>0</v>
      </c>
      <c r="F277" s="59">
        <v>690</v>
      </c>
      <c r="G277" s="87" t="str">
        <f t="shared" si="72"/>
        <v>12th Floor</v>
      </c>
      <c r="H277" s="87"/>
      <c r="I277" s="33"/>
      <c r="N277" s="33"/>
    </row>
    <row r="278" spans="1:14" s="50" customFormat="1" x14ac:dyDescent="0.35">
      <c r="A278" s="87">
        <f t="shared" si="73"/>
        <v>1207</v>
      </c>
      <c r="B278" s="87"/>
      <c r="C278" s="59" t="s">
        <v>210</v>
      </c>
      <c r="D278" s="59">
        <f>(29.6+0.7*(2.7+2.1+2.7))*10.764</f>
        <v>375.12540000000001</v>
      </c>
      <c r="E278" s="59">
        <v>0</v>
      </c>
      <c r="F278" s="59">
        <v>690</v>
      </c>
      <c r="G278" s="87" t="str">
        <f t="shared" si="72"/>
        <v>12th Floor</v>
      </c>
      <c r="H278" s="87"/>
      <c r="I278" s="33"/>
      <c r="N278" s="33"/>
    </row>
    <row r="279" spans="1:14" s="50" customFormat="1" x14ac:dyDescent="0.35">
      <c r="A279" s="87">
        <f t="shared" si="73"/>
        <v>1208</v>
      </c>
      <c r="B279" s="87"/>
      <c r="C279" s="59" t="s">
        <v>210</v>
      </c>
      <c r="D279" s="59">
        <f>(29.54+0.7*(2.7+2.1+2.7))*10.764</f>
        <v>374.47955999999999</v>
      </c>
      <c r="E279" s="59">
        <v>0</v>
      </c>
      <c r="F279" s="59">
        <v>685</v>
      </c>
      <c r="G279" s="87" t="str">
        <f t="shared" si="72"/>
        <v>12th Floor</v>
      </c>
      <c r="H279" s="87"/>
      <c r="I279" s="33"/>
      <c r="N279" s="33"/>
    </row>
    <row r="280" spans="1:14" s="50" customFormat="1" x14ac:dyDescent="0.35">
      <c r="A280" s="86" t="s">
        <v>216</v>
      </c>
      <c r="B280" s="86"/>
      <c r="C280" s="86"/>
      <c r="D280" s="86"/>
      <c r="E280" s="86"/>
      <c r="F280" s="86"/>
      <c r="G280" s="86"/>
      <c r="H280" s="86"/>
      <c r="I280" s="33"/>
      <c r="L280" s="107"/>
      <c r="M280" s="107"/>
    </row>
    <row r="281" spans="1:14" s="50" customFormat="1" x14ac:dyDescent="0.35">
      <c r="A281" s="87">
        <f>LEFT(A280,SUM(LEN(A280)-LEN(SUBSTITUTE(A280,{"0","1","2","3","4","5","6","7","8","9"},""))))*100+1</f>
        <v>1301</v>
      </c>
      <c r="B281" s="87"/>
      <c r="C281" s="73" t="s">
        <v>209</v>
      </c>
      <c r="D281" s="73">
        <f>(42.76+0.7*(2.7+2.5+2.7+2.7))*10.764</f>
        <v>540.13751999999999</v>
      </c>
      <c r="E281" s="73">
        <v>0</v>
      </c>
      <c r="F281" s="73">
        <v>995</v>
      </c>
      <c r="G281" s="87" t="str">
        <f>A280</f>
        <v>13th Floor</v>
      </c>
      <c r="H281" s="87"/>
      <c r="I281" s="33"/>
      <c r="N281" s="33"/>
    </row>
    <row r="282" spans="1:14" s="50" customFormat="1" x14ac:dyDescent="0.35">
      <c r="A282" s="87">
        <f>A281+1</f>
        <v>1302</v>
      </c>
      <c r="B282" s="87"/>
      <c r="C282" s="73" t="s">
        <v>209</v>
      </c>
      <c r="D282" s="73">
        <f>(45.32+0.7*(2.7+2.1+2.7+1.8))*10.764</f>
        <v>557.89811999999995</v>
      </c>
      <c r="E282" s="73">
        <v>0</v>
      </c>
      <c r="F282" s="73">
        <v>1030</v>
      </c>
      <c r="G282" s="87" t="str">
        <f t="shared" ref="G282:G288" si="74">G281</f>
        <v>13th Floor</v>
      </c>
      <c r="H282" s="87"/>
      <c r="I282" s="33"/>
      <c r="N282" s="33"/>
    </row>
    <row r="283" spans="1:14" s="50" customFormat="1" x14ac:dyDescent="0.35">
      <c r="A283" s="87">
        <f>A282+1</f>
        <v>1303</v>
      </c>
      <c r="B283" s="87"/>
      <c r="C283" s="73" t="s">
        <v>209</v>
      </c>
      <c r="D283" s="73">
        <f>(45.32+0.7*(2.7+2.1+2.7+1.8))*10.764</f>
        <v>557.89811999999995</v>
      </c>
      <c r="E283" s="73">
        <v>0</v>
      </c>
      <c r="F283" s="73">
        <v>1030</v>
      </c>
      <c r="G283" s="87" t="str">
        <f t="shared" si="74"/>
        <v>13th Floor</v>
      </c>
      <c r="H283" s="87"/>
      <c r="I283" s="33"/>
      <c r="N283" s="33"/>
    </row>
    <row r="284" spans="1:14" s="50" customFormat="1" x14ac:dyDescent="0.35">
      <c r="A284" s="87">
        <f t="shared" ref="A284:A288" si="75">A283+1</f>
        <v>1304</v>
      </c>
      <c r="B284" s="87"/>
      <c r="C284" s="73" t="s">
        <v>209</v>
      </c>
      <c r="D284" s="73">
        <f>(44.77+0.7*(2.7+2.1+2.9+2.4))*10.764</f>
        <v>558.00576000000001</v>
      </c>
      <c r="E284" s="73">
        <v>0</v>
      </c>
      <c r="F284" s="73">
        <v>1050</v>
      </c>
      <c r="G284" s="87" t="str">
        <f t="shared" si="74"/>
        <v>13th Floor</v>
      </c>
      <c r="H284" s="87"/>
      <c r="I284" s="33"/>
      <c r="N284" s="33"/>
    </row>
    <row r="285" spans="1:14" s="50" customFormat="1" x14ac:dyDescent="0.35">
      <c r="A285" s="87">
        <v>1305</v>
      </c>
      <c r="B285" s="87"/>
      <c r="C285" s="73" t="s">
        <v>210</v>
      </c>
      <c r="D285" s="73">
        <f>(29.55+0.7*(2.7+2.1+2.7))*10.764</f>
        <v>374.58719999999994</v>
      </c>
      <c r="E285" s="73">
        <v>0</v>
      </c>
      <c r="F285" s="73">
        <v>685</v>
      </c>
      <c r="G285" s="87" t="s">
        <v>216</v>
      </c>
      <c r="H285" s="87"/>
      <c r="I285" s="33"/>
      <c r="N285" s="33"/>
    </row>
    <row r="286" spans="1:14" s="50" customFormat="1" x14ac:dyDescent="0.35">
      <c r="A286" s="87">
        <f t="shared" si="75"/>
        <v>1306</v>
      </c>
      <c r="B286" s="87"/>
      <c r="C286" s="73" t="s">
        <v>210</v>
      </c>
      <c r="D286" s="73">
        <f>(29.6+0.7*(2.7+2.1+2.7))*10.764</f>
        <v>375.12540000000001</v>
      </c>
      <c r="E286" s="73">
        <v>0</v>
      </c>
      <c r="F286" s="73">
        <v>690</v>
      </c>
      <c r="G286" s="87" t="str">
        <f t="shared" si="74"/>
        <v>13th Floor</v>
      </c>
      <c r="H286" s="87"/>
      <c r="I286" s="33"/>
      <c r="N286" s="33"/>
    </row>
    <row r="287" spans="1:14" s="50" customFormat="1" x14ac:dyDescent="0.35">
      <c r="A287" s="87">
        <f t="shared" si="75"/>
        <v>1307</v>
      </c>
      <c r="B287" s="87"/>
      <c r="C287" s="73" t="s">
        <v>210</v>
      </c>
      <c r="D287" s="73">
        <f>(29.6+0.7*(2.7+2.1+2.7))*10.764</f>
        <v>375.12540000000001</v>
      </c>
      <c r="E287" s="73">
        <v>0</v>
      </c>
      <c r="F287" s="73">
        <v>690</v>
      </c>
      <c r="G287" s="87" t="str">
        <f t="shared" si="74"/>
        <v>13th Floor</v>
      </c>
      <c r="H287" s="87"/>
      <c r="I287" s="33"/>
      <c r="N287" s="33"/>
    </row>
    <row r="288" spans="1:14" s="50" customFormat="1" x14ac:dyDescent="0.35">
      <c r="A288" s="87">
        <f t="shared" si="75"/>
        <v>1308</v>
      </c>
      <c r="B288" s="87"/>
      <c r="C288" s="73" t="s">
        <v>210</v>
      </c>
      <c r="D288" s="73">
        <f>(29.55+0.7*(2.7+2.1+2.7))*10.764</f>
        <v>374.58719999999994</v>
      </c>
      <c r="E288" s="73">
        <v>0</v>
      </c>
      <c r="F288" s="73">
        <v>685</v>
      </c>
      <c r="G288" s="87" t="str">
        <f t="shared" si="74"/>
        <v>13th Floor</v>
      </c>
      <c r="H288" s="87"/>
      <c r="I288" s="33"/>
      <c r="N288" s="33"/>
    </row>
    <row r="289" spans="1:14" s="50" customFormat="1" x14ac:dyDescent="0.35">
      <c r="A289" s="86" t="s">
        <v>217</v>
      </c>
      <c r="B289" s="86"/>
      <c r="C289" s="86"/>
      <c r="D289" s="86"/>
      <c r="E289" s="86"/>
      <c r="F289" s="86"/>
      <c r="G289" s="86"/>
      <c r="H289" s="86"/>
      <c r="I289" s="33"/>
      <c r="L289" s="107"/>
      <c r="M289" s="107"/>
    </row>
    <row r="290" spans="1:14" s="50" customFormat="1" x14ac:dyDescent="0.35">
      <c r="A290" s="87">
        <f>LEFT(A289,SUM(LEN(A289)-LEN(SUBSTITUTE(A289,{"0","1","2","3","4","5","6","7","8","9"},""))))*100+1</f>
        <v>1401</v>
      </c>
      <c r="B290" s="87"/>
      <c r="C290" s="59" t="s">
        <v>209</v>
      </c>
      <c r="D290" s="59">
        <f>(42.76+0.7*(2.7+2.5+2.7+2.7))*10.764</f>
        <v>540.13751999999999</v>
      </c>
      <c r="E290" s="59">
        <v>0</v>
      </c>
      <c r="F290" s="59">
        <v>1000</v>
      </c>
      <c r="G290" s="87" t="str">
        <f>A289</f>
        <v>14th Floor (Part Refuge Area)</v>
      </c>
      <c r="H290" s="87"/>
      <c r="I290" s="33"/>
      <c r="N290" s="33"/>
    </row>
    <row r="291" spans="1:14" s="50" customFormat="1" x14ac:dyDescent="0.35">
      <c r="A291" s="87">
        <f>A290+1</f>
        <v>1402</v>
      </c>
      <c r="B291" s="87"/>
      <c r="C291" s="59" t="s">
        <v>209</v>
      </c>
      <c r="D291" s="59">
        <f>(45.32+0.7*(2.7+2.1+2.7+1.8))*10.764</f>
        <v>557.89811999999995</v>
      </c>
      <c r="E291" s="59">
        <v>0</v>
      </c>
      <c r="F291" s="59">
        <v>1035</v>
      </c>
      <c r="G291" s="87" t="str">
        <f t="shared" ref="G291:G297" si="76">G290</f>
        <v>14th Floor (Part Refuge Area)</v>
      </c>
      <c r="H291" s="87"/>
      <c r="I291" s="33"/>
      <c r="N291" s="33"/>
    </row>
    <row r="292" spans="1:14" s="50" customFormat="1" x14ac:dyDescent="0.35">
      <c r="A292" s="87">
        <f>A291+1</f>
        <v>1403</v>
      </c>
      <c r="B292" s="87"/>
      <c r="C292" s="59" t="s">
        <v>209</v>
      </c>
      <c r="D292" s="59">
        <f>(45.32+0.7*(2.7+2.1+2.7+1.8))*10.764</f>
        <v>557.89811999999995</v>
      </c>
      <c r="E292" s="59">
        <v>0</v>
      </c>
      <c r="F292" s="59">
        <v>1035</v>
      </c>
      <c r="G292" s="87" t="str">
        <f t="shared" si="76"/>
        <v>14th Floor (Part Refuge Area)</v>
      </c>
      <c r="H292" s="87"/>
      <c r="I292" s="33"/>
      <c r="N292" s="33"/>
    </row>
    <row r="293" spans="1:14" s="50" customFormat="1" x14ac:dyDescent="0.35">
      <c r="A293" s="87">
        <f t="shared" ref="A293:A297" si="77">A292+1</f>
        <v>1404</v>
      </c>
      <c r="B293" s="87"/>
      <c r="C293" s="59" t="s">
        <v>209</v>
      </c>
      <c r="D293" s="59">
        <f>(44.77+0.7*(2.7+2.1+2.9+2.4))*10.764</f>
        <v>558.00576000000001</v>
      </c>
      <c r="E293" s="59">
        <v>0</v>
      </c>
      <c r="F293" s="59">
        <v>1050</v>
      </c>
      <c r="G293" s="87" t="str">
        <f t="shared" si="76"/>
        <v>14th Floor (Part Refuge Area)</v>
      </c>
      <c r="H293" s="87"/>
      <c r="I293" s="33"/>
      <c r="N293" s="33"/>
    </row>
    <row r="294" spans="1:14" s="51" customFormat="1" x14ac:dyDescent="0.35">
      <c r="A294" s="87">
        <f t="shared" si="77"/>
        <v>1405</v>
      </c>
      <c r="B294" s="87"/>
      <c r="C294" s="88" t="s">
        <v>226</v>
      </c>
      <c r="D294" s="145"/>
      <c r="E294" s="145"/>
      <c r="F294" s="89"/>
      <c r="G294" s="88" t="str">
        <f>G293</f>
        <v>14th Floor (Part Refuge Area)</v>
      </c>
      <c r="H294" s="89"/>
      <c r="I294" s="33"/>
      <c r="N294" s="33"/>
    </row>
    <row r="295" spans="1:14" s="50" customFormat="1" x14ac:dyDescent="0.35">
      <c r="A295" s="87">
        <v>1406</v>
      </c>
      <c r="B295" s="87"/>
      <c r="C295" s="59" t="s">
        <v>210</v>
      </c>
      <c r="D295" s="59">
        <f>(29.61+0.7*(2.7+2.1+2.7))*10.764</f>
        <v>375.23303999999996</v>
      </c>
      <c r="E295" s="59">
        <v>0</v>
      </c>
      <c r="F295" s="59">
        <v>690</v>
      </c>
      <c r="G295" s="87" t="s">
        <v>217</v>
      </c>
      <c r="H295" s="87"/>
      <c r="I295" s="33"/>
      <c r="N295" s="33"/>
    </row>
    <row r="296" spans="1:14" s="50" customFormat="1" x14ac:dyDescent="0.35">
      <c r="A296" s="87">
        <f t="shared" si="77"/>
        <v>1407</v>
      </c>
      <c r="B296" s="87"/>
      <c r="C296" s="59" t="s">
        <v>210</v>
      </c>
      <c r="D296" s="59">
        <f>(29.61+0.7*(2.7+2.1+2.7))*10.764</f>
        <v>375.23303999999996</v>
      </c>
      <c r="E296" s="59">
        <v>0</v>
      </c>
      <c r="F296" s="59">
        <v>690</v>
      </c>
      <c r="G296" s="87" t="str">
        <f t="shared" si="76"/>
        <v>14th Floor (Part Refuge Area)</v>
      </c>
      <c r="H296" s="87"/>
      <c r="I296" s="33"/>
      <c r="N296" s="33"/>
    </row>
    <row r="297" spans="1:14" s="50" customFormat="1" x14ac:dyDescent="0.35">
      <c r="A297" s="87">
        <f t="shared" si="77"/>
        <v>1408</v>
      </c>
      <c r="B297" s="87"/>
      <c r="C297" s="59" t="s">
        <v>210</v>
      </c>
      <c r="D297" s="59">
        <f>(29.61+0.7*(2.7+2.1+2.7))*10.764</f>
        <v>375.23303999999996</v>
      </c>
      <c r="E297" s="59">
        <v>0</v>
      </c>
      <c r="F297" s="59">
        <v>685</v>
      </c>
      <c r="G297" s="87" t="str">
        <f t="shared" si="76"/>
        <v>14th Floor (Part Refuge Area)</v>
      </c>
      <c r="H297" s="87"/>
      <c r="I297" s="33"/>
      <c r="N297" s="33"/>
    </row>
    <row r="298" spans="1:14" s="50" customFormat="1" x14ac:dyDescent="0.35">
      <c r="A298" s="86" t="s">
        <v>218</v>
      </c>
      <c r="B298" s="86"/>
      <c r="C298" s="86"/>
      <c r="D298" s="86"/>
      <c r="E298" s="86"/>
      <c r="F298" s="86"/>
      <c r="G298" s="86"/>
      <c r="H298" s="86"/>
      <c r="I298" s="33"/>
      <c r="L298" s="107"/>
      <c r="M298" s="107"/>
    </row>
    <row r="299" spans="1:14" s="50" customFormat="1" x14ac:dyDescent="0.35">
      <c r="A299" s="87">
        <f>LEFT(A298,SUM(LEN(A298)-LEN(SUBSTITUTE(A298,{"0","1","2","3","4","5","6","7","8","9"},""))))*100+1</f>
        <v>1501</v>
      </c>
      <c r="B299" s="87"/>
      <c r="C299" s="59" t="s">
        <v>209</v>
      </c>
      <c r="D299" s="59">
        <f>(42.76+0.7*(2.7+2.5+2.7+2.7))*10.764</f>
        <v>540.13751999999999</v>
      </c>
      <c r="E299" s="59">
        <v>0</v>
      </c>
      <c r="F299" s="59">
        <v>995</v>
      </c>
      <c r="G299" s="87" t="str">
        <f>A298</f>
        <v>15th Floor (Part Terrace Area)</v>
      </c>
      <c r="H299" s="87"/>
      <c r="I299" s="33"/>
      <c r="N299" s="33"/>
    </row>
    <row r="300" spans="1:14" s="50" customFormat="1" x14ac:dyDescent="0.35">
      <c r="A300" s="87">
        <f>A299+1</f>
        <v>1502</v>
      </c>
      <c r="B300" s="87"/>
      <c r="C300" s="59" t="s">
        <v>209</v>
      </c>
      <c r="D300" s="59">
        <f>(45.32+0.7*(2.7+2.1+2.7+1.8))*10.764</f>
        <v>557.89811999999995</v>
      </c>
      <c r="E300" s="59">
        <v>0</v>
      </c>
      <c r="F300" s="59">
        <v>1030</v>
      </c>
      <c r="G300" s="87" t="str">
        <f t="shared" ref="G300:G302" si="78">G299</f>
        <v>15th Floor (Part Terrace Area)</v>
      </c>
      <c r="H300" s="87"/>
      <c r="I300" s="33"/>
      <c r="N300" s="33"/>
    </row>
    <row r="301" spans="1:14" s="50" customFormat="1" x14ac:dyDescent="0.35">
      <c r="A301" s="87">
        <f>A300+1</f>
        <v>1503</v>
      </c>
      <c r="B301" s="87"/>
      <c r="C301" s="59" t="s">
        <v>209</v>
      </c>
      <c r="D301" s="59">
        <f>(45.32+0.7*(2.7+2.1+2.7+1.8))*10.764</f>
        <v>557.89811999999995</v>
      </c>
      <c r="E301" s="59">
        <v>0</v>
      </c>
      <c r="F301" s="59">
        <v>1030</v>
      </c>
      <c r="G301" s="87" t="str">
        <f t="shared" si="78"/>
        <v>15th Floor (Part Terrace Area)</v>
      </c>
      <c r="H301" s="87"/>
      <c r="I301" s="33"/>
      <c r="N301" s="33"/>
    </row>
    <row r="302" spans="1:14" s="50" customFormat="1" x14ac:dyDescent="0.35">
      <c r="A302" s="87">
        <f t="shared" ref="A302" si="79">A301+1</f>
        <v>1504</v>
      </c>
      <c r="B302" s="87"/>
      <c r="C302" s="59" t="s">
        <v>209</v>
      </c>
      <c r="D302" s="59">
        <f>(44.77+0.7*(2.7+2.1+2.9+2.4))*10.764</f>
        <v>558.00576000000001</v>
      </c>
      <c r="E302" s="59">
        <v>0</v>
      </c>
      <c r="F302" s="59">
        <v>1050</v>
      </c>
      <c r="G302" s="87" t="str">
        <f t="shared" si="78"/>
        <v>15th Floor (Part Terrace Area)</v>
      </c>
      <c r="H302" s="87"/>
      <c r="I302" s="33"/>
      <c r="N302" s="33"/>
    </row>
    <row r="303" spans="1:14" s="1" customFormat="1" x14ac:dyDescent="0.35">
      <c r="A303" s="141" t="s">
        <v>76</v>
      </c>
      <c r="B303" s="141"/>
      <c r="C303" s="141"/>
      <c r="D303" s="141"/>
      <c r="E303" s="141"/>
      <c r="F303" s="141"/>
      <c r="G303" s="141"/>
      <c r="H303" s="141"/>
    </row>
    <row r="304" spans="1:14" s="1" customFormat="1" x14ac:dyDescent="0.35">
      <c r="A304" s="58">
        <v>1</v>
      </c>
      <c r="B304" s="83" t="s">
        <v>140</v>
      </c>
      <c r="C304" s="84"/>
      <c r="D304" s="84"/>
      <c r="E304" s="84"/>
      <c r="F304" s="84"/>
      <c r="G304" s="84"/>
      <c r="H304" s="85"/>
    </row>
    <row r="305" spans="1:8" s="1" customFormat="1" x14ac:dyDescent="0.35">
      <c r="A305" s="58">
        <f>A304+1</f>
        <v>2</v>
      </c>
      <c r="B305" s="83" t="s">
        <v>221</v>
      </c>
      <c r="C305" s="84"/>
      <c r="D305" s="84"/>
      <c r="E305" s="84"/>
      <c r="F305" s="84"/>
      <c r="G305" s="84"/>
      <c r="H305" s="85"/>
    </row>
    <row r="306" spans="1:8" s="1" customFormat="1" x14ac:dyDescent="0.35">
      <c r="A306" s="58">
        <f t="shared" ref="A306:A309" si="80">A305+1</f>
        <v>3</v>
      </c>
      <c r="B306" s="80" t="s">
        <v>163</v>
      </c>
      <c r="C306" s="81"/>
      <c r="D306" s="81"/>
      <c r="E306" s="81"/>
      <c r="F306" s="81"/>
      <c r="G306" s="81"/>
      <c r="H306" s="82"/>
    </row>
    <row r="307" spans="1:8" s="1" customFormat="1" x14ac:dyDescent="0.35">
      <c r="A307" s="58">
        <f t="shared" si="80"/>
        <v>4</v>
      </c>
      <c r="B307" s="80" t="s">
        <v>222</v>
      </c>
      <c r="C307" s="81"/>
      <c r="D307" s="81"/>
      <c r="E307" s="81"/>
      <c r="F307" s="81"/>
      <c r="G307" s="81"/>
      <c r="H307" s="82"/>
    </row>
    <row r="308" spans="1:8" s="1" customFormat="1" ht="30.75" customHeight="1" x14ac:dyDescent="0.35">
      <c r="A308" s="58">
        <f t="shared" si="80"/>
        <v>5</v>
      </c>
      <c r="B308" s="80" t="s">
        <v>237</v>
      </c>
      <c r="C308" s="81"/>
      <c r="D308" s="81"/>
      <c r="E308" s="81"/>
      <c r="F308" s="81"/>
      <c r="G308" s="81"/>
      <c r="H308" s="82"/>
    </row>
    <row r="309" spans="1:8" s="1" customFormat="1" x14ac:dyDescent="0.35">
      <c r="A309" s="58">
        <f t="shared" si="80"/>
        <v>6</v>
      </c>
      <c r="B309" s="80" t="s">
        <v>164</v>
      </c>
      <c r="C309" s="81"/>
      <c r="D309" s="81"/>
      <c r="E309" s="81"/>
      <c r="F309" s="81"/>
      <c r="G309" s="81"/>
      <c r="H309" s="82"/>
    </row>
    <row r="310" spans="1:8" s="1" customFormat="1" x14ac:dyDescent="0.35">
      <c r="A310" s="58">
        <v>7</v>
      </c>
      <c r="B310" s="80" t="s">
        <v>165</v>
      </c>
      <c r="C310" s="81"/>
      <c r="D310" s="81"/>
      <c r="E310" s="81"/>
      <c r="F310" s="81"/>
      <c r="G310" s="81"/>
      <c r="H310" s="82"/>
    </row>
    <row r="311" spans="1:8" s="1" customFormat="1" hidden="1" x14ac:dyDescent="0.35">
      <c r="A311" s="72">
        <v>8</v>
      </c>
      <c r="B311" s="80" t="s">
        <v>252</v>
      </c>
      <c r="C311" s="81"/>
      <c r="D311" s="81"/>
      <c r="E311" s="81"/>
      <c r="F311" s="81"/>
      <c r="G311" s="81"/>
      <c r="H311" s="82"/>
    </row>
    <row r="312" spans="1:8" s="1" customFormat="1" x14ac:dyDescent="0.35">
      <c r="A312" s="72">
        <v>8</v>
      </c>
      <c r="B312" s="80" t="s">
        <v>249</v>
      </c>
      <c r="C312" s="81"/>
      <c r="D312" s="81"/>
      <c r="E312" s="81"/>
      <c r="F312" s="81"/>
      <c r="G312" s="81"/>
      <c r="H312" s="82"/>
    </row>
    <row r="313" spans="1:8" s="1" customFormat="1" x14ac:dyDescent="0.35">
      <c r="A313" s="79">
        <v>9</v>
      </c>
      <c r="B313" s="80" t="s">
        <v>259</v>
      </c>
      <c r="C313" s="81"/>
      <c r="D313" s="81"/>
      <c r="E313" s="81"/>
      <c r="F313" s="81"/>
      <c r="G313" s="81"/>
      <c r="H313" s="82"/>
    </row>
    <row r="314" spans="1:8" x14ac:dyDescent="0.35">
      <c r="A314" s="132" t="s">
        <v>69</v>
      </c>
      <c r="B314" s="132"/>
      <c r="C314" s="132"/>
      <c r="D314" s="132"/>
      <c r="E314" s="132"/>
      <c r="F314" s="132"/>
      <c r="G314" s="132"/>
      <c r="H314" s="132"/>
    </row>
    <row r="315" spans="1:8" x14ac:dyDescent="0.35">
      <c r="A315" s="91" t="s">
        <v>70</v>
      </c>
      <c r="B315" s="91"/>
      <c r="C315" s="91"/>
      <c r="D315" s="91"/>
      <c r="E315" s="91"/>
      <c r="F315" s="91"/>
      <c r="G315" s="91"/>
      <c r="H315" s="91"/>
    </row>
    <row r="316" spans="1:8" ht="15.75" customHeight="1" x14ac:dyDescent="0.35">
      <c r="A316" s="161" t="s">
        <v>71</v>
      </c>
      <c r="B316" s="161"/>
      <c r="C316" s="161"/>
      <c r="D316" s="161"/>
      <c r="E316" s="161"/>
      <c r="F316" s="161"/>
      <c r="G316" s="161"/>
      <c r="H316" s="161"/>
    </row>
    <row r="317" spans="1:8" x14ac:dyDescent="0.35">
      <c r="A317" s="91" t="s">
        <v>72</v>
      </c>
      <c r="B317" s="91"/>
      <c r="C317" s="91"/>
      <c r="D317" s="91"/>
      <c r="E317" s="91"/>
      <c r="F317" s="91"/>
      <c r="G317" s="91"/>
      <c r="H317" s="91"/>
    </row>
    <row r="318" spans="1:8" x14ac:dyDescent="0.35">
      <c r="A318" s="91" t="s">
        <v>73</v>
      </c>
      <c r="B318" s="91"/>
      <c r="C318" s="91"/>
      <c r="D318" s="91"/>
      <c r="E318" s="91"/>
      <c r="F318" s="91"/>
      <c r="G318" s="91"/>
      <c r="H318" s="91"/>
    </row>
    <row r="319" spans="1:8" x14ac:dyDescent="0.35">
      <c r="A319" s="91" t="s">
        <v>166</v>
      </c>
      <c r="B319" s="91"/>
      <c r="C319" s="91"/>
      <c r="D319" s="91"/>
      <c r="E319" s="91"/>
      <c r="F319" s="91"/>
      <c r="G319" s="91"/>
      <c r="H319" s="91"/>
    </row>
    <row r="320" spans="1:8" ht="35.25" customHeight="1" x14ac:dyDescent="0.35">
      <c r="A320" s="122" t="s">
        <v>167</v>
      </c>
      <c r="B320" s="122"/>
      <c r="C320" s="122"/>
      <c r="D320" s="122"/>
      <c r="E320" s="122"/>
      <c r="F320" s="122"/>
      <c r="G320" s="122"/>
      <c r="H320" s="122"/>
    </row>
    <row r="321" spans="1:8" x14ac:dyDescent="0.35">
      <c r="A321" s="155" t="s">
        <v>107</v>
      </c>
      <c r="B321" s="155"/>
      <c r="C321" s="155" t="s">
        <v>253</v>
      </c>
      <c r="D321" s="155"/>
      <c r="E321" s="155" t="s">
        <v>142</v>
      </c>
      <c r="F321" s="155"/>
      <c r="G321" s="155" t="s">
        <v>258</v>
      </c>
      <c r="H321" s="155"/>
    </row>
    <row r="322" spans="1:8" x14ac:dyDescent="0.35">
      <c r="A322" s="154" t="s">
        <v>109</v>
      </c>
      <c r="B322" s="154"/>
      <c r="C322" s="154"/>
      <c r="D322" s="154"/>
      <c r="E322" s="154"/>
      <c r="F322" s="154"/>
      <c r="G322" s="154"/>
      <c r="H322" s="154"/>
    </row>
    <row r="323" spans="1:8" x14ac:dyDescent="0.35">
      <c r="A323" s="154"/>
      <c r="B323" s="154"/>
      <c r="C323" s="154"/>
      <c r="D323" s="154"/>
      <c r="E323" s="154"/>
      <c r="F323" s="154"/>
      <c r="G323" s="154"/>
      <c r="H323" s="154"/>
    </row>
    <row r="324" spans="1:8" x14ac:dyDescent="0.35">
      <c r="A324" s="154"/>
      <c r="B324" s="154"/>
      <c r="C324" s="154"/>
      <c r="D324" s="154"/>
      <c r="E324" s="154"/>
      <c r="F324" s="154"/>
      <c r="G324" s="154"/>
      <c r="H324" s="154"/>
    </row>
    <row r="325" spans="1:8" x14ac:dyDescent="0.35">
      <c r="A325" s="154"/>
      <c r="B325" s="154"/>
      <c r="C325" s="154"/>
      <c r="D325" s="154"/>
      <c r="E325" s="154"/>
      <c r="F325" s="154"/>
      <c r="G325" s="154"/>
      <c r="H325" s="154"/>
    </row>
    <row r="326" spans="1:8" x14ac:dyDescent="0.35">
      <c r="A326" s="64" t="s">
        <v>74</v>
      </c>
      <c r="B326" s="65"/>
      <c r="C326" s="65"/>
      <c r="D326" s="64" t="str">
        <f>E8</f>
        <v>Om Regency</v>
      </c>
      <c r="E326" s="66"/>
      <c r="F326" s="65"/>
      <c r="G326" s="65"/>
      <c r="H326" s="65"/>
    </row>
    <row r="327" spans="1:8" x14ac:dyDescent="0.35">
      <c r="A327" s="65"/>
      <c r="B327" s="65"/>
      <c r="C327" s="65"/>
      <c r="D327" s="65"/>
      <c r="E327" s="65"/>
      <c r="F327" s="65"/>
      <c r="G327" s="65"/>
      <c r="H327" s="65"/>
    </row>
    <row r="328" spans="1:8" x14ac:dyDescent="0.35">
      <c r="A328" s="65"/>
      <c r="B328" s="65"/>
      <c r="C328" s="65"/>
      <c r="D328" s="65"/>
      <c r="E328" s="65"/>
      <c r="F328" s="65"/>
      <c r="G328" s="65"/>
      <c r="H328" s="65"/>
    </row>
    <row r="329" spans="1:8" ht="15" customHeight="1" x14ac:dyDescent="0.35">
      <c r="A329" s="66"/>
      <c r="B329" s="66"/>
      <c r="C329" s="66"/>
      <c r="D329" s="66"/>
      <c r="E329" s="66"/>
      <c r="F329" s="66"/>
      <c r="G329" s="66"/>
      <c r="H329" s="66"/>
    </row>
    <row r="330" spans="1:8" x14ac:dyDescent="0.35">
      <c r="A330" s="66"/>
      <c r="B330" s="66"/>
      <c r="C330" s="66"/>
      <c r="D330" s="66"/>
      <c r="E330" s="66"/>
      <c r="F330" s="66"/>
      <c r="G330" s="66"/>
      <c r="H330" s="66"/>
    </row>
    <row r="331" spans="1:8" x14ac:dyDescent="0.35">
      <c r="A331" s="66"/>
      <c r="B331" s="66"/>
      <c r="C331" s="66"/>
      <c r="D331" s="66"/>
      <c r="E331" s="66"/>
      <c r="F331" s="66"/>
      <c r="G331" s="66"/>
      <c r="H331" s="66"/>
    </row>
    <row r="332" spans="1:8" x14ac:dyDescent="0.35">
      <c r="A332" s="66"/>
      <c r="B332" s="66"/>
      <c r="C332" s="66"/>
      <c r="D332" s="66"/>
      <c r="E332" s="66"/>
      <c r="F332" s="66"/>
      <c r="G332" s="66"/>
      <c r="H332" s="66"/>
    </row>
    <row r="333" spans="1:8" x14ac:dyDescent="0.35">
      <c r="A333" s="66"/>
      <c r="B333" s="66"/>
      <c r="C333" s="66"/>
      <c r="D333" s="66"/>
      <c r="E333" s="66"/>
      <c r="F333" s="66"/>
      <c r="G333" s="66"/>
      <c r="H333" s="66"/>
    </row>
    <row r="334" spans="1:8" x14ac:dyDescent="0.35">
      <c r="A334" s="66"/>
      <c r="B334" s="66"/>
      <c r="C334" s="66"/>
      <c r="D334" s="66"/>
      <c r="E334" s="66"/>
      <c r="F334" s="66"/>
      <c r="G334" s="66"/>
      <c r="H334" s="66"/>
    </row>
    <row r="335" spans="1:8" x14ac:dyDescent="0.35">
      <c r="A335" s="66"/>
      <c r="B335" s="66"/>
      <c r="C335" s="66"/>
      <c r="D335" s="66"/>
      <c r="E335" s="66"/>
      <c r="F335" s="66"/>
      <c r="G335" s="66"/>
      <c r="H335" s="66"/>
    </row>
    <row r="336" spans="1:8" x14ac:dyDescent="0.35">
      <c r="A336" s="66"/>
      <c r="B336" s="66"/>
      <c r="C336" s="66"/>
      <c r="D336" s="66"/>
      <c r="E336" s="66"/>
      <c r="F336" s="66"/>
      <c r="G336" s="66"/>
      <c r="H336" s="66"/>
    </row>
    <row r="337" spans="1:8" x14ac:dyDescent="0.35">
      <c r="A337" s="66"/>
      <c r="B337" s="66"/>
      <c r="C337" s="66"/>
      <c r="D337" s="66"/>
      <c r="E337" s="66"/>
      <c r="F337" s="66"/>
      <c r="G337" s="66"/>
      <c r="H337" s="66"/>
    </row>
    <row r="338" spans="1:8" x14ac:dyDescent="0.35">
      <c r="A338" s="66"/>
      <c r="B338" s="66"/>
      <c r="C338" s="66"/>
      <c r="D338" s="66"/>
      <c r="E338" s="66"/>
      <c r="F338" s="66"/>
      <c r="G338" s="66"/>
      <c r="H338" s="66"/>
    </row>
    <row r="339" spans="1:8" x14ac:dyDescent="0.35">
      <c r="A339" s="66"/>
      <c r="B339" s="66"/>
      <c r="C339" s="66"/>
      <c r="D339" s="66"/>
      <c r="E339" s="66"/>
      <c r="F339" s="66"/>
      <c r="G339" s="66"/>
      <c r="H339" s="66"/>
    </row>
    <row r="340" spans="1:8" x14ac:dyDescent="0.35">
      <c r="A340" s="66"/>
      <c r="B340" s="66"/>
      <c r="C340" s="66"/>
      <c r="D340" s="66"/>
      <c r="E340" s="66"/>
      <c r="F340" s="66"/>
      <c r="G340" s="66"/>
      <c r="H340" s="66"/>
    </row>
    <row r="341" spans="1:8" x14ac:dyDescent="0.35">
      <c r="A341" s="66"/>
      <c r="B341" s="66"/>
      <c r="C341" s="66"/>
      <c r="D341" s="66"/>
      <c r="E341" s="66"/>
      <c r="F341" s="66"/>
      <c r="G341" s="66"/>
      <c r="H341" s="66"/>
    </row>
    <row r="342" spans="1:8" x14ac:dyDescent="0.35">
      <c r="A342" s="66"/>
      <c r="B342" s="66"/>
      <c r="C342" s="66"/>
      <c r="D342" s="66"/>
      <c r="E342" s="66"/>
      <c r="F342" s="66"/>
      <c r="G342" s="66"/>
      <c r="H342" s="66"/>
    </row>
    <row r="343" spans="1:8" x14ac:dyDescent="0.35">
      <c r="A343" s="66"/>
      <c r="B343" s="66"/>
      <c r="C343" s="66"/>
      <c r="D343" s="66"/>
      <c r="E343" s="66"/>
      <c r="F343" s="66"/>
      <c r="G343" s="66"/>
      <c r="H343" s="66"/>
    </row>
    <row r="344" spans="1:8" x14ac:dyDescent="0.35">
      <c r="A344" s="66"/>
      <c r="B344" s="66"/>
      <c r="C344" s="66"/>
      <c r="D344" s="66"/>
      <c r="E344" s="66"/>
      <c r="F344" s="66"/>
      <c r="G344" s="66"/>
      <c r="H344" s="66"/>
    </row>
    <row r="345" spans="1:8" x14ac:dyDescent="0.35">
      <c r="A345" s="66"/>
      <c r="B345" s="66"/>
      <c r="C345" s="66"/>
      <c r="D345" s="66"/>
      <c r="E345" s="66"/>
      <c r="F345" s="66"/>
      <c r="G345" s="66"/>
      <c r="H345" s="66"/>
    </row>
    <row r="346" spans="1:8" x14ac:dyDescent="0.35">
      <c r="A346" s="66"/>
      <c r="B346" s="66"/>
      <c r="C346" s="66"/>
      <c r="D346" s="66"/>
      <c r="E346" s="66"/>
      <c r="F346" s="66"/>
      <c r="G346" s="66"/>
      <c r="H346" s="66"/>
    </row>
    <row r="347" spans="1:8" x14ac:dyDescent="0.35">
      <c r="A347" s="66"/>
      <c r="B347" s="66"/>
      <c r="C347" s="66"/>
      <c r="D347" s="66"/>
      <c r="E347" s="66"/>
      <c r="F347" s="66"/>
      <c r="G347" s="66"/>
      <c r="H347" s="66"/>
    </row>
    <row r="348" spans="1:8" x14ac:dyDescent="0.35">
      <c r="A348" s="66"/>
      <c r="B348" s="66"/>
      <c r="C348" s="66"/>
      <c r="D348" s="66"/>
      <c r="E348" s="66"/>
      <c r="F348" s="66"/>
      <c r="G348" s="66"/>
      <c r="H348" s="66"/>
    </row>
    <row r="349" spans="1:8" x14ac:dyDescent="0.35">
      <c r="A349" s="66"/>
      <c r="B349" s="66"/>
      <c r="C349" s="66"/>
      <c r="D349" s="66"/>
      <c r="E349" s="66"/>
      <c r="F349" s="66"/>
      <c r="G349" s="66"/>
      <c r="H349" s="66"/>
    </row>
    <row r="350" spans="1:8" x14ac:dyDescent="0.35">
      <c r="A350" s="66"/>
      <c r="B350" s="66"/>
      <c r="C350" s="66"/>
      <c r="D350" s="66"/>
      <c r="E350" s="66"/>
      <c r="F350" s="66"/>
      <c r="G350" s="66"/>
      <c r="H350" s="66"/>
    </row>
    <row r="351" spans="1:8" x14ac:dyDescent="0.35">
      <c r="A351" s="66"/>
      <c r="B351" s="66"/>
      <c r="C351" s="66"/>
      <c r="D351" s="66"/>
      <c r="E351" s="66"/>
      <c r="F351" s="66"/>
      <c r="G351" s="66"/>
      <c r="H351" s="66"/>
    </row>
    <row r="352" spans="1:8" x14ac:dyDescent="0.35">
      <c r="A352" s="66"/>
      <c r="B352" s="66"/>
      <c r="C352" s="66"/>
      <c r="D352" s="66"/>
      <c r="E352" s="66"/>
      <c r="F352" s="66"/>
      <c r="G352" s="66"/>
      <c r="H352" s="66"/>
    </row>
    <row r="353" spans="1:8" x14ac:dyDescent="0.35">
      <c r="A353" s="66"/>
      <c r="B353" s="66"/>
      <c r="C353" s="66"/>
      <c r="D353" s="66"/>
      <c r="E353" s="66"/>
      <c r="F353" s="66"/>
      <c r="G353" s="66"/>
      <c r="H353" s="66"/>
    </row>
    <row r="354" spans="1:8" x14ac:dyDescent="0.35">
      <c r="A354" s="66"/>
      <c r="B354" s="66"/>
      <c r="C354" s="66"/>
      <c r="D354" s="66"/>
      <c r="E354" s="66"/>
      <c r="F354" s="66"/>
      <c r="G354" s="66"/>
      <c r="H354" s="66"/>
    </row>
    <row r="355" spans="1:8" x14ac:dyDescent="0.35">
      <c r="A355" s="66"/>
      <c r="B355" s="66"/>
      <c r="C355" s="66"/>
      <c r="D355" s="66"/>
      <c r="E355" s="66"/>
      <c r="F355" s="66"/>
      <c r="G355" s="66"/>
      <c r="H355" s="66"/>
    </row>
    <row r="356" spans="1:8" x14ac:dyDescent="0.35">
      <c r="A356" s="66"/>
      <c r="B356" s="66"/>
      <c r="C356" s="66"/>
      <c r="D356" s="66"/>
      <c r="E356" s="66"/>
      <c r="F356" s="66"/>
      <c r="G356" s="66"/>
      <c r="H356" s="66"/>
    </row>
    <row r="357" spans="1:8" x14ac:dyDescent="0.35">
      <c r="A357" s="66"/>
      <c r="B357" s="66"/>
      <c r="C357" s="66"/>
      <c r="D357" s="66"/>
      <c r="E357" s="66"/>
      <c r="F357" s="66"/>
      <c r="G357" s="66"/>
      <c r="H357" s="66"/>
    </row>
    <row r="358" spans="1:8" x14ac:dyDescent="0.35">
      <c r="A358" s="66"/>
      <c r="B358" s="66"/>
      <c r="C358" s="66"/>
      <c r="D358" s="66"/>
      <c r="E358" s="66"/>
      <c r="F358" s="66"/>
      <c r="G358" s="66"/>
      <c r="H358" s="66"/>
    </row>
    <row r="359" spans="1:8" x14ac:dyDescent="0.35">
      <c r="A359" s="66"/>
      <c r="B359" s="66"/>
      <c r="C359" s="66"/>
      <c r="D359" s="66"/>
      <c r="E359" s="66"/>
      <c r="F359" s="66"/>
      <c r="G359" s="66"/>
      <c r="H359" s="66"/>
    </row>
    <row r="360" spans="1:8" x14ac:dyDescent="0.35">
      <c r="A360" s="66"/>
      <c r="B360" s="66"/>
      <c r="C360" s="66"/>
      <c r="D360" s="66"/>
      <c r="E360" s="66"/>
      <c r="F360" s="66"/>
      <c r="G360" s="66"/>
      <c r="H360" s="66"/>
    </row>
    <row r="361" spans="1:8" x14ac:dyDescent="0.35">
      <c r="A361" s="66"/>
      <c r="B361" s="66"/>
      <c r="C361" s="66"/>
      <c r="D361" s="66"/>
      <c r="E361" s="66"/>
      <c r="F361" s="66"/>
      <c r="G361" s="66"/>
      <c r="H361" s="66"/>
    </row>
    <row r="362" spans="1:8" x14ac:dyDescent="0.35">
      <c r="A362" s="66"/>
      <c r="B362" s="66"/>
      <c r="C362" s="66"/>
      <c r="D362" s="66"/>
      <c r="E362" s="66"/>
      <c r="F362" s="66"/>
      <c r="G362" s="66"/>
      <c r="H362" s="66"/>
    </row>
    <row r="363" spans="1:8" x14ac:dyDescent="0.35">
      <c r="A363" s="66"/>
      <c r="B363" s="66"/>
      <c r="C363" s="66"/>
      <c r="D363" s="66"/>
      <c r="E363" s="66"/>
      <c r="F363" s="66"/>
      <c r="G363" s="66"/>
      <c r="H363" s="66"/>
    </row>
    <row r="364" spans="1:8" x14ac:dyDescent="0.35">
      <c r="A364" s="66"/>
      <c r="B364" s="66"/>
      <c r="C364" s="66"/>
      <c r="D364" s="66"/>
      <c r="E364" s="66"/>
      <c r="F364" s="66"/>
      <c r="G364" s="66"/>
      <c r="H364" s="66"/>
    </row>
    <row r="365" spans="1:8" x14ac:dyDescent="0.35">
      <c r="A365" s="66"/>
      <c r="B365" s="66"/>
      <c r="C365" s="66"/>
      <c r="D365" s="66"/>
      <c r="E365" s="66"/>
      <c r="F365" s="66"/>
      <c r="G365" s="66"/>
      <c r="H365" s="66"/>
    </row>
    <row r="366" spans="1:8" x14ac:dyDescent="0.35">
      <c r="A366" s="66"/>
      <c r="B366" s="66"/>
      <c r="C366" s="66"/>
      <c r="D366" s="66"/>
      <c r="E366" s="66"/>
      <c r="F366" s="66"/>
      <c r="G366" s="66"/>
      <c r="H366" s="66"/>
    </row>
    <row r="367" spans="1:8" x14ac:dyDescent="0.35">
      <c r="A367" s="66"/>
      <c r="B367" s="66"/>
      <c r="C367" s="66"/>
      <c r="D367" s="66"/>
      <c r="E367" s="66"/>
      <c r="F367" s="66"/>
      <c r="G367" s="66"/>
      <c r="H367" s="66"/>
    </row>
    <row r="368" spans="1:8" x14ac:dyDescent="0.35">
      <c r="A368" s="66"/>
      <c r="B368" s="66"/>
      <c r="C368" s="66"/>
      <c r="D368" s="66"/>
      <c r="E368" s="66"/>
      <c r="F368" s="66"/>
      <c r="G368" s="66"/>
      <c r="H368" s="66"/>
    </row>
    <row r="369" spans="1:8" x14ac:dyDescent="0.35">
      <c r="A369" s="67" t="s">
        <v>75</v>
      </c>
      <c r="B369" s="66"/>
      <c r="C369" s="66"/>
      <c r="D369" s="66"/>
      <c r="E369" s="66"/>
      <c r="F369" s="66"/>
      <c r="G369" s="66"/>
      <c r="H369" s="66"/>
    </row>
    <row r="370" spans="1:8" x14ac:dyDescent="0.35">
      <c r="A370" s="66"/>
      <c r="B370" s="66"/>
      <c r="C370" s="66"/>
      <c r="D370" s="66"/>
      <c r="E370" s="66"/>
      <c r="F370" s="66"/>
      <c r="G370" s="66"/>
      <c r="H370" s="66"/>
    </row>
    <row r="371" spans="1:8" x14ac:dyDescent="0.35">
      <c r="A371" s="66"/>
      <c r="B371" s="66"/>
      <c r="C371" s="66"/>
      <c r="D371" s="66"/>
      <c r="E371" s="66"/>
      <c r="F371" s="66"/>
      <c r="G371" s="66"/>
      <c r="H371" s="66"/>
    </row>
    <row r="372" spans="1:8" x14ac:dyDescent="0.35">
      <c r="A372" s="66"/>
      <c r="B372" s="66"/>
      <c r="C372" s="66"/>
      <c r="D372" s="66"/>
      <c r="E372" s="66"/>
      <c r="F372" s="66"/>
      <c r="G372" s="66"/>
      <c r="H372" s="66"/>
    </row>
    <row r="373" spans="1:8" x14ac:dyDescent="0.35">
      <c r="A373" s="66"/>
      <c r="B373" s="66"/>
      <c r="C373" s="66"/>
      <c r="D373" s="66"/>
      <c r="E373" s="66"/>
      <c r="F373" s="66"/>
      <c r="G373" s="66"/>
      <c r="H373" s="66"/>
    </row>
    <row r="374" spans="1:8" x14ac:dyDescent="0.35">
      <c r="A374" s="66"/>
      <c r="B374" s="66"/>
      <c r="C374" s="66"/>
      <c r="D374" s="66"/>
      <c r="E374" s="66"/>
      <c r="F374" s="66"/>
      <c r="G374" s="66"/>
      <c r="H374" s="66"/>
    </row>
    <row r="375" spans="1:8" x14ac:dyDescent="0.35">
      <c r="A375" s="66"/>
      <c r="B375" s="66"/>
      <c r="C375" s="66"/>
      <c r="D375" s="66"/>
      <c r="E375" s="66"/>
      <c r="F375" s="66"/>
      <c r="G375" s="66"/>
      <c r="H375" s="66"/>
    </row>
    <row r="376" spans="1:8" x14ac:dyDescent="0.35">
      <c r="A376" s="66"/>
      <c r="B376" s="66"/>
      <c r="C376" s="66"/>
      <c r="D376" s="66"/>
      <c r="E376" s="66"/>
      <c r="F376" s="66"/>
      <c r="G376" s="66"/>
      <c r="H376" s="66"/>
    </row>
    <row r="377" spans="1:8" x14ac:dyDescent="0.35">
      <c r="A377" s="66"/>
      <c r="B377" s="66"/>
      <c r="C377" s="66"/>
      <c r="D377" s="66"/>
      <c r="E377" s="66"/>
      <c r="F377" s="66"/>
      <c r="G377" s="66"/>
      <c r="H377" s="66"/>
    </row>
    <row r="378" spans="1:8" x14ac:dyDescent="0.35">
      <c r="A378" s="66"/>
      <c r="B378" s="66"/>
      <c r="C378" s="66"/>
      <c r="D378" s="66"/>
      <c r="E378" s="66"/>
      <c r="F378" s="66"/>
      <c r="G378" s="66"/>
      <c r="H378" s="66"/>
    </row>
    <row r="379" spans="1:8" x14ac:dyDescent="0.35">
      <c r="A379" s="66"/>
      <c r="B379" s="66"/>
      <c r="C379" s="66"/>
      <c r="D379" s="66"/>
      <c r="E379" s="66"/>
      <c r="F379" s="66"/>
      <c r="G379" s="66"/>
      <c r="H379" s="66"/>
    </row>
    <row r="380" spans="1:8" x14ac:dyDescent="0.35">
      <c r="A380" s="66"/>
      <c r="B380" s="66"/>
      <c r="C380" s="66"/>
      <c r="D380" s="66"/>
      <c r="E380" s="66"/>
      <c r="F380" s="66"/>
      <c r="G380" s="66"/>
      <c r="H380" s="66"/>
    </row>
    <row r="381" spans="1:8" x14ac:dyDescent="0.35">
      <c r="A381" s="66"/>
      <c r="B381" s="66"/>
      <c r="C381" s="66"/>
      <c r="D381" s="66"/>
      <c r="E381" s="66"/>
      <c r="F381" s="66"/>
      <c r="G381" s="66"/>
      <c r="H381" s="66"/>
    </row>
    <row r="382" spans="1:8" x14ac:dyDescent="0.35">
      <c r="A382" s="66"/>
      <c r="B382" s="66"/>
      <c r="C382" s="66"/>
      <c r="D382" s="66"/>
      <c r="E382" s="66"/>
      <c r="F382" s="66"/>
      <c r="G382" s="66"/>
      <c r="H382" s="66"/>
    </row>
    <row r="383" spans="1:8" x14ac:dyDescent="0.35">
      <c r="A383" s="66"/>
      <c r="B383" s="66"/>
      <c r="C383" s="66"/>
      <c r="D383" s="66"/>
      <c r="E383" s="66"/>
      <c r="F383" s="66"/>
      <c r="G383" s="66"/>
      <c r="H383" s="66"/>
    </row>
    <row r="384" spans="1:8" x14ac:dyDescent="0.35">
      <c r="A384" s="66"/>
      <c r="B384" s="66"/>
      <c r="C384" s="66"/>
      <c r="D384" s="66"/>
      <c r="E384" s="66"/>
      <c r="F384" s="66"/>
      <c r="G384" s="66"/>
      <c r="H384" s="66"/>
    </row>
    <row r="385" spans="1:8" x14ac:dyDescent="0.35">
      <c r="A385" s="66"/>
      <c r="B385" s="66"/>
      <c r="C385" s="66"/>
      <c r="D385" s="66"/>
      <c r="E385" s="66"/>
      <c r="F385" s="66"/>
      <c r="G385" s="66"/>
      <c r="H385" s="66"/>
    </row>
    <row r="386" spans="1:8" x14ac:dyDescent="0.35">
      <c r="A386" s="66"/>
      <c r="B386" s="66"/>
      <c r="C386" s="66"/>
      <c r="D386" s="66"/>
      <c r="E386" s="66"/>
      <c r="F386" s="66"/>
      <c r="G386" s="66"/>
      <c r="H386" s="66"/>
    </row>
    <row r="387" spans="1:8" x14ac:dyDescent="0.35">
      <c r="A387" s="66"/>
      <c r="B387" s="66"/>
      <c r="C387" s="66"/>
      <c r="D387" s="66"/>
      <c r="E387" s="66"/>
      <c r="F387" s="66"/>
      <c r="G387" s="66"/>
      <c r="H387" s="66"/>
    </row>
    <row r="388" spans="1:8" x14ac:dyDescent="0.35">
      <c r="A388" s="66"/>
      <c r="B388" s="66"/>
      <c r="C388" s="66"/>
      <c r="D388" s="66"/>
      <c r="E388" s="66"/>
      <c r="F388" s="66"/>
      <c r="G388" s="66"/>
      <c r="H388" s="66"/>
    </row>
    <row r="389" spans="1:8" x14ac:dyDescent="0.35">
      <c r="A389" s="66"/>
      <c r="B389" s="66"/>
      <c r="C389" s="66"/>
      <c r="D389" s="66"/>
      <c r="E389" s="66"/>
      <c r="F389" s="66"/>
      <c r="G389" s="66"/>
      <c r="H389" s="66"/>
    </row>
    <row r="390" spans="1:8" x14ac:dyDescent="0.35">
      <c r="A390" s="66"/>
      <c r="B390" s="66"/>
      <c r="C390" s="66"/>
      <c r="D390" s="66"/>
      <c r="E390" s="66"/>
      <c r="F390" s="66"/>
      <c r="G390" s="66"/>
      <c r="H390" s="66"/>
    </row>
    <row r="391" spans="1:8" x14ac:dyDescent="0.35">
      <c r="A391" s="66"/>
      <c r="B391" s="66"/>
      <c r="C391" s="66"/>
      <c r="D391" s="66"/>
      <c r="E391" s="66"/>
      <c r="F391" s="66"/>
      <c r="G391" s="66"/>
      <c r="H391" s="66"/>
    </row>
    <row r="392" spans="1:8" x14ac:dyDescent="0.35">
      <c r="A392" s="66"/>
      <c r="B392" s="66"/>
      <c r="C392" s="66"/>
      <c r="D392" s="66"/>
      <c r="E392" s="66"/>
      <c r="F392" s="66"/>
      <c r="G392" s="66"/>
      <c r="H392" s="66"/>
    </row>
    <row r="393" spans="1:8" x14ac:dyDescent="0.35">
      <c r="A393" s="66"/>
      <c r="B393" s="66"/>
      <c r="C393" s="66"/>
      <c r="D393" s="66"/>
      <c r="E393" s="66"/>
      <c r="F393" s="66"/>
      <c r="G393" s="66"/>
      <c r="H393" s="66"/>
    </row>
    <row r="394" spans="1:8" x14ac:dyDescent="0.35">
      <c r="A394" s="66"/>
      <c r="B394" s="66"/>
      <c r="C394" s="66"/>
      <c r="D394" s="66"/>
      <c r="E394" s="66"/>
      <c r="F394" s="66"/>
      <c r="G394" s="66"/>
      <c r="H394" s="66"/>
    </row>
    <row r="395" spans="1:8" x14ac:dyDescent="0.35">
      <c r="A395" s="66"/>
      <c r="B395" s="66"/>
      <c r="C395" s="66"/>
      <c r="D395" s="66"/>
      <c r="E395" s="66"/>
      <c r="F395" s="66"/>
      <c r="G395" s="66"/>
      <c r="H395" s="66"/>
    </row>
    <row r="396" spans="1:8" x14ac:dyDescent="0.35">
      <c r="A396" s="66"/>
      <c r="B396" s="66"/>
      <c r="C396" s="66"/>
      <c r="D396" s="66"/>
      <c r="E396" s="66"/>
      <c r="F396" s="66"/>
      <c r="G396" s="66"/>
      <c r="H396" s="66"/>
    </row>
    <row r="397" spans="1:8" x14ac:dyDescent="0.35">
      <c r="A397" s="66"/>
      <c r="B397" s="66"/>
      <c r="C397" s="66"/>
      <c r="D397" s="66"/>
      <c r="E397" s="66"/>
      <c r="F397" s="66"/>
      <c r="G397" s="66"/>
      <c r="H397" s="66"/>
    </row>
    <row r="398" spans="1:8" x14ac:dyDescent="0.35">
      <c r="A398" s="66"/>
      <c r="B398" s="66"/>
      <c r="C398" s="66"/>
      <c r="D398" s="66"/>
      <c r="E398" s="66"/>
      <c r="F398" s="66"/>
      <c r="G398" s="66"/>
      <c r="H398" s="66"/>
    </row>
    <row r="399" spans="1:8" x14ac:dyDescent="0.35">
      <c r="A399" s="66"/>
      <c r="B399" s="66"/>
      <c r="C399" s="66"/>
      <c r="D399" s="66"/>
      <c r="E399" s="66"/>
      <c r="F399" s="66"/>
      <c r="G399" s="66"/>
      <c r="H399" s="66"/>
    </row>
    <row r="400" spans="1:8" x14ac:dyDescent="0.35">
      <c r="A400" s="66"/>
      <c r="B400" s="66"/>
      <c r="C400" s="66"/>
      <c r="D400" s="66"/>
      <c r="E400" s="66"/>
      <c r="F400" s="66"/>
      <c r="G400" s="66"/>
      <c r="H400" s="66"/>
    </row>
    <row r="401" spans="1:8" x14ac:dyDescent="0.35">
      <c r="A401" s="66"/>
      <c r="B401" s="66"/>
      <c r="C401" s="66"/>
      <c r="D401" s="66"/>
      <c r="E401" s="66"/>
      <c r="F401" s="66"/>
      <c r="G401" s="66"/>
      <c r="H401" s="66"/>
    </row>
    <row r="402" spans="1:8" x14ac:dyDescent="0.35">
      <c r="A402" s="66"/>
      <c r="B402" s="66"/>
      <c r="C402" s="66"/>
      <c r="D402" s="66"/>
      <c r="E402" s="66"/>
      <c r="F402" s="66"/>
      <c r="G402" s="66"/>
      <c r="H402" s="66"/>
    </row>
    <row r="403" spans="1:8" x14ac:dyDescent="0.35">
      <c r="A403" s="66"/>
      <c r="B403" s="66"/>
      <c r="C403" s="66"/>
      <c r="D403" s="66"/>
      <c r="E403" s="66"/>
      <c r="F403" s="66"/>
      <c r="G403" s="66"/>
      <c r="H403" s="66"/>
    </row>
    <row r="404" spans="1:8" x14ac:dyDescent="0.35">
      <c r="A404" s="66"/>
      <c r="B404" s="66"/>
      <c r="C404" s="66"/>
      <c r="D404" s="66"/>
      <c r="E404" s="66"/>
      <c r="F404" s="66"/>
      <c r="G404" s="66"/>
      <c r="H404" s="66"/>
    </row>
    <row r="405" spans="1:8" x14ac:dyDescent="0.35">
      <c r="A405" s="66"/>
      <c r="B405" s="66"/>
      <c r="C405" s="66"/>
      <c r="D405" s="66"/>
      <c r="E405" s="66"/>
      <c r="F405" s="66"/>
      <c r="G405" s="66"/>
      <c r="H405" s="66"/>
    </row>
    <row r="406" spans="1:8" x14ac:dyDescent="0.35">
      <c r="A406" s="66"/>
      <c r="B406" s="66"/>
      <c r="C406" s="66"/>
      <c r="D406" s="66"/>
      <c r="E406" s="66"/>
      <c r="F406" s="66"/>
      <c r="G406" s="66"/>
      <c r="H406" s="66"/>
    </row>
    <row r="407" spans="1:8" x14ac:dyDescent="0.35">
      <c r="A407" s="66"/>
      <c r="B407" s="66"/>
      <c r="C407" s="66"/>
      <c r="D407" s="66"/>
      <c r="E407" s="66"/>
      <c r="F407" s="66"/>
      <c r="G407" s="66"/>
      <c r="H407" s="66"/>
    </row>
    <row r="408" spans="1:8" x14ac:dyDescent="0.35">
      <c r="A408" s="66"/>
      <c r="B408" s="66"/>
      <c r="C408" s="66"/>
      <c r="D408" s="66"/>
      <c r="E408" s="66"/>
      <c r="F408" s="66"/>
      <c r="G408" s="66"/>
      <c r="H408" s="66"/>
    </row>
    <row r="409" spans="1:8" x14ac:dyDescent="0.35">
      <c r="A409" s="66"/>
      <c r="B409" s="66"/>
      <c r="C409" s="66"/>
      <c r="D409" s="66"/>
      <c r="E409" s="66"/>
      <c r="F409" s="66"/>
      <c r="G409" s="66"/>
      <c r="H409" s="66"/>
    </row>
    <row r="410" spans="1:8" x14ac:dyDescent="0.35">
      <c r="A410" s="66"/>
      <c r="B410" s="66"/>
      <c r="C410" s="66"/>
      <c r="D410" s="66"/>
      <c r="E410" s="66"/>
      <c r="F410" s="66"/>
      <c r="G410" s="66"/>
      <c r="H410" s="66"/>
    </row>
    <row r="411" spans="1:8" x14ac:dyDescent="0.35">
      <c r="A411" s="66"/>
      <c r="B411" s="66"/>
      <c r="C411" s="66"/>
      <c r="D411" s="66"/>
      <c r="E411" s="66"/>
      <c r="F411" s="66"/>
      <c r="G411" s="66"/>
      <c r="H411" s="66"/>
    </row>
  </sheetData>
  <mergeCells count="641">
    <mergeCell ref="B313:H313"/>
    <mergeCell ref="C35:H35"/>
    <mergeCell ref="B312:H312"/>
    <mergeCell ref="A73:B73"/>
    <mergeCell ref="C73:H73"/>
    <mergeCell ref="A75:B75"/>
    <mergeCell ref="C75:H75"/>
    <mergeCell ref="A76:B76"/>
    <mergeCell ref="E76:F76"/>
    <mergeCell ref="G76:H76"/>
    <mergeCell ref="A77:B77"/>
    <mergeCell ref="E77:F86"/>
    <mergeCell ref="G77:H86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214:B214"/>
    <mergeCell ref="C214:F214"/>
    <mergeCell ref="G214:H214"/>
    <mergeCell ref="A283:B283"/>
    <mergeCell ref="G293:H293"/>
    <mergeCell ref="A278:B278"/>
    <mergeCell ref="G278:H278"/>
    <mergeCell ref="A279:B279"/>
    <mergeCell ref="G279:H279"/>
    <mergeCell ref="A280:H280"/>
    <mergeCell ref="A268:B268"/>
    <mergeCell ref="G268:H268"/>
    <mergeCell ref="A269:B269"/>
    <mergeCell ref="G269:H269"/>
    <mergeCell ref="A270:B270"/>
    <mergeCell ref="G270:H270"/>
    <mergeCell ref="A271:H271"/>
    <mergeCell ref="G283:H283"/>
    <mergeCell ref="A284:B284"/>
    <mergeCell ref="G284:H284"/>
    <mergeCell ref="A285:B285"/>
    <mergeCell ref="G285:H285"/>
    <mergeCell ref="A286:B286"/>
    <mergeCell ref="G286:H286"/>
    <mergeCell ref="A287:B287"/>
    <mergeCell ref="G287:H287"/>
    <mergeCell ref="L298:M298"/>
    <mergeCell ref="A299:B299"/>
    <mergeCell ref="G299:H299"/>
    <mergeCell ref="A288:B288"/>
    <mergeCell ref="G288:H288"/>
    <mergeCell ref="A289:H289"/>
    <mergeCell ref="A294:B294"/>
    <mergeCell ref="C294:F294"/>
    <mergeCell ref="G294:H294"/>
    <mergeCell ref="L289:M289"/>
    <mergeCell ref="A290:B290"/>
    <mergeCell ref="G290:H290"/>
    <mergeCell ref="A291:B291"/>
    <mergeCell ref="G291:H291"/>
    <mergeCell ref="A292:B292"/>
    <mergeCell ref="G292:H292"/>
    <mergeCell ref="A293:B293"/>
    <mergeCell ref="A300:B300"/>
    <mergeCell ref="G300:H300"/>
    <mergeCell ref="A301:B301"/>
    <mergeCell ref="G301:H301"/>
    <mergeCell ref="A302:B302"/>
    <mergeCell ref="G302:H302"/>
    <mergeCell ref="A295:B295"/>
    <mergeCell ref="G295:H295"/>
    <mergeCell ref="A296:B296"/>
    <mergeCell ref="G296:H296"/>
    <mergeCell ref="A297:B297"/>
    <mergeCell ref="G297:H297"/>
    <mergeCell ref="A298:H298"/>
    <mergeCell ref="L280:M280"/>
    <mergeCell ref="A281:B281"/>
    <mergeCell ref="G281:H281"/>
    <mergeCell ref="A282:B282"/>
    <mergeCell ref="G282:H282"/>
    <mergeCell ref="A273:B273"/>
    <mergeCell ref="G273:H273"/>
    <mergeCell ref="A274:B274"/>
    <mergeCell ref="G274:H274"/>
    <mergeCell ref="A275:B275"/>
    <mergeCell ref="G275:H275"/>
    <mergeCell ref="A276:B276"/>
    <mergeCell ref="G276:H276"/>
    <mergeCell ref="A277:B277"/>
    <mergeCell ref="G277:H277"/>
    <mergeCell ref="L271:M271"/>
    <mergeCell ref="A272:B272"/>
    <mergeCell ref="G272:H272"/>
    <mergeCell ref="L262:M262"/>
    <mergeCell ref="A263:B263"/>
    <mergeCell ref="G263:H263"/>
    <mergeCell ref="A264:B264"/>
    <mergeCell ref="G264:H264"/>
    <mergeCell ref="A265:B265"/>
    <mergeCell ref="G265:H265"/>
    <mergeCell ref="A266:B266"/>
    <mergeCell ref="G266:H266"/>
    <mergeCell ref="A267:B267"/>
    <mergeCell ref="C267:F267"/>
    <mergeCell ref="G267:H267"/>
    <mergeCell ref="G261:H261"/>
    <mergeCell ref="A262:H262"/>
    <mergeCell ref="A253:H253"/>
    <mergeCell ref="L253:M253"/>
    <mergeCell ref="A254:B254"/>
    <mergeCell ref="G254:H254"/>
    <mergeCell ref="A255:B255"/>
    <mergeCell ref="G255:H255"/>
    <mergeCell ref="A256:B256"/>
    <mergeCell ref="G256:H256"/>
    <mergeCell ref="A257:B257"/>
    <mergeCell ref="G257:H257"/>
    <mergeCell ref="A258:B258"/>
    <mergeCell ref="G258:H258"/>
    <mergeCell ref="A259:B259"/>
    <mergeCell ref="G259:H259"/>
    <mergeCell ref="A260:B260"/>
    <mergeCell ref="G260:H260"/>
    <mergeCell ref="A261:B261"/>
    <mergeCell ref="A247:B247"/>
    <mergeCell ref="G247:H247"/>
    <mergeCell ref="A248:B248"/>
    <mergeCell ref="G248:H248"/>
    <mergeCell ref="A250:B250"/>
    <mergeCell ref="G250:H250"/>
    <mergeCell ref="A251:B251"/>
    <mergeCell ref="G251:H251"/>
    <mergeCell ref="A252:B252"/>
    <mergeCell ref="G252:H252"/>
    <mergeCell ref="A249:B249"/>
    <mergeCell ref="C249:F249"/>
    <mergeCell ref="G249:H249"/>
    <mergeCell ref="A242:B242"/>
    <mergeCell ref="G242:H242"/>
    <mergeCell ref="A243:B243"/>
    <mergeCell ref="G243:H243"/>
    <mergeCell ref="A244:H244"/>
    <mergeCell ref="L244:M244"/>
    <mergeCell ref="A245:B245"/>
    <mergeCell ref="G245:H245"/>
    <mergeCell ref="A246:B246"/>
    <mergeCell ref="G246:H246"/>
    <mergeCell ref="A237:B237"/>
    <mergeCell ref="G237:H237"/>
    <mergeCell ref="A238:B238"/>
    <mergeCell ref="G238:H238"/>
    <mergeCell ref="A239:B239"/>
    <mergeCell ref="G239:H239"/>
    <mergeCell ref="A240:B240"/>
    <mergeCell ref="G240:H240"/>
    <mergeCell ref="A241:B241"/>
    <mergeCell ref="G241:H241"/>
    <mergeCell ref="A232:B232"/>
    <mergeCell ref="G232:H232"/>
    <mergeCell ref="A233:B233"/>
    <mergeCell ref="G233:H233"/>
    <mergeCell ref="A234:B234"/>
    <mergeCell ref="G234:H234"/>
    <mergeCell ref="A235:H235"/>
    <mergeCell ref="A236:B236"/>
    <mergeCell ref="G236:H236"/>
    <mergeCell ref="A227:B227"/>
    <mergeCell ref="G227:H227"/>
    <mergeCell ref="A228:B228"/>
    <mergeCell ref="G228:H228"/>
    <mergeCell ref="A229:B229"/>
    <mergeCell ref="G229:H229"/>
    <mergeCell ref="A230:B230"/>
    <mergeCell ref="G230:H230"/>
    <mergeCell ref="A231:B231"/>
    <mergeCell ref="G231:H231"/>
    <mergeCell ref="A225:H225"/>
    <mergeCell ref="A226:H226"/>
    <mergeCell ref="L218:M218"/>
    <mergeCell ref="A219:B219"/>
    <mergeCell ref="G219:H219"/>
    <mergeCell ref="A220:B220"/>
    <mergeCell ref="G220:H220"/>
    <mergeCell ref="A221:B221"/>
    <mergeCell ref="G221:H221"/>
    <mergeCell ref="A222:B222"/>
    <mergeCell ref="G222:H222"/>
    <mergeCell ref="A215:B215"/>
    <mergeCell ref="G215:H215"/>
    <mergeCell ref="A216:B216"/>
    <mergeCell ref="G216:H216"/>
    <mergeCell ref="A217:B217"/>
    <mergeCell ref="G217:H217"/>
    <mergeCell ref="A218:H218"/>
    <mergeCell ref="A223:H223"/>
    <mergeCell ref="A224:H224"/>
    <mergeCell ref="L209:M209"/>
    <mergeCell ref="A210:B210"/>
    <mergeCell ref="G210:H210"/>
    <mergeCell ref="A211:B211"/>
    <mergeCell ref="G211:H211"/>
    <mergeCell ref="A212:B212"/>
    <mergeCell ref="G212:H212"/>
    <mergeCell ref="A213:B213"/>
    <mergeCell ref="G213:H213"/>
    <mergeCell ref="A205:B205"/>
    <mergeCell ref="G205:H205"/>
    <mergeCell ref="A206:B206"/>
    <mergeCell ref="G206:H206"/>
    <mergeCell ref="A207:B207"/>
    <mergeCell ref="G207:H207"/>
    <mergeCell ref="A208:B208"/>
    <mergeCell ref="G208:H208"/>
    <mergeCell ref="A209:H209"/>
    <mergeCell ref="A200:H200"/>
    <mergeCell ref="L200:M200"/>
    <mergeCell ref="A201:B201"/>
    <mergeCell ref="G201:H201"/>
    <mergeCell ref="A202:B202"/>
    <mergeCell ref="G202:H202"/>
    <mergeCell ref="A203:B203"/>
    <mergeCell ref="G203:H203"/>
    <mergeCell ref="A204:B204"/>
    <mergeCell ref="G204:H204"/>
    <mergeCell ref="A195:B195"/>
    <mergeCell ref="G195:H195"/>
    <mergeCell ref="A196:B196"/>
    <mergeCell ref="G196:H196"/>
    <mergeCell ref="A197:B197"/>
    <mergeCell ref="G197:H197"/>
    <mergeCell ref="A198:B198"/>
    <mergeCell ref="G198:H198"/>
    <mergeCell ref="A199:B199"/>
    <mergeCell ref="G199:H199"/>
    <mergeCell ref="A190:B190"/>
    <mergeCell ref="G190:H190"/>
    <mergeCell ref="A191:H191"/>
    <mergeCell ref="L191:M191"/>
    <mergeCell ref="A192:B192"/>
    <mergeCell ref="G192:H192"/>
    <mergeCell ref="A193:B193"/>
    <mergeCell ref="G193:H193"/>
    <mergeCell ref="A194:B194"/>
    <mergeCell ref="G194:H194"/>
    <mergeCell ref="A186:B186"/>
    <mergeCell ref="G186:H186"/>
    <mergeCell ref="A188:B188"/>
    <mergeCell ref="G188:H188"/>
    <mergeCell ref="A189:B189"/>
    <mergeCell ref="G189:H189"/>
    <mergeCell ref="A187:B187"/>
    <mergeCell ref="C187:F187"/>
    <mergeCell ref="G187:H187"/>
    <mergeCell ref="A181:B181"/>
    <mergeCell ref="G181:H181"/>
    <mergeCell ref="A182:H182"/>
    <mergeCell ref="L182:M182"/>
    <mergeCell ref="A183:B183"/>
    <mergeCell ref="G183:H183"/>
    <mergeCell ref="A184:B184"/>
    <mergeCell ref="G184:H184"/>
    <mergeCell ref="A185:B185"/>
    <mergeCell ref="G185:H185"/>
    <mergeCell ref="L164:M164"/>
    <mergeCell ref="A167:B167"/>
    <mergeCell ref="A168:B168"/>
    <mergeCell ref="G168:H168"/>
    <mergeCell ref="G165:H165"/>
    <mergeCell ref="A174:B174"/>
    <mergeCell ref="G174:H174"/>
    <mergeCell ref="A175:B175"/>
    <mergeCell ref="G175:H175"/>
    <mergeCell ref="G171:H171"/>
    <mergeCell ref="A172:B172"/>
    <mergeCell ref="G172:H172"/>
    <mergeCell ref="G170:H170"/>
    <mergeCell ref="A173:H173"/>
    <mergeCell ref="L173:M173"/>
    <mergeCell ref="A169:B169"/>
    <mergeCell ref="C169:F169"/>
    <mergeCell ref="G169:H169"/>
    <mergeCell ref="L140:M140"/>
    <mergeCell ref="A143:H143"/>
    <mergeCell ref="A144:H144"/>
    <mergeCell ref="A145:H145"/>
    <mergeCell ref="A153:B153"/>
    <mergeCell ref="G153:H153"/>
    <mergeCell ref="A154:B154"/>
    <mergeCell ref="G154:H154"/>
    <mergeCell ref="A140:B140"/>
    <mergeCell ref="G140:H140"/>
    <mergeCell ref="A152:B152"/>
    <mergeCell ref="G151:H151"/>
    <mergeCell ref="G150:H150"/>
    <mergeCell ref="G152:H152"/>
    <mergeCell ref="A151:B151"/>
    <mergeCell ref="A150:B150"/>
    <mergeCell ref="A147:B147"/>
    <mergeCell ref="G148:H148"/>
    <mergeCell ref="G149:H149"/>
    <mergeCell ref="G147:H147"/>
    <mergeCell ref="L136:M136"/>
    <mergeCell ref="A137:B137"/>
    <mergeCell ref="G137:H137"/>
    <mergeCell ref="L137:M137"/>
    <mergeCell ref="A138:B138"/>
    <mergeCell ref="G138:H138"/>
    <mergeCell ref="L138:M138"/>
    <mergeCell ref="A139:B139"/>
    <mergeCell ref="G139:H139"/>
    <mergeCell ref="L139:M139"/>
    <mergeCell ref="A136:B136"/>
    <mergeCell ref="G136:H136"/>
    <mergeCell ref="L132:M132"/>
    <mergeCell ref="A133:B133"/>
    <mergeCell ref="G133:H133"/>
    <mergeCell ref="L133:M133"/>
    <mergeCell ref="A134:B134"/>
    <mergeCell ref="G134:H134"/>
    <mergeCell ref="L134:M134"/>
    <mergeCell ref="A135:B135"/>
    <mergeCell ref="G135:H135"/>
    <mergeCell ref="L135:M135"/>
    <mergeCell ref="G132:H132"/>
    <mergeCell ref="L128:M128"/>
    <mergeCell ref="A129:B129"/>
    <mergeCell ref="G129:H129"/>
    <mergeCell ref="L129:M129"/>
    <mergeCell ref="A130:B130"/>
    <mergeCell ref="G130:H130"/>
    <mergeCell ref="L130:M130"/>
    <mergeCell ref="A131:B131"/>
    <mergeCell ref="G131:H131"/>
    <mergeCell ref="L131:M131"/>
    <mergeCell ref="A128:B128"/>
    <mergeCell ref="G128:H128"/>
    <mergeCell ref="L124:M124"/>
    <mergeCell ref="A125:B125"/>
    <mergeCell ref="G125:H125"/>
    <mergeCell ref="L125:M125"/>
    <mergeCell ref="A126:B126"/>
    <mergeCell ref="G126:H126"/>
    <mergeCell ref="L126:M126"/>
    <mergeCell ref="A127:B127"/>
    <mergeCell ref="G127:H127"/>
    <mergeCell ref="L127:M127"/>
    <mergeCell ref="A124:B124"/>
    <mergeCell ref="G124:H124"/>
    <mergeCell ref="E39:H39"/>
    <mergeCell ref="A39:D39"/>
    <mergeCell ref="A319:H319"/>
    <mergeCell ref="A170:B170"/>
    <mergeCell ref="A316:H316"/>
    <mergeCell ref="A165:B165"/>
    <mergeCell ref="A107:B107"/>
    <mergeCell ref="G142:H142"/>
    <mergeCell ref="A68:B68"/>
    <mergeCell ref="F91:H91"/>
    <mergeCell ref="A88:H88"/>
    <mergeCell ref="A89:B89"/>
    <mergeCell ref="A90:H90"/>
    <mergeCell ref="G105:H105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A315:H315"/>
    <mergeCell ref="E107:F107"/>
    <mergeCell ref="E104:F104"/>
    <mergeCell ref="A87:E87"/>
    <mergeCell ref="F87:H87"/>
    <mergeCell ref="A111:H111"/>
    <mergeCell ref="G167:H167"/>
    <mergeCell ref="A104:B104"/>
    <mergeCell ref="F97:H97"/>
    <mergeCell ref="C104:D104"/>
    <mergeCell ref="F93:H93"/>
    <mergeCell ref="F100:H100"/>
    <mergeCell ref="F98:H98"/>
    <mergeCell ref="A148:B148"/>
    <mergeCell ref="A112:H112"/>
    <mergeCell ref="G104:H104"/>
    <mergeCell ref="A177:B177"/>
    <mergeCell ref="G177:H177"/>
    <mergeCell ref="A178:B178"/>
    <mergeCell ref="G178:H178"/>
    <mergeCell ref="A179:B179"/>
    <mergeCell ref="G179:H179"/>
    <mergeCell ref="A180:B180"/>
    <mergeCell ref="G180:H180"/>
    <mergeCell ref="C105:D105"/>
    <mergeCell ref="E105:F105"/>
    <mergeCell ref="G166:H166"/>
    <mergeCell ref="B113:B114"/>
    <mergeCell ref="A113:A114"/>
    <mergeCell ref="C89:H89"/>
    <mergeCell ref="A132:B132"/>
    <mergeCell ref="A322:H325"/>
    <mergeCell ref="A321:B321"/>
    <mergeCell ref="E321:F321"/>
    <mergeCell ref="C321:D321"/>
    <mergeCell ref="G321:H321"/>
    <mergeCell ref="A103:H103"/>
    <mergeCell ref="A101:E101"/>
    <mergeCell ref="F101:H101"/>
    <mergeCell ref="A102:E102"/>
    <mergeCell ref="F102:H102"/>
    <mergeCell ref="A164:H164"/>
    <mergeCell ref="A149:B149"/>
    <mergeCell ref="A105:B105"/>
    <mergeCell ref="A317:H317"/>
    <mergeCell ref="A106:H106"/>
    <mergeCell ref="A320:H320"/>
    <mergeCell ref="A176:B176"/>
    <mergeCell ref="A318:H318"/>
    <mergeCell ref="A303:H303"/>
    <mergeCell ref="C113:C114"/>
    <mergeCell ref="A146:H146"/>
    <mergeCell ref="B310:H310"/>
    <mergeCell ref="A314:H314"/>
    <mergeCell ref="A141:H141"/>
    <mergeCell ref="A166:B166"/>
    <mergeCell ref="A58:C58"/>
    <mergeCell ref="D58:H58"/>
    <mergeCell ref="A63:B63"/>
    <mergeCell ref="G62:H62"/>
    <mergeCell ref="A61:B61"/>
    <mergeCell ref="A59:B59"/>
    <mergeCell ref="C59:H59"/>
    <mergeCell ref="A67:B67"/>
    <mergeCell ref="C108:D108"/>
    <mergeCell ref="E108:F108"/>
    <mergeCell ref="G108:H108"/>
    <mergeCell ref="F96:H96"/>
    <mergeCell ref="A91:E91"/>
    <mergeCell ref="A116:H116"/>
    <mergeCell ref="E113:E114"/>
    <mergeCell ref="G113:H114"/>
    <mergeCell ref="A64:B64"/>
    <mergeCell ref="A66:B66"/>
    <mergeCell ref="E62:F62"/>
    <mergeCell ref="A55:C55"/>
    <mergeCell ref="A56:C56"/>
    <mergeCell ref="D55:H55"/>
    <mergeCell ref="E63:F72"/>
    <mergeCell ref="G63:H72"/>
    <mergeCell ref="A71:B71"/>
    <mergeCell ref="A72:B72"/>
    <mergeCell ref="D56:H56"/>
    <mergeCell ref="A70:B70"/>
    <mergeCell ref="A69:B69"/>
    <mergeCell ref="A62:B62"/>
    <mergeCell ref="A65:B65"/>
    <mergeCell ref="E42:H42"/>
    <mergeCell ref="E43:H43"/>
    <mergeCell ref="A41:D41"/>
    <mergeCell ref="A42:D42"/>
    <mergeCell ref="A43:D43"/>
    <mergeCell ref="A44:H44"/>
    <mergeCell ref="A57:C57"/>
    <mergeCell ref="D57:H57"/>
    <mergeCell ref="C61:H61"/>
    <mergeCell ref="C49:E49"/>
    <mergeCell ref="A46:B46"/>
    <mergeCell ref="A50:H50"/>
    <mergeCell ref="A51:C51"/>
    <mergeCell ref="A52:C52"/>
    <mergeCell ref="D52:H52"/>
    <mergeCell ref="G49:H49"/>
    <mergeCell ref="C48:H48"/>
    <mergeCell ref="A47:B48"/>
    <mergeCell ref="E41:H4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A40:D40"/>
    <mergeCell ref="E40:H40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99:E99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D53:H53"/>
    <mergeCell ref="A53:C53"/>
    <mergeCell ref="G46:H46"/>
    <mergeCell ref="D113:D114"/>
    <mergeCell ref="A93:E93"/>
    <mergeCell ref="A95:E95"/>
    <mergeCell ref="F95:H95"/>
    <mergeCell ref="A96:E96"/>
    <mergeCell ref="C107:D107"/>
    <mergeCell ref="G107:H107"/>
    <mergeCell ref="G109:H109"/>
    <mergeCell ref="L123:M123"/>
    <mergeCell ref="L122:M122"/>
    <mergeCell ref="G119:H119"/>
    <mergeCell ref="G117:H117"/>
    <mergeCell ref="G123:H123"/>
    <mergeCell ref="G122:H122"/>
    <mergeCell ref="G118:H118"/>
    <mergeCell ref="G121:H121"/>
    <mergeCell ref="G120:H120"/>
    <mergeCell ref="L121:M121"/>
    <mergeCell ref="L120:M120"/>
    <mergeCell ref="L119:M119"/>
    <mergeCell ref="L118:M118"/>
    <mergeCell ref="L117:M117"/>
    <mergeCell ref="F99:H99"/>
    <mergeCell ref="A110:B110"/>
    <mergeCell ref="G176:H176"/>
    <mergeCell ref="A123:B123"/>
    <mergeCell ref="A117:B117"/>
    <mergeCell ref="A118:B118"/>
    <mergeCell ref="A119:B119"/>
    <mergeCell ref="A171:B171"/>
    <mergeCell ref="F92:H92"/>
    <mergeCell ref="A92:E92"/>
    <mergeCell ref="A100:E100"/>
    <mergeCell ref="A94:E94"/>
    <mergeCell ref="F94:H94"/>
    <mergeCell ref="A97:E97"/>
    <mergeCell ref="A120:B120"/>
    <mergeCell ref="A121:B121"/>
    <mergeCell ref="A115:H115"/>
    <mergeCell ref="C110:D110"/>
    <mergeCell ref="E110:F110"/>
    <mergeCell ref="G110:H110"/>
    <mergeCell ref="C109:D109"/>
    <mergeCell ref="E109:F109"/>
    <mergeCell ref="A108:B108"/>
    <mergeCell ref="A109:B109"/>
    <mergeCell ref="A98:E98"/>
    <mergeCell ref="A122:B122"/>
    <mergeCell ref="B311:H311"/>
    <mergeCell ref="B309:H309"/>
    <mergeCell ref="B304:H304"/>
    <mergeCell ref="B305:H305"/>
    <mergeCell ref="B306:H306"/>
    <mergeCell ref="B307:H307"/>
    <mergeCell ref="B308:H308"/>
    <mergeCell ref="A155:H155"/>
    <mergeCell ref="A156:B156"/>
    <mergeCell ref="G156:H156"/>
    <mergeCell ref="A161:B161"/>
    <mergeCell ref="G161:H161"/>
    <mergeCell ref="A162:B162"/>
    <mergeCell ref="G162:H162"/>
    <mergeCell ref="A157:B157"/>
    <mergeCell ref="G157:H157"/>
    <mergeCell ref="A158:B158"/>
    <mergeCell ref="G158:H158"/>
    <mergeCell ref="A159:B159"/>
    <mergeCell ref="G159:H159"/>
    <mergeCell ref="A160:B160"/>
    <mergeCell ref="G160:H160"/>
    <mergeCell ref="A163:B163"/>
    <mergeCell ref="G163:H163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</oddFooter>
  </headerFooter>
  <rowBreaks count="3" manualBreakCount="3">
    <brk id="58" max="16383" man="1"/>
    <brk id="325" max="16383" man="1"/>
    <brk id="36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77</v>
      </c>
      <c r="C2" s="169"/>
      <c r="D2" s="169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78</v>
      </c>
      <c r="B4" s="5" t="s">
        <v>79</v>
      </c>
      <c r="C4" s="170" t="s">
        <v>80</v>
      </c>
      <c r="D4" s="170"/>
      <c r="E4" s="170"/>
      <c r="F4" s="6"/>
      <c r="G4" s="170" t="s">
        <v>81</v>
      </c>
      <c r="H4" s="170"/>
      <c r="I4" s="170"/>
      <c r="J4" s="170" t="s">
        <v>82</v>
      </c>
      <c r="K4" s="170"/>
      <c r="L4" s="170"/>
    </row>
    <row r="5" spans="1:12" x14ac:dyDescent="0.35">
      <c r="A5" s="3">
        <v>202</v>
      </c>
      <c r="B5" s="5"/>
      <c r="C5" s="5" t="s">
        <v>83</v>
      </c>
      <c r="D5" s="5" t="s">
        <v>84</v>
      </c>
      <c r="E5" s="5" t="s">
        <v>61</v>
      </c>
      <c r="F5" s="5"/>
      <c r="G5" s="5" t="s">
        <v>83</v>
      </c>
      <c r="H5" s="5" t="s">
        <v>84</v>
      </c>
      <c r="I5" s="5" t="s">
        <v>61</v>
      </c>
      <c r="J5" s="5" t="s">
        <v>83</v>
      </c>
      <c r="K5" s="5" t="s">
        <v>84</v>
      </c>
      <c r="L5" s="5" t="s">
        <v>61</v>
      </c>
    </row>
    <row r="6" spans="1:12" x14ac:dyDescent="0.35">
      <c r="B6" s="7" t="s">
        <v>85</v>
      </c>
      <c r="C6" s="7"/>
      <c r="D6" s="7"/>
      <c r="E6" s="7">
        <f>C6*D6</f>
        <v>0</v>
      </c>
      <c r="F6" s="7" t="s">
        <v>86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87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88</v>
      </c>
      <c r="C9" s="7"/>
      <c r="D9" s="7"/>
      <c r="E9" s="7">
        <f t="shared" si="0"/>
        <v>0</v>
      </c>
      <c r="F9" s="7" t="s">
        <v>86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87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89</v>
      </c>
      <c r="C13" s="7"/>
      <c r="D13" s="7"/>
      <c r="E13" s="7">
        <f t="shared" si="0"/>
        <v>0</v>
      </c>
      <c r="F13" s="7" t="s">
        <v>86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87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90</v>
      </c>
      <c r="C17" s="7"/>
      <c r="D17" s="7"/>
      <c r="E17" s="7">
        <f t="shared" si="0"/>
        <v>0</v>
      </c>
      <c r="F17" s="7" t="s">
        <v>86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87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90</v>
      </c>
      <c r="C20" s="7"/>
      <c r="D20" s="7"/>
      <c r="E20" s="7">
        <f t="shared" si="0"/>
        <v>0</v>
      </c>
      <c r="F20" s="7" t="s">
        <v>86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87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91</v>
      </c>
      <c r="C23" s="7"/>
      <c r="D23" s="7"/>
      <c r="E23" s="7">
        <f t="shared" si="0"/>
        <v>0</v>
      </c>
      <c r="F23" s="7" t="s">
        <v>92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93</v>
      </c>
      <c r="C24" s="7"/>
      <c r="D24" s="7"/>
      <c r="E24" s="7">
        <f t="shared" si="0"/>
        <v>0</v>
      </c>
      <c r="F24" s="7" t="s">
        <v>92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94</v>
      </c>
      <c r="C25" s="7"/>
      <c r="D25" s="7"/>
      <c r="E25" s="7">
        <f t="shared" si="0"/>
        <v>0</v>
      </c>
      <c r="F25" s="7" t="s">
        <v>92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95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96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97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98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62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265625" defaultRowHeight="14.5" x14ac:dyDescent="0.35"/>
  <cols>
    <col min="1" max="1" width="8.7265625" style="19"/>
    <col min="2" max="2" width="22.1796875" style="19" customWidth="1"/>
    <col min="3" max="3" width="37" style="19" customWidth="1"/>
    <col min="4" max="5" width="11.453125" style="19" customWidth="1"/>
    <col min="6" max="6" width="14" style="19" customWidth="1"/>
    <col min="7" max="7" width="20" style="19" customWidth="1"/>
    <col min="8" max="8" width="16.453125" style="19" customWidth="1"/>
    <col min="9" max="16384" width="8.7265625" style="19"/>
  </cols>
  <sheetData>
    <row r="1" spans="1:9" ht="15" customHeight="1" x14ac:dyDescent="0.35">
      <c r="A1" s="18"/>
      <c r="B1" s="18"/>
      <c r="C1" s="18"/>
      <c r="D1" s="18"/>
      <c r="E1" s="18"/>
      <c r="F1" s="18"/>
      <c r="G1" s="18"/>
      <c r="H1" s="18"/>
    </row>
    <row r="2" spans="1:9" ht="15" customHeight="1" x14ac:dyDescent="0.35">
      <c r="A2" s="20"/>
      <c r="B2" s="20"/>
      <c r="C2" s="20"/>
      <c r="D2" s="20"/>
      <c r="E2" s="20"/>
      <c r="F2" s="20"/>
      <c r="G2" s="20"/>
      <c r="H2" s="20"/>
    </row>
    <row r="3" spans="1:9" ht="15.75" customHeight="1" x14ac:dyDescent="0.35">
      <c r="A3" s="20"/>
      <c r="B3" s="171" t="s">
        <v>143</v>
      </c>
      <c r="C3" s="171"/>
      <c r="D3" s="171"/>
      <c r="E3" s="171"/>
      <c r="F3" s="171"/>
      <c r="G3" s="171"/>
      <c r="H3" s="171"/>
    </row>
    <row r="4" spans="1:9" x14ac:dyDescent="0.35">
      <c r="A4" s="20"/>
      <c r="B4" s="21" t="s">
        <v>144</v>
      </c>
      <c r="C4" s="21" t="s">
        <v>145</v>
      </c>
      <c r="D4" s="21" t="s">
        <v>78</v>
      </c>
      <c r="E4" s="21" t="s">
        <v>146</v>
      </c>
      <c r="F4" s="21" t="s">
        <v>153</v>
      </c>
      <c r="G4" s="21" t="s">
        <v>154</v>
      </c>
      <c r="H4" s="21" t="s">
        <v>147</v>
      </c>
    </row>
    <row r="5" spans="1:9" ht="15" customHeight="1" x14ac:dyDescent="0.35">
      <c r="A5" s="20"/>
      <c r="B5" s="23" t="s">
        <v>148</v>
      </c>
      <c r="C5" s="24"/>
      <c r="D5" s="23" t="s">
        <v>149</v>
      </c>
      <c r="E5" s="23">
        <v>1106</v>
      </c>
      <c r="F5" s="25">
        <f>E5*1.6</f>
        <v>1769.6000000000001</v>
      </c>
      <c r="G5" s="25">
        <f>H5/F5</f>
        <v>31532.549728752259</v>
      </c>
      <c r="H5" s="26">
        <v>55800000</v>
      </c>
    </row>
    <row r="6" spans="1:9" x14ac:dyDescent="0.35">
      <c r="A6" s="20"/>
      <c r="B6" s="23" t="s">
        <v>148</v>
      </c>
      <c r="C6" s="27"/>
      <c r="D6" s="23"/>
      <c r="E6" s="23"/>
      <c r="F6" s="25">
        <f t="shared" ref="F6:F11" si="0">E6*1.6</f>
        <v>0</v>
      </c>
      <c r="G6" s="25" t="e">
        <f t="shared" ref="G6:G11" si="1">H6/F6</f>
        <v>#DIV/0!</v>
      </c>
      <c r="H6" s="26"/>
    </row>
    <row r="7" spans="1:9" ht="15" customHeight="1" x14ac:dyDescent="0.35">
      <c r="A7" s="20"/>
      <c r="B7" s="23" t="s">
        <v>148</v>
      </c>
      <c r="C7" s="24"/>
      <c r="D7" s="23"/>
      <c r="E7" s="23"/>
      <c r="F7" s="25">
        <f t="shared" si="0"/>
        <v>0</v>
      </c>
      <c r="G7" s="25" t="e">
        <f t="shared" si="1"/>
        <v>#DIV/0!</v>
      </c>
      <c r="H7" s="26"/>
    </row>
    <row r="8" spans="1:9" x14ac:dyDescent="0.35">
      <c r="A8" s="20"/>
      <c r="B8" s="23" t="s">
        <v>148</v>
      </c>
      <c r="C8" s="27"/>
      <c r="D8" s="23"/>
      <c r="E8" s="23"/>
      <c r="F8" s="25">
        <f t="shared" si="0"/>
        <v>0</v>
      </c>
      <c r="G8" s="25" t="e">
        <f t="shared" si="1"/>
        <v>#DIV/0!</v>
      </c>
      <c r="H8" s="26"/>
    </row>
    <row r="9" spans="1:9" ht="15" customHeight="1" x14ac:dyDescent="0.35">
      <c r="A9" s="20"/>
      <c r="B9" s="23" t="s">
        <v>148</v>
      </c>
      <c r="C9" s="27"/>
      <c r="D9" s="23"/>
      <c r="E9" s="23"/>
      <c r="F9" s="25">
        <f t="shared" si="0"/>
        <v>0</v>
      </c>
      <c r="G9" s="25" t="e">
        <f t="shared" si="1"/>
        <v>#DIV/0!</v>
      </c>
      <c r="H9" s="26"/>
    </row>
    <row r="10" spans="1:9" ht="15" customHeight="1" x14ac:dyDescent="0.35">
      <c r="A10" s="20"/>
      <c r="B10" s="23" t="s">
        <v>150</v>
      </c>
      <c r="C10" s="24"/>
      <c r="D10" s="23"/>
      <c r="E10" s="23"/>
      <c r="F10" s="25">
        <f t="shared" si="0"/>
        <v>0</v>
      </c>
      <c r="G10" s="25" t="e">
        <f t="shared" si="1"/>
        <v>#DIV/0!</v>
      </c>
      <c r="H10" s="26"/>
    </row>
    <row r="11" spans="1:9" ht="15" customHeight="1" x14ac:dyDescent="0.35">
      <c r="A11" s="20"/>
      <c r="B11" s="23" t="s">
        <v>150</v>
      </c>
      <c r="C11" s="24"/>
      <c r="D11" s="23"/>
      <c r="E11" s="23"/>
      <c r="F11" s="25">
        <f t="shared" si="0"/>
        <v>0</v>
      </c>
      <c r="G11" s="25" t="e">
        <f t="shared" si="1"/>
        <v>#DIV/0!</v>
      </c>
      <c r="H11" s="26"/>
    </row>
    <row r="12" spans="1:9" ht="15" customHeight="1" x14ac:dyDescent="0.35">
      <c r="A12" s="20"/>
      <c r="B12" s="28" t="s">
        <v>151</v>
      </c>
      <c r="C12" s="23"/>
      <c r="D12" s="23"/>
      <c r="E12" s="23"/>
      <c r="F12" s="23"/>
      <c r="G12" s="29" t="e">
        <f>AVERAGE(G5:G11)</f>
        <v>#DIV/0!</v>
      </c>
      <c r="H12" s="23"/>
    </row>
    <row r="13" spans="1:9" ht="15" customHeight="1" x14ac:dyDescent="0.35">
      <c r="A13" s="18"/>
      <c r="B13" s="28" t="s">
        <v>152</v>
      </c>
      <c r="C13" s="30"/>
      <c r="D13" s="30"/>
      <c r="E13" s="30"/>
      <c r="F13" s="31"/>
      <c r="G13" s="28"/>
      <c r="H13" s="28"/>
      <c r="I13" s="22"/>
    </row>
    <row r="14" spans="1:9" ht="15" customHeight="1" x14ac:dyDescent="0.35">
      <c r="B14" s="18"/>
      <c r="C14" s="18"/>
      <c r="D14" s="18"/>
      <c r="E14" s="18"/>
    </row>
    <row r="15" spans="1:9" ht="15" customHeight="1" x14ac:dyDescent="0.35">
      <c r="B15" s="18"/>
      <c r="C15" s="18"/>
      <c r="D15" s="18"/>
      <c r="E15" s="18"/>
    </row>
    <row r="16" spans="1:9" ht="15" customHeight="1" x14ac:dyDescent="0.35">
      <c r="B16" s="18"/>
      <c r="C16" s="18"/>
      <c r="D16" s="18"/>
      <c r="E16" s="18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2025-08-28T15:59:05Z</cp:lastPrinted>
  <dcterms:created xsi:type="dcterms:W3CDTF">2019-07-16T09:29:46Z</dcterms:created>
  <dcterms:modified xsi:type="dcterms:W3CDTF">2025-08-28T16:00:06Z</dcterms:modified>
</cp:coreProperties>
</file>