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7-08-2025\"/>
    </mc:Choice>
  </mc:AlternateContent>
  <bookViews>
    <workbookView xWindow="0" yWindow="0" windowWidth="19200" windowHeight="6640" tabRatio="719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1" l="1"/>
  <c r="I125" i="1" l="1"/>
  <c r="D122" i="1" l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239" i="1"/>
  <c r="F239" i="1" s="1"/>
  <c r="D238" i="1"/>
  <c r="F238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L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A224" i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G223" i="1"/>
  <c r="A204" i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G203" i="1"/>
  <c r="A184" i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G183" i="1"/>
  <c r="E97" i="1" l="1"/>
  <c r="C97" i="1"/>
  <c r="F125" i="1"/>
  <c r="G98" i="1" s="1"/>
  <c r="C98" i="1"/>
  <c r="E98" i="1"/>
  <c r="G164" i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G143" i="1"/>
  <c r="K137" i="1"/>
  <c r="K136" i="1"/>
  <c r="K135" i="1"/>
  <c r="I139" i="1"/>
  <c r="I141" i="1"/>
  <c r="I126" i="1"/>
  <c r="I138" i="1"/>
  <c r="F113" i="1"/>
  <c r="F114" i="1"/>
  <c r="F115" i="1"/>
  <c r="F116" i="1"/>
  <c r="F117" i="1"/>
  <c r="F118" i="1"/>
  <c r="F119" i="1"/>
  <c r="F120" i="1"/>
  <c r="F121" i="1"/>
  <c r="I110" i="1"/>
  <c r="I112" i="1"/>
  <c r="F122" i="1"/>
  <c r="I109" i="1"/>
  <c r="C99" i="1" l="1"/>
  <c r="C100" i="1" s="1"/>
  <c r="E99" i="1"/>
  <c r="E100" i="1" s="1"/>
  <c r="K134" i="1"/>
  <c r="G50" i="1"/>
  <c r="G51" i="1" s="1"/>
  <c r="E7" i="1"/>
  <c r="C15" i="1"/>
  <c r="F109" i="1" l="1"/>
  <c r="E43" i="1" l="1"/>
  <c r="E44" i="1" s="1"/>
  <c r="E30" i="1" l="1"/>
  <c r="A126" i="1" l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G125" i="1"/>
  <c r="F110" i="1" l="1"/>
  <c r="F111" i="1"/>
  <c r="F112" i="1"/>
  <c r="G97" i="1" l="1"/>
  <c r="G99" i="1" s="1"/>
  <c r="G100" i="1" s="1"/>
  <c r="B24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9" i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G109" i="1"/>
  <c r="C66" i="1"/>
  <c r="B67" i="1" s="1"/>
  <c r="C50" i="1"/>
  <c r="C51" i="1" s="1"/>
  <c r="E27" i="1"/>
  <c r="E25" i="1"/>
  <c r="E3" i="1"/>
  <c r="D60" i="1" l="1"/>
  <c r="H67" i="1"/>
  <c r="D79" i="1" l="1"/>
  <c r="D77" i="1"/>
  <c r="D76" i="1"/>
  <c r="D73" i="1"/>
  <c r="D75" i="1"/>
  <c r="J72" i="1"/>
  <c r="J73" i="1" s="1"/>
  <c r="D78" i="1"/>
  <c r="J66" i="1"/>
  <c r="J68" i="1" s="1"/>
  <c r="D74" i="1"/>
  <c r="J70" i="1"/>
  <c r="J71" i="1"/>
  <c r="C70" i="1" s="1"/>
  <c r="J69" i="1"/>
  <c r="J74" i="1"/>
  <c r="J75" i="1" s="1"/>
  <c r="J76" i="1" s="1"/>
  <c r="J77" i="1" s="1"/>
  <c r="D72" i="1"/>
  <c r="J78" i="1" l="1"/>
  <c r="D70" i="1"/>
  <c r="J79" i="1" l="1"/>
  <c r="C71" i="1" s="1"/>
  <c r="E70" i="1" s="1"/>
  <c r="D71" i="1" l="1"/>
  <c r="I67" i="1" s="1"/>
  <c r="I68" i="1" s="1"/>
  <c r="J67" i="1"/>
  <c r="G70" i="1"/>
  <c r="D64" i="1" s="1"/>
  <c r="D65" i="1" s="1"/>
  <c r="I66" i="1" l="1"/>
  <c r="C68" i="1" s="1"/>
  <c r="F65" i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<sst xmlns="http://schemas.openxmlformats.org/spreadsheetml/2006/main" count="383" uniqueCount="231">
  <si>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</si>
  <si>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</si>
  <si>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</si>
  <si>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</si>
  <si>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</si>
  <si>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</si>
  <si>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</si>
  <si>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</si>
  <si>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</si>
  <si>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</si>
  <si>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</si>
  <si>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</si>
  <si>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</si>
  <si>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</si>
  <si>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</si>
  <si>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</si>
  <si>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</si>
  <si>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</si>
  <si>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</si>
  <si>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</si>
  <si>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</si>
  <si>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</si>
  <si>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</si>
  <si>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</si>
  <si>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</si>
  <si>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</si>
  <si>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</si>
  <si>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</si>
  <si>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</si>
  <si>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</si>
  <si>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</si>
  <si>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</si>
  <si>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</si>
  <si>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</si>
  <si>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</si>
  <si>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</si>
  <si>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</si>
  <si>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</si>
  <si>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</si>
  <si>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</si>
  <si>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</si>
  <si>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</si>
  <si>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</si>
  <si>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</si>
  <si>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</si>
  <si>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</si>
  <si>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</si>
  <si>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</si>
  <si>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</si>
  <si>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</si>
  <si>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</si>
  <si>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</si>
  <si>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</si>
  <si>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</si>
  <si>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</si>
  <si>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</si>
  <si>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</si>
  <si>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</si>
  <si>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</si>
  <si>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</si>
  <si>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</si>
  <si>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</si>
  <si>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</si>
  <si>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</si>
  <si>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</si>
  <si>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</si>
  <si>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</si>
  <si>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</si>
  <si>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</si>
  <si>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</si>
  <si>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</si>
  <si>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</si>
  <si>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</si>
  <si>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</si>
  <si>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</si>
  <si>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</si>
  <si>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</si>
  <si>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</si>
  <si>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</si>
  <si>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</si>
  <si>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</si>
  <si>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</si>
  <si>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</si>
  <si>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</si>
  <si>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</si>
  <si>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</si>
  <si>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</si>
  <si>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</si>
  <si>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</si>
  <si>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</si>
  <si>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</si>
  <si>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</si>
  <si>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</si>
  <si>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</si>
  <si>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</si>
  <si>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</si>
  <si>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</si>
  <si>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</si>
  <si>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</si>
  <si>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</si>
  <si>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</si>
  <si>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</si>
  <si>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</si>
  <si>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</si>
  <si>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</si>
  <si>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</si>
  <si>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</si>
  <si>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</si>
  <si>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</si>
  <si>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</si>
  <si>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</si>
  <si>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</si>
  <si>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</si>
  <si>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</si>
  <si>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</si>
  <si>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</si>
  <si>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</si>
  <si>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</si>
  <si>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</si>
  <si>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</si>
  <si>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</si>
  <si>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</si>
  <si>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</si>
  <si>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</si>
  <si>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</si>
  <si>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</si>
  <si>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</si>
  <si>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</si>
  <si>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</si>
  <si>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</si>
  <si>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</si>
  <si>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</si>
  <si>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</si>
  <si>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</si>
  <si>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</si>
  <si>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</si>
  <si>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</si>
  <si>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</si>
  <si>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</si>
  <si>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</si>
  <si>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</si>
  <si>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</si>
  <si>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</si>
  <si>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</si>
  <si>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</si>
  <si>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</si>
  <si>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</si>
  <si>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</si>
  <si>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</si>
  <si>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</si>
  <si>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</si>
  <si>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</si>
  <si>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</si>
  <si>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</si>
  <si>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</si>
  <si>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</si>
  <si>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</si>
  <si>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</si>
  <si>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</si>
  <si>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</si>
  <si>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</si>
  <si>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</si>
  <si>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</si>
  <si>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</si>
  <si>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</si>
  <si>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</si>
  <si>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</si>
  <si>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</si>
  <si>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 xml:space="preserve">Details of Residential &amp; Commercials in Building   </t>
  </si>
  <si>
    <t>Survey No</t>
  </si>
  <si>
    <t xml:space="preserve">Axis Badlapur
</t>
  </si>
  <si>
    <t>Runwal Residency Private Limited</t>
  </si>
  <si>
    <t>Runwal Edge</t>
  </si>
  <si>
    <t>Mr Kunal 
9967393445</t>
  </si>
  <si>
    <t>P51700048175</t>
  </si>
  <si>
    <t>SROT/Growth Center/2401/BP/ITP-Usarghar-Gharivali-01/Site-A/CC Phase-5B/Vol-36/1538/2022</t>
  </si>
  <si>
    <t>Building No.52</t>
  </si>
  <si>
    <t xml:space="preserve">Commencement-CC No
Valid Up to: </t>
  </si>
  <si>
    <t>As per RERA - 30/06/2026</t>
  </si>
  <si>
    <t xml:space="preserve">Mumbai Metropolitan Region Development Authority </t>
  </si>
  <si>
    <t>https://goo.gl/maps/A6VQp1rxBiKAzMFq9</t>
  </si>
  <si>
    <t>4/1, 4/2, 4/3, 4/4, 4/5, 4/6, 4/10 &amp; Other</t>
  </si>
  <si>
    <t>Usarghar</t>
  </si>
  <si>
    <t>Thane</t>
  </si>
  <si>
    <t>Kalyan</t>
  </si>
  <si>
    <t>Usarghar Betwade Road</t>
  </si>
  <si>
    <t>Bhadra Nagar</t>
  </si>
  <si>
    <t>MG. Residency</t>
  </si>
  <si>
    <t>Open Plot</t>
  </si>
  <si>
    <t>Ground Floor For Commercial, Meter Room, Cafeteria, Waiting Lounge &amp; Entrance Lobby</t>
  </si>
  <si>
    <t>Shop</t>
  </si>
  <si>
    <t>Cafeteria</t>
  </si>
  <si>
    <t>Basement Floor For UGT Pump Room, CCTV Room, ELV Room, Panel Room, L.T Room, H.T Room, STP, Fire Control Room &amp; Parking</t>
  </si>
  <si>
    <t>Office</t>
  </si>
  <si>
    <t xml:space="preserve">2nd to 6th, 8th to 10th Floor </t>
  </si>
  <si>
    <t xml:space="preserve">1st Floor For Commercial </t>
  </si>
  <si>
    <t>7th &amp; 11th Floor Part Refuge Area</t>
  </si>
  <si>
    <t>13th, 14th, 16th to 18th Floor</t>
  </si>
  <si>
    <t>We considered Gross carpet area = Net carpet</t>
  </si>
  <si>
    <t>Offices - 358</t>
  </si>
  <si>
    <t>Builtup Area of Building No. 52</t>
  </si>
  <si>
    <t>4.9 KM from Dombivli Railway Station</t>
  </si>
  <si>
    <t>Usarghar Betwade Road/Runwal Gardens</t>
  </si>
  <si>
    <t>Gharivali Gav Road/Open Plot</t>
  </si>
  <si>
    <t>Other Plot</t>
  </si>
  <si>
    <t>24MW DP Rd/Building</t>
  </si>
  <si>
    <t>brochure</t>
  </si>
  <si>
    <t>Preferred investment destination of MMR
Upcoming smart city
Surrounded by green &amp; open spaces
Quality social infrastructure
Robust infrastructure development
Highest appreciating area in MMR
Housing solution for every buyer
Proximity to major business and industrial hubs</t>
  </si>
  <si>
    <t>Dombivli  East</t>
  </si>
  <si>
    <t xml:space="preserve">Building No. 52 </t>
  </si>
  <si>
    <t>Phase 5B</t>
  </si>
  <si>
    <t>LODHA GAME CHANGER</t>
  </si>
  <si>
    <t xml:space="preserve">Shop  </t>
  </si>
  <si>
    <t xml:space="preserve">Office  </t>
  </si>
  <si>
    <t>Approved Plans, CC</t>
  </si>
  <si>
    <t>Runwal Gardens</t>
  </si>
  <si>
    <t>Building No. 52  = 1B+ Gr + 1st to 18th Floor</t>
  </si>
  <si>
    <t>12th Floor (Part Terrace Area)</t>
  </si>
  <si>
    <t>15th Floor (Part Refuge Area)</t>
  </si>
  <si>
    <t>Recommended rate of the Office Per Sq. Ft. (1st to 3rd Floor)</t>
  </si>
  <si>
    <t>Recommended rate of the Office Per Sq. Ft. (4th to 10th Floor)</t>
  </si>
  <si>
    <t>Recommended rate of the Office Per Sq. Ft. (10th to 18th Floor)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</si>
  <si>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</si>
  <si>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19.181191,73.086405</t>
  </si>
  <si>
    <t>Other Charges</t>
  </si>
  <si>
    <t>OC 250000 by rushikesh On 20/03/2024</t>
  </si>
  <si>
    <t>Mr. Prince 9167667770</t>
  </si>
  <si>
    <t xml:space="preserve">Construction work is in process at the time of Visit.
</t>
  </si>
  <si>
    <t>Pooja Kawale</t>
  </si>
  <si>
    <t>Krishna</t>
  </si>
  <si>
    <t>Ashish : 7977732370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</si>
</sst>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24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2" borderId="0" xfId="1" applyFont="1" applyFill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29" fillId="0" borderId="0" xfId="1" applyFont="1"/>
    <xf numFmtId="0" fontId="7" fillId="0" borderId="1" xfId="1" applyFont="1" applyBorder="1" applyAlignment="1" applyProtection="1">
      <alignment horizontal="center" vertical="top" wrapText="1"/>
      <protection locked="0"/>
    </xf>
    <xf numFmtId="0" fontId="24" fillId="2" borderId="28" xfId="0" applyFont="1" applyFill="1" applyBorder="1"/>
    <xf numFmtId="0" fontId="25" fillId="0" borderId="8" xfId="0" applyFont="1" applyBorder="1"/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10" fillId="0" borderId="7" xfId="1" applyNumberFormat="1" applyFont="1" applyBorder="1" applyAlignment="1" applyProtection="1">
      <alignment horizontal="center" vertical="top" wrapText="1"/>
      <protection locked="0"/>
    </xf>
    <xf numFmtId="1" fontId="10" fillId="0" borderId="17" xfId="1" applyNumberFormat="1" applyFont="1" applyBorder="1" applyAlignment="1" applyProtection="1">
      <alignment horizontal="center" vertical="top" wrapText="1"/>
      <protection locked="0"/>
    </xf>
    <xf numFmtId="1" fontId="10" fillId="0" borderId="8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17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8" fillId="0" borderId="1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9" fontId="7" fillId="0" borderId="13" xfId="8" applyFont="1" applyFill="1" applyBorder="1" applyAlignment="1" applyProtection="1">
      <alignment horizontal="center" vertical="center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9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7" fillId="0" borderId="7" xfId="1" applyFont="1" applyBorder="1" applyAlignment="1" applyProtection="1">
      <alignment horizontal="center" vertical="top"/>
      <protection locked="0"/>
    </xf>
    <xf numFmtId="0" fontId="7" fillId="0" borderId="17" xfId="1" applyFont="1" applyBorder="1" applyAlignment="1" applyProtection="1">
      <alignment horizontal="center" vertical="top"/>
      <protection locked="0"/>
    </xf>
    <xf numFmtId="0" fontId="7" fillId="0" borderId="8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17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17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10" fillId="0" borderId="26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1" fontId="10" fillId="0" borderId="26" xfId="0" applyNumberFormat="1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center" vertical="top" wrapText="1"/>
      <protection locked="0"/>
    </xf>
    <xf numFmtId="1" fontId="8" fillId="0" borderId="26" xfId="0" applyNumberFormat="1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png"/><Relationship Id="rId3" Type="http://schemas.microsoft.com/office/2007/relationships/hdphoto" Target="../media/hdphoto1.wdp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5" Type="http://schemas.openxmlformats.org/officeDocument/2006/relationships/image" Target="../media/image14.pn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329733</xdr:colOff>
      <xdr:row>330</xdr:row>
      <xdr:rowOff>3664</xdr:rowOff>
    </xdr:from>
    <xdr:to>
      <xdr:col>7</xdr:col>
      <xdr:colOff>405932</xdr:colOff>
      <xdr:row>346</xdr:row>
      <xdr:rowOff>37232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9733" y="69974314"/>
          <a:ext cx="5753099" cy="3233968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4</xdr:col>
      <xdr:colOff>109868</xdr:colOff>
      <xdr:row>341</xdr:row>
      <xdr:rowOff>148044</xdr:rowOff>
    </xdr:from>
    <xdr:to>
      <xdr:col>4</xdr:col>
      <xdr:colOff>236066</xdr:colOff>
      <xdr:row>344</xdr:row>
      <xdr:rowOff>85186</xdr:rowOff>
    </xdr:to>
    <xdr:sp macro="" textlink="">
      <xdr:nvSpPr>
        <xdr:cNvPr id="10" name="Flowchart: Termina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8518935">
          <a:off x="3257158" y="72524479"/>
          <a:ext cx="537217" cy="126198"/>
        </a:xfrm>
        <a:prstGeom prst="flowChartTerminator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257735</xdr:colOff>
      <xdr:row>302</xdr:row>
      <xdr:rowOff>112059</xdr:rowOff>
    </xdr:from>
    <xdr:to>
      <xdr:col>7</xdr:col>
      <xdr:colOff>546755</xdr:colOff>
      <xdr:row>320</xdr:row>
      <xdr:rowOff>81355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735" y="64482009"/>
          <a:ext cx="5965920" cy="356974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4</xdr:col>
      <xdr:colOff>604838</xdr:colOff>
      <xdr:row>316</xdr:row>
      <xdr:rowOff>109538</xdr:rowOff>
    </xdr:from>
    <xdr:to>
      <xdr:col>4</xdr:col>
      <xdr:colOff>709613</xdr:colOff>
      <xdr:row>318</xdr:row>
      <xdr:rowOff>128588</xdr:rowOff>
    </xdr:to>
    <xdr:sp macro="" textlink="">
      <xdr:nvSpPr>
        <xdr:cNvPr id="3" name="Flowchart: Termina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8650232">
          <a:off x="3800476" y="67437000"/>
          <a:ext cx="419100" cy="104775"/>
        </a:xfrm>
        <a:prstGeom prst="flowChartTerminator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122463</xdr:colOff>
      <xdr:row>347</xdr:row>
      <xdr:rowOff>68039</xdr:rowOff>
    </xdr:from>
    <xdr:to>
      <xdr:col>6</xdr:col>
      <xdr:colOff>579047</xdr:colOff>
      <xdr:row>361</xdr:row>
      <xdr:rowOff>147688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4463" y="73439114"/>
          <a:ext cx="4609484" cy="28799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349250</xdr:colOff>
      <xdr:row>260</xdr:row>
      <xdr:rowOff>158750</xdr:rowOff>
    </xdr:from>
    <xdr:to>
      <xdr:col>16</xdr:col>
      <xdr:colOff>101866</xdr:colOff>
      <xdr:row>292</xdr:row>
      <xdr:rowOff>128087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194550" y="55352950"/>
          <a:ext cx="6451866" cy="6268537"/>
          <a:chOff x="196850" y="55175150"/>
          <a:chExt cx="6432816" cy="6268537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11353" y="5928368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8156" y="551751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0427" y="59283687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59283687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6699" y="551751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9</xdr:col>
      <xdr:colOff>104775</xdr:colOff>
      <xdr:row>258</xdr:row>
      <xdr:rowOff>114300</xdr:rowOff>
    </xdr:from>
    <xdr:to>
      <xdr:col>16</xdr:col>
      <xdr:colOff>85725</xdr:colOff>
      <xdr:row>297</xdr:row>
      <xdr:rowOff>171450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EE6F0FE0-59E0-443C-8BAD-0966E60A081F}"/>
            </a:ext>
          </a:extLst>
        </xdr:cNvPr>
        <xdr:cNvGrpSpPr/>
      </xdr:nvGrpSpPr>
      <xdr:grpSpPr>
        <a:xfrm>
          <a:off x="8169275" y="54914800"/>
          <a:ext cx="5461000" cy="7734300"/>
          <a:chOff x="791095" y="187337"/>
          <a:chExt cx="5275810" cy="8103388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2FB3529C-BB5B-4CB8-994B-871A03A312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1095" y="187337"/>
            <a:ext cx="527581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3DC39217-0183-41FC-BDB9-5CC758931B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7966" y="4329031"/>
            <a:ext cx="2877715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21BCBDF2-F8D6-4385-B368-79F066E64F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7337" y="4329031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6C4970C2-2345-4A50-9DC8-32738CAFC9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18734" y="6670725"/>
            <a:ext cx="1218797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EF60DD59-3721-4AA2-9A4A-311A059CBE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0470" y="6670725"/>
            <a:ext cx="1213734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336550</xdr:colOff>
      <xdr:row>260</xdr:row>
      <xdr:rowOff>57150</xdr:rowOff>
    </xdr:from>
    <xdr:to>
      <xdr:col>7</xdr:col>
      <xdr:colOff>522909</xdr:colOff>
      <xdr:row>286</xdr:row>
      <xdr:rowOff>87246</xdr:rowOff>
    </xdr:to>
    <xdr:grpSp>
      <xdr:nvGrpSpPr>
        <xdr:cNvPr id="5" name="Group 4"/>
        <xdr:cNvGrpSpPr/>
      </xdr:nvGrpSpPr>
      <xdr:grpSpPr>
        <a:xfrm>
          <a:off x="336550" y="55251350"/>
          <a:ext cx="6142659" cy="5148196"/>
          <a:chOff x="336550" y="55130700"/>
          <a:chExt cx="6142659" cy="5148196"/>
        </a:xfrm>
      </xdr:grpSpPr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9333" y="5811889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0" y="5513070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1458" y="551307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284" y="5811889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oneCellAnchor>
    <xdr:from>
      <xdr:col>2</xdr:col>
      <xdr:colOff>476250</xdr:colOff>
      <xdr:row>268</xdr:row>
      <xdr:rowOff>114300</xdr:rowOff>
    </xdr:from>
    <xdr:ext cx="706475" cy="264560"/>
    <xdr:sp macro="" textlink="">
      <xdr:nvSpPr>
        <xdr:cNvPr id="6" name="TextBox 5"/>
        <xdr:cNvSpPr txBox="1"/>
      </xdr:nvSpPr>
      <xdr:spPr>
        <a:xfrm rot="452832">
          <a:off x="2114550" y="56883300"/>
          <a:ext cx="7064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3rd Floor</a:t>
          </a:r>
        </a:p>
      </xdr:txBody>
    </xdr:sp>
    <xdr:clientData/>
  </xdr:oneCellAnchor>
  <xdr:oneCellAnchor>
    <xdr:from>
      <xdr:col>2</xdr:col>
      <xdr:colOff>483560</xdr:colOff>
      <xdr:row>263</xdr:row>
      <xdr:rowOff>139700</xdr:rowOff>
    </xdr:from>
    <xdr:ext cx="704552" cy="264560"/>
    <xdr:sp macro="" textlink="">
      <xdr:nvSpPr>
        <xdr:cNvPr id="26" name="TextBox 25"/>
        <xdr:cNvSpPr txBox="1"/>
      </xdr:nvSpPr>
      <xdr:spPr>
        <a:xfrm rot="1057979">
          <a:off x="2121860" y="55924450"/>
          <a:ext cx="70455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8th Floor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6VQp1rxBiKAzMFq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329"/>
  <sheetViews>
    <sheetView tabSelected="1" view="pageBreakPreview" topLeftCell="A256" zoomScaleNormal="100" zoomScaleSheetLayoutView="100" zoomScalePageLayoutView="85" workbookViewId="0">
      <selection activeCell="J257" sqref="J257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6" width="11.7265625" style="38" customWidth="1"/>
    <col min="7" max="7" width="11.453125" style="38" customWidth="1"/>
    <col min="8" max="8" width="12.72656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12" ht="46.5" customHeight="1" x14ac:dyDescent="0.35">
      <c r="A1" s="154" t="s">
        <v>222</v>
      </c>
      <c r="B1" s="154"/>
      <c r="C1" s="154"/>
      <c r="D1" s="154"/>
      <c r="E1" s="154"/>
      <c r="F1" s="154"/>
      <c r="G1" s="154"/>
      <c r="H1" s="154"/>
    </row>
    <row r="2" spans="1:12" ht="16.5" customHeight="1" x14ac:dyDescent="0.35">
      <c r="A2" s="155" t="s">
        <v>0</v>
      </c>
      <c r="B2" s="155"/>
      <c r="C2" s="155"/>
      <c r="D2" s="155"/>
      <c r="E2" s="155"/>
      <c r="F2" s="155"/>
      <c r="G2" s="155"/>
      <c r="H2" s="155"/>
    </row>
    <row r="3" spans="1:12" x14ac:dyDescent="0.35">
      <c r="A3" s="64" t="s">
        <v>1</v>
      </c>
      <c r="B3" s="64"/>
      <c r="C3" s="64"/>
      <c r="D3" s="64"/>
      <c r="E3" s="64" t="str">
        <f ca="1">TEXT(TODAY(),"DD/MM/YYYY")</f>
        <v>28/08/2025</v>
      </c>
      <c r="F3" s="64"/>
      <c r="G3" s="64"/>
      <c r="H3" s="64"/>
    </row>
    <row r="4" spans="1:12" ht="15" customHeight="1" x14ac:dyDescent="0.35">
      <c r="A4" s="64" t="s">
        <v>2</v>
      </c>
      <c r="B4" s="64"/>
      <c r="C4" s="64"/>
      <c r="D4" s="64"/>
      <c r="E4" s="103" t="s">
        <v>170</v>
      </c>
      <c r="F4" s="64"/>
      <c r="G4" s="64"/>
      <c r="H4" s="64"/>
    </row>
    <row r="5" spans="1:12" x14ac:dyDescent="0.35">
      <c r="A5" s="64" t="s">
        <v>3</v>
      </c>
      <c r="B5" s="64"/>
      <c r="C5" s="64"/>
      <c r="D5" s="64"/>
      <c r="E5" s="159">
        <v>45897</v>
      </c>
      <c r="F5" s="64"/>
      <c r="G5" s="64"/>
      <c r="H5" s="64"/>
    </row>
    <row r="6" spans="1:12" ht="16.5" customHeight="1" x14ac:dyDescent="0.35">
      <c r="A6" s="64" t="s">
        <v>4</v>
      </c>
      <c r="B6" s="64"/>
      <c r="C6" s="64"/>
      <c r="D6" s="64"/>
      <c r="E6" s="160" t="s">
        <v>171</v>
      </c>
      <c r="F6" s="161"/>
      <c r="G6" s="161"/>
      <c r="H6" s="162"/>
    </row>
    <row r="7" spans="1:12" ht="15" customHeight="1" x14ac:dyDescent="0.35">
      <c r="A7" s="64" t="s">
        <v>5</v>
      </c>
      <c r="B7" s="64"/>
      <c r="C7" s="64"/>
      <c r="D7" s="64"/>
      <c r="E7" s="64" t="str">
        <f>E6</f>
        <v>Runwal Residency Private Limited</v>
      </c>
      <c r="F7" s="64"/>
      <c r="G7" s="64"/>
      <c r="H7" s="64"/>
    </row>
    <row r="8" spans="1:12" x14ac:dyDescent="0.35">
      <c r="A8" s="64" t="s">
        <v>6</v>
      </c>
      <c r="B8" s="64"/>
      <c r="C8" s="64"/>
      <c r="D8" s="64"/>
      <c r="E8" s="156" t="s">
        <v>172</v>
      </c>
      <c r="F8" s="157"/>
      <c r="G8" s="157"/>
      <c r="H8" s="158"/>
    </row>
    <row r="9" spans="1:12" x14ac:dyDescent="0.35">
      <c r="A9" s="64" t="s">
        <v>164</v>
      </c>
      <c r="B9" s="64"/>
      <c r="C9" s="64"/>
      <c r="D9" s="64"/>
      <c r="E9" s="64" t="s">
        <v>173</v>
      </c>
      <c r="F9" s="64"/>
      <c r="G9" s="64"/>
      <c r="H9" s="64"/>
      <c r="I9" s="64" t="s">
        <v>226</v>
      </c>
      <c r="J9" s="64"/>
      <c r="K9" s="64"/>
      <c r="L9" s="64"/>
    </row>
    <row r="10" spans="1:12" x14ac:dyDescent="0.35">
      <c r="A10" s="64" t="s">
        <v>165</v>
      </c>
      <c r="B10" s="64"/>
      <c r="C10" s="64"/>
      <c r="D10" s="64"/>
      <c r="E10" s="64" t="s">
        <v>230</v>
      </c>
      <c r="F10" s="64"/>
      <c r="G10" s="64"/>
      <c r="H10" s="64"/>
      <c r="I10" s="64" t="s">
        <v>173</v>
      </c>
      <c r="J10" s="64"/>
      <c r="K10" s="64"/>
      <c r="L10" s="64"/>
    </row>
    <row r="11" spans="1:12" x14ac:dyDescent="0.35">
      <c r="A11" s="64" t="s">
        <v>7</v>
      </c>
      <c r="B11" s="64"/>
      <c r="C11" s="64"/>
      <c r="D11" s="64"/>
      <c r="E11" s="64" t="s">
        <v>176</v>
      </c>
      <c r="F11" s="64"/>
      <c r="G11" s="64"/>
      <c r="H11" s="64"/>
    </row>
    <row r="12" spans="1:12" x14ac:dyDescent="0.35">
      <c r="A12" s="64" t="s">
        <v>166</v>
      </c>
      <c r="B12" s="64"/>
      <c r="C12" s="64"/>
      <c r="D12" s="64"/>
      <c r="E12" s="64" t="s">
        <v>29</v>
      </c>
      <c r="F12" s="64"/>
      <c r="G12" s="64"/>
      <c r="H12" s="64"/>
    </row>
    <row r="13" spans="1:12" x14ac:dyDescent="0.35">
      <c r="A13" s="65" t="s">
        <v>8</v>
      </c>
      <c r="B13" s="65"/>
      <c r="C13" s="65"/>
      <c r="D13" s="65"/>
      <c r="E13" s="151" t="s">
        <v>214</v>
      </c>
      <c r="F13" s="152"/>
      <c r="G13" s="152"/>
      <c r="H13" s="153"/>
    </row>
    <row r="14" spans="1:12" x14ac:dyDescent="0.35">
      <c r="A14" s="65" t="s">
        <v>9</v>
      </c>
      <c r="B14" s="65"/>
      <c r="C14" s="65"/>
      <c r="D14" s="65"/>
      <c r="E14" s="102" t="s">
        <v>174</v>
      </c>
      <c r="F14" s="135"/>
      <c r="G14" s="135"/>
      <c r="H14" s="135"/>
    </row>
    <row r="15" spans="1:12" ht="48.75" customHeight="1" x14ac:dyDescent="0.35">
      <c r="A15" s="94" t="s">
        <v>10</v>
      </c>
      <c r="B15" s="94"/>
      <c r="C15" s="9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Runwal Edge, Survey No.4/1, 4/2, 4/3, 4/4, 4/5, 4/6, 4/10 &amp; Other, near Runwal Gardens, Usarghar Betwade Road, Bhadra Nagar, Usarghar, Dombivli  East, Kalyan, Thane - 421204.</v>
      </c>
      <c r="D15" s="104"/>
      <c r="E15" s="104"/>
      <c r="F15" s="104"/>
      <c r="G15" s="104"/>
      <c r="H15" s="96"/>
    </row>
    <row r="16" spans="1:12" x14ac:dyDescent="0.35">
      <c r="A16" s="102" t="s">
        <v>169</v>
      </c>
      <c r="B16" s="102"/>
      <c r="C16" s="102" t="s">
        <v>181</v>
      </c>
      <c r="D16" s="102"/>
      <c r="E16" s="102"/>
      <c r="F16" s="102"/>
      <c r="G16" s="102"/>
      <c r="H16" s="102"/>
    </row>
    <row r="17" spans="1:8" ht="15.75" customHeight="1" x14ac:dyDescent="0.35">
      <c r="A17" s="103" t="s">
        <v>160</v>
      </c>
      <c r="B17" s="103"/>
      <c r="C17" s="103" t="s">
        <v>186</v>
      </c>
      <c r="D17" s="103"/>
      <c r="E17" s="103"/>
      <c r="F17" s="103"/>
      <c r="G17" s="103"/>
      <c r="H17" s="103"/>
    </row>
    <row r="18" spans="1:8" ht="15.75" customHeight="1" x14ac:dyDescent="0.35">
      <c r="A18" s="94" t="s">
        <v>11</v>
      </c>
      <c r="B18" s="94"/>
      <c r="C18" s="64" t="s">
        <v>185</v>
      </c>
      <c r="D18" s="64"/>
      <c r="E18" s="94" t="s">
        <v>71</v>
      </c>
      <c r="F18" s="94"/>
      <c r="G18" s="103" t="s">
        <v>182</v>
      </c>
      <c r="H18" s="103"/>
    </row>
    <row r="19" spans="1:8" x14ac:dyDescent="0.35">
      <c r="A19" s="65" t="s">
        <v>13</v>
      </c>
      <c r="B19" s="65"/>
      <c r="C19" s="103" t="s">
        <v>208</v>
      </c>
      <c r="D19" s="103"/>
      <c r="E19" s="94" t="s">
        <v>12</v>
      </c>
      <c r="F19" s="94"/>
      <c r="G19" s="150" t="s">
        <v>183</v>
      </c>
      <c r="H19" s="150"/>
    </row>
    <row r="20" spans="1:8" x14ac:dyDescent="0.35">
      <c r="A20" s="65" t="s">
        <v>72</v>
      </c>
      <c r="B20" s="65"/>
      <c r="C20" s="103" t="s">
        <v>184</v>
      </c>
      <c r="D20" s="103"/>
      <c r="E20" s="94" t="s">
        <v>14</v>
      </c>
      <c r="F20" s="94"/>
      <c r="G20" s="103">
        <v>421204</v>
      </c>
      <c r="H20" s="103"/>
    </row>
    <row r="21" spans="1:8" ht="32.25" customHeight="1" x14ac:dyDescent="0.35">
      <c r="A21" s="65" t="s">
        <v>120</v>
      </c>
      <c r="B21" s="65"/>
      <c r="C21" s="103" t="s">
        <v>215</v>
      </c>
      <c r="D21" s="103"/>
      <c r="E21" s="94" t="s">
        <v>15</v>
      </c>
      <c r="F21" s="94"/>
      <c r="G21" s="102" t="s">
        <v>201</v>
      </c>
      <c r="H21" s="102"/>
    </row>
    <row r="22" spans="1:8" ht="15" customHeight="1" x14ac:dyDescent="0.35">
      <c r="A22" s="94" t="s">
        <v>75</v>
      </c>
      <c r="B22" s="94"/>
      <c r="C22" s="94"/>
      <c r="D22" s="94"/>
      <c r="E22" s="64" t="s">
        <v>16</v>
      </c>
      <c r="F22" s="64"/>
      <c r="G22" s="64"/>
      <c r="H22" s="64"/>
    </row>
    <row r="23" spans="1:8" ht="18.75" customHeight="1" x14ac:dyDescent="0.35">
      <c r="A23" s="94"/>
      <c r="B23" s="94"/>
      <c r="C23" s="94"/>
      <c r="D23" s="94"/>
      <c r="E23" s="64"/>
      <c r="F23" s="64"/>
      <c r="G23" s="64"/>
      <c r="H23" s="64"/>
    </row>
    <row r="24" spans="1:8" ht="15" customHeight="1" x14ac:dyDescent="0.35">
      <c r="A24" s="94" t="s">
        <v>17</v>
      </c>
      <c r="B24" s="94"/>
      <c r="C24" s="94"/>
      <c r="D24" s="94"/>
      <c r="E24" s="103" t="s">
        <v>18</v>
      </c>
      <c r="F24" s="103"/>
      <c r="G24" s="103"/>
      <c r="H24" s="103"/>
    </row>
    <row r="25" spans="1:8" ht="15" customHeight="1" x14ac:dyDescent="0.35">
      <c r="A25" s="65" t="s">
        <v>19</v>
      </c>
      <c r="B25" s="65"/>
      <c r="C25" s="65"/>
      <c r="D25" s="65"/>
      <c r="E25" s="103" t="str">
        <f>IF(AND(G19="Mumbai"),"Upper Class","Middle Class")</f>
        <v>Middle Class</v>
      </c>
      <c r="F25" s="103"/>
      <c r="G25" s="103"/>
      <c r="H25" s="103"/>
    </row>
    <row r="26" spans="1:8" x14ac:dyDescent="0.35">
      <c r="A26" s="65" t="s">
        <v>20</v>
      </c>
      <c r="B26" s="65"/>
      <c r="C26" s="65"/>
      <c r="D26" s="65"/>
      <c r="E26" s="103" t="s">
        <v>21</v>
      </c>
      <c r="F26" s="103"/>
      <c r="G26" s="103"/>
      <c r="H26" s="103"/>
    </row>
    <row r="27" spans="1:8" ht="15.75" customHeight="1" x14ac:dyDescent="0.35">
      <c r="A27" s="65" t="s">
        <v>22</v>
      </c>
      <c r="B27" s="65"/>
      <c r="C27" s="65"/>
      <c r="D27" s="65"/>
      <c r="E27" s="103" t="str">
        <f>IF(AND(G19="Mumbai"),"Developed","Developing")</f>
        <v>Developing</v>
      </c>
      <c r="F27" s="103"/>
      <c r="G27" s="103"/>
      <c r="H27" s="103"/>
    </row>
    <row r="28" spans="1:8" x14ac:dyDescent="0.35">
      <c r="A28" s="65" t="s">
        <v>23</v>
      </c>
      <c r="B28" s="65"/>
      <c r="C28" s="65"/>
      <c r="D28" s="65"/>
      <c r="E28" s="103" t="s">
        <v>24</v>
      </c>
      <c r="F28" s="103"/>
      <c r="G28" s="103"/>
      <c r="H28" s="103"/>
    </row>
    <row r="29" spans="1:8" ht="15.75" customHeight="1" x14ac:dyDescent="0.35">
      <c r="A29" s="65" t="s">
        <v>80</v>
      </c>
      <c r="B29" s="65"/>
      <c r="C29" s="65"/>
      <c r="D29" s="65"/>
      <c r="E29" s="103" t="s">
        <v>81</v>
      </c>
      <c r="F29" s="103"/>
      <c r="G29" s="103"/>
      <c r="H29" s="103"/>
    </row>
    <row r="30" spans="1:8" ht="15" customHeight="1" x14ac:dyDescent="0.35">
      <c r="A30" s="65" t="s">
        <v>32</v>
      </c>
      <c r="B30" s="65"/>
      <c r="C30" s="65"/>
      <c r="D30" s="65"/>
      <c r="E30" s="10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Commercial</v>
      </c>
      <c r="F30" s="103"/>
      <c r="G30" s="103"/>
      <c r="H30" s="103"/>
    </row>
    <row r="31" spans="1:8" ht="15.75" customHeight="1" x14ac:dyDescent="0.35">
      <c r="A31" s="65" t="s">
        <v>91</v>
      </c>
      <c r="B31" s="65"/>
      <c r="C31" s="65"/>
      <c r="D31" s="65"/>
      <c r="E31" s="103" t="s">
        <v>33</v>
      </c>
      <c r="F31" s="103"/>
      <c r="G31" s="103"/>
      <c r="H31" s="103"/>
    </row>
    <row r="32" spans="1:8" s="20" customFormat="1" x14ac:dyDescent="0.35">
      <c r="A32" s="149" t="s">
        <v>92</v>
      </c>
      <c r="B32" s="149"/>
      <c r="C32" s="146" t="s">
        <v>167</v>
      </c>
      <c r="D32" s="147"/>
      <c r="E32" s="148"/>
      <c r="F32" s="146" t="s">
        <v>30</v>
      </c>
      <c r="G32" s="147"/>
      <c r="H32" s="148"/>
    </row>
    <row r="33" spans="1:8" s="20" customFormat="1" x14ac:dyDescent="0.35">
      <c r="A33" s="127" t="s">
        <v>25</v>
      </c>
      <c r="B33" s="127" t="s">
        <v>29</v>
      </c>
      <c r="C33" s="128" t="s">
        <v>204</v>
      </c>
      <c r="D33" s="129"/>
      <c r="E33" s="130"/>
      <c r="F33" s="128" t="s">
        <v>187</v>
      </c>
      <c r="G33" s="129"/>
      <c r="H33" s="130"/>
    </row>
    <row r="34" spans="1:8" x14ac:dyDescent="0.35">
      <c r="A34" s="127" t="s">
        <v>26</v>
      </c>
      <c r="B34" s="127" t="s">
        <v>29</v>
      </c>
      <c r="C34" s="128" t="s">
        <v>205</v>
      </c>
      <c r="D34" s="129"/>
      <c r="E34" s="130"/>
      <c r="F34" s="128" t="s">
        <v>188</v>
      </c>
      <c r="G34" s="129"/>
      <c r="H34" s="130"/>
    </row>
    <row r="35" spans="1:8" s="20" customFormat="1" x14ac:dyDescent="0.35">
      <c r="A35" s="127" t="s">
        <v>28</v>
      </c>
      <c r="B35" s="127" t="s">
        <v>29</v>
      </c>
      <c r="C35" s="128" t="s">
        <v>205</v>
      </c>
      <c r="D35" s="129"/>
      <c r="E35" s="130"/>
      <c r="F35" s="128" t="s">
        <v>202</v>
      </c>
      <c r="G35" s="129"/>
      <c r="H35" s="130"/>
    </row>
    <row r="36" spans="1:8" x14ac:dyDescent="0.35">
      <c r="A36" s="127" t="s">
        <v>27</v>
      </c>
      <c r="B36" s="127" t="s">
        <v>29</v>
      </c>
      <c r="C36" s="128" t="s">
        <v>204</v>
      </c>
      <c r="D36" s="129"/>
      <c r="E36" s="130"/>
      <c r="F36" s="128" t="s">
        <v>203</v>
      </c>
      <c r="G36" s="129"/>
      <c r="H36" s="130"/>
    </row>
    <row r="37" spans="1:8" x14ac:dyDescent="0.35">
      <c r="A37" s="65" t="s">
        <v>31</v>
      </c>
      <c r="B37" s="65"/>
      <c r="C37" s="65"/>
      <c r="D37" s="65"/>
      <c r="E37" s="65"/>
      <c r="F37" s="65"/>
      <c r="G37" s="65"/>
      <c r="H37" s="65"/>
    </row>
    <row r="38" spans="1:8" ht="15.75" customHeight="1" x14ac:dyDescent="0.35">
      <c r="A38" s="65" t="s">
        <v>162</v>
      </c>
      <c r="B38" s="65"/>
      <c r="C38" s="65" t="s">
        <v>223</v>
      </c>
      <c r="D38" s="65"/>
      <c r="E38" s="65"/>
      <c r="F38" s="65"/>
      <c r="G38" s="65"/>
      <c r="H38" s="65"/>
    </row>
    <row r="39" spans="1:8" x14ac:dyDescent="0.35">
      <c r="A39" s="65" t="s">
        <v>159</v>
      </c>
      <c r="B39" s="65"/>
      <c r="C39" s="126" t="s">
        <v>180</v>
      </c>
      <c r="D39" s="103"/>
      <c r="E39" s="103"/>
      <c r="F39" s="103"/>
      <c r="G39" s="103"/>
      <c r="H39" s="103"/>
    </row>
    <row r="40" spans="1:8" x14ac:dyDescent="0.35">
      <c r="A40" s="78" t="s">
        <v>34</v>
      </c>
      <c r="B40" s="78"/>
      <c r="C40" s="78"/>
      <c r="D40" s="78"/>
      <c r="E40" s="78"/>
      <c r="F40" s="78"/>
      <c r="G40" s="78"/>
      <c r="H40" s="78"/>
    </row>
    <row r="41" spans="1:8" x14ac:dyDescent="0.35">
      <c r="A41" s="65" t="s">
        <v>35</v>
      </c>
      <c r="B41" s="65"/>
      <c r="C41" s="65"/>
      <c r="D41" s="65"/>
      <c r="E41" s="131">
        <v>464426</v>
      </c>
      <c r="F41" s="131"/>
      <c r="G41" s="131"/>
      <c r="H41" s="131"/>
    </row>
    <row r="42" spans="1:8" x14ac:dyDescent="0.35">
      <c r="A42" s="65" t="s">
        <v>36</v>
      </c>
      <c r="B42" s="65"/>
      <c r="C42" s="65"/>
      <c r="D42" s="65"/>
      <c r="E42" s="133">
        <v>1</v>
      </c>
      <c r="F42" s="133"/>
      <c r="G42" s="133"/>
      <c r="H42" s="133"/>
    </row>
    <row r="43" spans="1:8" x14ac:dyDescent="0.35">
      <c r="A43" s="65" t="s">
        <v>37</v>
      </c>
      <c r="B43" s="65"/>
      <c r="C43" s="65"/>
      <c r="D43" s="65"/>
      <c r="E43" s="133">
        <f>E45/E41-E42</f>
        <v>0.68600704956225544</v>
      </c>
      <c r="F43" s="133"/>
      <c r="G43" s="133"/>
      <c r="H43" s="133"/>
    </row>
    <row r="44" spans="1:8" x14ac:dyDescent="0.35">
      <c r="A44" s="65" t="s">
        <v>38</v>
      </c>
      <c r="B44" s="65"/>
      <c r="C44" s="65"/>
      <c r="D44" s="65"/>
      <c r="E44" s="133">
        <f>E42+E43</f>
        <v>1.6860070495622554</v>
      </c>
      <c r="F44" s="133"/>
      <c r="G44" s="133"/>
      <c r="H44" s="133"/>
    </row>
    <row r="45" spans="1:8" x14ac:dyDescent="0.35">
      <c r="A45" s="65" t="s">
        <v>90</v>
      </c>
      <c r="B45" s="65"/>
      <c r="C45" s="65"/>
      <c r="D45" s="65"/>
      <c r="E45" s="134">
        <v>783025.51</v>
      </c>
      <c r="F45" s="134"/>
      <c r="G45" s="134"/>
      <c r="H45" s="134"/>
    </row>
    <row r="46" spans="1:8" x14ac:dyDescent="0.35">
      <c r="A46" s="64" t="s">
        <v>39</v>
      </c>
      <c r="B46" s="64"/>
      <c r="C46" s="64"/>
      <c r="D46" s="64"/>
      <c r="E46" s="135" t="s">
        <v>119</v>
      </c>
      <c r="F46" s="135"/>
      <c r="G46" s="135"/>
      <c r="H46" s="135"/>
    </row>
    <row r="47" spans="1:8" x14ac:dyDescent="0.35">
      <c r="A47" s="78" t="s">
        <v>40</v>
      </c>
      <c r="B47" s="78"/>
      <c r="C47" s="78"/>
      <c r="D47" s="78"/>
      <c r="E47" s="78"/>
      <c r="F47" s="78"/>
      <c r="G47" s="78"/>
      <c r="H47" s="78"/>
    </row>
    <row r="48" spans="1:8" ht="33.75" customHeight="1" x14ac:dyDescent="0.35">
      <c r="A48" s="95" t="s">
        <v>149</v>
      </c>
      <c r="B48" s="96"/>
      <c r="C48" s="97" t="s">
        <v>179</v>
      </c>
      <c r="D48" s="98"/>
      <c r="E48" s="98"/>
      <c r="F48" s="98"/>
      <c r="G48" s="98"/>
      <c r="H48" s="99"/>
    </row>
    <row r="49" spans="1:14" ht="52.5" customHeight="1" x14ac:dyDescent="0.35">
      <c r="A49" s="95" t="s">
        <v>41</v>
      </c>
      <c r="B49" s="96"/>
      <c r="C49" s="95" t="s">
        <v>175</v>
      </c>
      <c r="D49" s="104"/>
      <c r="E49" s="96"/>
      <c r="F49" s="16" t="s">
        <v>42</v>
      </c>
      <c r="G49" s="141">
        <v>44895</v>
      </c>
      <c r="H49" s="96"/>
    </row>
    <row r="50" spans="1:14" ht="53.25" customHeight="1" x14ac:dyDescent="0.35">
      <c r="A50" s="95" t="s">
        <v>43</v>
      </c>
      <c r="B50" s="96"/>
      <c r="C50" s="95" t="str">
        <f>C49</f>
        <v>SROT/Growth Center/2401/BP/ITP-Usarghar-Gharivali-01/Site-A/CC Phase-5B/Vol-36/1538/2022</v>
      </c>
      <c r="D50" s="104"/>
      <c r="E50" s="96"/>
      <c r="F50" s="16" t="s">
        <v>42</v>
      </c>
      <c r="G50" s="141">
        <f>G49</f>
        <v>44895</v>
      </c>
      <c r="H50" s="96"/>
    </row>
    <row r="51" spans="1:14" s="21" customFormat="1" ht="48.75" customHeight="1" x14ac:dyDescent="0.35">
      <c r="A51" s="142" t="s">
        <v>177</v>
      </c>
      <c r="B51" s="143"/>
      <c r="C51" s="95" t="str">
        <f>C50</f>
        <v>SROT/Growth Center/2401/BP/ITP-Usarghar-Gharivali-01/Site-A/CC Phase-5B/Vol-36/1538/2022</v>
      </c>
      <c r="D51" s="104"/>
      <c r="E51" s="96"/>
      <c r="F51" s="16" t="s">
        <v>42</v>
      </c>
      <c r="G51" s="141">
        <f>G50</f>
        <v>44895</v>
      </c>
      <c r="H51" s="96"/>
    </row>
    <row r="52" spans="1:14" s="21" customFormat="1" x14ac:dyDescent="0.35">
      <c r="A52" s="144"/>
      <c r="B52" s="145"/>
      <c r="C52" s="95" t="s">
        <v>216</v>
      </c>
      <c r="D52" s="104"/>
      <c r="E52" s="104"/>
      <c r="F52" s="104"/>
      <c r="G52" s="104"/>
      <c r="H52" s="96"/>
    </row>
    <row r="53" spans="1:14" x14ac:dyDescent="0.35">
      <c r="A53" s="194" t="s">
        <v>44</v>
      </c>
      <c r="B53" s="195"/>
      <c r="C53" s="194" t="s">
        <v>103</v>
      </c>
      <c r="D53" s="196"/>
      <c r="E53" s="195"/>
      <c r="F53" s="44" t="s">
        <v>42</v>
      </c>
      <c r="G53" s="197" t="s">
        <v>29</v>
      </c>
      <c r="H53" s="198"/>
    </row>
    <row r="54" spans="1:14" x14ac:dyDescent="0.35">
      <c r="A54" s="166" t="s">
        <v>46</v>
      </c>
      <c r="B54" s="166"/>
      <c r="C54" s="166"/>
      <c r="D54" s="166"/>
      <c r="E54" s="166"/>
      <c r="F54" s="166"/>
      <c r="G54" s="166"/>
      <c r="H54" s="166"/>
    </row>
    <row r="55" spans="1:14" x14ac:dyDescent="0.35">
      <c r="A55" s="94" t="s">
        <v>200</v>
      </c>
      <c r="B55" s="94"/>
      <c r="C55" s="94"/>
      <c r="D55" s="65">
        <v>14052.29</v>
      </c>
      <c r="E55" s="65"/>
      <c r="F55" s="65"/>
      <c r="G55" s="65"/>
      <c r="H55" s="65"/>
    </row>
    <row r="56" spans="1:14" x14ac:dyDescent="0.35">
      <c r="A56" s="103" t="s">
        <v>47</v>
      </c>
      <c r="B56" s="64"/>
      <c r="C56" s="64"/>
      <c r="D56" s="135" t="s">
        <v>199</v>
      </c>
      <c r="E56" s="135"/>
      <c r="F56" s="135"/>
      <c r="G56" s="135"/>
      <c r="H56" s="135"/>
      <c r="I56" s="22"/>
    </row>
    <row r="57" spans="1:14" x14ac:dyDescent="0.35">
      <c r="A57" s="138" t="s">
        <v>48</v>
      </c>
      <c r="B57" s="139"/>
      <c r="C57" s="140"/>
      <c r="D57" s="136" t="s">
        <v>216</v>
      </c>
      <c r="E57" s="137"/>
      <c r="F57" s="137"/>
      <c r="G57" s="137"/>
      <c r="H57" s="137"/>
    </row>
    <row r="58" spans="1:14" ht="15.75" customHeight="1" x14ac:dyDescent="0.35">
      <c r="A58" s="105" t="s">
        <v>88</v>
      </c>
      <c r="B58" s="106"/>
      <c r="C58" s="107"/>
      <c r="D58" s="136" t="s">
        <v>216</v>
      </c>
      <c r="E58" s="137"/>
      <c r="F58" s="137"/>
      <c r="G58" s="137"/>
      <c r="H58" s="137"/>
    </row>
    <row r="59" spans="1:14" ht="15.75" customHeight="1" x14ac:dyDescent="0.35">
      <c r="A59" s="65" t="s">
        <v>45</v>
      </c>
      <c r="B59" s="65"/>
      <c r="C59" s="65"/>
      <c r="D59" s="102" t="s">
        <v>178</v>
      </c>
      <c r="E59" s="102"/>
      <c r="F59" s="102"/>
      <c r="G59" s="102"/>
      <c r="H59" s="102"/>
      <c r="J59" s="23"/>
      <c r="K59" s="22"/>
      <c r="N59" s="22"/>
    </row>
    <row r="60" spans="1:14" ht="15.75" customHeight="1" x14ac:dyDescent="0.35">
      <c r="A60" s="65" t="s">
        <v>86</v>
      </c>
      <c r="B60" s="65"/>
      <c r="C60" s="65"/>
      <c r="D60" s="132" t="str">
        <f>(IF(G53="NA","60 Years After Completion",IF(G53&lt;&gt;"NA",""&amp;60-ROUNDDOWN((E3-G53)/360,0)&amp;" Years"," ")))</f>
        <v>60 Years After Completion</v>
      </c>
      <c r="E60" s="132"/>
      <c r="F60" s="132"/>
      <c r="G60" s="132"/>
      <c r="H60" s="132"/>
      <c r="N60" s="22"/>
    </row>
    <row r="61" spans="1:14" ht="15.75" customHeight="1" x14ac:dyDescent="0.35">
      <c r="A61" s="65" t="s">
        <v>87</v>
      </c>
      <c r="B61" s="65"/>
      <c r="C61" s="65"/>
      <c r="D61" s="94" t="s">
        <v>24</v>
      </c>
      <c r="E61" s="94"/>
      <c r="F61" s="94"/>
      <c r="G61" s="94"/>
      <c r="H61" s="94"/>
      <c r="J61" s="24"/>
      <c r="K61" s="24"/>
    </row>
    <row r="62" spans="1:14" ht="130.5" customHeight="1" x14ac:dyDescent="0.35">
      <c r="A62" s="65" t="s">
        <v>73</v>
      </c>
      <c r="B62" s="65"/>
      <c r="C62" s="65"/>
      <c r="D62" s="102" t="s">
        <v>207</v>
      </c>
      <c r="E62" s="102"/>
      <c r="F62" s="102"/>
      <c r="G62" s="102"/>
      <c r="H62" s="102"/>
    </row>
    <row r="63" spans="1:14" x14ac:dyDescent="0.35">
      <c r="A63" s="94" t="s">
        <v>146</v>
      </c>
      <c r="B63" s="94"/>
      <c r="C63" s="94"/>
      <c r="D63" s="94" t="s">
        <v>29</v>
      </c>
      <c r="E63" s="94"/>
      <c r="F63" s="94"/>
      <c r="G63" s="94"/>
      <c r="H63" s="94"/>
      <c r="I63" s="25"/>
      <c r="J63" s="25"/>
      <c r="K63" s="25"/>
      <c r="L63" s="25"/>
      <c r="M63" s="25"/>
      <c r="N63" s="25"/>
    </row>
    <row r="64" spans="1:14" ht="15.75" customHeight="1" x14ac:dyDescent="0.35">
      <c r="A64" s="65" t="s">
        <v>85</v>
      </c>
      <c r="B64" s="65"/>
      <c r="C64" s="65"/>
      <c r="D64" s="103" t="str">
        <f ca="1">(IF(G70&gt;95%,"Nothing",IF(G70&gt;0%,"Cement, Aggregate, Steel, etc",IF(G70=0%,"Work not yet Started"))))</f>
        <v>Cement, Aggregate, Steel, etc</v>
      </c>
      <c r="E64" s="103"/>
      <c r="F64" s="103"/>
      <c r="G64" s="103"/>
      <c r="H64" s="103"/>
      <c r="J64" s="24"/>
    </row>
    <row r="65" spans="1:10" ht="33.75" customHeight="1" thickBot="1" x14ac:dyDescent="0.4">
      <c r="A65" s="94" t="s">
        <v>116</v>
      </c>
      <c r="B65" s="94"/>
      <c r="C65" s="94"/>
      <c r="D65" s="103" t="str">
        <f ca="1">(IF(D64="Nothing","Yes",IF(D64="Cement, Aggregate, Steel, etc","Under Construction",IF(D64="Work not yet Started","Work not yet Started"))))</f>
        <v>Under Construction</v>
      </c>
      <c r="E65" s="103"/>
      <c r="F65" s="103" t="str">
        <f ca="1">(IF(D64="Nothing","Yes",IF(D64="Cement, Aggregate, Steel, etc","Under Construction",IF(D64="Work not yet Started","Work not yet Started"))))</f>
        <v>Under Construction</v>
      </c>
      <c r="G65" s="103"/>
      <c r="H65" s="103"/>
    </row>
    <row r="66" spans="1:10" ht="15.75" customHeight="1" x14ac:dyDescent="0.35">
      <c r="A66" s="85" t="s">
        <v>138</v>
      </c>
      <c r="B66" s="85"/>
      <c r="C66" s="85" t="str">
        <f>D58</f>
        <v>Building No. 52  = 1B+ Gr + 1st to 18th Floor</v>
      </c>
      <c r="D66" s="85"/>
      <c r="E66" s="85"/>
      <c r="F66" s="85"/>
      <c r="G66" s="85"/>
      <c r="H66" s="85"/>
      <c r="I66" s="62" t="str">
        <f ca="1">IF(D79=100%,"All work Completed. Possession granted to the Building.",IF(D78=100%,"All work Completed, Waiting for OC",I67&amp;""&amp;I68&amp;""&amp;J67&amp;""&amp;J66&amp;" "&amp;J68))</f>
        <v>Excavation, Plinth Completed, RCC upto 11 Slab Completed</v>
      </c>
      <c r="J66" s="47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11 Slab</v>
      </c>
    </row>
    <row r="67" spans="1:10" x14ac:dyDescent="0.35">
      <c r="A67" s="49" t="s">
        <v>140</v>
      </c>
      <c r="B67" s="49">
        <f>IF(AND(ISNUMBER(SEARCH("1B",C66))),1,IF(AND(ISNUMBER(SEARCH("2B",C66))),2,IF(AND(ISNUMBER(SEARCH("3B",C66))),3,IF(AND(ISNUMBER(SEARCH("4B",C66))),4,IF(ISNUMBER(SEARCH("5B",C66)),5,0)))))</f>
        <v>1</v>
      </c>
      <c r="C67" s="49" t="s">
        <v>70</v>
      </c>
      <c r="D67" s="49">
        <v>1</v>
      </c>
      <c r="E67" s="49" t="s">
        <v>69</v>
      </c>
      <c r="F67" s="54">
        <v>0</v>
      </c>
      <c r="G67" s="46" t="s">
        <v>79</v>
      </c>
      <c r="H67" s="49">
        <f ca="1">--TRIM(RIGHT(SUBSTITUTE(LEFT(C66,_xlfn.AGGREGATE(16,6,FIND({0,1,2,3,4,5,6,7,8,9},C66,ROW(INDIRECT("1:"&amp;LEN(C66)))),1))," ",REPT(" ",LEN(C66))),LEN(C66)))</f>
        <v>18</v>
      </c>
      <c r="I67" s="6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8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35">
      <c r="A68" s="125" t="s">
        <v>89</v>
      </c>
      <c r="B68" s="125"/>
      <c r="C68" s="101" t="str">
        <f ca="1">I66</f>
        <v>Excavation, Plinth Completed, RCC upto 11 Slab Completed</v>
      </c>
      <c r="D68" s="101"/>
      <c r="E68" s="101"/>
      <c r="F68" s="101"/>
      <c r="G68" s="101"/>
      <c r="H68" s="101"/>
      <c r="I68" s="63" t="str">
        <f ca="1">IF(I67&lt;&gt;""," Completed","")</f>
        <v xml:space="preserve"> Completed</v>
      </c>
      <c r="J68" s="48" t="str">
        <f ca="1">IF(J66&lt;&gt;"","Completed","")</f>
        <v>Completed</v>
      </c>
    </row>
    <row r="69" spans="1:10" ht="15.75" customHeight="1" x14ac:dyDescent="0.35">
      <c r="A69" s="87" t="s">
        <v>49</v>
      </c>
      <c r="B69" s="87"/>
      <c r="C69" s="61" t="s">
        <v>137</v>
      </c>
      <c r="D69" s="61" t="s">
        <v>82</v>
      </c>
      <c r="E69" s="87" t="s">
        <v>84</v>
      </c>
      <c r="F69" s="87"/>
      <c r="G69" s="87" t="s">
        <v>83</v>
      </c>
      <c r="H69" s="87"/>
      <c r="I69" s="14" t="s">
        <v>139</v>
      </c>
      <c r="J69" s="26">
        <f ca="1">H67*25%</f>
        <v>4.5</v>
      </c>
    </row>
    <row r="70" spans="1:10" x14ac:dyDescent="0.35">
      <c r="A70" s="86" t="s">
        <v>126</v>
      </c>
      <c r="B70" s="87"/>
      <c r="C70" s="57">
        <f ca="1">J71</f>
        <v>18</v>
      </c>
      <c r="D70" s="17">
        <f ca="1">((100/H67)*C70)/100</f>
        <v>1</v>
      </c>
      <c r="E70" s="114">
        <f ca="1">(((C71/H67*10)+(40/(D67+F67+H67)*C72)+(7.5/(H67)*C73)+(7.5/(H67)*C74)+(10/H67*C75)+(10/H67*C76)+(5/H67*C77)+(5/H67*C78)+(5/H67*C79))/100)</f>
        <v>0.33157894736842103</v>
      </c>
      <c r="F70" s="115"/>
      <c r="G70" s="114">
        <f ca="1">((((C70/H67)*20)+((C71/H67)*25)+(30/(H67+F67+D67)*C72)+(5/H67*C73)+(5/H67*C74)+(5/H67*C75)+(5/H67*C76)+(0/H67*C77)+(0/H67*C78)+(5/H67*C79))/100)</f>
        <v>0.62368421052631573</v>
      </c>
      <c r="H70" s="120"/>
      <c r="I70" s="14" t="s">
        <v>98</v>
      </c>
      <c r="J70" s="27">
        <f ca="1">H67*50%</f>
        <v>9</v>
      </c>
    </row>
    <row r="71" spans="1:10" x14ac:dyDescent="0.35">
      <c r="A71" s="86" t="s">
        <v>50</v>
      </c>
      <c r="B71" s="87"/>
      <c r="C71" s="59">
        <f ca="1">J79</f>
        <v>18</v>
      </c>
      <c r="D71" s="17">
        <f ca="1">((100/H67)*C71)/100</f>
        <v>1</v>
      </c>
      <c r="E71" s="116"/>
      <c r="F71" s="117"/>
      <c r="G71" s="116"/>
      <c r="H71" s="121"/>
      <c r="I71" s="14" t="s">
        <v>99</v>
      </c>
      <c r="J71" s="27">
        <f ca="1">H67</f>
        <v>18</v>
      </c>
    </row>
    <row r="72" spans="1:10" ht="15.75" customHeight="1" x14ac:dyDescent="0.35">
      <c r="A72" s="86" t="s">
        <v>127</v>
      </c>
      <c r="B72" s="87"/>
      <c r="C72" s="42">
        <v>11</v>
      </c>
      <c r="D72" s="17">
        <f ca="1">((100/(D67+F67+H67))*C72)/100</f>
        <v>0.57894736842105265</v>
      </c>
      <c r="E72" s="116"/>
      <c r="F72" s="117"/>
      <c r="G72" s="116"/>
      <c r="H72" s="121"/>
      <c r="I72" s="14" t="s">
        <v>100</v>
      </c>
      <c r="J72" s="28">
        <f ca="1">(IF(B67&gt;1,(H67/(B67+2)),H67/4))</f>
        <v>4.5</v>
      </c>
    </row>
    <row r="73" spans="1:10" ht="15.75" customHeight="1" x14ac:dyDescent="0.35">
      <c r="A73" s="86" t="s">
        <v>134</v>
      </c>
      <c r="B73" s="87" t="s">
        <v>128</v>
      </c>
      <c r="C73" s="42">
        <v>0</v>
      </c>
      <c r="D73" s="17">
        <f ca="1">((100/H67)*C73)/100</f>
        <v>0</v>
      </c>
      <c r="E73" s="116"/>
      <c r="F73" s="117"/>
      <c r="G73" s="116"/>
      <c r="H73" s="121"/>
      <c r="I73" s="14" t="s">
        <v>101</v>
      </c>
      <c r="J73" s="28">
        <f ca="1">(IF(B67&gt;1,(H67/(B67+2)+J72),H67/4+J72))</f>
        <v>9</v>
      </c>
    </row>
    <row r="74" spans="1:10" ht="15.75" customHeight="1" x14ac:dyDescent="0.35">
      <c r="A74" s="86" t="s">
        <v>135</v>
      </c>
      <c r="B74" s="87" t="s">
        <v>128</v>
      </c>
      <c r="C74" s="42">
        <v>0</v>
      </c>
      <c r="D74" s="17">
        <f ca="1">((100/H67)*C74)/100</f>
        <v>0</v>
      </c>
      <c r="E74" s="116"/>
      <c r="F74" s="117"/>
      <c r="G74" s="116"/>
      <c r="H74" s="121"/>
      <c r="I74" s="14" t="s">
        <v>144</v>
      </c>
      <c r="J74" s="28">
        <f>(IF(B67&gt;1,(H67/(B67+2)+J73),0))</f>
        <v>0</v>
      </c>
    </row>
    <row r="75" spans="1:10" ht="15" customHeight="1" x14ac:dyDescent="0.35">
      <c r="A75" s="86" t="s">
        <v>133</v>
      </c>
      <c r="B75" s="87" t="s">
        <v>130</v>
      </c>
      <c r="C75" s="42">
        <v>0</v>
      </c>
      <c r="D75" s="17">
        <f ca="1">((100/(H67))*C75)/100</f>
        <v>0</v>
      </c>
      <c r="E75" s="116"/>
      <c r="F75" s="117"/>
      <c r="G75" s="116"/>
      <c r="H75" s="121"/>
      <c r="I75" s="14" t="s">
        <v>141</v>
      </c>
      <c r="J75" s="28">
        <f>(IF(B67&gt;2,(H67/(B67+2)+J74),0))</f>
        <v>0</v>
      </c>
    </row>
    <row r="76" spans="1:10" ht="15.75" customHeight="1" x14ac:dyDescent="0.35">
      <c r="A76" s="86" t="s">
        <v>129</v>
      </c>
      <c r="B76" s="87" t="s">
        <v>129</v>
      </c>
      <c r="C76" s="42">
        <v>0</v>
      </c>
      <c r="D76" s="17">
        <f ca="1">((100/H67)*C76)/100</f>
        <v>0</v>
      </c>
      <c r="E76" s="116"/>
      <c r="F76" s="117"/>
      <c r="G76" s="116"/>
      <c r="H76" s="121"/>
      <c r="I76" s="14" t="s">
        <v>142</v>
      </c>
      <c r="J76" s="29">
        <f>(IF(B67&gt;3,(H67/(B67+2)+J75),0))</f>
        <v>0</v>
      </c>
    </row>
    <row r="77" spans="1:10" ht="15.75" customHeight="1" x14ac:dyDescent="0.35">
      <c r="A77" s="86" t="s">
        <v>136</v>
      </c>
      <c r="B77" s="87"/>
      <c r="C77" s="42">
        <v>0</v>
      </c>
      <c r="D77" s="17">
        <f ca="1">((100/H67)*C77)/100</f>
        <v>0</v>
      </c>
      <c r="E77" s="116"/>
      <c r="F77" s="117"/>
      <c r="G77" s="116"/>
      <c r="H77" s="121"/>
      <c r="I77" s="14" t="s">
        <v>143</v>
      </c>
      <c r="J77" s="28">
        <f>(IF(B67&gt;4,(H67/(B67+2)+J76),0))</f>
        <v>0</v>
      </c>
    </row>
    <row r="78" spans="1:10" ht="15.75" customHeight="1" x14ac:dyDescent="0.35">
      <c r="A78" s="86" t="s">
        <v>131</v>
      </c>
      <c r="B78" s="87" t="s">
        <v>131</v>
      </c>
      <c r="C78" s="42">
        <v>0</v>
      </c>
      <c r="D78" s="17">
        <f ca="1">((100/(H67))*C78)/100</f>
        <v>0</v>
      </c>
      <c r="E78" s="116"/>
      <c r="F78" s="117"/>
      <c r="G78" s="116"/>
      <c r="H78" s="121"/>
      <c r="I78" s="14" t="s">
        <v>145</v>
      </c>
      <c r="J78" s="28">
        <f ca="1">(IF(B67=1,(H67/(B67+3)+J73),IF(B67=0,(H67/4+J73),IF(B67&gt;1,0))))</f>
        <v>13.5</v>
      </c>
    </row>
    <row r="79" spans="1:10" ht="16" thickBot="1" x14ac:dyDescent="0.4">
      <c r="A79" s="123" t="s">
        <v>132</v>
      </c>
      <c r="B79" s="124"/>
      <c r="C79" s="43">
        <v>0</v>
      </c>
      <c r="D79" s="18">
        <f ca="1">((100/(H67))*C79)/100</f>
        <v>0</v>
      </c>
      <c r="E79" s="118"/>
      <c r="F79" s="119"/>
      <c r="G79" s="118"/>
      <c r="H79" s="122"/>
      <c r="I79" s="15" t="s">
        <v>102</v>
      </c>
      <c r="J79" s="30">
        <f ca="1">(IF(B67&gt;1.5,(H67/(B67+2)+J73+MAX(0,J74-J73)+MAX(0,J75-J74)+MAX(0,J76-J75)+MAX(0,J77-J76)+MAX(0,J78-J77)),IF(B67=1,(H67/(B67+3)+J78),IF(B67=0,H67/4+J78))))</f>
        <v>18</v>
      </c>
    </row>
    <row r="80" spans="1:10" x14ac:dyDescent="0.35">
      <c r="A80" s="100" t="s">
        <v>154</v>
      </c>
      <c r="B80" s="100"/>
      <c r="C80" s="100"/>
      <c r="D80" s="100"/>
      <c r="E80" s="100"/>
      <c r="F80" s="84" t="s">
        <v>157</v>
      </c>
      <c r="G80" s="84"/>
      <c r="H80" s="84"/>
    </row>
    <row r="81" spans="1:10" hidden="1" x14ac:dyDescent="0.35">
      <c r="A81" s="65" t="s">
        <v>156</v>
      </c>
      <c r="B81" s="65"/>
      <c r="C81" s="65"/>
      <c r="D81" s="65"/>
      <c r="E81" s="65"/>
      <c r="F81" s="66"/>
      <c r="G81" s="66"/>
      <c r="H81" s="66"/>
    </row>
    <row r="82" spans="1:10" x14ac:dyDescent="0.35">
      <c r="A82" s="65" t="s">
        <v>155</v>
      </c>
      <c r="B82" s="65"/>
      <c r="C82" s="65"/>
      <c r="D82" s="65"/>
      <c r="E82" s="65"/>
      <c r="F82" s="93">
        <v>22000</v>
      </c>
      <c r="G82" s="93"/>
      <c r="H82" s="93"/>
    </row>
    <row r="83" spans="1:10" x14ac:dyDescent="0.35">
      <c r="A83" s="65" t="s">
        <v>219</v>
      </c>
      <c r="B83" s="65"/>
      <c r="C83" s="65"/>
      <c r="D83" s="65"/>
      <c r="E83" s="65"/>
      <c r="F83" s="66">
        <v>13500</v>
      </c>
      <c r="G83" s="66"/>
      <c r="H83" s="66"/>
    </row>
    <row r="84" spans="1:10" s="31" customFormat="1" x14ac:dyDescent="0.3">
      <c r="A84" s="65" t="s">
        <v>220</v>
      </c>
      <c r="B84" s="65"/>
      <c r="C84" s="65"/>
      <c r="D84" s="65"/>
      <c r="E84" s="65"/>
      <c r="F84" s="66">
        <v>12500</v>
      </c>
      <c r="G84" s="66"/>
      <c r="H84" s="66"/>
    </row>
    <row r="85" spans="1:10" s="31" customFormat="1" x14ac:dyDescent="0.3">
      <c r="A85" s="65" t="s">
        <v>221</v>
      </c>
      <c r="B85" s="65"/>
      <c r="C85" s="65"/>
      <c r="D85" s="65"/>
      <c r="E85" s="65"/>
      <c r="F85" s="66">
        <v>11500</v>
      </c>
      <c r="G85" s="66"/>
      <c r="H85" s="66"/>
    </row>
    <row r="86" spans="1:10" s="31" customFormat="1" x14ac:dyDescent="0.3">
      <c r="A86" s="65" t="s">
        <v>224</v>
      </c>
      <c r="B86" s="65"/>
      <c r="C86" s="65"/>
      <c r="D86" s="65"/>
      <c r="E86" s="65"/>
      <c r="F86" s="66">
        <v>250000</v>
      </c>
      <c r="G86" s="66"/>
      <c r="H86" s="66"/>
      <c r="J86" s="60" t="s">
        <v>225</v>
      </c>
    </row>
    <row r="87" spans="1:10" s="31" customFormat="1" hidden="1" x14ac:dyDescent="0.3">
      <c r="A87" s="65" t="s">
        <v>93</v>
      </c>
      <c r="B87" s="65"/>
      <c r="C87" s="65"/>
      <c r="D87" s="65"/>
      <c r="E87" s="65"/>
      <c r="F87" s="66"/>
      <c r="G87" s="66"/>
      <c r="H87" s="66"/>
    </row>
    <row r="88" spans="1:10" s="31" customFormat="1" hidden="1" x14ac:dyDescent="0.3">
      <c r="A88" s="65" t="s">
        <v>158</v>
      </c>
      <c r="B88" s="65"/>
      <c r="C88" s="65"/>
      <c r="D88" s="65"/>
      <c r="E88" s="65"/>
      <c r="F88" s="66"/>
      <c r="G88" s="66"/>
      <c r="H88" s="66"/>
    </row>
    <row r="89" spans="1:10" s="31" customFormat="1" hidden="1" x14ac:dyDescent="0.3">
      <c r="A89" s="65" t="s">
        <v>94</v>
      </c>
      <c r="B89" s="65"/>
      <c r="C89" s="65"/>
      <c r="D89" s="65"/>
      <c r="E89" s="65"/>
      <c r="F89" s="66"/>
      <c r="G89" s="66"/>
      <c r="H89" s="66"/>
    </row>
    <row r="90" spans="1:10" s="31" customFormat="1" hidden="1" x14ac:dyDescent="0.3">
      <c r="A90" s="65" t="s">
        <v>95</v>
      </c>
      <c r="B90" s="65"/>
      <c r="C90" s="65"/>
      <c r="D90" s="65"/>
      <c r="E90" s="65"/>
      <c r="F90" s="66"/>
      <c r="G90" s="66"/>
      <c r="H90" s="66"/>
    </row>
    <row r="91" spans="1:10" s="31" customFormat="1" hidden="1" x14ac:dyDescent="0.3">
      <c r="A91" s="65" t="s">
        <v>96</v>
      </c>
      <c r="B91" s="65"/>
      <c r="C91" s="65"/>
      <c r="D91" s="65"/>
      <c r="E91" s="65"/>
      <c r="F91" s="66"/>
      <c r="G91" s="66"/>
      <c r="H91" s="66"/>
    </row>
    <row r="92" spans="1:10" s="31" customFormat="1" hidden="1" x14ac:dyDescent="0.3">
      <c r="A92" s="65" t="s">
        <v>97</v>
      </c>
      <c r="B92" s="65"/>
      <c r="C92" s="65"/>
      <c r="D92" s="65"/>
      <c r="E92" s="65"/>
      <c r="F92" s="66"/>
      <c r="G92" s="66"/>
      <c r="H92" s="66"/>
    </row>
    <row r="93" spans="1:10" x14ac:dyDescent="0.35">
      <c r="A93" s="65" t="s">
        <v>51</v>
      </c>
      <c r="B93" s="65"/>
      <c r="C93" s="65"/>
      <c r="D93" s="65"/>
      <c r="E93" s="65"/>
      <c r="F93" s="77">
        <v>350000</v>
      </c>
      <c r="G93" s="77"/>
      <c r="H93" s="77"/>
    </row>
    <row r="94" spans="1:10" s="32" customFormat="1" x14ac:dyDescent="0.35">
      <c r="A94" s="78" t="s">
        <v>52</v>
      </c>
      <c r="B94" s="78"/>
      <c r="C94" s="78"/>
      <c r="D94" s="78"/>
      <c r="E94" s="78"/>
      <c r="F94" s="66">
        <f>F83*0.8</f>
        <v>10800</v>
      </c>
      <c r="G94" s="66"/>
      <c r="H94" s="66"/>
    </row>
    <row r="95" spans="1:10" s="33" customFormat="1" ht="15.75" customHeight="1" x14ac:dyDescent="0.35">
      <c r="A95" s="76" t="s">
        <v>74</v>
      </c>
      <c r="B95" s="76"/>
      <c r="C95" s="76"/>
      <c r="D95" s="76"/>
      <c r="E95" s="76"/>
      <c r="F95" s="76"/>
      <c r="G95" s="76"/>
      <c r="H95" s="76"/>
    </row>
    <row r="96" spans="1:10" s="33" customFormat="1" ht="15.75" customHeight="1" x14ac:dyDescent="0.35">
      <c r="A96" s="163" t="s">
        <v>53</v>
      </c>
      <c r="B96" s="163"/>
      <c r="C96" s="83" t="s">
        <v>77</v>
      </c>
      <c r="D96" s="83"/>
      <c r="E96" s="165" t="s">
        <v>54</v>
      </c>
      <c r="F96" s="165"/>
      <c r="G96" s="163" t="s">
        <v>55</v>
      </c>
      <c r="H96" s="163"/>
    </row>
    <row r="97" spans="1:14" s="33" customFormat="1" x14ac:dyDescent="0.35">
      <c r="A97" s="79" t="s">
        <v>212</v>
      </c>
      <c r="B97" s="79"/>
      <c r="C97" s="91">
        <f>COUNT(D109:D122)</f>
        <v>14</v>
      </c>
      <c r="D97" s="91"/>
      <c r="E97" s="92">
        <f>SUM(D109:D122)</f>
        <v>3389.5836000000008</v>
      </c>
      <c r="F97" s="92"/>
      <c r="G97" s="92">
        <f>SUM(F109:F122)</f>
        <v>5084.3753999999999</v>
      </c>
      <c r="H97" s="92"/>
    </row>
    <row r="98" spans="1:14" s="33" customFormat="1" x14ac:dyDescent="0.35">
      <c r="A98" s="79" t="s">
        <v>213</v>
      </c>
      <c r="B98" s="79"/>
      <c r="C98" s="91">
        <f>COUNT(D125:D141)+COUNT(D143:D162)*8+COUNT(D164:D181)*2+COUNT(D183:D201)+COUNT(D203:D221)*5+COUNT(D223:D239)</f>
        <v>344</v>
      </c>
      <c r="D98" s="91"/>
      <c r="E98" s="92">
        <f>SUM(D125:D141)+SUM(D143:D162)*8+SUM(D164:D181)*2+SUM(D183:D201)+SUM(D203:D221)*5+SUM(D223:D239)</f>
        <v>92750.374079999994</v>
      </c>
      <c r="F98" s="92"/>
      <c r="G98" s="92">
        <f>SUM(F125:F141)+SUM(F143:F162)*8+SUM(F164:F181)*2+SUM(F183:F201)+SUM(F203:F221)*5+SUM(F223:F239)</f>
        <v>139125.56112</v>
      </c>
      <c r="H98" s="92"/>
    </row>
    <row r="99" spans="1:14" s="33" customFormat="1" ht="16" thickBot="1" x14ac:dyDescent="0.4">
      <c r="A99" s="76" t="s">
        <v>148</v>
      </c>
      <c r="B99" s="76"/>
      <c r="C99" s="82">
        <f>SUM(C97:C98)</f>
        <v>358</v>
      </c>
      <c r="D99" s="83"/>
      <c r="E99" s="164">
        <f>SUM(E97:E98)</f>
        <v>96139.957679999992</v>
      </c>
      <c r="F99" s="165"/>
      <c r="G99" s="163">
        <f>SUM(G97:G98)</f>
        <v>144209.93651999999</v>
      </c>
      <c r="H99" s="163"/>
    </row>
    <row r="100" spans="1:14" s="33" customFormat="1" ht="16" thickBot="1" x14ac:dyDescent="0.4">
      <c r="A100" s="186" t="s">
        <v>163</v>
      </c>
      <c r="B100" s="187"/>
      <c r="C100" s="188">
        <f>SUM(C99)</f>
        <v>358</v>
      </c>
      <c r="D100" s="189"/>
      <c r="E100" s="190">
        <f>SUM(E99)</f>
        <v>96139.957679999992</v>
      </c>
      <c r="F100" s="191"/>
      <c r="G100" s="192">
        <f>SUM(G99)</f>
        <v>144209.93651999999</v>
      </c>
      <c r="H100" s="193"/>
    </row>
    <row r="101" spans="1:14" s="32" customFormat="1" x14ac:dyDescent="0.35">
      <c r="A101" s="84" t="s">
        <v>56</v>
      </c>
      <c r="B101" s="84"/>
      <c r="C101" s="84"/>
      <c r="D101" s="84"/>
      <c r="E101" s="84"/>
      <c r="F101" s="84"/>
      <c r="G101" s="84"/>
      <c r="H101" s="84"/>
    </row>
    <row r="102" spans="1:14" x14ac:dyDescent="0.35">
      <c r="A102" s="155" t="s">
        <v>168</v>
      </c>
      <c r="B102" s="155"/>
      <c r="C102" s="155"/>
      <c r="D102" s="155"/>
      <c r="E102" s="155"/>
      <c r="F102" s="155"/>
      <c r="G102" s="155"/>
      <c r="H102" s="155"/>
    </row>
    <row r="103" spans="1:14" ht="47.25" customHeight="1" x14ac:dyDescent="0.35">
      <c r="A103" s="80" t="s">
        <v>118</v>
      </c>
      <c r="B103" s="80" t="s">
        <v>117</v>
      </c>
      <c r="C103" s="80" t="s">
        <v>57</v>
      </c>
      <c r="D103" s="80" t="s">
        <v>58</v>
      </c>
      <c r="E103" s="108" t="s">
        <v>153</v>
      </c>
      <c r="F103" s="41" t="s">
        <v>147</v>
      </c>
      <c r="G103" s="110" t="s">
        <v>59</v>
      </c>
      <c r="H103" s="111"/>
    </row>
    <row r="104" spans="1:14" s="35" customFormat="1" x14ac:dyDescent="0.35">
      <c r="A104" s="81"/>
      <c r="B104" s="81"/>
      <c r="C104" s="81"/>
      <c r="D104" s="81"/>
      <c r="E104" s="109"/>
      <c r="F104" s="13">
        <v>0.5</v>
      </c>
      <c r="G104" s="112"/>
      <c r="H104" s="113"/>
    </row>
    <row r="105" spans="1:14" s="56" customFormat="1" x14ac:dyDescent="0.35">
      <c r="A105" s="88" t="s">
        <v>210</v>
      </c>
      <c r="B105" s="89"/>
      <c r="C105" s="89"/>
      <c r="D105" s="89"/>
      <c r="E105" s="89"/>
      <c r="F105" s="89"/>
      <c r="G105" s="89"/>
      <c r="H105" s="90"/>
    </row>
    <row r="106" spans="1:14" s="52" customFormat="1" x14ac:dyDescent="0.35">
      <c r="A106" s="200" t="s">
        <v>209</v>
      </c>
      <c r="B106" s="201"/>
      <c r="C106" s="201"/>
      <c r="D106" s="201"/>
      <c r="E106" s="201"/>
      <c r="F106" s="201"/>
      <c r="G106" s="201"/>
      <c r="H106" s="202"/>
    </row>
    <row r="107" spans="1:14" s="52" customFormat="1" ht="33.75" customHeight="1" x14ac:dyDescent="0.35">
      <c r="A107" s="203" t="s">
        <v>192</v>
      </c>
      <c r="B107" s="203"/>
      <c r="C107" s="203"/>
      <c r="D107" s="203"/>
      <c r="E107" s="203"/>
      <c r="F107" s="203"/>
      <c r="G107" s="203"/>
      <c r="H107" s="203"/>
      <c r="I107" s="34"/>
    </row>
    <row r="108" spans="1:14" s="35" customFormat="1" x14ac:dyDescent="0.35">
      <c r="A108" s="74" t="s">
        <v>189</v>
      </c>
      <c r="B108" s="74"/>
      <c r="C108" s="74"/>
      <c r="D108" s="74"/>
      <c r="E108" s="74"/>
      <c r="F108" s="74"/>
      <c r="G108" s="74"/>
      <c r="H108" s="74"/>
      <c r="J108" s="34"/>
    </row>
    <row r="109" spans="1:14" s="35" customFormat="1" ht="15.75" customHeight="1" x14ac:dyDescent="0.35">
      <c r="A109" s="70">
        <v>1</v>
      </c>
      <c r="B109" s="70"/>
      <c r="C109" s="51" t="s">
        <v>190</v>
      </c>
      <c r="D109" s="55">
        <f>(21.37)*10.764</f>
        <v>230.02668</v>
      </c>
      <c r="E109" s="51">
        <v>0</v>
      </c>
      <c r="F109" s="51">
        <f>(D109+E109)*(($F$104)+1)</f>
        <v>345.04002000000003</v>
      </c>
      <c r="G109" s="70" t="str">
        <f>A108</f>
        <v>Ground Floor For Commercial, Meter Room, Cafeteria, Waiting Lounge &amp; Entrance Lobby</v>
      </c>
      <c r="H109" s="70"/>
      <c r="I109" s="34">
        <f>4.883*3.175+1.8*2.9</f>
        <v>20.723524999999999</v>
      </c>
      <c r="L109" s="67"/>
      <c r="M109" s="67"/>
      <c r="N109" s="34"/>
    </row>
    <row r="110" spans="1:14" s="35" customFormat="1" ht="15.75" customHeight="1" x14ac:dyDescent="0.35">
      <c r="A110" s="70">
        <f t="shared" ref="A110:A123" si="0">A109+1</f>
        <v>2</v>
      </c>
      <c r="B110" s="70"/>
      <c r="C110" s="51" t="s">
        <v>190</v>
      </c>
      <c r="D110" s="55">
        <f>(38.63)*10.764</f>
        <v>415.81331999999998</v>
      </c>
      <c r="E110" s="51">
        <v>0</v>
      </c>
      <c r="F110" s="51">
        <f t="shared" ref="F110:F112" si="1">(D110+E110)*(($F$104)+1)</f>
        <v>623.71997999999996</v>
      </c>
      <c r="G110" s="70"/>
      <c r="H110" s="70"/>
      <c r="I110" s="34">
        <f>4.437*4.455+6.15*1.875+4.6*1.4</f>
        <v>37.738084999999998</v>
      </c>
      <c r="L110" s="67"/>
      <c r="M110" s="67"/>
      <c r="N110" s="34"/>
    </row>
    <row r="111" spans="1:14" s="35" customFormat="1" ht="15.75" customHeight="1" x14ac:dyDescent="0.35">
      <c r="A111" s="70">
        <f t="shared" si="0"/>
        <v>3</v>
      </c>
      <c r="B111" s="70"/>
      <c r="C111" s="51" t="s">
        <v>190</v>
      </c>
      <c r="D111" s="55">
        <f t="shared" ref="D111:D121" si="2">(21.51)*10.764</f>
        <v>231.53363999999999</v>
      </c>
      <c r="E111" s="51">
        <v>0</v>
      </c>
      <c r="F111" s="51">
        <f t="shared" si="1"/>
        <v>347.30045999999999</v>
      </c>
      <c r="G111" s="70"/>
      <c r="H111" s="70"/>
      <c r="I111" s="34"/>
      <c r="L111" s="67"/>
      <c r="M111" s="67"/>
      <c r="N111" s="34"/>
    </row>
    <row r="112" spans="1:14" s="35" customFormat="1" ht="15.75" customHeight="1" x14ac:dyDescent="0.35">
      <c r="A112" s="70">
        <f t="shared" si="0"/>
        <v>4</v>
      </c>
      <c r="B112" s="70"/>
      <c r="C112" s="51" t="s">
        <v>190</v>
      </c>
      <c r="D112" s="55">
        <f t="shared" si="2"/>
        <v>231.53363999999999</v>
      </c>
      <c r="E112" s="51">
        <v>0</v>
      </c>
      <c r="F112" s="51">
        <f t="shared" si="1"/>
        <v>347.30045999999999</v>
      </c>
      <c r="G112" s="70"/>
      <c r="H112" s="70"/>
      <c r="I112" s="34">
        <f>4.6*3.85+1.55*2.325</f>
        <v>21.313749999999999</v>
      </c>
      <c r="L112" s="67"/>
      <c r="M112" s="67"/>
      <c r="N112" s="34"/>
    </row>
    <row r="113" spans="1:14" s="52" customFormat="1" ht="15.75" customHeight="1" x14ac:dyDescent="0.35">
      <c r="A113" s="70">
        <f t="shared" si="0"/>
        <v>5</v>
      </c>
      <c r="B113" s="70"/>
      <c r="C113" s="51" t="s">
        <v>190</v>
      </c>
      <c r="D113" s="55">
        <f t="shared" si="2"/>
        <v>231.53363999999999</v>
      </c>
      <c r="E113" s="51">
        <v>0</v>
      </c>
      <c r="F113" s="51">
        <f t="shared" ref="F113:F122" si="3">(D113+E113)*(($F$104)+1)</f>
        <v>347.30045999999999</v>
      </c>
      <c r="G113" s="70"/>
      <c r="H113" s="70"/>
      <c r="I113" s="34"/>
      <c r="L113" s="67"/>
      <c r="M113" s="67"/>
      <c r="N113" s="34"/>
    </row>
    <row r="114" spans="1:14" s="52" customFormat="1" ht="15.75" customHeight="1" x14ac:dyDescent="0.35">
      <c r="A114" s="70">
        <f t="shared" si="0"/>
        <v>6</v>
      </c>
      <c r="B114" s="70"/>
      <c r="C114" s="51" t="s">
        <v>190</v>
      </c>
      <c r="D114" s="55">
        <f t="shared" si="2"/>
        <v>231.53363999999999</v>
      </c>
      <c r="E114" s="51">
        <v>0</v>
      </c>
      <c r="F114" s="51">
        <f t="shared" si="3"/>
        <v>347.30045999999999</v>
      </c>
      <c r="G114" s="70"/>
      <c r="H114" s="70"/>
      <c r="I114" s="34"/>
      <c r="L114" s="67"/>
      <c r="M114" s="67"/>
      <c r="N114" s="34"/>
    </row>
    <row r="115" spans="1:14" s="52" customFormat="1" ht="15.75" customHeight="1" x14ac:dyDescent="0.35">
      <c r="A115" s="70">
        <f t="shared" si="0"/>
        <v>7</v>
      </c>
      <c r="B115" s="70"/>
      <c r="C115" s="51" t="s">
        <v>190</v>
      </c>
      <c r="D115" s="55">
        <f t="shared" si="2"/>
        <v>231.53363999999999</v>
      </c>
      <c r="E115" s="51">
        <v>0</v>
      </c>
      <c r="F115" s="51">
        <f t="shared" si="3"/>
        <v>347.30045999999999</v>
      </c>
      <c r="G115" s="70"/>
      <c r="H115" s="70"/>
      <c r="I115" s="34"/>
      <c r="L115" s="67"/>
      <c r="M115" s="67"/>
      <c r="N115" s="34"/>
    </row>
    <row r="116" spans="1:14" s="52" customFormat="1" ht="15.75" customHeight="1" x14ac:dyDescent="0.35">
      <c r="A116" s="70">
        <f t="shared" si="0"/>
        <v>8</v>
      </c>
      <c r="B116" s="70"/>
      <c r="C116" s="51" t="s">
        <v>190</v>
      </c>
      <c r="D116" s="55">
        <f t="shared" si="2"/>
        <v>231.53363999999999</v>
      </c>
      <c r="E116" s="51">
        <v>0</v>
      </c>
      <c r="F116" s="51">
        <f t="shared" si="3"/>
        <v>347.30045999999999</v>
      </c>
      <c r="G116" s="70"/>
      <c r="H116" s="70"/>
      <c r="I116" s="34"/>
      <c r="L116" s="67"/>
      <c r="M116" s="67"/>
      <c r="N116" s="34"/>
    </row>
    <row r="117" spans="1:14" s="52" customFormat="1" ht="15.75" customHeight="1" x14ac:dyDescent="0.35">
      <c r="A117" s="70">
        <f t="shared" si="0"/>
        <v>9</v>
      </c>
      <c r="B117" s="70"/>
      <c r="C117" s="51" t="s">
        <v>190</v>
      </c>
      <c r="D117" s="55">
        <f t="shared" si="2"/>
        <v>231.53363999999999</v>
      </c>
      <c r="E117" s="51">
        <v>0</v>
      </c>
      <c r="F117" s="51">
        <f t="shared" si="3"/>
        <v>347.30045999999999</v>
      </c>
      <c r="G117" s="70"/>
      <c r="H117" s="70"/>
      <c r="I117" s="34"/>
      <c r="L117" s="67"/>
      <c r="M117" s="67"/>
      <c r="N117" s="34"/>
    </row>
    <row r="118" spans="1:14" s="52" customFormat="1" ht="15.75" customHeight="1" x14ac:dyDescent="0.35">
      <c r="A118" s="70">
        <f t="shared" si="0"/>
        <v>10</v>
      </c>
      <c r="B118" s="70"/>
      <c r="C118" s="51" t="s">
        <v>190</v>
      </c>
      <c r="D118" s="55">
        <f t="shared" si="2"/>
        <v>231.53363999999999</v>
      </c>
      <c r="E118" s="51">
        <v>0</v>
      </c>
      <c r="F118" s="51">
        <f t="shared" si="3"/>
        <v>347.30045999999999</v>
      </c>
      <c r="G118" s="70"/>
      <c r="H118" s="70"/>
      <c r="I118" s="34"/>
      <c r="L118" s="67"/>
      <c r="M118" s="67"/>
      <c r="N118" s="34"/>
    </row>
    <row r="119" spans="1:14" s="52" customFormat="1" ht="15.75" customHeight="1" x14ac:dyDescent="0.35">
      <c r="A119" s="70">
        <f t="shared" si="0"/>
        <v>11</v>
      </c>
      <c r="B119" s="70"/>
      <c r="C119" s="51" t="s">
        <v>190</v>
      </c>
      <c r="D119" s="55">
        <f t="shared" si="2"/>
        <v>231.53363999999999</v>
      </c>
      <c r="E119" s="51">
        <v>0</v>
      </c>
      <c r="F119" s="51">
        <f t="shared" si="3"/>
        <v>347.30045999999999</v>
      </c>
      <c r="G119" s="70"/>
      <c r="H119" s="70"/>
      <c r="I119" s="34"/>
      <c r="L119" s="67"/>
      <c r="M119" s="67"/>
      <c r="N119" s="34"/>
    </row>
    <row r="120" spans="1:14" s="52" customFormat="1" ht="15.75" customHeight="1" x14ac:dyDescent="0.35">
      <c r="A120" s="70">
        <f t="shared" si="0"/>
        <v>12</v>
      </c>
      <c r="B120" s="70"/>
      <c r="C120" s="51" t="s">
        <v>190</v>
      </c>
      <c r="D120" s="55">
        <f t="shared" si="2"/>
        <v>231.53363999999999</v>
      </c>
      <c r="E120" s="51">
        <v>0</v>
      </c>
      <c r="F120" s="51">
        <f t="shared" si="3"/>
        <v>347.30045999999999</v>
      </c>
      <c r="G120" s="70"/>
      <c r="H120" s="70"/>
      <c r="I120" s="34"/>
      <c r="L120" s="67"/>
      <c r="M120" s="67"/>
      <c r="N120" s="34"/>
    </row>
    <row r="121" spans="1:14" s="52" customFormat="1" ht="15.75" customHeight="1" x14ac:dyDescent="0.35">
      <c r="A121" s="70">
        <f t="shared" si="0"/>
        <v>13</v>
      </c>
      <c r="B121" s="70"/>
      <c r="C121" s="51" t="s">
        <v>190</v>
      </c>
      <c r="D121" s="55">
        <f t="shared" si="2"/>
        <v>231.53363999999999</v>
      </c>
      <c r="E121" s="51">
        <v>0</v>
      </c>
      <c r="F121" s="51">
        <f t="shared" si="3"/>
        <v>347.30045999999999</v>
      </c>
      <c r="G121" s="70"/>
      <c r="H121" s="70"/>
      <c r="I121" s="34"/>
      <c r="L121" s="67"/>
      <c r="M121" s="67"/>
      <c r="N121" s="34"/>
    </row>
    <row r="122" spans="1:14" s="52" customFormat="1" ht="15.75" customHeight="1" x14ac:dyDescent="0.35">
      <c r="A122" s="70">
        <f t="shared" si="0"/>
        <v>14</v>
      </c>
      <c r="B122" s="70"/>
      <c r="C122" s="51" t="s">
        <v>190</v>
      </c>
      <c r="D122" s="55">
        <f>(18.29)*10.764</f>
        <v>196.87355999999997</v>
      </c>
      <c r="E122" s="51">
        <v>0</v>
      </c>
      <c r="F122" s="51">
        <f t="shared" si="3"/>
        <v>295.31033999999994</v>
      </c>
      <c r="G122" s="70"/>
      <c r="H122" s="70"/>
      <c r="I122" s="34"/>
      <c r="L122" s="67"/>
      <c r="M122" s="67"/>
      <c r="N122" s="34"/>
    </row>
    <row r="123" spans="1:14" s="52" customFormat="1" ht="15.75" customHeight="1" x14ac:dyDescent="0.35">
      <c r="A123" s="70">
        <f t="shared" si="0"/>
        <v>15</v>
      </c>
      <c r="B123" s="70"/>
      <c r="C123" s="199" t="s">
        <v>191</v>
      </c>
      <c r="D123" s="199"/>
      <c r="E123" s="199"/>
      <c r="F123" s="199"/>
      <c r="G123" s="70"/>
      <c r="H123" s="70"/>
      <c r="I123" s="34"/>
      <c r="L123" s="67"/>
      <c r="M123" s="67"/>
      <c r="N123" s="34"/>
    </row>
    <row r="124" spans="1:14" s="35" customFormat="1" x14ac:dyDescent="0.35">
      <c r="A124" s="71" t="s">
        <v>195</v>
      </c>
      <c r="B124" s="72"/>
      <c r="C124" s="72"/>
      <c r="D124" s="72"/>
      <c r="E124" s="72"/>
      <c r="F124" s="72"/>
      <c r="G124" s="72"/>
      <c r="H124" s="73"/>
      <c r="J124" s="34"/>
      <c r="K124" s="35" t="s">
        <v>206</v>
      </c>
      <c r="L124" s="67" t="s">
        <v>211</v>
      </c>
      <c r="M124" s="67"/>
    </row>
    <row r="125" spans="1:14" s="35" customFormat="1" ht="15.75" customHeight="1" x14ac:dyDescent="0.35">
      <c r="A125" s="68">
        <v>1</v>
      </c>
      <c r="B125" s="69"/>
      <c r="C125" s="50" t="s">
        <v>193</v>
      </c>
      <c r="D125" s="55">
        <f>(25.36)*10.764</f>
        <v>272.97503999999998</v>
      </c>
      <c r="E125" s="40">
        <v>0</v>
      </c>
      <c r="F125" s="51">
        <f t="shared" ref="F125:F188" si="4">(D125+E125)*(($F$104)+1)</f>
        <v>409.46255999999994</v>
      </c>
      <c r="G125" s="180" t="str">
        <f>A124</f>
        <v xml:space="preserve">1st Floor For Commercial </v>
      </c>
      <c r="H125" s="181"/>
      <c r="I125" s="34">
        <f>273*55%</f>
        <v>150.15</v>
      </c>
      <c r="J125" s="55">
        <v>10.763999999999999</v>
      </c>
      <c r="L125" s="67"/>
      <c r="M125" s="67"/>
      <c r="N125" s="34"/>
    </row>
    <row r="126" spans="1:14" s="35" customFormat="1" ht="15.75" customHeight="1" x14ac:dyDescent="0.35">
      <c r="A126" s="68">
        <f t="shared" ref="A126:A141" si="5">A125+1</f>
        <v>2</v>
      </c>
      <c r="B126" s="69"/>
      <c r="C126" s="50" t="s">
        <v>193</v>
      </c>
      <c r="D126" s="55">
        <f>(41.11)*10.764</f>
        <v>442.50803999999999</v>
      </c>
      <c r="E126" s="40">
        <v>0</v>
      </c>
      <c r="F126" s="51">
        <f t="shared" si="4"/>
        <v>663.76206000000002</v>
      </c>
      <c r="G126" s="182"/>
      <c r="H126" s="183"/>
      <c r="I126" s="34">
        <f>6.15*6.48+1.65*1.25+2.8*1.4</f>
        <v>45.834500000000006</v>
      </c>
      <c r="L126" s="67"/>
      <c r="M126" s="67"/>
      <c r="N126" s="34"/>
    </row>
    <row r="127" spans="1:14" s="35" customFormat="1" ht="15.75" customHeight="1" x14ac:dyDescent="0.35">
      <c r="A127" s="68">
        <f t="shared" si="5"/>
        <v>3</v>
      </c>
      <c r="B127" s="69"/>
      <c r="C127" s="50" t="s">
        <v>193</v>
      </c>
      <c r="D127" s="55">
        <f t="shared" ref="D127:D133" si="6">(21.69)*10.764</f>
        <v>233.47116</v>
      </c>
      <c r="E127" s="40">
        <v>0</v>
      </c>
      <c r="F127" s="51">
        <f t="shared" si="4"/>
        <v>350.20673999999997</v>
      </c>
      <c r="G127" s="182"/>
      <c r="H127" s="183"/>
      <c r="I127" s="34"/>
      <c r="L127" s="67"/>
      <c r="M127" s="67"/>
      <c r="N127" s="34"/>
    </row>
    <row r="128" spans="1:14" s="35" customFormat="1" ht="15.75" customHeight="1" x14ac:dyDescent="0.35">
      <c r="A128" s="68">
        <f t="shared" si="5"/>
        <v>4</v>
      </c>
      <c r="B128" s="69"/>
      <c r="C128" s="50" t="s">
        <v>193</v>
      </c>
      <c r="D128" s="55">
        <f t="shared" si="6"/>
        <v>233.47116</v>
      </c>
      <c r="E128" s="40">
        <v>0</v>
      </c>
      <c r="F128" s="51">
        <f t="shared" si="4"/>
        <v>350.20673999999997</v>
      </c>
      <c r="G128" s="182"/>
      <c r="H128" s="183"/>
      <c r="I128" s="34"/>
      <c r="L128" s="67"/>
      <c r="M128" s="67"/>
      <c r="N128" s="34"/>
    </row>
    <row r="129" spans="1:14" s="52" customFormat="1" ht="15.75" customHeight="1" x14ac:dyDescent="0.35">
      <c r="A129" s="68">
        <f t="shared" si="5"/>
        <v>5</v>
      </c>
      <c r="B129" s="69"/>
      <c r="C129" s="50" t="s">
        <v>193</v>
      </c>
      <c r="D129" s="55">
        <f t="shared" si="6"/>
        <v>233.47116</v>
      </c>
      <c r="E129" s="51">
        <v>0</v>
      </c>
      <c r="F129" s="51">
        <f t="shared" si="4"/>
        <v>350.20673999999997</v>
      </c>
      <c r="G129" s="182"/>
      <c r="H129" s="183"/>
      <c r="I129" s="34"/>
      <c r="L129" s="67"/>
      <c r="M129" s="67"/>
      <c r="N129" s="34"/>
    </row>
    <row r="130" spans="1:14" s="52" customFormat="1" ht="15.75" customHeight="1" x14ac:dyDescent="0.35">
      <c r="A130" s="68">
        <f t="shared" si="5"/>
        <v>6</v>
      </c>
      <c r="B130" s="69"/>
      <c r="C130" s="50" t="s">
        <v>193</v>
      </c>
      <c r="D130" s="55">
        <f t="shared" si="6"/>
        <v>233.47116</v>
      </c>
      <c r="E130" s="51">
        <v>0</v>
      </c>
      <c r="F130" s="51">
        <f t="shared" si="4"/>
        <v>350.20673999999997</v>
      </c>
      <c r="G130" s="182"/>
      <c r="H130" s="183"/>
      <c r="I130" s="34"/>
      <c r="L130" s="67"/>
      <c r="M130" s="67"/>
      <c r="N130" s="34"/>
    </row>
    <row r="131" spans="1:14" s="52" customFormat="1" ht="15.75" customHeight="1" x14ac:dyDescent="0.35">
      <c r="A131" s="68">
        <f t="shared" si="5"/>
        <v>7</v>
      </c>
      <c r="B131" s="69"/>
      <c r="C131" s="50" t="s">
        <v>193</v>
      </c>
      <c r="D131" s="55">
        <f t="shared" si="6"/>
        <v>233.47116</v>
      </c>
      <c r="E131" s="51">
        <v>0</v>
      </c>
      <c r="F131" s="51">
        <f t="shared" si="4"/>
        <v>350.20673999999997</v>
      </c>
      <c r="G131" s="182"/>
      <c r="H131" s="183"/>
      <c r="I131" s="34"/>
      <c r="L131" s="67"/>
      <c r="M131" s="67"/>
      <c r="N131" s="34"/>
    </row>
    <row r="132" spans="1:14" s="52" customFormat="1" ht="15.75" customHeight="1" x14ac:dyDescent="0.35">
      <c r="A132" s="68">
        <f t="shared" si="5"/>
        <v>8</v>
      </c>
      <c r="B132" s="69"/>
      <c r="C132" s="50" t="s">
        <v>193</v>
      </c>
      <c r="D132" s="55">
        <f t="shared" si="6"/>
        <v>233.47116</v>
      </c>
      <c r="E132" s="51">
        <v>0</v>
      </c>
      <c r="F132" s="51">
        <f t="shared" si="4"/>
        <v>350.20673999999997</v>
      </c>
      <c r="G132" s="182"/>
      <c r="H132" s="183"/>
      <c r="I132" s="34"/>
      <c r="L132" s="67"/>
      <c r="M132" s="67"/>
      <c r="N132" s="34"/>
    </row>
    <row r="133" spans="1:14" s="52" customFormat="1" ht="15.75" customHeight="1" x14ac:dyDescent="0.35">
      <c r="A133" s="68">
        <f t="shared" si="5"/>
        <v>9</v>
      </c>
      <c r="B133" s="69"/>
      <c r="C133" s="50" t="s">
        <v>193</v>
      </c>
      <c r="D133" s="55">
        <f t="shared" si="6"/>
        <v>233.47116</v>
      </c>
      <c r="E133" s="51">
        <v>0</v>
      </c>
      <c r="F133" s="51">
        <f>(D133+E133)*(($F$104)+1)</f>
        <v>350.20673999999997</v>
      </c>
      <c r="G133" s="182"/>
      <c r="H133" s="183"/>
      <c r="I133" s="34"/>
      <c r="L133" s="67"/>
      <c r="M133" s="67"/>
      <c r="N133" s="34"/>
    </row>
    <row r="134" spans="1:14" s="52" customFormat="1" ht="15.75" customHeight="1" x14ac:dyDescent="0.35">
      <c r="A134" s="68">
        <f t="shared" si="5"/>
        <v>10</v>
      </c>
      <c r="B134" s="69"/>
      <c r="C134" s="50" t="s">
        <v>193</v>
      </c>
      <c r="D134" s="55">
        <f>(21.51)*10.764</f>
        <v>231.53363999999999</v>
      </c>
      <c r="E134" s="51">
        <v>0</v>
      </c>
      <c r="F134" s="51">
        <f t="shared" si="4"/>
        <v>347.30045999999999</v>
      </c>
      <c r="G134" s="182"/>
      <c r="H134" s="183"/>
      <c r="I134" s="34"/>
      <c r="K134" s="58">
        <f>4700000/F134</f>
        <v>13532.950690592234</v>
      </c>
      <c r="L134" s="75">
        <f>4450000/F134</f>
        <v>12813.112887901158</v>
      </c>
      <c r="M134" s="75"/>
      <c r="N134" s="34"/>
    </row>
    <row r="135" spans="1:14" s="52" customFormat="1" ht="15.75" customHeight="1" x14ac:dyDescent="0.35">
      <c r="A135" s="68">
        <f t="shared" si="5"/>
        <v>11</v>
      </c>
      <c r="B135" s="69"/>
      <c r="C135" s="50" t="s">
        <v>193</v>
      </c>
      <c r="D135" s="55">
        <f>(21.69)*10.764</f>
        <v>233.47116</v>
      </c>
      <c r="E135" s="51">
        <v>0</v>
      </c>
      <c r="F135" s="51">
        <f t="shared" si="4"/>
        <v>350.20673999999997</v>
      </c>
      <c r="G135" s="182"/>
      <c r="H135" s="183"/>
      <c r="I135" s="34"/>
      <c r="K135" s="58">
        <f t="shared" ref="K135:K137" si="7">4700000/F135</f>
        <v>13420.644045857029</v>
      </c>
      <c r="L135" s="75"/>
      <c r="M135" s="75"/>
      <c r="N135" s="34"/>
    </row>
    <row r="136" spans="1:14" s="52" customFormat="1" ht="15.75" customHeight="1" x14ac:dyDescent="0.35">
      <c r="A136" s="68">
        <f t="shared" si="5"/>
        <v>12</v>
      </c>
      <c r="B136" s="69"/>
      <c r="C136" s="50" t="s">
        <v>193</v>
      </c>
      <c r="D136" s="55">
        <f>(21.69)*10.764</f>
        <v>233.47116</v>
      </c>
      <c r="E136" s="51">
        <v>0</v>
      </c>
      <c r="F136" s="51">
        <f t="shared" si="4"/>
        <v>350.20673999999997</v>
      </c>
      <c r="G136" s="182"/>
      <c r="H136" s="183"/>
      <c r="I136" s="34"/>
      <c r="K136" s="58">
        <f t="shared" si="7"/>
        <v>13420.644045857029</v>
      </c>
      <c r="L136" s="75"/>
      <c r="M136" s="75"/>
      <c r="N136" s="34"/>
    </row>
    <row r="137" spans="1:14" s="52" customFormat="1" ht="15.75" customHeight="1" x14ac:dyDescent="0.35">
      <c r="A137" s="68">
        <f t="shared" si="5"/>
        <v>13</v>
      </c>
      <c r="B137" s="69"/>
      <c r="C137" s="50" t="s">
        <v>193</v>
      </c>
      <c r="D137" s="55">
        <f>(21.69)*10.764</f>
        <v>233.47116</v>
      </c>
      <c r="E137" s="51">
        <v>0</v>
      </c>
      <c r="F137" s="51">
        <f t="shared" si="4"/>
        <v>350.20673999999997</v>
      </c>
      <c r="G137" s="182"/>
      <c r="H137" s="183"/>
      <c r="I137" s="34"/>
      <c r="K137" s="58">
        <f t="shared" si="7"/>
        <v>13420.644045857029</v>
      </c>
      <c r="L137" s="75"/>
      <c r="M137" s="75"/>
      <c r="N137" s="34"/>
    </row>
    <row r="138" spans="1:14" s="52" customFormat="1" ht="15.75" customHeight="1" x14ac:dyDescent="0.35">
      <c r="A138" s="68">
        <f t="shared" si="5"/>
        <v>14</v>
      </c>
      <c r="B138" s="69"/>
      <c r="C138" s="50" t="s">
        <v>193</v>
      </c>
      <c r="D138" s="55">
        <f>(38.4)*10.764</f>
        <v>413.33759999999995</v>
      </c>
      <c r="E138" s="51">
        <v>0</v>
      </c>
      <c r="F138" s="51">
        <f t="shared" si="4"/>
        <v>620.00639999999999</v>
      </c>
      <c r="G138" s="182"/>
      <c r="H138" s="183"/>
      <c r="I138" s="34">
        <f>5.64*5.66+1.65*1.25+2.8*1.4</f>
        <v>37.904899999999998</v>
      </c>
      <c r="L138" s="67"/>
      <c r="M138" s="67"/>
      <c r="N138" s="34"/>
    </row>
    <row r="139" spans="1:14" s="52" customFormat="1" ht="15.75" customHeight="1" x14ac:dyDescent="0.35">
      <c r="A139" s="68">
        <f t="shared" si="5"/>
        <v>15</v>
      </c>
      <c r="B139" s="69"/>
      <c r="C139" s="50" t="s">
        <v>193</v>
      </c>
      <c r="D139" s="55">
        <f>(43.9)*10.764</f>
        <v>472.53959999999995</v>
      </c>
      <c r="E139" s="51">
        <v>0</v>
      </c>
      <c r="F139" s="51">
        <f t="shared" si="4"/>
        <v>708.80939999999987</v>
      </c>
      <c r="G139" s="182"/>
      <c r="H139" s="183"/>
      <c r="I139" s="34">
        <f>9.65*5.16+1.65*1.25</f>
        <v>51.856500000000004</v>
      </c>
      <c r="L139" s="67"/>
      <c r="M139" s="67"/>
      <c r="N139" s="34"/>
    </row>
    <row r="140" spans="1:14" s="52" customFormat="1" ht="15.75" customHeight="1" x14ac:dyDescent="0.35">
      <c r="A140" s="68">
        <f t="shared" si="5"/>
        <v>16</v>
      </c>
      <c r="B140" s="69"/>
      <c r="C140" s="50" t="s">
        <v>193</v>
      </c>
      <c r="D140" s="55">
        <f>(26.85)*10.764</f>
        <v>289.01339999999999</v>
      </c>
      <c r="E140" s="51">
        <v>0</v>
      </c>
      <c r="F140" s="51">
        <f t="shared" si="4"/>
        <v>433.52009999999996</v>
      </c>
      <c r="G140" s="182"/>
      <c r="H140" s="183"/>
      <c r="I140" s="34"/>
      <c r="L140" s="67"/>
      <c r="M140" s="67"/>
      <c r="N140" s="34"/>
    </row>
    <row r="141" spans="1:14" s="52" customFormat="1" ht="15.75" customHeight="1" x14ac:dyDescent="0.35">
      <c r="A141" s="68">
        <f t="shared" si="5"/>
        <v>17</v>
      </c>
      <c r="B141" s="69"/>
      <c r="C141" s="50" t="s">
        <v>193</v>
      </c>
      <c r="D141" s="55">
        <f>(26.32)*10.764</f>
        <v>283.30847999999997</v>
      </c>
      <c r="E141" s="51">
        <v>0</v>
      </c>
      <c r="F141" s="51">
        <f t="shared" si="4"/>
        <v>424.96271999999999</v>
      </c>
      <c r="G141" s="184"/>
      <c r="H141" s="185"/>
      <c r="I141" s="34">
        <f>7.5*2.375+4.15*1.4+1.65*1.25</f>
        <v>25.685000000000002</v>
      </c>
      <c r="L141" s="67"/>
      <c r="M141" s="67"/>
      <c r="N141" s="34"/>
    </row>
    <row r="142" spans="1:14" s="35" customFormat="1" x14ac:dyDescent="0.35">
      <c r="A142" s="74" t="s">
        <v>194</v>
      </c>
      <c r="B142" s="74"/>
      <c r="C142" s="74"/>
      <c r="D142" s="74"/>
      <c r="E142" s="74"/>
      <c r="F142" s="74"/>
      <c r="G142" s="74"/>
      <c r="H142" s="74"/>
      <c r="I142" s="34"/>
      <c r="N142" s="34"/>
    </row>
    <row r="143" spans="1:14" s="52" customFormat="1" ht="15.75" customHeight="1" x14ac:dyDescent="0.35">
      <c r="A143" s="70">
        <v>1</v>
      </c>
      <c r="B143" s="70"/>
      <c r="C143" s="50" t="s">
        <v>193</v>
      </c>
      <c r="D143" s="55">
        <f>(25.36)*10.764</f>
        <v>272.97503999999998</v>
      </c>
      <c r="E143" s="51">
        <v>0</v>
      </c>
      <c r="F143" s="51">
        <f t="shared" si="4"/>
        <v>409.46255999999994</v>
      </c>
      <c r="G143" s="70" t="str">
        <f>A142</f>
        <v xml:space="preserve">2nd to 6th, 8th to 10th Floor </v>
      </c>
      <c r="H143" s="70"/>
      <c r="I143" s="34"/>
      <c r="L143" s="67"/>
      <c r="M143" s="67"/>
      <c r="N143" s="34"/>
    </row>
    <row r="144" spans="1:14" s="52" customFormat="1" ht="15.75" customHeight="1" x14ac:dyDescent="0.35">
      <c r="A144" s="70">
        <f t="shared" ref="A144:A162" si="8">A143+1</f>
        <v>2</v>
      </c>
      <c r="B144" s="70"/>
      <c r="C144" s="50" t="s">
        <v>193</v>
      </c>
      <c r="D144" s="55">
        <f>(41.11)*10.764</f>
        <v>442.50803999999999</v>
      </c>
      <c r="E144" s="51">
        <v>0</v>
      </c>
      <c r="F144" s="51">
        <f t="shared" si="4"/>
        <v>663.76206000000002</v>
      </c>
      <c r="G144" s="70"/>
      <c r="H144" s="70"/>
      <c r="I144" s="34"/>
      <c r="L144" s="67"/>
      <c r="M144" s="67"/>
      <c r="N144" s="34"/>
    </row>
    <row r="145" spans="1:14" s="52" customFormat="1" ht="15.75" customHeight="1" x14ac:dyDescent="0.35">
      <c r="A145" s="70">
        <f t="shared" si="8"/>
        <v>3</v>
      </c>
      <c r="B145" s="70"/>
      <c r="C145" s="50" t="s">
        <v>193</v>
      </c>
      <c r="D145" s="55">
        <f t="shared" ref="D145:D155" si="9">(21.69)*10.764</f>
        <v>233.47116</v>
      </c>
      <c r="E145" s="51">
        <v>0</v>
      </c>
      <c r="F145" s="51">
        <f t="shared" si="4"/>
        <v>350.20673999999997</v>
      </c>
      <c r="G145" s="70"/>
      <c r="H145" s="70"/>
      <c r="I145" s="34"/>
      <c r="L145" s="67"/>
      <c r="M145" s="67"/>
      <c r="N145" s="34"/>
    </row>
    <row r="146" spans="1:14" s="52" customFormat="1" ht="15.75" customHeight="1" x14ac:dyDescent="0.35">
      <c r="A146" s="70">
        <f t="shared" si="8"/>
        <v>4</v>
      </c>
      <c r="B146" s="70"/>
      <c r="C146" s="50" t="s">
        <v>193</v>
      </c>
      <c r="D146" s="55">
        <f t="shared" si="9"/>
        <v>233.47116</v>
      </c>
      <c r="E146" s="51">
        <v>0</v>
      </c>
      <c r="F146" s="51">
        <f t="shared" si="4"/>
        <v>350.20673999999997</v>
      </c>
      <c r="G146" s="70"/>
      <c r="H146" s="70"/>
      <c r="I146" s="34"/>
      <c r="L146" s="67"/>
      <c r="M146" s="67"/>
      <c r="N146" s="34"/>
    </row>
    <row r="147" spans="1:14" s="52" customFormat="1" ht="15.75" customHeight="1" x14ac:dyDescent="0.35">
      <c r="A147" s="70">
        <f t="shared" si="8"/>
        <v>5</v>
      </c>
      <c r="B147" s="70"/>
      <c r="C147" s="50" t="s">
        <v>193</v>
      </c>
      <c r="D147" s="55">
        <f t="shared" si="9"/>
        <v>233.47116</v>
      </c>
      <c r="E147" s="51">
        <v>0</v>
      </c>
      <c r="F147" s="51">
        <f t="shared" si="4"/>
        <v>350.20673999999997</v>
      </c>
      <c r="G147" s="70"/>
      <c r="H147" s="70"/>
      <c r="I147" s="34"/>
      <c r="L147" s="67"/>
      <c r="M147" s="67"/>
      <c r="N147" s="34"/>
    </row>
    <row r="148" spans="1:14" s="52" customFormat="1" ht="15.75" customHeight="1" x14ac:dyDescent="0.35">
      <c r="A148" s="70">
        <f t="shared" si="8"/>
        <v>6</v>
      </c>
      <c r="B148" s="70"/>
      <c r="C148" s="50" t="s">
        <v>193</v>
      </c>
      <c r="D148" s="55">
        <f t="shared" si="9"/>
        <v>233.47116</v>
      </c>
      <c r="E148" s="51">
        <v>0</v>
      </c>
      <c r="F148" s="51">
        <f t="shared" si="4"/>
        <v>350.20673999999997</v>
      </c>
      <c r="G148" s="70"/>
      <c r="H148" s="70"/>
      <c r="I148" s="34"/>
      <c r="L148" s="67"/>
      <c r="M148" s="67"/>
      <c r="N148" s="34"/>
    </row>
    <row r="149" spans="1:14" s="52" customFormat="1" ht="15.75" customHeight="1" x14ac:dyDescent="0.35">
      <c r="A149" s="70">
        <f t="shared" si="8"/>
        <v>7</v>
      </c>
      <c r="B149" s="70"/>
      <c r="C149" s="50" t="s">
        <v>193</v>
      </c>
      <c r="D149" s="55">
        <f t="shared" si="9"/>
        <v>233.47116</v>
      </c>
      <c r="E149" s="51">
        <v>0</v>
      </c>
      <c r="F149" s="51">
        <f t="shared" si="4"/>
        <v>350.20673999999997</v>
      </c>
      <c r="G149" s="70"/>
      <c r="H149" s="70"/>
      <c r="I149" s="34"/>
      <c r="L149" s="67"/>
      <c r="M149" s="67"/>
      <c r="N149" s="34"/>
    </row>
    <row r="150" spans="1:14" s="52" customFormat="1" ht="15.75" customHeight="1" x14ac:dyDescent="0.35">
      <c r="A150" s="70">
        <f t="shared" si="8"/>
        <v>8</v>
      </c>
      <c r="B150" s="70"/>
      <c r="C150" s="50" t="s">
        <v>193</v>
      </c>
      <c r="D150" s="55">
        <f t="shared" si="9"/>
        <v>233.47116</v>
      </c>
      <c r="E150" s="51">
        <v>0</v>
      </c>
      <c r="F150" s="51">
        <f t="shared" si="4"/>
        <v>350.20673999999997</v>
      </c>
      <c r="G150" s="70"/>
      <c r="H150" s="70"/>
      <c r="I150" s="34"/>
      <c r="L150" s="67"/>
      <c r="M150" s="67"/>
      <c r="N150" s="34"/>
    </row>
    <row r="151" spans="1:14" s="52" customFormat="1" ht="15.75" customHeight="1" x14ac:dyDescent="0.35">
      <c r="A151" s="70">
        <f t="shared" si="8"/>
        <v>9</v>
      </c>
      <c r="B151" s="70"/>
      <c r="C151" s="50" t="s">
        <v>193</v>
      </c>
      <c r="D151" s="55">
        <f t="shared" si="9"/>
        <v>233.47116</v>
      </c>
      <c r="E151" s="51">
        <v>0</v>
      </c>
      <c r="F151" s="51">
        <f t="shared" si="4"/>
        <v>350.20673999999997</v>
      </c>
      <c r="G151" s="70"/>
      <c r="H151" s="70"/>
      <c r="I151" s="34"/>
      <c r="L151" s="67"/>
      <c r="M151" s="67"/>
      <c r="N151" s="34"/>
    </row>
    <row r="152" spans="1:14" s="52" customFormat="1" ht="15.75" customHeight="1" x14ac:dyDescent="0.35">
      <c r="A152" s="70">
        <f t="shared" si="8"/>
        <v>10</v>
      </c>
      <c r="B152" s="70"/>
      <c r="C152" s="50" t="s">
        <v>193</v>
      </c>
      <c r="D152" s="55">
        <f t="shared" si="9"/>
        <v>233.47116</v>
      </c>
      <c r="E152" s="51">
        <v>0</v>
      </c>
      <c r="F152" s="51">
        <f t="shared" si="4"/>
        <v>350.20673999999997</v>
      </c>
      <c r="G152" s="70"/>
      <c r="H152" s="70"/>
      <c r="I152" s="34"/>
      <c r="L152" s="67"/>
      <c r="M152" s="67"/>
      <c r="N152" s="34"/>
    </row>
    <row r="153" spans="1:14" s="52" customFormat="1" ht="15.75" customHeight="1" x14ac:dyDescent="0.35">
      <c r="A153" s="70">
        <f t="shared" si="8"/>
        <v>11</v>
      </c>
      <c r="B153" s="70"/>
      <c r="C153" s="50" t="s">
        <v>193</v>
      </c>
      <c r="D153" s="55">
        <f t="shared" si="9"/>
        <v>233.47116</v>
      </c>
      <c r="E153" s="51">
        <v>0</v>
      </c>
      <c r="F153" s="51">
        <f t="shared" si="4"/>
        <v>350.20673999999997</v>
      </c>
      <c r="G153" s="70"/>
      <c r="H153" s="70"/>
      <c r="I153" s="34"/>
      <c r="L153" s="67"/>
      <c r="M153" s="67"/>
      <c r="N153" s="34"/>
    </row>
    <row r="154" spans="1:14" s="52" customFormat="1" ht="15.75" customHeight="1" x14ac:dyDescent="0.35">
      <c r="A154" s="70">
        <f t="shared" si="8"/>
        <v>12</v>
      </c>
      <c r="B154" s="70"/>
      <c r="C154" s="50" t="s">
        <v>193</v>
      </c>
      <c r="D154" s="55">
        <f t="shared" si="9"/>
        <v>233.47116</v>
      </c>
      <c r="E154" s="51">
        <v>0</v>
      </c>
      <c r="F154" s="51">
        <f t="shared" si="4"/>
        <v>350.20673999999997</v>
      </c>
      <c r="G154" s="70"/>
      <c r="H154" s="70"/>
      <c r="I154" s="34"/>
      <c r="L154" s="67"/>
      <c r="M154" s="67"/>
      <c r="N154" s="34"/>
    </row>
    <row r="155" spans="1:14" s="52" customFormat="1" ht="15.75" customHeight="1" x14ac:dyDescent="0.35">
      <c r="A155" s="70">
        <f t="shared" si="8"/>
        <v>13</v>
      </c>
      <c r="B155" s="70"/>
      <c r="C155" s="50" t="s">
        <v>193</v>
      </c>
      <c r="D155" s="55">
        <f t="shared" si="9"/>
        <v>233.47116</v>
      </c>
      <c r="E155" s="51">
        <v>0</v>
      </c>
      <c r="F155" s="51">
        <f t="shared" si="4"/>
        <v>350.20673999999997</v>
      </c>
      <c r="G155" s="70"/>
      <c r="H155" s="70"/>
      <c r="I155" s="34"/>
      <c r="L155" s="67"/>
      <c r="M155" s="67"/>
      <c r="N155" s="34"/>
    </row>
    <row r="156" spans="1:14" s="52" customFormat="1" ht="15.75" customHeight="1" x14ac:dyDescent="0.35">
      <c r="A156" s="70">
        <f t="shared" si="8"/>
        <v>14</v>
      </c>
      <c r="B156" s="70"/>
      <c r="C156" s="50" t="s">
        <v>193</v>
      </c>
      <c r="D156" s="55">
        <f>(38.4)*10.764</f>
        <v>413.33759999999995</v>
      </c>
      <c r="E156" s="51">
        <v>0</v>
      </c>
      <c r="F156" s="51">
        <f t="shared" si="4"/>
        <v>620.00639999999999</v>
      </c>
      <c r="G156" s="70"/>
      <c r="H156" s="70"/>
      <c r="I156" s="34"/>
      <c r="L156" s="67"/>
      <c r="M156" s="67"/>
      <c r="N156" s="34"/>
    </row>
    <row r="157" spans="1:14" s="52" customFormat="1" ht="15.75" customHeight="1" x14ac:dyDescent="0.35">
      <c r="A157" s="70">
        <f t="shared" si="8"/>
        <v>15</v>
      </c>
      <c r="B157" s="70"/>
      <c r="C157" s="50" t="s">
        <v>193</v>
      </c>
      <c r="D157" s="55">
        <f>(43.9)*10.764</f>
        <v>472.53959999999995</v>
      </c>
      <c r="E157" s="51">
        <v>0</v>
      </c>
      <c r="F157" s="51">
        <f t="shared" si="4"/>
        <v>708.80939999999987</v>
      </c>
      <c r="G157" s="70"/>
      <c r="H157" s="70"/>
      <c r="I157" s="34"/>
      <c r="L157" s="67"/>
      <c r="M157" s="67"/>
      <c r="N157" s="34"/>
    </row>
    <row r="158" spans="1:14" s="52" customFormat="1" ht="15.75" customHeight="1" x14ac:dyDescent="0.35">
      <c r="A158" s="70">
        <f t="shared" si="8"/>
        <v>16</v>
      </c>
      <c r="B158" s="70"/>
      <c r="C158" s="50" t="s">
        <v>193</v>
      </c>
      <c r="D158" s="55">
        <f>(26.55)*10.764</f>
        <v>285.7842</v>
      </c>
      <c r="E158" s="51">
        <v>0</v>
      </c>
      <c r="F158" s="51">
        <f t="shared" si="4"/>
        <v>428.67629999999997</v>
      </c>
      <c r="G158" s="70"/>
      <c r="H158" s="70"/>
      <c r="I158" s="34"/>
      <c r="L158" s="67"/>
      <c r="M158" s="67"/>
      <c r="N158" s="34"/>
    </row>
    <row r="159" spans="1:14" s="52" customFormat="1" ht="15.75" customHeight="1" x14ac:dyDescent="0.35">
      <c r="A159" s="70">
        <f t="shared" si="8"/>
        <v>17</v>
      </c>
      <c r="B159" s="70"/>
      <c r="C159" s="50" t="s">
        <v>193</v>
      </c>
      <c r="D159" s="55">
        <f>(26.85)*10.764</f>
        <v>289.01339999999999</v>
      </c>
      <c r="E159" s="51">
        <v>0</v>
      </c>
      <c r="F159" s="51">
        <f t="shared" si="4"/>
        <v>433.52009999999996</v>
      </c>
      <c r="G159" s="70"/>
      <c r="H159" s="70"/>
      <c r="I159" s="34"/>
      <c r="L159" s="67"/>
      <c r="M159" s="67"/>
      <c r="N159" s="34"/>
    </row>
    <row r="160" spans="1:14" s="52" customFormat="1" ht="15.75" customHeight="1" x14ac:dyDescent="0.35">
      <c r="A160" s="70">
        <f t="shared" si="8"/>
        <v>18</v>
      </c>
      <c r="B160" s="70"/>
      <c r="C160" s="50" t="s">
        <v>193</v>
      </c>
      <c r="D160" s="55">
        <f>(26.32)*10.764</f>
        <v>283.30847999999997</v>
      </c>
      <c r="E160" s="51">
        <v>0</v>
      </c>
      <c r="F160" s="51">
        <f t="shared" si="4"/>
        <v>424.96271999999999</v>
      </c>
      <c r="G160" s="70"/>
      <c r="H160" s="70"/>
      <c r="I160" s="34"/>
      <c r="L160" s="67"/>
      <c r="M160" s="67"/>
      <c r="N160" s="34"/>
    </row>
    <row r="161" spans="1:14" s="52" customFormat="1" ht="15.75" customHeight="1" x14ac:dyDescent="0.35">
      <c r="A161" s="70">
        <f t="shared" si="8"/>
        <v>19</v>
      </c>
      <c r="B161" s="70"/>
      <c r="C161" s="50" t="s">
        <v>193</v>
      </c>
      <c r="D161" s="55">
        <f>(26.89)*10.764</f>
        <v>289.44396</v>
      </c>
      <c r="E161" s="51">
        <v>0</v>
      </c>
      <c r="F161" s="51">
        <f t="shared" si="4"/>
        <v>434.16593999999998</v>
      </c>
      <c r="G161" s="70"/>
      <c r="H161" s="70"/>
      <c r="I161" s="34"/>
      <c r="L161" s="67"/>
      <c r="M161" s="67"/>
      <c r="N161" s="34"/>
    </row>
    <row r="162" spans="1:14" s="52" customFormat="1" ht="15.75" customHeight="1" x14ac:dyDescent="0.35">
      <c r="A162" s="70">
        <f t="shared" si="8"/>
        <v>20</v>
      </c>
      <c r="B162" s="70"/>
      <c r="C162" s="50" t="s">
        <v>193</v>
      </c>
      <c r="D162" s="55">
        <f>(34.31)*10.764</f>
        <v>369.31283999999999</v>
      </c>
      <c r="E162" s="51">
        <v>0</v>
      </c>
      <c r="F162" s="51">
        <f t="shared" si="4"/>
        <v>553.96925999999996</v>
      </c>
      <c r="G162" s="70"/>
      <c r="H162" s="70"/>
      <c r="I162" s="34"/>
      <c r="L162" s="67"/>
      <c r="M162" s="67"/>
      <c r="N162" s="34"/>
    </row>
    <row r="163" spans="1:14" s="52" customFormat="1" ht="15.75" customHeight="1" x14ac:dyDescent="0.35">
      <c r="A163" s="71" t="s">
        <v>196</v>
      </c>
      <c r="B163" s="72"/>
      <c r="C163" s="72"/>
      <c r="D163" s="72"/>
      <c r="E163" s="72"/>
      <c r="F163" s="72"/>
      <c r="G163" s="72"/>
      <c r="H163" s="73"/>
      <c r="I163" s="34"/>
      <c r="N163" s="34"/>
    </row>
    <row r="164" spans="1:14" s="52" customFormat="1" ht="15.75" customHeight="1" x14ac:dyDescent="0.35">
      <c r="A164" s="68">
        <v>1</v>
      </c>
      <c r="B164" s="69"/>
      <c r="C164" s="50" t="s">
        <v>193</v>
      </c>
      <c r="D164" s="55">
        <f>(42.19)*10.764</f>
        <v>454.13315999999998</v>
      </c>
      <c r="E164" s="51">
        <v>0</v>
      </c>
      <c r="F164" s="51">
        <f t="shared" si="4"/>
        <v>681.19974000000002</v>
      </c>
      <c r="G164" s="180" t="str">
        <f>A163</f>
        <v>7th &amp; 11th Floor Part Refuge Area</v>
      </c>
      <c r="H164" s="181"/>
      <c r="I164" s="34"/>
      <c r="L164" s="67"/>
      <c r="M164" s="67"/>
      <c r="N164" s="34"/>
    </row>
    <row r="165" spans="1:14" s="52" customFormat="1" x14ac:dyDescent="0.35">
      <c r="A165" s="68">
        <v>2</v>
      </c>
      <c r="B165" s="69"/>
      <c r="C165" s="50" t="s">
        <v>193</v>
      </c>
      <c r="D165" s="55">
        <f t="shared" ref="D165:D174" si="10">(21.69)*10.764</f>
        <v>233.47116</v>
      </c>
      <c r="E165" s="51">
        <v>0</v>
      </c>
      <c r="F165" s="51">
        <f t="shared" si="4"/>
        <v>350.20673999999997</v>
      </c>
      <c r="G165" s="182"/>
      <c r="H165" s="183"/>
      <c r="I165" s="34"/>
      <c r="L165" s="67"/>
      <c r="M165" s="67"/>
      <c r="N165" s="34"/>
    </row>
    <row r="166" spans="1:14" s="52" customFormat="1" x14ac:dyDescent="0.35">
      <c r="A166" s="68">
        <v>3</v>
      </c>
      <c r="B166" s="69"/>
      <c r="C166" s="50" t="s">
        <v>193</v>
      </c>
      <c r="D166" s="55">
        <f t="shared" si="10"/>
        <v>233.47116</v>
      </c>
      <c r="E166" s="51">
        <v>0</v>
      </c>
      <c r="F166" s="51">
        <f t="shared" si="4"/>
        <v>350.20673999999997</v>
      </c>
      <c r="G166" s="182"/>
      <c r="H166" s="183"/>
      <c r="I166" s="34"/>
      <c r="L166" s="67"/>
      <c r="M166" s="67"/>
      <c r="N166" s="34"/>
    </row>
    <row r="167" spans="1:14" s="52" customFormat="1" x14ac:dyDescent="0.35">
      <c r="A167" s="68">
        <v>4</v>
      </c>
      <c r="B167" s="69"/>
      <c r="C167" s="50" t="s">
        <v>193</v>
      </c>
      <c r="D167" s="55">
        <f t="shared" si="10"/>
        <v>233.47116</v>
      </c>
      <c r="E167" s="51">
        <v>0</v>
      </c>
      <c r="F167" s="51">
        <f t="shared" si="4"/>
        <v>350.20673999999997</v>
      </c>
      <c r="G167" s="182"/>
      <c r="H167" s="183"/>
      <c r="I167" s="34"/>
      <c r="L167" s="67"/>
      <c r="M167" s="67"/>
      <c r="N167" s="34"/>
    </row>
    <row r="168" spans="1:14" s="52" customFormat="1" x14ac:dyDescent="0.35">
      <c r="A168" s="68">
        <v>5</v>
      </c>
      <c r="B168" s="69"/>
      <c r="C168" s="50" t="s">
        <v>193</v>
      </c>
      <c r="D168" s="55">
        <f t="shared" si="10"/>
        <v>233.47116</v>
      </c>
      <c r="E168" s="51">
        <v>0</v>
      </c>
      <c r="F168" s="51">
        <f t="shared" si="4"/>
        <v>350.20673999999997</v>
      </c>
      <c r="G168" s="182"/>
      <c r="H168" s="183"/>
      <c r="I168" s="34"/>
      <c r="L168" s="67"/>
      <c r="M168" s="67"/>
      <c r="N168" s="34"/>
    </row>
    <row r="169" spans="1:14" s="52" customFormat="1" x14ac:dyDescent="0.35">
      <c r="A169" s="68">
        <v>6</v>
      </c>
      <c r="B169" s="69"/>
      <c r="C169" s="50" t="s">
        <v>193</v>
      </c>
      <c r="D169" s="55">
        <f t="shared" si="10"/>
        <v>233.47116</v>
      </c>
      <c r="E169" s="51">
        <v>0</v>
      </c>
      <c r="F169" s="51">
        <f t="shared" si="4"/>
        <v>350.20673999999997</v>
      </c>
      <c r="G169" s="182"/>
      <c r="H169" s="183"/>
      <c r="I169" s="34"/>
      <c r="L169" s="67"/>
      <c r="M169" s="67"/>
      <c r="N169" s="34"/>
    </row>
    <row r="170" spans="1:14" s="52" customFormat="1" x14ac:dyDescent="0.35">
      <c r="A170" s="68">
        <v>7</v>
      </c>
      <c r="B170" s="69"/>
      <c r="C170" s="50" t="s">
        <v>193</v>
      </c>
      <c r="D170" s="55">
        <f t="shared" si="10"/>
        <v>233.47116</v>
      </c>
      <c r="E170" s="51">
        <v>0</v>
      </c>
      <c r="F170" s="51">
        <f t="shared" si="4"/>
        <v>350.20673999999997</v>
      </c>
      <c r="G170" s="182"/>
      <c r="H170" s="183"/>
      <c r="I170" s="34"/>
      <c r="L170" s="67"/>
      <c r="M170" s="67"/>
      <c r="N170" s="34"/>
    </row>
    <row r="171" spans="1:14" s="52" customFormat="1" x14ac:dyDescent="0.35">
      <c r="A171" s="68">
        <v>8</v>
      </c>
      <c r="B171" s="69"/>
      <c r="C171" s="50" t="s">
        <v>193</v>
      </c>
      <c r="D171" s="55">
        <f t="shared" si="10"/>
        <v>233.47116</v>
      </c>
      <c r="E171" s="51">
        <v>0</v>
      </c>
      <c r="F171" s="51">
        <f t="shared" si="4"/>
        <v>350.20673999999997</v>
      </c>
      <c r="G171" s="182"/>
      <c r="H171" s="183"/>
      <c r="I171" s="34"/>
      <c r="L171" s="67"/>
      <c r="M171" s="67"/>
      <c r="N171" s="34"/>
    </row>
    <row r="172" spans="1:14" s="52" customFormat="1" x14ac:dyDescent="0.35">
      <c r="A172" s="68">
        <v>9</v>
      </c>
      <c r="B172" s="69"/>
      <c r="C172" s="50" t="s">
        <v>193</v>
      </c>
      <c r="D172" s="55">
        <f t="shared" si="10"/>
        <v>233.47116</v>
      </c>
      <c r="E172" s="51">
        <v>0</v>
      </c>
      <c r="F172" s="51">
        <f t="shared" si="4"/>
        <v>350.20673999999997</v>
      </c>
      <c r="G172" s="182"/>
      <c r="H172" s="183"/>
      <c r="I172" s="34"/>
      <c r="L172" s="67"/>
      <c r="M172" s="67"/>
      <c r="N172" s="34"/>
    </row>
    <row r="173" spans="1:14" s="52" customFormat="1" x14ac:dyDescent="0.35">
      <c r="A173" s="68">
        <v>10</v>
      </c>
      <c r="B173" s="69"/>
      <c r="C173" s="50" t="s">
        <v>193</v>
      </c>
      <c r="D173" s="55">
        <f t="shared" si="10"/>
        <v>233.47116</v>
      </c>
      <c r="E173" s="51">
        <v>0</v>
      </c>
      <c r="F173" s="51">
        <f t="shared" si="4"/>
        <v>350.20673999999997</v>
      </c>
      <c r="G173" s="182"/>
      <c r="H173" s="183"/>
      <c r="I173" s="34"/>
      <c r="L173" s="67"/>
      <c r="M173" s="67"/>
      <c r="N173" s="34"/>
    </row>
    <row r="174" spans="1:14" s="52" customFormat="1" x14ac:dyDescent="0.35">
      <c r="A174" s="68">
        <v>11</v>
      </c>
      <c r="B174" s="69"/>
      <c r="C174" s="50" t="s">
        <v>193</v>
      </c>
      <c r="D174" s="55">
        <f t="shared" si="10"/>
        <v>233.47116</v>
      </c>
      <c r="E174" s="51">
        <v>0</v>
      </c>
      <c r="F174" s="51">
        <f t="shared" si="4"/>
        <v>350.20673999999997</v>
      </c>
      <c r="G174" s="182"/>
      <c r="H174" s="183"/>
      <c r="I174" s="34"/>
      <c r="L174" s="67"/>
      <c r="M174" s="67"/>
      <c r="N174" s="34"/>
    </row>
    <row r="175" spans="1:14" s="52" customFormat="1" x14ac:dyDescent="0.35">
      <c r="A175" s="68">
        <v>12</v>
      </c>
      <c r="B175" s="69"/>
      <c r="C175" s="50" t="s">
        <v>193</v>
      </c>
      <c r="D175" s="55">
        <f>(38.4)*10.764</f>
        <v>413.33759999999995</v>
      </c>
      <c r="E175" s="51">
        <v>0</v>
      </c>
      <c r="F175" s="51">
        <f t="shared" si="4"/>
        <v>620.00639999999999</v>
      </c>
      <c r="G175" s="182"/>
      <c r="H175" s="183"/>
      <c r="I175" s="34"/>
      <c r="L175" s="67"/>
      <c r="M175" s="67"/>
      <c r="N175" s="34"/>
    </row>
    <row r="176" spans="1:14" s="52" customFormat="1" x14ac:dyDescent="0.35">
      <c r="A176" s="68">
        <v>13</v>
      </c>
      <c r="B176" s="69"/>
      <c r="C176" s="50" t="s">
        <v>193</v>
      </c>
      <c r="D176" s="55">
        <f>(43.9)*10.764</f>
        <v>472.53959999999995</v>
      </c>
      <c r="E176" s="51">
        <v>0</v>
      </c>
      <c r="F176" s="51">
        <f t="shared" si="4"/>
        <v>708.80939999999987</v>
      </c>
      <c r="G176" s="182"/>
      <c r="H176" s="183"/>
      <c r="I176" s="34"/>
      <c r="L176" s="67"/>
      <c r="M176" s="67"/>
      <c r="N176" s="34"/>
    </row>
    <row r="177" spans="1:14" s="52" customFormat="1" x14ac:dyDescent="0.35">
      <c r="A177" s="68">
        <v>14</v>
      </c>
      <c r="B177" s="69"/>
      <c r="C177" s="50" t="s">
        <v>193</v>
      </c>
      <c r="D177" s="55">
        <f>(26.56)*10.764</f>
        <v>285.89183999999995</v>
      </c>
      <c r="E177" s="51">
        <v>0</v>
      </c>
      <c r="F177" s="51">
        <f t="shared" si="4"/>
        <v>428.83775999999989</v>
      </c>
      <c r="G177" s="182"/>
      <c r="H177" s="183"/>
      <c r="I177" s="34"/>
      <c r="L177" s="67"/>
      <c r="M177" s="67"/>
      <c r="N177" s="34"/>
    </row>
    <row r="178" spans="1:14" s="52" customFormat="1" x14ac:dyDescent="0.35">
      <c r="A178" s="68">
        <v>15</v>
      </c>
      <c r="B178" s="69"/>
      <c r="C178" s="50" t="s">
        <v>193</v>
      </c>
      <c r="D178" s="55">
        <f>(26.85)*10.764</f>
        <v>289.01339999999999</v>
      </c>
      <c r="E178" s="51">
        <v>0</v>
      </c>
      <c r="F178" s="51">
        <f t="shared" si="4"/>
        <v>433.52009999999996</v>
      </c>
      <c r="G178" s="182"/>
      <c r="H178" s="183"/>
      <c r="I178" s="34"/>
      <c r="L178" s="67"/>
      <c r="M178" s="67"/>
      <c r="N178" s="34"/>
    </row>
    <row r="179" spans="1:14" s="52" customFormat="1" x14ac:dyDescent="0.35">
      <c r="A179" s="68">
        <v>16</v>
      </c>
      <c r="B179" s="69"/>
      <c r="C179" s="50" t="s">
        <v>193</v>
      </c>
      <c r="D179" s="55">
        <f>(26.32)*10.764</f>
        <v>283.30847999999997</v>
      </c>
      <c r="E179" s="51">
        <v>0</v>
      </c>
      <c r="F179" s="51">
        <f t="shared" si="4"/>
        <v>424.96271999999999</v>
      </c>
      <c r="G179" s="182"/>
      <c r="H179" s="183"/>
      <c r="I179" s="34"/>
      <c r="L179" s="67"/>
      <c r="M179" s="67"/>
      <c r="N179" s="34"/>
    </row>
    <row r="180" spans="1:14" s="52" customFormat="1" x14ac:dyDescent="0.35">
      <c r="A180" s="68">
        <v>17</v>
      </c>
      <c r="B180" s="69"/>
      <c r="C180" s="50" t="s">
        <v>193</v>
      </c>
      <c r="D180" s="55">
        <f>(26.89)*10.764</f>
        <v>289.44396</v>
      </c>
      <c r="E180" s="51">
        <v>0</v>
      </c>
      <c r="F180" s="51">
        <f t="shared" si="4"/>
        <v>434.16593999999998</v>
      </c>
      <c r="G180" s="182"/>
      <c r="H180" s="183"/>
      <c r="I180" s="34"/>
      <c r="L180" s="67"/>
      <c r="M180" s="67"/>
      <c r="N180" s="34"/>
    </row>
    <row r="181" spans="1:14" s="52" customFormat="1" x14ac:dyDescent="0.35">
      <c r="A181" s="68">
        <v>18</v>
      </c>
      <c r="B181" s="69"/>
      <c r="C181" s="50" t="s">
        <v>193</v>
      </c>
      <c r="D181" s="55">
        <f>(34.31)*10.764</f>
        <v>369.31283999999999</v>
      </c>
      <c r="E181" s="51">
        <v>0</v>
      </c>
      <c r="F181" s="51">
        <f t="shared" si="4"/>
        <v>553.96925999999996</v>
      </c>
      <c r="G181" s="184"/>
      <c r="H181" s="185"/>
      <c r="I181" s="34"/>
      <c r="L181" s="67"/>
      <c r="M181" s="67"/>
      <c r="N181" s="34"/>
    </row>
    <row r="182" spans="1:14" s="52" customFormat="1" x14ac:dyDescent="0.35">
      <c r="A182" s="71" t="s">
        <v>217</v>
      </c>
      <c r="B182" s="72"/>
      <c r="C182" s="72"/>
      <c r="D182" s="72"/>
      <c r="E182" s="72"/>
      <c r="F182" s="72"/>
      <c r="G182" s="72"/>
      <c r="H182" s="73"/>
      <c r="I182" s="34"/>
      <c r="L182" s="67"/>
      <c r="M182" s="67"/>
      <c r="N182" s="34"/>
    </row>
    <row r="183" spans="1:14" s="53" customFormat="1" x14ac:dyDescent="0.35">
      <c r="A183" s="68">
        <v>1</v>
      </c>
      <c r="B183" s="69"/>
      <c r="C183" s="51" t="s">
        <v>193</v>
      </c>
      <c r="D183" s="55">
        <f>(25.29)*10.764</f>
        <v>272.22155999999995</v>
      </c>
      <c r="E183" s="51">
        <v>0</v>
      </c>
      <c r="F183" s="51">
        <f t="shared" si="4"/>
        <v>408.33233999999993</v>
      </c>
      <c r="G183" s="180" t="str">
        <f>A182</f>
        <v>12th Floor (Part Terrace Area)</v>
      </c>
      <c r="H183" s="181"/>
      <c r="I183" s="34"/>
      <c r="L183" s="67"/>
      <c r="M183" s="67"/>
      <c r="N183" s="34"/>
    </row>
    <row r="184" spans="1:14" s="53" customFormat="1" ht="15.75" customHeight="1" x14ac:dyDescent="0.35">
      <c r="A184" s="68">
        <f t="shared" ref="A184:A221" si="11">A183+1</f>
        <v>2</v>
      </c>
      <c r="B184" s="69"/>
      <c r="C184" s="50" t="s">
        <v>193</v>
      </c>
      <c r="D184" s="55">
        <f>(41.11)*10.764</f>
        <v>442.50803999999999</v>
      </c>
      <c r="E184" s="51">
        <v>0</v>
      </c>
      <c r="F184" s="51">
        <f t="shared" si="4"/>
        <v>663.76206000000002</v>
      </c>
      <c r="G184" s="182"/>
      <c r="H184" s="183"/>
      <c r="I184" s="34"/>
      <c r="L184" s="67"/>
      <c r="M184" s="67"/>
      <c r="N184" s="34"/>
    </row>
    <row r="185" spans="1:14" s="53" customFormat="1" ht="15.75" customHeight="1" x14ac:dyDescent="0.35">
      <c r="A185" s="68">
        <f t="shared" si="11"/>
        <v>3</v>
      </c>
      <c r="B185" s="69"/>
      <c r="C185" s="50" t="s">
        <v>193</v>
      </c>
      <c r="D185" s="55">
        <f t="shared" ref="D185:D195" si="12">(21.69)*10.764</f>
        <v>233.47116</v>
      </c>
      <c r="E185" s="51">
        <v>0</v>
      </c>
      <c r="F185" s="51">
        <f t="shared" si="4"/>
        <v>350.20673999999997</v>
      </c>
      <c r="G185" s="182"/>
      <c r="H185" s="183"/>
      <c r="I185" s="34"/>
      <c r="L185" s="67"/>
      <c r="M185" s="67"/>
      <c r="N185" s="34"/>
    </row>
    <row r="186" spans="1:14" s="53" customFormat="1" ht="15.75" customHeight="1" x14ac:dyDescent="0.35">
      <c r="A186" s="68">
        <f t="shared" si="11"/>
        <v>4</v>
      </c>
      <c r="B186" s="69"/>
      <c r="C186" s="50" t="s">
        <v>193</v>
      </c>
      <c r="D186" s="55">
        <f t="shared" si="12"/>
        <v>233.47116</v>
      </c>
      <c r="E186" s="51">
        <v>0</v>
      </c>
      <c r="F186" s="51">
        <f t="shared" si="4"/>
        <v>350.20673999999997</v>
      </c>
      <c r="G186" s="182"/>
      <c r="H186" s="183"/>
      <c r="I186" s="34"/>
      <c r="L186" s="67"/>
      <c r="M186" s="67"/>
      <c r="N186" s="34"/>
    </row>
    <row r="187" spans="1:14" s="53" customFormat="1" ht="15.75" customHeight="1" x14ac:dyDescent="0.35">
      <c r="A187" s="68">
        <f t="shared" si="11"/>
        <v>5</v>
      </c>
      <c r="B187" s="69"/>
      <c r="C187" s="50" t="s">
        <v>193</v>
      </c>
      <c r="D187" s="55">
        <f t="shared" si="12"/>
        <v>233.47116</v>
      </c>
      <c r="E187" s="51">
        <v>0</v>
      </c>
      <c r="F187" s="51">
        <f t="shared" si="4"/>
        <v>350.20673999999997</v>
      </c>
      <c r="G187" s="182"/>
      <c r="H187" s="183"/>
      <c r="I187" s="34"/>
      <c r="L187" s="67"/>
      <c r="M187" s="67"/>
      <c r="N187" s="34"/>
    </row>
    <row r="188" spans="1:14" s="53" customFormat="1" ht="15.75" customHeight="1" x14ac:dyDescent="0.35">
      <c r="A188" s="68">
        <f t="shared" si="11"/>
        <v>6</v>
      </c>
      <c r="B188" s="69"/>
      <c r="C188" s="50" t="s">
        <v>193</v>
      </c>
      <c r="D188" s="55">
        <f t="shared" si="12"/>
        <v>233.47116</v>
      </c>
      <c r="E188" s="51">
        <v>0</v>
      </c>
      <c r="F188" s="51">
        <f t="shared" si="4"/>
        <v>350.20673999999997</v>
      </c>
      <c r="G188" s="182"/>
      <c r="H188" s="183"/>
      <c r="I188" s="34"/>
      <c r="L188" s="67"/>
      <c r="M188" s="67"/>
      <c r="N188" s="34"/>
    </row>
    <row r="189" spans="1:14" s="53" customFormat="1" ht="15.75" customHeight="1" x14ac:dyDescent="0.35">
      <c r="A189" s="68">
        <f t="shared" si="11"/>
        <v>7</v>
      </c>
      <c r="B189" s="69"/>
      <c r="C189" s="50" t="s">
        <v>193</v>
      </c>
      <c r="D189" s="55">
        <f t="shared" si="12"/>
        <v>233.47116</v>
      </c>
      <c r="E189" s="51">
        <v>0</v>
      </c>
      <c r="F189" s="51">
        <f t="shared" ref="F189:F201" si="13">(D189+E189)*(($F$104)+1)</f>
        <v>350.20673999999997</v>
      </c>
      <c r="G189" s="182"/>
      <c r="H189" s="183"/>
      <c r="I189" s="34"/>
      <c r="L189" s="67"/>
      <c r="M189" s="67"/>
      <c r="N189" s="34"/>
    </row>
    <row r="190" spans="1:14" s="53" customFormat="1" ht="15.75" customHeight="1" x14ac:dyDescent="0.35">
      <c r="A190" s="68">
        <f t="shared" si="11"/>
        <v>8</v>
      </c>
      <c r="B190" s="69"/>
      <c r="C190" s="50" t="s">
        <v>193</v>
      </c>
      <c r="D190" s="55">
        <f t="shared" si="12"/>
        <v>233.47116</v>
      </c>
      <c r="E190" s="51">
        <v>0</v>
      </c>
      <c r="F190" s="51">
        <f t="shared" si="13"/>
        <v>350.20673999999997</v>
      </c>
      <c r="G190" s="182"/>
      <c r="H190" s="183"/>
      <c r="I190" s="34"/>
      <c r="L190" s="67"/>
      <c r="M190" s="67"/>
      <c r="N190" s="34"/>
    </row>
    <row r="191" spans="1:14" s="53" customFormat="1" ht="15.75" customHeight="1" x14ac:dyDescent="0.35">
      <c r="A191" s="68">
        <f t="shared" si="11"/>
        <v>9</v>
      </c>
      <c r="B191" s="69"/>
      <c r="C191" s="50" t="s">
        <v>193</v>
      </c>
      <c r="D191" s="55">
        <f t="shared" si="12"/>
        <v>233.47116</v>
      </c>
      <c r="E191" s="51">
        <v>0</v>
      </c>
      <c r="F191" s="51">
        <f t="shared" si="13"/>
        <v>350.20673999999997</v>
      </c>
      <c r="G191" s="182"/>
      <c r="H191" s="183"/>
      <c r="I191" s="34"/>
      <c r="L191" s="67"/>
      <c r="M191" s="67"/>
      <c r="N191" s="34"/>
    </row>
    <row r="192" spans="1:14" s="53" customFormat="1" ht="15.75" customHeight="1" x14ac:dyDescent="0.35">
      <c r="A192" s="68">
        <f t="shared" si="11"/>
        <v>10</v>
      </c>
      <c r="B192" s="69"/>
      <c r="C192" s="50" t="s">
        <v>193</v>
      </c>
      <c r="D192" s="55">
        <f t="shared" si="12"/>
        <v>233.47116</v>
      </c>
      <c r="E192" s="51">
        <v>0</v>
      </c>
      <c r="F192" s="51">
        <f t="shared" si="13"/>
        <v>350.20673999999997</v>
      </c>
      <c r="G192" s="182"/>
      <c r="H192" s="183"/>
      <c r="I192" s="34"/>
      <c r="L192" s="67"/>
      <c r="M192" s="67"/>
      <c r="N192" s="34"/>
    </row>
    <row r="193" spans="1:14" s="53" customFormat="1" ht="15.75" customHeight="1" x14ac:dyDescent="0.35">
      <c r="A193" s="68">
        <f t="shared" si="11"/>
        <v>11</v>
      </c>
      <c r="B193" s="69"/>
      <c r="C193" s="50" t="s">
        <v>193</v>
      </c>
      <c r="D193" s="55">
        <f t="shared" si="12"/>
        <v>233.47116</v>
      </c>
      <c r="E193" s="51">
        <v>0</v>
      </c>
      <c r="F193" s="51">
        <f t="shared" si="13"/>
        <v>350.20673999999997</v>
      </c>
      <c r="G193" s="182"/>
      <c r="H193" s="183"/>
      <c r="I193" s="34"/>
      <c r="L193" s="67"/>
      <c r="M193" s="67"/>
      <c r="N193" s="34"/>
    </row>
    <row r="194" spans="1:14" s="53" customFormat="1" ht="15.75" customHeight="1" x14ac:dyDescent="0.35">
      <c r="A194" s="68">
        <f t="shared" si="11"/>
        <v>12</v>
      </c>
      <c r="B194" s="69"/>
      <c r="C194" s="50" t="s">
        <v>193</v>
      </c>
      <c r="D194" s="55">
        <f t="shared" si="12"/>
        <v>233.47116</v>
      </c>
      <c r="E194" s="51">
        <v>0</v>
      </c>
      <c r="F194" s="51">
        <f t="shared" si="13"/>
        <v>350.20673999999997</v>
      </c>
      <c r="G194" s="182"/>
      <c r="H194" s="183"/>
      <c r="I194" s="34"/>
      <c r="L194" s="67"/>
      <c r="M194" s="67"/>
      <c r="N194" s="34"/>
    </row>
    <row r="195" spans="1:14" s="53" customFormat="1" ht="15.75" customHeight="1" x14ac:dyDescent="0.35">
      <c r="A195" s="68">
        <f t="shared" si="11"/>
        <v>13</v>
      </c>
      <c r="B195" s="69"/>
      <c r="C195" s="50" t="s">
        <v>193</v>
      </c>
      <c r="D195" s="55">
        <f t="shared" si="12"/>
        <v>233.47116</v>
      </c>
      <c r="E195" s="51">
        <v>0</v>
      </c>
      <c r="F195" s="51">
        <f t="shared" si="13"/>
        <v>350.20673999999997</v>
      </c>
      <c r="G195" s="182"/>
      <c r="H195" s="183"/>
      <c r="I195" s="34"/>
      <c r="L195" s="67"/>
      <c r="M195" s="67"/>
      <c r="N195" s="34"/>
    </row>
    <row r="196" spans="1:14" s="53" customFormat="1" ht="15.75" customHeight="1" x14ac:dyDescent="0.35">
      <c r="A196" s="68">
        <f t="shared" si="11"/>
        <v>14</v>
      </c>
      <c r="B196" s="69"/>
      <c r="C196" s="50" t="s">
        <v>193</v>
      </c>
      <c r="D196" s="55">
        <f>(45.51)*10.764</f>
        <v>489.86963999999995</v>
      </c>
      <c r="E196" s="51">
        <v>0</v>
      </c>
      <c r="F196" s="51">
        <f t="shared" si="13"/>
        <v>734.80445999999995</v>
      </c>
      <c r="G196" s="182"/>
      <c r="H196" s="183"/>
      <c r="I196" s="34"/>
      <c r="L196" s="67"/>
      <c r="M196" s="67"/>
      <c r="N196" s="34"/>
    </row>
    <row r="197" spans="1:14" s="53" customFormat="1" ht="15.75" customHeight="1" x14ac:dyDescent="0.35">
      <c r="A197" s="68">
        <f t="shared" si="11"/>
        <v>15</v>
      </c>
      <c r="B197" s="69"/>
      <c r="C197" s="50" t="s">
        <v>193</v>
      </c>
      <c r="D197" s="55">
        <f>(15.31)*10.764</f>
        <v>164.79684</v>
      </c>
      <c r="E197" s="51">
        <v>0</v>
      </c>
      <c r="F197" s="51">
        <f t="shared" si="13"/>
        <v>247.19526000000002</v>
      </c>
      <c r="G197" s="182"/>
      <c r="H197" s="183"/>
      <c r="I197" s="34"/>
      <c r="L197" s="67"/>
      <c r="M197" s="67"/>
      <c r="N197" s="34"/>
    </row>
    <row r="198" spans="1:14" s="53" customFormat="1" ht="15.75" customHeight="1" x14ac:dyDescent="0.35">
      <c r="A198" s="68">
        <f t="shared" si="11"/>
        <v>16</v>
      </c>
      <c r="B198" s="69"/>
      <c r="C198" s="50" t="s">
        <v>193</v>
      </c>
      <c r="D198" s="55">
        <f>(15.4)*10.764</f>
        <v>165.76560000000001</v>
      </c>
      <c r="E198" s="51">
        <v>0</v>
      </c>
      <c r="F198" s="51">
        <f t="shared" si="13"/>
        <v>248.64840000000001</v>
      </c>
      <c r="G198" s="182"/>
      <c r="H198" s="183"/>
      <c r="I198" s="34"/>
      <c r="L198" s="67"/>
      <c r="M198" s="67"/>
      <c r="N198" s="34"/>
    </row>
    <row r="199" spans="1:14" s="53" customFormat="1" ht="15.75" customHeight="1" x14ac:dyDescent="0.35">
      <c r="A199" s="68">
        <f t="shared" si="11"/>
        <v>17</v>
      </c>
      <c r="B199" s="69"/>
      <c r="C199" s="50" t="s">
        <v>193</v>
      </c>
      <c r="D199" s="55">
        <f>(15.19)*10.764</f>
        <v>163.50515999999999</v>
      </c>
      <c r="E199" s="51">
        <v>0</v>
      </c>
      <c r="F199" s="51">
        <f t="shared" si="13"/>
        <v>245.25773999999998</v>
      </c>
      <c r="G199" s="182"/>
      <c r="H199" s="183"/>
      <c r="I199" s="34"/>
      <c r="L199" s="67"/>
      <c r="M199" s="67"/>
      <c r="N199" s="34"/>
    </row>
    <row r="200" spans="1:14" s="53" customFormat="1" ht="15.75" customHeight="1" x14ac:dyDescent="0.35">
      <c r="A200" s="68">
        <f t="shared" si="11"/>
        <v>18</v>
      </c>
      <c r="B200" s="69"/>
      <c r="C200" s="50" t="s">
        <v>193</v>
      </c>
      <c r="D200" s="55">
        <f>(15.53)*10.764</f>
        <v>167.16492</v>
      </c>
      <c r="E200" s="51">
        <v>0</v>
      </c>
      <c r="F200" s="51">
        <f t="shared" si="13"/>
        <v>250.74737999999999</v>
      </c>
      <c r="G200" s="182"/>
      <c r="H200" s="183"/>
      <c r="I200" s="34"/>
      <c r="L200" s="67"/>
      <c r="M200" s="67"/>
      <c r="N200" s="34"/>
    </row>
    <row r="201" spans="1:14" s="53" customFormat="1" ht="15.75" customHeight="1" x14ac:dyDescent="0.35">
      <c r="A201" s="68">
        <f t="shared" si="11"/>
        <v>19</v>
      </c>
      <c r="B201" s="69"/>
      <c r="C201" s="50" t="s">
        <v>193</v>
      </c>
      <c r="D201" s="55">
        <f>(20.03)*10.764</f>
        <v>215.60292000000001</v>
      </c>
      <c r="E201" s="51">
        <v>0</v>
      </c>
      <c r="F201" s="51">
        <f t="shared" si="13"/>
        <v>323.40438</v>
      </c>
      <c r="G201" s="184"/>
      <c r="H201" s="185"/>
      <c r="I201" s="34"/>
      <c r="L201" s="67"/>
      <c r="M201" s="67"/>
      <c r="N201" s="34"/>
    </row>
    <row r="202" spans="1:14" s="53" customFormat="1" ht="15.75" customHeight="1" x14ac:dyDescent="0.35">
      <c r="A202" s="71" t="s">
        <v>197</v>
      </c>
      <c r="B202" s="72"/>
      <c r="C202" s="72"/>
      <c r="D202" s="72"/>
      <c r="E202" s="72"/>
      <c r="F202" s="72"/>
      <c r="G202" s="72"/>
      <c r="H202" s="73"/>
      <c r="I202" s="34"/>
      <c r="L202" s="67"/>
      <c r="M202" s="67"/>
      <c r="N202" s="34"/>
    </row>
    <row r="203" spans="1:14" s="53" customFormat="1" ht="15.75" customHeight="1" x14ac:dyDescent="0.35">
      <c r="A203" s="68">
        <v>1</v>
      </c>
      <c r="B203" s="69"/>
      <c r="C203" s="51" t="s">
        <v>193</v>
      </c>
      <c r="D203" s="55">
        <f>(25.29)*10.764</f>
        <v>272.22155999999995</v>
      </c>
      <c r="E203" s="51">
        <v>0</v>
      </c>
      <c r="F203" s="51">
        <f t="shared" ref="F203:F221" si="14">(D203+E203)*(($F$104)+1)</f>
        <v>408.33233999999993</v>
      </c>
      <c r="G203" s="180" t="str">
        <f>A202</f>
        <v>13th, 14th, 16th to 18th Floor</v>
      </c>
      <c r="H203" s="181"/>
      <c r="I203" s="34"/>
      <c r="L203" s="67"/>
      <c r="M203" s="67"/>
      <c r="N203" s="34"/>
    </row>
    <row r="204" spans="1:14" s="53" customFormat="1" ht="15.75" customHeight="1" x14ac:dyDescent="0.35">
      <c r="A204" s="68">
        <f t="shared" si="11"/>
        <v>2</v>
      </c>
      <c r="B204" s="69"/>
      <c r="C204" s="50" t="s">
        <v>193</v>
      </c>
      <c r="D204" s="55">
        <f>(41.11)*10.764</f>
        <v>442.50803999999999</v>
      </c>
      <c r="E204" s="51">
        <v>0</v>
      </c>
      <c r="F204" s="51">
        <f t="shared" si="14"/>
        <v>663.76206000000002</v>
      </c>
      <c r="G204" s="182"/>
      <c r="H204" s="183"/>
      <c r="I204" s="34"/>
      <c r="L204" s="67"/>
      <c r="M204" s="67"/>
      <c r="N204" s="34"/>
    </row>
    <row r="205" spans="1:14" s="53" customFormat="1" ht="15.75" customHeight="1" x14ac:dyDescent="0.35">
      <c r="A205" s="68">
        <f t="shared" si="11"/>
        <v>3</v>
      </c>
      <c r="B205" s="69"/>
      <c r="C205" s="50" t="s">
        <v>193</v>
      </c>
      <c r="D205" s="55">
        <f t="shared" ref="D205:D215" si="15">(21.69)*10.764</f>
        <v>233.47116</v>
      </c>
      <c r="E205" s="51">
        <v>0</v>
      </c>
      <c r="F205" s="51">
        <f t="shared" si="14"/>
        <v>350.20673999999997</v>
      </c>
      <c r="G205" s="182"/>
      <c r="H205" s="183"/>
      <c r="I205" s="34"/>
      <c r="L205" s="67"/>
      <c r="M205" s="67"/>
      <c r="N205" s="34"/>
    </row>
    <row r="206" spans="1:14" s="53" customFormat="1" ht="15.75" customHeight="1" x14ac:dyDescent="0.35">
      <c r="A206" s="68">
        <f t="shared" si="11"/>
        <v>4</v>
      </c>
      <c r="B206" s="69"/>
      <c r="C206" s="50" t="s">
        <v>193</v>
      </c>
      <c r="D206" s="55">
        <f t="shared" si="15"/>
        <v>233.47116</v>
      </c>
      <c r="E206" s="51">
        <v>0</v>
      </c>
      <c r="F206" s="51">
        <f t="shared" si="14"/>
        <v>350.20673999999997</v>
      </c>
      <c r="G206" s="182"/>
      <c r="H206" s="183"/>
      <c r="I206" s="34"/>
      <c r="L206" s="67"/>
      <c r="M206" s="67"/>
      <c r="N206" s="34"/>
    </row>
    <row r="207" spans="1:14" s="53" customFormat="1" ht="15.75" customHeight="1" x14ac:dyDescent="0.35">
      <c r="A207" s="68">
        <f t="shared" si="11"/>
        <v>5</v>
      </c>
      <c r="B207" s="69"/>
      <c r="C207" s="50" t="s">
        <v>193</v>
      </c>
      <c r="D207" s="55">
        <f t="shared" si="15"/>
        <v>233.47116</v>
      </c>
      <c r="E207" s="51">
        <v>0</v>
      </c>
      <c r="F207" s="51">
        <f t="shared" si="14"/>
        <v>350.20673999999997</v>
      </c>
      <c r="G207" s="182"/>
      <c r="H207" s="183"/>
      <c r="I207" s="34"/>
      <c r="L207" s="67"/>
      <c r="M207" s="67"/>
      <c r="N207" s="34"/>
    </row>
    <row r="208" spans="1:14" s="53" customFormat="1" ht="15.75" customHeight="1" x14ac:dyDescent="0.35">
      <c r="A208" s="68">
        <f t="shared" si="11"/>
        <v>6</v>
      </c>
      <c r="B208" s="69"/>
      <c r="C208" s="50" t="s">
        <v>193</v>
      </c>
      <c r="D208" s="55">
        <f t="shared" si="15"/>
        <v>233.47116</v>
      </c>
      <c r="E208" s="51">
        <v>0</v>
      </c>
      <c r="F208" s="51">
        <f t="shared" si="14"/>
        <v>350.20673999999997</v>
      </c>
      <c r="G208" s="182"/>
      <c r="H208" s="183"/>
      <c r="I208" s="34"/>
      <c r="L208" s="67"/>
      <c r="M208" s="67"/>
      <c r="N208" s="34"/>
    </row>
    <row r="209" spans="1:14" s="53" customFormat="1" ht="15.75" customHeight="1" x14ac:dyDescent="0.35">
      <c r="A209" s="68">
        <f t="shared" si="11"/>
        <v>7</v>
      </c>
      <c r="B209" s="69"/>
      <c r="C209" s="50" t="s">
        <v>193</v>
      </c>
      <c r="D209" s="55">
        <f t="shared" si="15"/>
        <v>233.47116</v>
      </c>
      <c r="E209" s="51">
        <v>0</v>
      </c>
      <c r="F209" s="51">
        <f t="shared" si="14"/>
        <v>350.20673999999997</v>
      </c>
      <c r="G209" s="182"/>
      <c r="H209" s="183"/>
      <c r="I209" s="34"/>
      <c r="L209" s="67"/>
      <c r="M209" s="67"/>
      <c r="N209" s="34"/>
    </row>
    <row r="210" spans="1:14" s="53" customFormat="1" ht="15.75" customHeight="1" x14ac:dyDescent="0.35">
      <c r="A210" s="68">
        <f t="shared" si="11"/>
        <v>8</v>
      </c>
      <c r="B210" s="69"/>
      <c r="C210" s="50" t="s">
        <v>193</v>
      </c>
      <c r="D210" s="55">
        <f t="shared" si="15"/>
        <v>233.47116</v>
      </c>
      <c r="E210" s="51">
        <v>0</v>
      </c>
      <c r="F210" s="51">
        <f t="shared" si="14"/>
        <v>350.20673999999997</v>
      </c>
      <c r="G210" s="182"/>
      <c r="H210" s="183"/>
      <c r="I210" s="34"/>
      <c r="L210" s="67"/>
      <c r="M210" s="67"/>
      <c r="N210" s="34"/>
    </row>
    <row r="211" spans="1:14" s="53" customFormat="1" ht="15.75" customHeight="1" x14ac:dyDescent="0.35">
      <c r="A211" s="68">
        <f t="shared" si="11"/>
        <v>9</v>
      </c>
      <c r="B211" s="69"/>
      <c r="C211" s="50" t="s">
        <v>193</v>
      </c>
      <c r="D211" s="55">
        <f t="shared" si="15"/>
        <v>233.47116</v>
      </c>
      <c r="E211" s="51">
        <v>0</v>
      </c>
      <c r="F211" s="51">
        <f t="shared" si="14"/>
        <v>350.20673999999997</v>
      </c>
      <c r="G211" s="182"/>
      <c r="H211" s="183"/>
      <c r="I211" s="34"/>
      <c r="L211" s="67"/>
      <c r="M211" s="67"/>
      <c r="N211" s="34"/>
    </row>
    <row r="212" spans="1:14" s="53" customFormat="1" ht="15.75" customHeight="1" x14ac:dyDescent="0.35">
      <c r="A212" s="68">
        <f t="shared" si="11"/>
        <v>10</v>
      </c>
      <c r="B212" s="69"/>
      <c r="C212" s="50" t="s">
        <v>193</v>
      </c>
      <c r="D212" s="55">
        <f t="shared" si="15"/>
        <v>233.47116</v>
      </c>
      <c r="E212" s="51">
        <v>0</v>
      </c>
      <c r="F212" s="51">
        <f t="shared" si="14"/>
        <v>350.20673999999997</v>
      </c>
      <c r="G212" s="182"/>
      <c r="H212" s="183"/>
      <c r="I212" s="34"/>
      <c r="L212" s="67"/>
      <c r="M212" s="67"/>
      <c r="N212" s="34"/>
    </row>
    <row r="213" spans="1:14" s="53" customFormat="1" ht="15.75" customHeight="1" x14ac:dyDescent="0.35">
      <c r="A213" s="68">
        <f t="shared" si="11"/>
        <v>11</v>
      </c>
      <c r="B213" s="69"/>
      <c r="C213" s="50" t="s">
        <v>193</v>
      </c>
      <c r="D213" s="55">
        <f t="shared" si="15"/>
        <v>233.47116</v>
      </c>
      <c r="E213" s="51">
        <v>0</v>
      </c>
      <c r="F213" s="51">
        <f t="shared" si="14"/>
        <v>350.20673999999997</v>
      </c>
      <c r="G213" s="182"/>
      <c r="H213" s="183"/>
      <c r="I213" s="34"/>
      <c r="L213" s="67"/>
      <c r="M213" s="67"/>
      <c r="N213" s="34"/>
    </row>
    <row r="214" spans="1:14" s="53" customFormat="1" ht="15.75" customHeight="1" x14ac:dyDescent="0.35">
      <c r="A214" s="68">
        <f t="shared" si="11"/>
        <v>12</v>
      </c>
      <c r="B214" s="69"/>
      <c r="C214" s="50" t="s">
        <v>193</v>
      </c>
      <c r="D214" s="55">
        <f t="shared" si="15"/>
        <v>233.47116</v>
      </c>
      <c r="E214" s="51">
        <v>0</v>
      </c>
      <c r="F214" s="51">
        <f t="shared" si="14"/>
        <v>350.20673999999997</v>
      </c>
      <c r="G214" s="182"/>
      <c r="H214" s="183"/>
      <c r="I214" s="34"/>
      <c r="L214" s="67"/>
      <c r="M214" s="67"/>
      <c r="N214" s="34"/>
    </row>
    <row r="215" spans="1:14" s="53" customFormat="1" ht="15.75" customHeight="1" x14ac:dyDescent="0.35">
      <c r="A215" s="68">
        <f t="shared" si="11"/>
        <v>13</v>
      </c>
      <c r="B215" s="69"/>
      <c r="C215" s="50" t="s">
        <v>193</v>
      </c>
      <c r="D215" s="55">
        <f t="shared" si="15"/>
        <v>233.47116</v>
      </c>
      <c r="E215" s="51">
        <v>0</v>
      </c>
      <c r="F215" s="51">
        <f t="shared" si="14"/>
        <v>350.20673999999997</v>
      </c>
      <c r="G215" s="182"/>
      <c r="H215" s="183"/>
      <c r="I215" s="34"/>
      <c r="L215" s="67"/>
      <c r="M215" s="67"/>
      <c r="N215" s="34"/>
    </row>
    <row r="216" spans="1:14" s="53" customFormat="1" ht="15.75" customHeight="1" x14ac:dyDescent="0.35">
      <c r="A216" s="68">
        <f t="shared" si="11"/>
        <v>14</v>
      </c>
      <c r="B216" s="69"/>
      <c r="C216" s="50" t="s">
        <v>193</v>
      </c>
      <c r="D216" s="55">
        <f>(45.51)*10.764</f>
        <v>489.86963999999995</v>
      </c>
      <c r="E216" s="51">
        <v>0</v>
      </c>
      <c r="F216" s="51">
        <f t="shared" si="14"/>
        <v>734.80445999999995</v>
      </c>
      <c r="G216" s="182"/>
      <c r="H216" s="183"/>
      <c r="I216" s="34"/>
      <c r="L216" s="67"/>
      <c r="M216" s="67"/>
      <c r="N216" s="34"/>
    </row>
    <row r="217" spans="1:14" s="53" customFormat="1" ht="15.75" customHeight="1" x14ac:dyDescent="0.35">
      <c r="A217" s="68">
        <f t="shared" si="11"/>
        <v>15</v>
      </c>
      <c r="B217" s="69"/>
      <c r="C217" s="50" t="s">
        <v>193</v>
      </c>
      <c r="D217" s="55">
        <f>(15.31)*10.764</f>
        <v>164.79684</v>
      </c>
      <c r="E217" s="51">
        <v>0</v>
      </c>
      <c r="F217" s="51">
        <f t="shared" si="14"/>
        <v>247.19526000000002</v>
      </c>
      <c r="G217" s="182"/>
      <c r="H217" s="183"/>
      <c r="I217" s="34"/>
      <c r="L217" s="67"/>
      <c r="M217" s="67"/>
      <c r="N217" s="34"/>
    </row>
    <row r="218" spans="1:14" s="53" customFormat="1" ht="15.75" customHeight="1" x14ac:dyDescent="0.35">
      <c r="A218" s="68">
        <f t="shared" si="11"/>
        <v>16</v>
      </c>
      <c r="B218" s="69"/>
      <c r="C218" s="50" t="s">
        <v>193</v>
      </c>
      <c r="D218" s="55">
        <f>(15.4)*10.764</f>
        <v>165.76560000000001</v>
      </c>
      <c r="E218" s="51">
        <v>0</v>
      </c>
      <c r="F218" s="51">
        <f t="shared" si="14"/>
        <v>248.64840000000001</v>
      </c>
      <c r="G218" s="182"/>
      <c r="H218" s="183"/>
      <c r="I218" s="34"/>
      <c r="L218" s="67"/>
      <c r="M218" s="67"/>
      <c r="N218" s="34"/>
    </row>
    <row r="219" spans="1:14" s="53" customFormat="1" ht="15.75" customHeight="1" x14ac:dyDescent="0.35">
      <c r="A219" s="68">
        <f t="shared" si="11"/>
        <v>17</v>
      </c>
      <c r="B219" s="69"/>
      <c r="C219" s="50" t="s">
        <v>193</v>
      </c>
      <c r="D219" s="55">
        <f>(15.19)*10.764</f>
        <v>163.50515999999999</v>
      </c>
      <c r="E219" s="51">
        <v>0</v>
      </c>
      <c r="F219" s="51">
        <f t="shared" si="14"/>
        <v>245.25773999999998</v>
      </c>
      <c r="G219" s="182"/>
      <c r="H219" s="183"/>
      <c r="I219" s="34"/>
      <c r="L219" s="67"/>
      <c r="M219" s="67"/>
      <c r="N219" s="34"/>
    </row>
    <row r="220" spans="1:14" s="53" customFormat="1" ht="15.75" customHeight="1" x14ac:dyDescent="0.35">
      <c r="A220" s="68">
        <f t="shared" si="11"/>
        <v>18</v>
      </c>
      <c r="B220" s="69"/>
      <c r="C220" s="50" t="s">
        <v>193</v>
      </c>
      <c r="D220" s="55">
        <f>(15.53)*10.764</f>
        <v>167.16492</v>
      </c>
      <c r="E220" s="51">
        <v>0</v>
      </c>
      <c r="F220" s="51">
        <f t="shared" si="14"/>
        <v>250.74737999999999</v>
      </c>
      <c r="G220" s="182"/>
      <c r="H220" s="183"/>
      <c r="I220" s="34"/>
      <c r="L220" s="67"/>
      <c r="M220" s="67"/>
      <c r="N220" s="34"/>
    </row>
    <row r="221" spans="1:14" s="53" customFormat="1" ht="15.75" customHeight="1" x14ac:dyDescent="0.35">
      <c r="A221" s="68">
        <f t="shared" si="11"/>
        <v>19</v>
      </c>
      <c r="B221" s="69"/>
      <c r="C221" s="50" t="s">
        <v>193</v>
      </c>
      <c r="D221" s="55">
        <f>(20.23)*10.764</f>
        <v>217.75572</v>
      </c>
      <c r="E221" s="51">
        <v>0</v>
      </c>
      <c r="F221" s="51">
        <f t="shared" si="14"/>
        <v>326.63357999999999</v>
      </c>
      <c r="G221" s="184"/>
      <c r="H221" s="185"/>
      <c r="I221" s="34"/>
      <c r="L221" s="67"/>
      <c r="M221" s="67"/>
      <c r="N221" s="34"/>
    </row>
    <row r="222" spans="1:14" x14ac:dyDescent="0.35">
      <c r="A222" s="71" t="s">
        <v>218</v>
      </c>
      <c r="B222" s="72"/>
      <c r="C222" s="72"/>
      <c r="D222" s="72"/>
      <c r="E222" s="72"/>
      <c r="F222" s="72"/>
      <c r="G222" s="72"/>
      <c r="H222" s="73"/>
    </row>
    <row r="223" spans="1:14" s="53" customFormat="1" ht="15.75" customHeight="1" x14ac:dyDescent="0.35">
      <c r="A223" s="68">
        <v>1</v>
      </c>
      <c r="B223" s="69"/>
      <c r="C223" s="51" t="s">
        <v>193</v>
      </c>
      <c r="D223" s="55">
        <f>(48.76)*10.764</f>
        <v>524.85263999999995</v>
      </c>
      <c r="E223" s="51">
        <v>0</v>
      </c>
      <c r="F223" s="51">
        <f t="shared" ref="F223:F239" si="16">(D223+E223)*(($F$104)+1)</f>
        <v>787.27895999999987</v>
      </c>
      <c r="G223" s="180" t="str">
        <f>A222</f>
        <v>15th Floor (Part Refuge Area)</v>
      </c>
      <c r="H223" s="181"/>
      <c r="I223" s="34"/>
      <c r="L223" s="67"/>
      <c r="M223" s="67"/>
      <c r="N223" s="34"/>
    </row>
    <row r="224" spans="1:14" s="53" customFormat="1" ht="15.75" customHeight="1" x14ac:dyDescent="0.35">
      <c r="A224" s="68">
        <f t="shared" ref="A224:A239" si="17">A223+1</f>
        <v>2</v>
      </c>
      <c r="B224" s="69"/>
      <c r="C224" s="50" t="s">
        <v>193</v>
      </c>
      <c r="D224" s="55">
        <f t="shared" ref="D224:D233" si="18">(21.69)*10.764</f>
        <v>233.47116</v>
      </c>
      <c r="E224" s="51">
        <v>0</v>
      </c>
      <c r="F224" s="51">
        <f t="shared" si="16"/>
        <v>350.20673999999997</v>
      </c>
      <c r="G224" s="182"/>
      <c r="H224" s="183"/>
      <c r="I224" s="34"/>
      <c r="L224" s="67"/>
      <c r="M224" s="67"/>
      <c r="N224" s="34"/>
    </row>
    <row r="225" spans="1:14" s="53" customFormat="1" ht="15.75" customHeight="1" x14ac:dyDescent="0.35">
      <c r="A225" s="68">
        <f t="shared" si="17"/>
        <v>3</v>
      </c>
      <c r="B225" s="69"/>
      <c r="C225" s="50" t="s">
        <v>193</v>
      </c>
      <c r="D225" s="55">
        <f t="shared" si="18"/>
        <v>233.47116</v>
      </c>
      <c r="E225" s="51">
        <v>0</v>
      </c>
      <c r="F225" s="51">
        <f t="shared" si="16"/>
        <v>350.20673999999997</v>
      </c>
      <c r="G225" s="182"/>
      <c r="H225" s="183"/>
      <c r="I225" s="34"/>
      <c r="L225" s="67"/>
      <c r="M225" s="67"/>
      <c r="N225" s="34"/>
    </row>
    <row r="226" spans="1:14" s="53" customFormat="1" ht="15.75" customHeight="1" x14ac:dyDescent="0.35">
      <c r="A226" s="68">
        <f t="shared" si="17"/>
        <v>4</v>
      </c>
      <c r="B226" s="69"/>
      <c r="C226" s="50" t="s">
        <v>193</v>
      </c>
      <c r="D226" s="55">
        <f t="shared" si="18"/>
        <v>233.47116</v>
      </c>
      <c r="E226" s="51">
        <v>0</v>
      </c>
      <c r="F226" s="51">
        <f t="shared" si="16"/>
        <v>350.20673999999997</v>
      </c>
      <c r="G226" s="182"/>
      <c r="H226" s="183"/>
      <c r="I226" s="34"/>
      <c r="L226" s="67"/>
      <c r="M226" s="67"/>
      <c r="N226" s="34"/>
    </row>
    <row r="227" spans="1:14" s="53" customFormat="1" ht="15.75" customHeight="1" x14ac:dyDescent="0.35">
      <c r="A227" s="68">
        <f t="shared" si="17"/>
        <v>5</v>
      </c>
      <c r="B227" s="69"/>
      <c r="C227" s="50" t="s">
        <v>193</v>
      </c>
      <c r="D227" s="55">
        <f t="shared" si="18"/>
        <v>233.47116</v>
      </c>
      <c r="E227" s="51">
        <v>0</v>
      </c>
      <c r="F227" s="51">
        <f t="shared" si="16"/>
        <v>350.20673999999997</v>
      </c>
      <c r="G227" s="182"/>
      <c r="H227" s="183"/>
      <c r="I227" s="34"/>
      <c r="L227" s="67"/>
      <c r="M227" s="67"/>
      <c r="N227" s="34"/>
    </row>
    <row r="228" spans="1:14" s="53" customFormat="1" ht="15.75" customHeight="1" x14ac:dyDescent="0.35">
      <c r="A228" s="68">
        <f t="shared" si="17"/>
        <v>6</v>
      </c>
      <c r="B228" s="69"/>
      <c r="C228" s="50" t="s">
        <v>193</v>
      </c>
      <c r="D228" s="55">
        <f t="shared" si="18"/>
        <v>233.47116</v>
      </c>
      <c r="E228" s="51">
        <v>0</v>
      </c>
      <c r="F228" s="51">
        <f t="shared" si="16"/>
        <v>350.20673999999997</v>
      </c>
      <c r="G228" s="182"/>
      <c r="H228" s="183"/>
      <c r="I228" s="34"/>
      <c r="L228" s="67"/>
      <c r="M228" s="67"/>
      <c r="N228" s="34"/>
    </row>
    <row r="229" spans="1:14" s="53" customFormat="1" ht="15.75" customHeight="1" x14ac:dyDescent="0.35">
      <c r="A229" s="68">
        <f t="shared" si="17"/>
        <v>7</v>
      </c>
      <c r="B229" s="69"/>
      <c r="C229" s="50" t="s">
        <v>193</v>
      </c>
      <c r="D229" s="55">
        <f t="shared" si="18"/>
        <v>233.47116</v>
      </c>
      <c r="E229" s="51">
        <v>0</v>
      </c>
      <c r="F229" s="51">
        <f t="shared" si="16"/>
        <v>350.20673999999997</v>
      </c>
      <c r="G229" s="182"/>
      <c r="H229" s="183"/>
      <c r="I229" s="34"/>
      <c r="L229" s="67"/>
      <c r="M229" s="67"/>
      <c r="N229" s="34"/>
    </row>
    <row r="230" spans="1:14" s="53" customFormat="1" ht="15.75" customHeight="1" x14ac:dyDescent="0.35">
      <c r="A230" s="68">
        <f t="shared" si="17"/>
        <v>8</v>
      </c>
      <c r="B230" s="69"/>
      <c r="C230" s="50" t="s">
        <v>193</v>
      </c>
      <c r="D230" s="55">
        <f t="shared" si="18"/>
        <v>233.47116</v>
      </c>
      <c r="E230" s="51">
        <v>0</v>
      </c>
      <c r="F230" s="51">
        <f t="shared" si="16"/>
        <v>350.20673999999997</v>
      </c>
      <c r="G230" s="182"/>
      <c r="H230" s="183"/>
      <c r="I230" s="34"/>
      <c r="L230" s="67"/>
      <c r="M230" s="67"/>
      <c r="N230" s="34"/>
    </row>
    <row r="231" spans="1:14" s="53" customFormat="1" ht="15.75" customHeight="1" x14ac:dyDescent="0.35">
      <c r="A231" s="68">
        <f t="shared" si="17"/>
        <v>9</v>
      </c>
      <c r="B231" s="69"/>
      <c r="C231" s="50" t="s">
        <v>193</v>
      </c>
      <c r="D231" s="55">
        <f t="shared" si="18"/>
        <v>233.47116</v>
      </c>
      <c r="E231" s="51">
        <v>0</v>
      </c>
      <c r="F231" s="51">
        <f t="shared" si="16"/>
        <v>350.20673999999997</v>
      </c>
      <c r="G231" s="182"/>
      <c r="H231" s="183"/>
      <c r="I231" s="34"/>
      <c r="L231" s="67"/>
      <c r="M231" s="67"/>
      <c r="N231" s="34"/>
    </row>
    <row r="232" spans="1:14" s="53" customFormat="1" ht="15.75" customHeight="1" x14ac:dyDescent="0.35">
      <c r="A232" s="68">
        <f t="shared" si="17"/>
        <v>10</v>
      </c>
      <c r="B232" s="69"/>
      <c r="C232" s="50" t="s">
        <v>193</v>
      </c>
      <c r="D232" s="55">
        <f t="shared" si="18"/>
        <v>233.47116</v>
      </c>
      <c r="E232" s="51">
        <v>0</v>
      </c>
      <c r="F232" s="51">
        <f t="shared" si="16"/>
        <v>350.20673999999997</v>
      </c>
      <c r="G232" s="182"/>
      <c r="H232" s="183"/>
      <c r="I232" s="34"/>
      <c r="L232" s="67"/>
      <c r="M232" s="67"/>
      <c r="N232" s="34"/>
    </row>
    <row r="233" spans="1:14" s="53" customFormat="1" ht="15.75" customHeight="1" x14ac:dyDescent="0.35">
      <c r="A233" s="68">
        <f t="shared" si="17"/>
        <v>11</v>
      </c>
      <c r="B233" s="69"/>
      <c r="C233" s="50" t="s">
        <v>193</v>
      </c>
      <c r="D233" s="55">
        <f t="shared" si="18"/>
        <v>233.47116</v>
      </c>
      <c r="E233" s="51">
        <v>0</v>
      </c>
      <c r="F233" s="51">
        <f t="shared" si="16"/>
        <v>350.20673999999997</v>
      </c>
      <c r="G233" s="182"/>
      <c r="H233" s="183"/>
      <c r="I233" s="34"/>
      <c r="L233" s="67"/>
      <c r="M233" s="67"/>
      <c r="N233" s="34"/>
    </row>
    <row r="234" spans="1:14" s="53" customFormat="1" ht="15.75" customHeight="1" x14ac:dyDescent="0.35">
      <c r="A234" s="68">
        <f t="shared" si="17"/>
        <v>12</v>
      </c>
      <c r="B234" s="69"/>
      <c r="C234" s="50" t="s">
        <v>193</v>
      </c>
      <c r="D234" s="55">
        <f>(45.51)*10.764</f>
        <v>489.86963999999995</v>
      </c>
      <c r="E234" s="51">
        <v>0</v>
      </c>
      <c r="F234" s="51">
        <f t="shared" si="16"/>
        <v>734.80445999999995</v>
      </c>
      <c r="G234" s="182"/>
      <c r="H234" s="183"/>
      <c r="I234" s="34"/>
      <c r="L234" s="67"/>
      <c r="M234" s="67"/>
      <c r="N234" s="34"/>
    </row>
    <row r="235" spans="1:14" s="53" customFormat="1" ht="15.75" customHeight="1" x14ac:dyDescent="0.35">
      <c r="A235" s="68">
        <f t="shared" si="17"/>
        <v>13</v>
      </c>
      <c r="B235" s="69"/>
      <c r="C235" s="50" t="s">
        <v>193</v>
      </c>
      <c r="D235" s="55">
        <f>(15.31)*10.764</f>
        <v>164.79684</v>
      </c>
      <c r="E235" s="51">
        <v>0</v>
      </c>
      <c r="F235" s="51">
        <f t="shared" si="16"/>
        <v>247.19526000000002</v>
      </c>
      <c r="G235" s="182"/>
      <c r="H235" s="183"/>
      <c r="I235" s="34"/>
      <c r="L235" s="67"/>
      <c r="M235" s="67"/>
      <c r="N235" s="34"/>
    </row>
    <row r="236" spans="1:14" s="53" customFormat="1" ht="15.75" customHeight="1" x14ac:dyDescent="0.35">
      <c r="A236" s="68">
        <f t="shared" si="17"/>
        <v>14</v>
      </c>
      <c r="B236" s="69"/>
      <c r="C236" s="50" t="s">
        <v>193</v>
      </c>
      <c r="D236" s="55">
        <f>(15.5)*10.764</f>
        <v>166.84199999999998</v>
      </c>
      <c r="E236" s="51">
        <v>0</v>
      </c>
      <c r="F236" s="51">
        <f t="shared" si="16"/>
        <v>250.26299999999998</v>
      </c>
      <c r="G236" s="182"/>
      <c r="H236" s="183"/>
      <c r="I236" s="34"/>
      <c r="L236" s="67"/>
      <c r="M236" s="67"/>
      <c r="N236" s="34"/>
    </row>
    <row r="237" spans="1:14" s="53" customFormat="1" ht="15.75" customHeight="1" x14ac:dyDescent="0.35">
      <c r="A237" s="68">
        <f t="shared" si="17"/>
        <v>15</v>
      </c>
      <c r="B237" s="69"/>
      <c r="C237" s="50" t="s">
        <v>193</v>
      </c>
      <c r="D237" s="55">
        <f>(15.19)*10.764</f>
        <v>163.50515999999999</v>
      </c>
      <c r="E237" s="51">
        <v>0</v>
      </c>
      <c r="F237" s="51">
        <f t="shared" si="16"/>
        <v>245.25773999999998</v>
      </c>
      <c r="G237" s="182"/>
      <c r="H237" s="183"/>
      <c r="I237" s="34"/>
      <c r="L237" s="67"/>
      <c r="M237" s="67"/>
      <c r="N237" s="34"/>
    </row>
    <row r="238" spans="1:14" s="53" customFormat="1" ht="15.75" customHeight="1" x14ac:dyDescent="0.35">
      <c r="A238" s="68">
        <f t="shared" si="17"/>
        <v>16</v>
      </c>
      <c r="B238" s="69"/>
      <c r="C238" s="50" t="s">
        <v>193</v>
      </c>
      <c r="D238" s="55">
        <f>(15.53)*10.764</f>
        <v>167.16492</v>
      </c>
      <c r="E238" s="51">
        <v>0</v>
      </c>
      <c r="F238" s="51">
        <f t="shared" si="16"/>
        <v>250.74737999999999</v>
      </c>
      <c r="G238" s="182"/>
      <c r="H238" s="183"/>
      <c r="I238" s="34"/>
      <c r="L238" s="67"/>
      <c r="M238" s="67"/>
      <c r="N238" s="34"/>
    </row>
    <row r="239" spans="1:14" s="53" customFormat="1" ht="15.75" customHeight="1" x14ac:dyDescent="0.35">
      <c r="A239" s="68">
        <f t="shared" si="17"/>
        <v>17</v>
      </c>
      <c r="B239" s="69"/>
      <c r="C239" s="50" t="s">
        <v>193</v>
      </c>
      <c r="D239" s="55">
        <f>(20.03)*10.764</f>
        <v>215.60292000000001</v>
      </c>
      <c r="E239" s="51">
        <v>0</v>
      </c>
      <c r="F239" s="51">
        <f t="shared" si="16"/>
        <v>323.40438</v>
      </c>
      <c r="G239" s="184"/>
      <c r="H239" s="185"/>
      <c r="I239" s="34"/>
      <c r="L239" s="67"/>
      <c r="M239" s="67"/>
      <c r="N239" s="34"/>
    </row>
    <row r="240" spans="1:14" x14ac:dyDescent="0.35">
      <c r="A240" s="170" t="s">
        <v>67</v>
      </c>
      <c r="B240" s="170"/>
      <c r="C240" s="170"/>
      <c r="D240" s="170"/>
      <c r="E240" s="170"/>
      <c r="F240" s="170"/>
      <c r="G240" s="170"/>
      <c r="H240" s="170"/>
    </row>
    <row r="241" spans="1:8" x14ac:dyDescent="0.35">
      <c r="A241" s="45" t="s">
        <v>151</v>
      </c>
      <c r="B241" s="177" t="s">
        <v>227</v>
      </c>
      <c r="C241" s="178"/>
      <c r="D241" s="178"/>
      <c r="E241" s="178"/>
      <c r="F241" s="178"/>
      <c r="G241" s="178"/>
      <c r="H241" s="179"/>
    </row>
    <row r="242" spans="1:8" x14ac:dyDescent="0.35">
      <c r="A242" s="45" t="s">
        <v>151</v>
      </c>
      <c r="B242" s="174" t="str">
        <f>(IF(F103="Saleable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2" s="175"/>
      <c r="D242" s="175"/>
      <c r="E242" s="175"/>
      <c r="F242" s="175"/>
      <c r="G242" s="175"/>
      <c r="H242" s="176"/>
    </row>
    <row r="243" spans="1:8" x14ac:dyDescent="0.35">
      <c r="A243" s="45" t="s">
        <v>151</v>
      </c>
      <c r="B243" s="167" t="s">
        <v>121</v>
      </c>
      <c r="C243" s="168"/>
      <c r="D243" s="168"/>
      <c r="E243" s="168"/>
      <c r="F243" s="168"/>
      <c r="G243" s="168"/>
      <c r="H243" s="169"/>
    </row>
    <row r="244" spans="1:8" x14ac:dyDescent="0.35">
      <c r="A244" s="45" t="s">
        <v>151</v>
      </c>
      <c r="B244" s="167" t="s">
        <v>198</v>
      </c>
      <c r="C244" s="168"/>
      <c r="D244" s="168"/>
      <c r="E244" s="168"/>
      <c r="F244" s="168"/>
      <c r="G244" s="168"/>
      <c r="H244" s="169"/>
    </row>
    <row r="245" spans="1:8" x14ac:dyDescent="0.35">
      <c r="A245" s="45" t="s">
        <v>151</v>
      </c>
      <c r="B245" s="167" t="s">
        <v>150</v>
      </c>
      <c r="C245" s="168"/>
      <c r="D245" s="168"/>
      <c r="E245" s="168"/>
      <c r="F245" s="168"/>
      <c r="G245" s="168"/>
      <c r="H245" s="169"/>
    </row>
    <row r="246" spans="1:8" x14ac:dyDescent="0.35">
      <c r="A246" s="45" t="s">
        <v>151</v>
      </c>
      <c r="B246" s="167" t="s">
        <v>122</v>
      </c>
      <c r="C246" s="168"/>
      <c r="D246" s="168"/>
      <c r="E246" s="168"/>
      <c r="F246" s="168"/>
      <c r="G246" s="168"/>
      <c r="H246" s="169"/>
    </row>
    <row r="247" spans="1:8" x14ac:dyDescent="0.35">
      <c r="A247" s="45" t="s">
        <v>151</v>
      </c>
      <c r="B247" s="167" t="s">
        <v>152</v>
      </c>
      <c r="C247" s="168"/>
      <c r="D247" s="168"/>
      <c r="E247" s="168"/>
      <c r="F247" s="168"/>
      <c r="G247" s="168"/>
      <c r="H247" s="169"/>
    </row>
    <row r="248" spans="1:8" x14ac:dyDescent="0.35">
      <c r="A248" s="45" t="s">
        <v>151</v>
      </c>
      <c r="B248" s="167" t="s">
        <v>123</v>
      </c>
      <c r="C248" s="168"/>
      <c r="D248" s="168"/>
      <c r="E248" s="168"/>
      <c r="F248" s="168"/>
      <c r="G248" s="168"/>
      <c r="H248" s="169"/>
    </row>
    <row r="249" spans="1:8" x14ac:dyDescent="0.35">
      <c r="A249" s="166" t="s">
        <v>60</v>
      </c>
      <c r="B249" s="166"/>
      <c r="C249" s="166"/>
      <c r="D249" s="166"/>
      <c r="E249" s="166"/>
      <c r="F249" s="166"/>
      <c r="G249" s="166"/>
      <c r="H249" s="166"/>
    </row>
    <row r="250" spans="1:8" x14ac:dyDescent="0.35">
      <c r="A250" s="65" t="s">
        <v>61</v>
      </c>
      <c r="B250" s="65"/>
      <c r="C250" s="65"/>
      <c r="D250" s="65"/>
      <c r="E250" s="65"/>
      <c r="F250" s="65"/>
      <c r="G250" s="65"/>
      <c r="H250" s="65"/>
    </row>
    <row r="251" spans="1:8" x14ac:dyDescent="0.35">
      <c r="A251" s="171" t="s">
        <v>62</v>
      </c>
      <c r="B251" s="171"/>
      <c r="C251" s="171"/>
      <c r="D251" s="171"/>
      <c r="E251" s="171"/>
      <c r="F251" s="171"/>
      <c r="G251" s="171"/>
      <c r="H251" s="171"/>
    </row>
    <row r="252" spans="1:8" x14ac:dyDescent="0.35">
      <c r="A252" s="65" t="s">
        <v>63</v>
      </c>
      <c r="B252" s="65"/>
      <c r="C252" s="65"/>
      <c r="D252" s="65"/>
      <c r="E252" s="65"/>
      <c r="F252" s="65"/>
      <c r="G252" s="65"/>
      <c r="H252" s="65"/>
    </row>
    <row r="253" spans="1:8" x14ac:dyDescent="0.35">
      <c r="A253" s="65" t="s">
        <v>64</v>
      </c>
      <c r="B253" s="65"/>
      <c r="C253" s="65"/>
      <c r="D253" s="65"/>
      <c r="E253" s="65"/>
      <c r="F253" s="65"/>
      <c r="G253" s="65"/>
      <c r="H253" s="65"/>
    </row>
    <row r="254" spans="1:8" x14ac:dyDescent="0.35">
      <c r="A254" s="65" t="s">
        <v>124</v>
      </c>
      <c r="B254" s="65"/>
      <c r="C254" s="65"/>
      <c r="D254" s="65"/>
      <c r="E254" s="65"/>
      <c r="F254" s="65"/>
      <c r="G254" s="65"/>
      <c r="H254" s="65"/>
    </row>
    <row r="255" spans="1:8" x14ac:dyDescent="0.35">
      <c r="A255" s="94" t="s">
        <v>125</v>
      </c>
      <c r="B255" s="94"/>
      <c r="C255" s="94"/>
      <c r="D255" s="94"/>
      <c r="E255" s="94"/>
      <c r="F255" s="94"/>
      <c r="G255" s="94"/>
      <c r="H255" s="94"/>
    </row>
    <row r="256" spans="1:8" ht="15.75" customHeight="1" x14ac:dyDescent="0.35">
      <c r="A256" s="173" t="s">
        <v>76</v>
      </c>
      <c r="B256" s="173"/>
      <c r="C256" s="173" t="s">
        <v>229</v>
      </c>
      <c r="D256" s="173"/>
      <c r="E256" s="173" t="s">
        <v>104</v>
      </c>
      <c r="F256" s="173"/>
      <c r="G256" s="173" t="s">
        <v>228</v>
      </c>
      <c r="H256" s="173"/>
    </row>
    <row r="257" spans="1:8" ht="32.25" customHeight="1" x14ac:dyDescent="0.35">
      <c r="A257" s="172" t="s">
        <v>78</v>
      </c>
      <c r="B257" s="172"/>
      <c r="C257" s="172"/>
      <c r="D257" s="172"/>
      <c r="E257" s="172"/>
      <c r="F257" s="172"/>
      <c r="G257" s="172"/>
      <c r="H257" s="172"/>
    </row>
    <row r="258" spans="1:8" ht="32.25" customHeight="1" x14ac:dyDescent="0.35">
      <c r="A258" s="172"/>
      <c r="B258" s="172"/>
      <c r="C258" s="172"/>
      <c r="D258" s="172"/>
      <c r="E258" s="172"/>
      <c r="F258" s="172"/>
      <c r="G258" s="172"/>
      <c r="H258" s="172"/>
    </row>
    <row r="259" spans="1:8" x14ac:dyDescent="0.35">
      <c r="A259" s="36" t="s">
        <v>65</v>
      </c>
      <c r="B259" s="37"/>
      <c r="C259" s="37"/>
      <c r="D259" s="36" t="str">
        <f>E8</f>
        <v>Runwal Edge</v>
      </c>
      <c r="F259" s="37"/>
      <c r="G259" s="37"/>
      <c r="H259" s="37"/>
    </row>
    <row r="260" spans="1:8" x14ac:dyDescent="0.35">
      <c r="A260" s="37"/>
      <c r="B260" s="37"/>
      <c r="C260" s="37"/>
      <c r="D260" s="37"/>
      <c r="E260" s="37"/>
      <c r="F260" s="37"/>
      <c r="G260" s="37"/>
      <c r="H260" s="37"/>
    </row>
    <row r="261" spans="1:8" x14ac:dyDescent="0.35">
      <c r="A261" s="37"/>
      <c r="B261" s="37"/>
      <c r="C261" s="37"/>
      <c r="D261" s="37"/>
      <c r="E261" s="37"/>
      <c r="F261" s="37"/>
      <c r="G261" s="37"/>
      <c r="H261" s="37"/>
    </row>
    <row r="301" spans="1:1" x14ac:dyDescent="0.35">
      <c r="A301" s="39" t="s">
        <v>161</v>
      </c>
    </row>
    <row r="329" spans="1:1" x14ac:dyDescent="0.35">
      <c r="A329" s="39" t="s">
        <v>66</v>
      </c>
    </row>
  </sheetData>
  <mergeCells count="510">
    <mergeCell ref="L228:M228"/>
    <mergeCell ref="L239:M239"/>
    <mergeCell ref="G223:H239"/>
    <mergeCell ref="A236:B236"/>
    <mergeCell ref="L236:M236"/>
    <mergeCell ref="A237:B237"/>
    <mergeCell ref="L237:M237"/>
    <mergeCell ref="A238:B238"/>
    <mergeCell ref="L238:M238"/>
    <mergeCell ref="A233:B233"/>
    <mergeCell ref="L233:M233"/>
    <mergeCell ref="A234:B234"/>
    <mergeCell ref="L234:M234"/>
    <mergeCell ref="A235:B235"/>
    <mergeCell ref="L235:M235"/>
    <mergeCell ref="L229:M229"/>
    <mergeCell ref="A230:B230"/>
    <mergeCell ref="L230:M230"/>
    <mergeCell ref="L231:M231"/>
    <mergeCell ref="L232:M232"/>
    <mergeCell ref="L225:M225"/>
    <mergeCell ref="A226:B226"/>
    <mergeCell ref="L226:M226"/>
    <mergeCell ref="A227:B227"/>
    <mergeCell ref="L227:M227"/>
    <mergeCell ref="L220:M220"/>
    <mergeCell ref="A221:B221"/>
    <mergeCell ref="L221:M221"/>
    <mergeCell ref="A222:H222"/>
    <mergeCell ref="A223:B223"/>
    <mergeCell ref="L223:M223"/>
    <mergeCell ref="A224:B224"/>
    <mergeCell ref="L224:M224"/>
    <mergeCell ref="L216:M216"/>
    <mergeCell ref="A217:B217"/>
    <mergeCell ref="L217:M217"/>
    <mergeCell ref="A218:B218"/>
    <mergeCell ref="L218:M218"/>
    <mergeCell ref="A219:B219"/>
    <mergeCell ref="L219:M219"/>
    <mergeCell ref="G203:H221"/>
    <mergeCell ref="L211:M211"/>
    <mergeCell ref="A212:B212"/>
    <mergeCell ref="L212:M212"/>
    <mergeCell ref="A213:B213"/>
    <mergeCell ref="L213:M213"/>
    <mergeCell ref="A215:B215"/>
    <mergeCell ref="L215:M215"/>
    <mergeCell ref="A214:B214"/>
    <mergeCell ref="L214:M214"/>
    <mergeCell ref="L207:M207"/>
    <mergeCell ref="A208:B208"/>
    <mergeCell ref="L208:M208"/>
    <mergeCell ref="A209:B209"/>
    <mergeCell ref="L209:M209"/>
    <mergeCell ref="A210:B210"/>
    <mergeCell ref="L210:M210"/>
    <mergeCell ref="L203:M203"/>
    <mergeCell ref="A204:B204"/>
    <mergeCell ref="L204:M204"/>
    <mergeCell ref="A205:B205"/>
    <mergeCell ref="L205:M205"/>
    <mergeCell ref="A206:B206"/>
    <mergeCell ref="L206:M206"/>
    <mergeCell ref="L202:M202"/>
    <mergeCell ref="A202:H202"/>
    <mergeCell ref="L195:M195"/>
    <mergeCell ref="A196:B196"/>
    <mergeCell ref="L196:M196"/>
    <mergeCell ref="A197:B197"/>
    <mergeCell ref="L197:M197"/>
    <mergeCell ref="A198:B198"/>
    <mergeCell ref="L198:M198"/>
    <mergeCell ref="G183:H201"/>
    <mergeCell ref="L188:M188"/>
    <mergeCell ref="A189:B189"/>
    <mergeCell ref="L189:M189"/>
    <mergeCell ref="A190:B190"/>
    <mergeCell ref="L190:M190"/>
    <mergeCell ref="L199:M199"/>
    <mergeCell ref="A200:B200"/>
    <mergeCell ref="L200:M200"/>
    <mergeCell ref="A201:B201"/>
    <mergeCell ref="L201:M201"/>
    <mergeCell ref="L183:M183"/>
    <mergeCell ref="A184:B184"/>
    <mergeCell ref="L184:M184"/>
    <mergeCell ref="A185:B185"/>
    <mergeCell ref="L191:M191"/>
    <mergeCell ref="A192:B192"/>
    <mergeCell ref="L192:M192"/>
    <mergeCell ref="A193:B193"/>
    <mergeCell ref="L193:M193"/>
    <mergeCell ref="A194:B194"/>
    <mergeCell ref="L194:M194"/>
    <mergeCell ref="L187:M187"/>
    <mergeCell ref="A188:B188"/>
    <mergeCell ref="F91:H91"/>
    <mergeCell ref="E96:F96"/>
    <mergeCell ref="A96:B96"/>
    <mergeCell ref="G98:H98"/>
    <mergeCell ref="A150:B150"/>
    <mergeCell ref="A151:B151"/>
    <mergeCell ref="A132:B132"/>
    <mergeCell ref="L185:M185"/>
    <mergeCell ref="A186:B186"/>
    <mergeCell ref="L186:M186"/>
    <mergeCell ref="A112:B112"/>
    <mergeCell ref="L123:M123"/>
    <mergeCell ref="C123:F123"/>
    <mergeCell ref="A106:H106"/>
    <mergeCell ref="A107:H107"/>
    <mergeCell ref="G109:H123"/>
    <mergeCell ref="G125:H141"/>
    <mergeCell ref="F34:H34"/>
    <mergeCell ref="F33:H33"/>
    <mergeCell ref="A100:B100"/>
    <mergeCell ref="C100:D100"/>
    <mergeCell ref="E100:F100"/>
    <mergeCell ref="G100:H100"/>
    <mergeCell ref="E42:H42"/>
    <mergeCell ref="A42:D42"/>
    <mergeCell ref="C49:E49"/>
    <mergeCell ref="G49:H49"/>
    <mergeCell ref="G51:H51"/>
    <mergeCell ref="D55:H55"/>
    <mergeCell ref="C51:E51"/>
    <mergeCell ref="D58:H58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F90:H90"/>
    <mergeCell ref="A257:H258"/>
    <mergeCell ref="A256:B256"/>
    <mergeCell ref="E256:F256"/>
    <mergeCell ref="C256:D256"/>
    <mergeCell ref="G256:H256"/>
    <mergeCell ref="B246:H246"/>
    <mergeCell ref="B242:H242"/>
    <mergeCell ref="A157:B157"/>
    <mergeCell ref="A159:B159"/>
    <mergeCell ref="A158:B158"/>
    <mergeCell ref="B241:H241"/>
    <mergeCell ref="A211:B211"/>
    <mergeCell ref="A216:B216"/>
    <mergeCell ref="A220:B220"/>
    <mergeCell ref="A225:B225"/>
    <mergeCell ref="A229:B229"/>
    <mergeCell ref="A232:B232"/>
    <mergeCell ref="G143:H162"/>
    <mergeCell ref="G164:H181"/>
    <mergeCell ref="A148:B148"/>
    <mergeCell ref="A154:B154"/>
    <mergeCell ref="A182:H182"/>
    <mergeCell ref="A183:B183"/>
    <mergeCell ref="A187:B187"/>
    <mergeCell ref="A255:H255"/>
    <mergeCell ref="A253:H253"/>
    <mergeCell ref="A249:H249"/>
    <mergeCell ref="A250:H250"/>
    <mergeCell ref="B248:H248"/>
    <mergeCell ref="B243:H243"/>
    <mergeCell ref="B244:H244"/>
    <mergeCell ref="A240:H240"/>
    <mergeCell ref="A152:B152"/>
    <mergeCell ref="A153:B153"/>
    <mergeCell ref="A231:B231"/>
    <mergeCell ref="A254:H254"/>
    <mergeCell ref="A251:H251"/>
    <mergeCell ref="A191:B191"/>
    <mergeCell ref="A195:B195"/>
    <mergeCell ref="A199:B199"/>
    <mergeCell ref="A203:B203"/>
    <mergeCell ref="A207:B207"/>
    <mergeCell ref="B247:H247"/>
    <mergeCell ref="A239:B239"/>
    <mergeCell ref="A228:B228"/>
    <mergeCell ref="B245:H245"/>
    <mergeCell ref="A252:H252"/>
    <mergeCell ref="A177:B177"/>
    <mergeCell ref="F81:H81"/>
    <mergeCell ref="F89:H89"/>
    <mergeCell ref="A144:B144"/>
    <mergeCell ref="A102:H102"/>
    <mergeCell ref="G96:H96"/>
    <mergeCell ref="A91:E91"/>
    <mergeCell ref="C98:D98"/>
    <mergeCell ref="E98:F98"/>
    <mergeCell ref="B103:B104"/>
    <mergeCell ref="A103:A104"/>
    <mergeCell ref="A124:H124"/>
    <mergeCell ref="A143:B143"/>
    <mergeCell ref="A90:E90"/>
    <mergeCell ref="F83:H83"/>
    <mergeCell ref="A89:E89"/>
    <mergeCell ref="A83:E83"/>
    <mergeCell ref="F84:H84"/>
    <mergeCell ref="E99:F99"/>
    <mergeCell ref="G99:H99"/>
    <mergeCell ref="C96:D96"/>
    <mergeCell ref="F92:H92"/>
    <mergeCell ref="A101:H101"/>
    <mergeCell ref="A130:B130"/>
    <mergeCell ref="A113:B1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C39:H39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L124:M124"/>
    <mergeCell ref="A38:B38"/>
    <mergeCell ref="C38:H38"/>
    <mergeCell ref="A45:D45"/>
    <mergeCell ref="L112:M112"/>
    <mergeCell ref="L111:M111"/>
    <mergeCell ref="L110:M110"/>
    <mergeCell ref="L109:M109"/>
    <mergeCell ref="A77:B77"/>
    <mergeCell ref="F88:H88"/>
    <mergeCell ref="A81:E81"/>
    <mergeCell ref="A108:H108"/>
    <mergeCell ref="E103:E104"/>
    <mergeCell ref="G103:H104"/>
    <mergeCell ref="E70:F79"/>
    <mergeCell ref="G70:H79"/>
    <mergeCell ref="A78:B78"/>
    <mergeCell ref="A79:B79"/>
    <mergeCell ref="A76:B76"/>
    <mergeCell ref="A69:B69"/>
    <mergeCell ref="A72:B72"/>
    <mergeCell ref="A68:B68"/>
    <mergeCell ref="A111:B111"/>
    <mergeCell ref="A39:B39"/>
    <mergeCell ref="L120:M120"/>
    <mergeCell ref="A121:B121"/>
    <mergeCell ref="L121:M121"/>
    <mergeCell ref="A122:B122"/>
    <mergeCell ref="L122:M122"/>
    <mergeCell ref="L116:M116"/>
    <mergeCell ref="A117:B117"/>
    <mergeCell ref="A123:B123"/>
    <mergeCell ref="L117:M117"/>
    <mergeCell ref="L118:M118"/>
    <mergeCell ref="L119:M119"/>
    <mergeCell ref="A118:B118"/>
    <mergeCell ref="A119:B119"/>
    <mergeCell ref="A116:B116"/>
    <mergeCell ref="A61:C61"/>
    <mergeCell ref="D61:H61"/>
    <mergeCell ref="A48:B48"/>
    <mergeCell ref="C48:H48"/>
    <mergeCell ref="A80:E80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C52:H52"/>
    <mergeCell ref="A75:B75"/>
    <mergeCell ref="A58:C58"/>
    <mergeCell ref="A49:B49"/>
    <mergeCell ref="G69:H69"/>
    <mergeCell ref="L113:M113"/>
    <mergeCell ref="A114:B114"/>
    <mergeCell ref="L114:M114"/>
    <mergeCell ref="A115:B115"/>
    <mergeCell ref="L115:M115"/>
    <mergeCell ref="A85:E85"/>
    <mergeCell ref="F80:H80"/>
    <mergeCell ref="F85:H85"/>
    <mergeCell ref="A66:B66"/>
    <mergeCell ref="C66:H66"/>
    <mergeCell ref="A74:B74"/>
    <mergeCell ref="A92:E92"/>
    <mergeCell ref="A99:B99"/>
    <mergeCell ref="A105:H105"/>
    <mergeCell ref="A97:B97"/>
    <mergeCell ref="C97:D97"/>
    <mergeCell ref="E97:F97"/>
    <mergeCell ref="G97:H97"/>
    <mergeCell ref="F82:H82"/>
    <mergeCell ref="A82:E82"/>
    <mergeCell ref="A84:E84"/>
    <mergeCell ref="A87:E87"/>
    <mergeCell ref="F87:H87"/>
    <mergeCell ref="A88:E88"/>
    <mergeCell ref="A95:H95"/>
    <mergeCell ref="A93:E93"/>
    <mergeCell ref="F93:H93"/>
    <mergeCell ref="A94:E94"/>
    <mergeCell ref="F94:H94"/>
    <mergeCell ref="A98:B98"/>
    <mergeCell ref="A127:B127"/>
    <mergeCell ref="C103:C104"/>
    <mergeCell ref="A128:B128"/>
    <mergeCell ref="C99:D99"/>
    <mergeCell ref="A125:B125"/>
    <mergeCell ref="D103:D104"/>
    <mergeCell ref="A109:B109"/>
    <mergeCell ref="A110:B110"/>
    <mergeCell ref="A120:B120"/>
    <mergeCell ref="L130:M130"/>
    <mergeCell ref="L131:M131"/>
    <mergeCell ref="L129:M129"/>
    <mergeCell ref="L128:M128"/>
    <mergeCell ref="L125:M125"/>
    <mergeCell ref="L136:M136"/>
    <mergeCell ref="A137:B137"/>
    <mergeCell ref="L137:M137"/>
    <mergeCell ref="A133:B133"/>
    <mergeCell ref="A131:B131"/>
    <mergeCell ref="A126:B126"/>
    <mergeCell ref="A136:B136"/>
    <mergeCell ref="A129:B129"/>
    <mergeCell ref="L132:M132"/>
    <mergeCell ref="L133:M133"/>
    <mergeCell ref="A134:B134"/>
    <mergeCell ref="L134:M134"/>
    <mergeCell ref="L126:M126"/>
    <mergeCell ref="L127:M127"/>
    <mergeCell ref="A140:B140"/>
    <mergeCell ref="L140:M140"/>
    <mergeCell ref="A138:B138"/>
    <mergeCell ref="L141:M141"/>
    <mergeCell ref="L143:M143"/>
    <mergeCell ref="L144:M144"/>
    <mergeCell ref="A141:B141"/>
    <mergeCell ref="A142:H142"/>
    <mergeCell ref="A135:B135"/>
    <mergeCell ref="L135:M135"/>
    <mergeCell ref="A171:B171"/>
    <mergeCell ref="L171:M171"/>
    <mergeCell ref="A167:B167"/>
    <mergeCell ref="L182:M182"/>
    <mergeCell ref="A179:B179"/>
    <mergeCell ref="L179:M179"/>
    <mergeCell ref="A180:B180"/>
    <mergeCell ref="L180:M180"/>
    <mergeCell ref="A181:B181"/>
    <mergeCell ref="L181:M181"/>
    <mergeCell ref="L172:M17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L177:M177"/>
    <mergeCell ref="A178:B178"/>
    <mergeCell ref="L178:M178"/>
    <mergeCell ref="A172:B172"/>
    <mergeCell ref="A170:B170"/>
    <mergeCell ref="L170:M170"/>
    <mergeCell ref="L153:M153"/>
    <mergeCell ref="A165:B165"/>
    <mergeCell ref="L165:M165"/>
    <mergeCell ref="A166:B166"/>
    <mergeCell ref="L166:M166"/>
    <mergeCell ref="L154:M154"/>
    <mergeCell ref="L155:M155"/>
    <mergeCell ref="L156:M156"/>
    <mergeCell ref="L157:M157"/>
    <mergeCell ref="L158:M158"/>
    <mergeCell ref="L159:M159"/>
    <mergeCell ref="A160:B160"/>
    <mergeCell ref="L160:M160"/>
    <mergeCell ref="A155:B155"/>
    <mergeCell ref="L161:M161"/>
    <mergeCell ref="A162:B162"/>
    <mergeCell ref="L162:M162"/>
    <mergeCell ref="A163:H163"/>
    <mergeCell ref="L164:M164"/>
    <mergeCell ref="A161:B161"/>
    <mergeCell ref="A164:B164"/>
    <mergeCell ref="A156:B156"/>
    <mergeCell ref="I9:L9"/>
    <mergeCell ref="I10:L10"/>
    <mergeCell ref="A86:E86"/>
    <mergeCell ref="F86:H86"/>
    <mergeCell ref="L167:M167"/>
    <mergeCell ref="A168:B168"/>
    <mergeCell ref="L168:M168"/>
    <mergeCell ref="A169:B169"/>
    <mergeCell ref="L169:M169"/>
    <mergeCell ref="L145:M145"/>
    <mergeCell ref="L146:M146"/>
    <mergeCell ref="L147:M147"/>
    <mergeCell ref="L148:M148"/>
    <mergeCell ref="L149:M149"/>
    <mergeCell ref="L150:M150"/>
    <mergeCell ref="L151:M151"/>
    <mergeCell ref="L152:M152"/>
    <mergeCell ref="A147:B147"/>
    <mergeCell ref="A149:B149"/>
    <mergeCell ref="A146:B146"/>
    <mergeCell ref="A145:B145"/>
    <mergeCell ref="L138:M138"/>
    <mergeCell ref="A139:B139"/>
    <mergeCell ref="L139:M139"/>
  </mergeCells>
  <dataValidations count="7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"Mumbai,Thane,Palghar,Raigad,Pune"</formula1>
    </dataValidation>
    <dataValidation type="list" allowBlank="1" showInputMessage="1" showErrorMessage="1" sqref="E103:E104">
      <formula1>"Attached Loft area,Attached Terrace area,Attached Mezzanine area"</formula1>
    </dataValidation>
    <dataValidation type="list" allowBlank="1" showInputMessage="1" showErrorMessage="1" sqref="F104">
      <formula1>"45%,50%,55%,60%"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3:H93">
      <formula1>"100000,150000,200000,250000,300000,350000,400000,500000,600000,700000,800000,900000,1000000,1200000,1400000,1500000"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58" max="16383" man="1"/>
    <brk id="300" max="16383" man="1"/>
    <brk id="328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4" t="s">
        <v>105</v>
      </c>
      <c r="C3" s="204"/>
      <c r="D3" s="204"/>
      <c r="E3" s="204"/>
      <c r="F3" s="204"/>
      <c r="G3" s="204"/>
      <c r="H3" s="204"/>
    </row>
    <row r="4" spans="1:9" x14ac:dyDescent="0.35">
      <c r="A4" s="2"/>
      <c r="B4" s="3" t="s">
        <v>106</v>
      </c>
      <c r="C4" s="3" t="s">
        <v>107</v>
      </c>
      <c r="D4" s="3" t="s">
        <v>68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2025-08-28T08:27:45Z</cp:lastPrinted>
  <dcterms:created xsi:type="dcterms:W3CDTF">2019-07-16T09:29:46Z</dcterms:created>
  <dcterms:modified xsi:type="dcterms:W3CDTF">2025-08-28T09:46:00Z</dcterms:modified>
</cp:coreProperties>
</file>