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August 2025\29-08-2025\"/>
    </mc:Choice>
  </mc:AlternateContent>
  <bookViews>
    <workbookView xWindow="0" yWindow="0" windowWidth="19200" windowHeight="6640" tabRatio="725"/>
  </bookViews>
  <sheets>
    <sheet name="Report" sheetId="1" r:id="rId1"/>
    <sheet name="Flat detail" sheetId="3" r:id="rId2"/>
    <sheet name="valuation" sheetId="5" r:id="rId3"/>
    <sheet name="Note" sheetId="4" r:id="rId4"/>
  </sheets>
  <definedNames>
    <definedName name="_xlnm.Print_Area" localSheetId="0">Report!$A$1:$H$904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02" i="1" l="1"/>
  <c r="A803" i="1" s="1"/>
  <c r="A804" i="1" s="1"/>
  <c r="A805" i="1" s="1"/>
  <c r="A806" i="1" s="1"/>
  <c r="A807" i="1" s="1"/>
  <c r="A808" i="1" s="1"/>
  <c r="A801" i="1"/>
  <c r="C764" i="1"/>
  <c r="E764" i="1" s="1"/>
  <c r="C763" i="1"/>
  <c r="E763" i="1" s="1"/>
  <c r="C762" i="1"/>
  <c r="E762" i="1" s="1"/>
  <c r="C761" i="1"/>
  <c r="E761" i="1" s="1"/>
  <c r="C760" i="1"/>
  <c r="E760" i="1" s="1"/>
  <c r="F759" i="1"/>
  <c r="C759" i="1"/>
  <c r="E759" i="1" s="1"/>
  <c r="C798" i="1" l="1"/>
  <c r="E798" i="1" s="1"/>
  <c r="C797" i="1"/>
  <c r="E797" i="1" s="1"/>
  <c r="C796" i="1"/>
  <c r="E796" i="1" s="1"/>
  <c r="C795" i="1"/>
  <c r="E795" i="1" s="1"/>
  <c r="C794" i="1"/>
  <c r="F793" i="1"/>
  <c r="C793" i="1"/>
  <c r="E793" i="1" s="1"/>
  <c r="C773" i="1" l="1"/>
  <c r="C776" i="1"/>
  <c r="C771" i="1"/>
  <c r="C774" i="1"/>
  <c r="C770" i="1"/>
  <c r="C767" i="1"/>
  <c r="C749" i="1"/>
  <c r="C748" i="1"/>
  <c r="C747" i="1"/>
  <c r="C746" i="1"/>
  <c r="D713" i="1"/>
  <c r="D710" i="1"/>
  <c r="C711" i="1"/>
  <c r="C710" i="1"/>
  <c r="C737" i="1"/>
  <c r="C731" i="1"/>
  <c r="C730" i="1"/>
  <c r="C696" i="1"/>
  <c r="C695" i="1"/>
  <c r="E688" i="1"/>
  <c r="C692" i="1"/>
  <c r="C691" i="1"/>
  <c r="C690" i="1"/>
  <c r="C689" i="1"/>
  <c r="C688" i="1"/>
  <c r="E710" i="1" l="1"/>
  <c r="E730" i="1"/>
  <c r="C791" i="1" l="1"/>
  <c r="C790" i="1"/>
  <c r="C789" i="1"/>
  <c r="C788" i="1"/>
  <c r="C787" i="1"/>
  <c r="C786" i="1"/>
  <c r="C783" i="1"/>
  <c r="E783" i="1" s="1"/>
  <c r="C782" i="1"/>
  <c r="E782" i="1" s="1"/>
  <c r="C781" i="1"/>
  <c r="C780" i="1"/>
  <c r="C775" i="1"/>
  <c r="E770" i="1"/>
  <c r="C768" i="1"/>
  <c r="C757" i="1"/>
  <c r="C756" i="1"/>
  <c r="C755" i="1"/>
  <c r="C754" i="1"/>
  <c r="C753" i="1"/>
  <c r="C752" i="1"/>
  <c r="E752" i="1" s="1"/>
  <c r="C742" i="1"/>
  <c r="C741" i="1"/>
  <c r="C740" i="1"/>
  <c r="C739" i="1"/>
  <c r="E739" i="1" s="1"/>
  <c r="C738" i="1"/>
  <c r="D733" i="1"/>
  <c r="D732" i="1"/>
  <c r="D731" i="1"/>
  <c r="E731" i="1" s="1"/>
  <c r="C735" i="1"/>
  <c r="C734" i="1"/>
  <c r="C733" i="1"/>
  <c r="C732" i="1"/>
  <c r="D728" i="1"/>
  <c r="C728" i="1"/>
  <c r="D727" i="1"/>
  <c r="C727" i="1"/>
  <c r="D726" i="1"/>
  <c r="C726" i="1"/>
  <c r="D725" i="1"/>
  <c r="C725" i="1"/>
  <c r="D724" i="1"/>
  <c r="C724" i="1"/>
  <c r="D723" i="1"/>
  <c r="C723" i="1"/>
  <c r="D722" i="1"/>
  <c r="E722" i="1" s="1"/>
  <c r="C722" i="1"/>
  <c r="D721" i="1"/>
  <c r="C721" i="1"/>
  <c r="C718" i="1"/>
  <c r="C717" i="1"/>
  <c r="C716" i="1"/>
  <c r="C715" i="1"/>
  <c r="C713" i="1"/>
  <c r="E713" i="1" s="1"/>
  <c r="C712" i="1"/>
  <c r="D708" i="1"/>
  <c r="C708" i="1"/>
  <c r="D707" i="1"/>
  <c r="C707" i="1"/>
  <c r="D706" i="1"/>
  <c r="C706" i="1"/>
  <c r="D705" i="1"/>
  <c r="C705" i="1"/>
  <c r="D704" i="1"/>
  <c r="C704" i="1"/>
  <c r="D703" i="1"/>
  <c r="C703" i="1"/>
  <c r="C700" i="1"/>
  <c r="C699" i="1"/>
  <c r="E699" i="1" s="1"/>
  <c r="C698" i="1"/>
  <c r="E698" i="1" s="1"/>
  <c r="C697" i="1"/>
  <c r="D691" i="1"/>
  <c r="D690" i="1"/>
  <c r="D689" i="1"/>
  <c r="E689" i="1" s="1"/>
  <c r="C693" i="1"/>
  <c r="D686" i="1"/>
  <c r="C686" i="1"/>
  <c r="D685" i="1"/>
  <c r="C685" i="1"/>
  <c r="D684" i="1"/>
  <c r="C684" i="1"/>
  <c r="E684" i="1" s="1"/>
  <c r="D683" i="1"/>
  <c r="C683" i="1"/>
  <c r="D682" i="1"/>
  <c r="C682" i="1"/>
  <c r="D681" i="1"/>
  <c r="C681" i="1"/>
  <c r="D680" i="1"/>
  <c r="C680" i="1"/>
  <c r="D679" i="1"/>
  <c r="C679" i="1"/>
  <c r="D141" i="1" s="1"/>
  <c r="J678" i="1"/>
  <c r="J670" i="1"/>
  <c r="J671" i="1"/>
  <c r="J672" i="1"/>
  <c r="J673" i="1"/>
  <c r="J674" i="1"/>
  <c r="J675" i="1"/>
  <c r="J676" i="1"/>
  <c r="E791" i="1"/>
  <c r="E790" i="1"/>
  <c r="E789" i="1"/>
  <c r="E788" i="1"/>
  <c r="E787" i="1"/>
  <c r="F786" i="1"/>
  <c r="E786" i="1"/>
  <c r="E781" i="1"/>
  <c r="E780" i="1"/>
  <c r="F779" i="1"/>
  <c r="E775" i="1"/>
  <c r="E776" i="1"/>
  <c r="E773" i="1"/>
  <c r="E774" i="1"/>
  <c r="F773" i="1"/>
  <c r="E771" i="1"/>
  <c r="F770" i="1"/>
  <c r="E768" i="1"/>
  <c r="E767" i="1"/>
  <c r="F767" i="1"/>
  <c r="F730" i="1"/>
  <c r="F752" i="1"/>
  <c r="F745" i="1"/>
  <c r="E755" i="1"/>
  <c r="E754" i="1"/>
  <c r="E753" i="1"/>
  <c r="E749" i="1"/>
  <c r="E748" i="1"/>
  <c r="E747" i="1"/>
  <c r="E746" i="1"/>
  <c r="E742" i="1"/>
  <c r="E741" i="1"/>
  <c r="E740" i="1"/>
  <c r="E738" i="1"/>
  <c r="F737" i="1"/>
  <c r="E737" i="1"/>
  <c r="E734" i="1"/>
  <c r="E733" i="1"/>
  <c r="E728" i="1"/>
  <c r="E724" i="1"/>
  <c r="A722" i="1"/>
  <c r="A723" i="1" s="1"/>
  <c r="A724" i="1" s="1"/>
  <c r="A725" i="1" s="1"/>
  <c r="A726" i="1" s="1"/>
  <c r="A727" i="1" s="1"/>
  <c r="A728" i="1" s="1"/>
  <c r="F721" i="1"/>
  <c r="E718" i="1"/>
  <c r="E717" i="1"/>
  <c r="E716" i="1"/>
  <c r="F715" i="1"/>
  <c r="E715" i="1"/>
  <c r="E711" i="1"/>
  <c r="E712" i="1"/>
  <c r="M710" i="1"/>
  <c r="L710" i="1"/>
  <c r="K710" i="1"/>
  <c r="J712" i="1"/>
  <c r="J711" i="1"/>
  <c r="J710" i="1"/>
  <c r="F710" i="1"/>
  <c r="E704" i="1"/>
  <c r="A704" i="1"/>
  <c r="A705" i="1" s="1"/>
  <c r="A706" i="1" s="1"/>
  <c r="A707" i="1" s="1"/>
  <c r="A708" i="1" s="1"/>
  <c r="F703" i="1"/>
  <c r="J657" i="1"/>
  <c r="J658" i="1"/>
  <c r="J659" i="1"/>
  <c r="J660" i="1"/>
  <c r="J661" i="1"/>
  <c r="J656" i="1"/>
  <c r="F695" i="1"/>
  <c r="E697" i="1"/>
  <c r="E696" i="1"/>
  <c r="E695" i="1"/>
  <c r="E700" i="1"/>
  <c r="E693" i="1"/>
  <c r="E692" i="1"/>
  <c r="E686" i="1"/>
  <c r="E681" i="1"/>
  <c r="E680" i="1"/>
  <c r="A680" i="1"/>
  <c r="A681" i="1" s="1"/>
  <c r="A682" i="1" s="1"/>
  <c r="A683" i="1" s="1"/>
  <c r="A684" i="1" s="1"/>
  <c r="A685" i="1" s="1"/>
  <c r="A686" i="1" s="1"/>
  <c r="F679" i="1"/>
  <c r="D151" i="1" l="1"/>
  <c r="B151" i="1"/>
  <c r="B141" i="1"/>
  <c r="E683" i="1"/>
  <c r="E679" i="1"/>
  <c r="E691" i="1"/>
  <c r="E690" i="1"/>
  <c r="E726" i="1"/>
  <c r="E685" i="1"/>
  <c r="E723" i="1"/>
  <c r="E732" i="1"/>
  <c r="E703" i="1"/>
  <c r="E721" i="1"/>
  <c r="E705" i="1"/>
  <c r="E727" i="1"/>
  <c r="E682" i="1"/>
  <c r="E725" i="1"/>
  <c r="E708" i="1"/>
  <c r="E706" i="1"/>
  <c r="E707" i="1"/>
  <c r="C372" i="1"/>
  <c r="F141" i="1" l="1"/>
  <c r="F151" i="1"/>
  <c r="E3" i="1"/>
  <c r="C405" i="1" l="1"/>
  <c r="C404" i="1"/>
  <c r="C389" i="1"/>
  <c r="C390" i="1"/>
  <c r="C368" i="1"/>
  <c r="C367" i="1"/>
  <c r="I129" i="1" l="1"/>
  <c r="E405" i="1" l="1"/>
  <c r="E404" i="1"/>
  <c r="E390" i="1"/>
  <c r="E389" i="1"/>
  <c r="E372" i="1"/>
  <c r="E368" i="1"/>
  <c r="E367" i="1"/>
  <c r="J256" i="1"/>
  <c r="J257" i="1"/>
  <c r="J258" i="1"/>
  <c r="J259" i="1"/>
  <c r="J260" i="1"/>
  <c r="J261" i="1"/>
  <c r="J252" i="1"/>
  <c r="J253" i="1"/>
  <c r="J251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4" i="1"/>
  <c r="J255" i="1"/>
  <c r="J228" i="1"/>
  <c r="J229" i="1"/>
  <c r="J230" i="1"/>
  <c r="J231" i="1"/>
  <c r="J232" i="1"/>
  <c r="J233" i="1"/>
  <c r="J234" i="1"/>
  <c r="J235" i="1"/>
  <c r="J236" i="1"/>
  <c r="J237" i="1"/>
  <c r="J227" i="1"/>
  <c r="I335" i="1"/>
  <c r="I375" i="1"/>
  <c r="I145" i="1" l="1"/>
  <c r="C402" i="1"/>
  <c r="E402" i="1" s="1"/>
  <c r="C401" i="1"/>
  <c r="E401" i="1" s="1"/>
  <c r="C400" i="1"/>
  <c r="E400" i="1" s="1"/>
  <c r="C397" i="1"/>
  <c r="E397" i="1" s="1"/>
  <c r="C396" i="1"/>
  <c r="E396" i="1" s="1"/>
  <c r="C386" i="1"/>
  <c r="E386" i="1" s="1"/>
  <c r="C385" i="1"/>
  <c r="E385" i="1" s="1"/>
  <c r="C394" i="1"/>
  <c r="E394" i="1" s="1"/>
  <c r="C403" i="1"/>
  <c r="E403" i="1" s="1"/>
  <c r="C395" i="1"/>
  <c r="E395" i="1" s="1"/>
  <c r="C387" i="1"/>
  <c r="E387" i="1" s="1"/>
  <c r="C388" i="1"/>
  <c r="E388" i="1" s="1"/>
  <c r="C383" i="1"/>
  <c r="E383" i="1" s="1"/>
  <c r="C382" i="1"/>
  <c r="E382" i="1" s="1"/>
  <c r="C381" i="1"/>
  <c r="E381" i="1" s="1"/>
  <c r="C380" i="1"/>
  <c r="E380" i="1" s="1"/>
  <c r="C379" i="1"/>
  <c r="E379" i="1" s="1"/>
  <c r="C378" i="1"/>
  <c r="E378" i="1" s="1"/>
  <c r="C375" i="1"/>
  <c r="E375" i="1" s="1"/>
  <c r="J375" i="1" s="1"/>
  <c r="C374" i="1"/>
  <c r="E374" i="1" s="1"/>
  <c r="C373" i="1"/>
  <c r="E373" i="1" s="1"/>
  <c r="C365" i="1"/>
  <c r="E365" i="1" s="1"/>
  <c r="C364" i="1"/>
  <c r="E364" i="1" s="1"/>
  <c r="C366" i="1"/>
  <c r="E366" i="1" s="1"/>
  <c r="C363" i="1"/>
  <c r="E363" i="1" s="1"/>
  <c r="D357" i="1"/>
  <c r="C357" i="1"/>
  <c r="C359" i="1"/>
  <c r="C361" i="1"/>
  <c r="E361" i="1" s="1"/>
  <c r="C360" i="1"/>
  <c r="E360" i="1" s="1"/>
  <c r="D359" i="1"/>
  <c r="D358" i="1"/>
  <c r="C358" i="1"/>
  <c r="C356" i="1"/>
  <c r="E356" i="1" s="1"/>
  <c r="C354" i="1"/>
  <c r="E354" i="1" s="1"/>
  <c r="C353" i="1"/>
  <c r="E353" i="1" s="1"/>
  <c r="C352" i="1"/>
  <c r="E352" i="1" s="1"/>
  <c r="C351" i="1"/>
  <c r="E351" i="1" s="1"/>
  <c r="C350" i="1"/>
  <c r="E350" i="1" s="1"/>
  <c r="C349" i="1"/>
  <c r="E349" i="1" s="1"/>
  <c r="C348" i="1"/>
  <c r="E348" i="1" s="1"/>
  <c r="C347" i="1"/>
  <c r="E347" i="1" s="1"/>
  <c r="C344" i="1"/>
  <c r="E344" i="1" s="1"/>
  <c r="C343" i="1"/>
  <c r="E343" i="1" s="1"/>
  <c r="C342" i="1"/>
  <c r="E342" i="1" s="1"/>
  <c r="C341" i="1"/>
  <c r="E341" i="1" s="1"/>
  <c r="C340" i="1"/>
  <c r="E340" i="1" s="1"/>
  <c r="C339" i="1"/>
  <c r="E339" i="1" s="1"/>
  <c r="C337" i="1"/>
  <c r="E337" i="1" s="1"/>
  <c r="C336" i="1"/>
  <c r="E336" i="1" s="1"/>
  <c r="D335" i="1"/>
  <c r="C335" i="1"/>
  <c r="E335" i="1" s="1"/>
  <c r="D334" i="1"/>
  <c r="C334" i="1"/>
  <c r="D333" i="1"/>
  <c r="C333" i="1"/>
  <c r="C332" i="1"/>
  <c r="E332" i="1" s="1"/>
  <c r="I265" i="1"/>
  <c r="I314" i="1"/>
  <c r="C330" i="1"/>
  <c r="E330" i="1" s="1"/>
  <c r="C329" i="1"/>
  <c r="E329" i="1" s="1"/>
  <c r="C328" i="1"/>
  <c r="E328" i="1" s="1"/>
  <c r="C327" i="1"/>
  <c r="E327" i="1" s="1"/>
  <c r="C326" i="1"/>
  <c r="E326" i="1" s="1"/>
  <c r="C325" i="1"/>
  <c r="E325" i="1" s="1"/>
  <c r="C324" i="1"/>
  <c r="E324" i="1" s="1"/>
  <c r="C323" i="1"/>
  <c r="E323" i="1" s="1"/>
  <c r="C108" i="1"/>
  <c r="C92" i="1"/>
  <c r="E334" i="1" l="1"/>
  <c r="E333" i="1"/>
  <c r="E359" i="1"/>
  <c r="F137" i="1"/>
  <c r="F142" i="1" s="1"/>
  <c r="B137" i="1"/>
  <c r="B142" i="1" s="1"/>
  <c r="D137" i="1"/>
  <c r="D142" i="1" s="1"/>
  <c r="E357" i="1"/>
  <c r="E358" i="1"/>
  <c r="B147" i="1"/>
  <c r="B152" i="1" s="1"/>
  <c r="D147" i="1"/>
  <c r="D152" i="1" s="1"/>
  <c r="I130" i="1"/>
  <c r="I297" i="1"/>
  <c r="I209" i="1"/>
  <c r="F147" i="1" l="1"/>
  <c r="F152" i="1" s="1"/>
  <c r="J119" i="1"/>
  <c r="J118" i="1"/>
  <c r="J117" i="1"/>
  <c r="J116" i="1"/>
  <c r="J103" i="1"/>
  <c r="J102" i="1"/>
  <c r="J101" i="1"/>
  <c r="J100" i="1"/>
  <c r="H91" i="1"/>
  <c r="C114" i="1" l="1"/>
  <c r="D114" i="1" s="1"/>
  <c r="J112" i="1"/>
  <c r="D121" i="1"/>
  <c r="D119" i="1"/>
  <c r="D117" i="1"/>
  <c r="D115" i="1"/>
  <c r="J113" i="1"/>
  <c r="C112" i="1" s="1"/>
  <c r="D112" i="1" s="1"/>
  <c r="J111" i="1"/>
  <c r="J114" i="1"/>
  <c r="J115" i="1" s="1"/>
  <c r="J120" i="1" s="1"/>
  <c r="J121" i="1" s="1"/>
  <c r="C113" i="1" s="1"/>
  <c r="D120" i="1"/>
  <c r="D118" i="1"/>
  <c r="D116" i="1"/>
  <c r="C98" i="1"/>
  <c r="D98" i="1" s="1"/>
  <c r="J96" i="1"/>
  <c r="D103" i="1"/>
  <c r="D99" i="1"/>
  <c r="J98" i="1"/>
  <c r="J99" i="1" s="1"/>
  <c r="J104" i="1" s="1"/>
  <c r="J105" i="1" s="1"/>
  <c r="C97" i="1" s="1"/>
  <c r="D104" i="1"/>
  <c r="D102" i="1"/>
  <c r="D100" i="1"/>
  <c r="D105" i="1"/>
  <c r="D101" i="1"/>
  <c r="J97" i="1"/>
  <c r="C96" i="1" s="1"/>
  <c r="J95" i="1"/>
  <c r="E96" i="1" l="1"/>
  <c r="I90" i="1" s="1"/>
  <c r="E112" i="1"/>
  <c r="I106" i="1" s="1"/>
  <c r="D113" i="1"/>
  <c r="G112" i="1"/>
  <c r="G96" i="1"/>
  <c r="D96" i="1"/>
  <c r="D97" i="1"/>
  <c r="F6" i="5" l="1"/>
  <c r="G6" i="5" s="1"/>
  <c r="F7" i="5"/>
  <c r="G7" i="5" s="1"/>
  <c r="F8" i="5"/>
  <c r="G8" i="5" s="1"/>
  <c r="F9" i="5"/>
  <c r="G9" i="5" s="1"/>
  <c r="F10" i="5"/>
  <c r="G10" i="5" s="1"/>
  <c r="F11" i="5"/>
  <c r="G11" i="5" s="1"/>
  <c r="F5" i="5"/>
  <c r="G5" i="5" s="1"/>
  <c r="G12" i="5" l="1"/>
  <c r="L33" i="3" l="1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L34" i="3" l="1"/>
  <c r="K34" i="3" s="1"/>
  <c r="E34" i="3"/>
  <c r="I34" i="3"/>
  <c r="H34" i="3" s="1"/>
  <c r="D34" i="3" l="1"/>
  <c r="D36" i="3" s="1"/>
  <c r="E36" i="3"/>
</calcChain>
</file>

<file path=xl/sharedStrings.xml><?xml version="1.0" encoding="utf-8"?>
<sst xmlns="http://schemas.openxmlformats.org/spreadsheetml/2006/main" count="1251" uniqueCount="370">
  <si>
    <t xml:space="preserve">Valuation Report </t>
  </si>
  <si>
    <t>Type of Work</t>
  </si>
  <si>
    <t>Plinth</t>
  </si>
  <si>
    <t>A</t>
  </si>
  <si>
    <t>Total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</si>
  <si>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</si>
  <si>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</si>
  <si>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</si>
  <si>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</si>
  <si>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</si>
  <si>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>Google Map :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</si>
  <si>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</si>
  <si>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</si>
  <si>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</si>
  <si>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</si>
  <si>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</si>
  <si>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</si>
  <si>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</si>
  <si>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</si>
  <si>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</si>
  <si>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</si>
  <si>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</si>
  <si>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</si>
  <si>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</si>
  <si>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</si>
  <si>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</si>
  <si>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</si>
  <si>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</si>
  <si>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</si>
  <si>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</si>
  <si>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</si>
  <si>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</si>
  <si>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</si>
  <si>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Podium</t>
  </si>
  <si>
    <t>Ground</t>
  </si>
  <si>
    <t>Inspected By :</t>
  </si>
  <si>
    <t>Authorized Signatory
Name &amp; Seal of the agency</t>
  </si>
  <si>
    <t>Floors</t>
  </si>
  <si>
    <t>Complition %</t>
  </si>
  <si>
    <t>Disbursement %</t>
  </si>
  <si>
    <t>Progress %</t>
  </si>
  <si>
    <t xml:space="preserve">Stage of construction: 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</si>
  <si>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</si>
  <si>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</si>
  <si>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</si>
  <si>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</si>
  <si>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</si>
  <si>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</si>
  <si>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</si>
  <si>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</si>
  <si>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</si>
  <si>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</si>
  <si>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</si>
  <si>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</si>
  <si>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</si>
  <si>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3BHK</t>
  </si>
  <si>
    <t>99 Acres</t>
  </si>
  <si>
    <t>Average</t>
  </si>
  <si>
    <t xml:space="preserve">Valuation Adopted </t>
  </si>
  <si>
    <t>Saleable Area</t>
  </si>
  <si>
    <t>Rate on Saleable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</si>
  <si>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</si>
  <si>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</si>
  <si>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</si>
  <si>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</si>
  <si>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</si>
  <si>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</si>
  <si>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</si>
  <si>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</si>
  <si>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</si>
  <si>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</si>
  <si>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</si>
  <si>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</si>
  <si>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</si>
  <si>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</si>
  <si>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</si>
  <si>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</si>
  <si>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</si>
  <si>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</si>
  <si>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</si>
  <si>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</si>
  <si>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</si>
  <si>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r>
      <rPr>
        <sz val="12"/>
        <rFont val="Times New Roman"/>
        <family val="1"/>
      </rPr>
      <t>Date:</t>
    </r>
  </si>
  <si>
    <r>
      <rPr>
        <sz val="12"/>
        <rFont val="Times New Roman"/>
        <family val="1"/>
      </rPr>
      <t>CPC Name:</t>
    </r>
  </si>
  <si>
    <r>
      <rPr>
        <sz val="12"/>
        <rFont val="Times New Roman"/>
        <family val="1"/>
      </rPr>
      <t>Axis Goregaon</t>
    </r>
  </si>
  <si>
    <r>
      <rPr>
        <sz val="12"/>
        <rFont val="Times New Roman"/>
        <family val="1"/>
      </rPr>
      <t>Date Of Property Visit</t>
    </r>
  </si>
  <si>
    <r>
      <rPr>
        <sz val="12"/>
        <rFont val="Times New Roman"/>
        <family val="1"/>
      </rPr>
      <t>09/04/2021.</t>
    </r>
  </si>
  <si>
    <r>
      <rPr>
        <sz val="12"/>
        <rFont val="Times New Roman"/>
        <family val="1"/>
      </rPr>
      <t>Name of the builder group</t>
    </r>
  </si>
  <si>
    <r>
      <rPr>
        <sz val="12"/>
        <rFont val="Times New Roman"/>
        <family val="1"/>
      </rPr>
      <t>M/s.Instacroissance Limited</t>
    </r>
  </si>
  <si>
    <r>
      <rPr>
        <sz val="12"/>
        <rFont val="Times New Roman"/>
        <family val="1"/>
      </rPr>
      <t>Name of the builder company</t>
    </r>
  </si>
  <si>
    <r>
      <rPr>
        <sz val="12"/>
        <rFont val="Times New Roman"/>
        <family val="1"/>
      </rPr>
      <t>Name of the Project</t>
    </r>
  </si>
  <si>
    <r>
      <rPr>
        <sz val="12"/>
        <rFont val="Times New Roman"/>
        <family val="1"/>
      </rPr>
      <t>Thakur Galaxy</t>
    </r>
  </si>
  <si>
    <r>
      <rPr>
        <sz val="12"/>
        <rFont val="Times New Roman"/>
        <family val="1"/>
      </rPr>
      <t>Contect Details ( Name &amp; Contect No.)</t>
    </r>
  </si>
  <si>
    <r>
      <rPr>
        <sz val="12"/>
        <rFont val="Times New Roman"/>
        <family val="1"/>
      </rPr>
      <t>Pawan Kushwaha - 9309738934</t>
    </r>
  </si>
  <si>
    <r>
      <rPr>
        <sz val="12"/>
        <rFont val="Times New Roman"/>
        <family val="1"/>
      </rPr>
      <t>Name / No of the Building</t>
    </r>
  </si>
  <si>
    <r>
      <rPr>
        <sz val="12"/>
        <rFont val="Times New Roman"/>
        <family val="1"/>
      </rPr>
      <t xml:space="preserve">Building No.1 - Orion (A to D Wing) Building No.2 - Aquila (A to D Wing) Building No.4 - Castor (A to D Wing) Building No.5 - Phoenix (A to D Wing)
</t>
    </r>
    <r>
      <rPr>
        <sz val="12"/>
        <rFont val="Times New Roman"/>
        <family val="1"/>
      </rPr>
      <t>Building No.6 - Atlas (A to D Wing)</t>
    </r>
  </si>
  <si>
    <r>
      <rPr>
        <sz val="12"/>
        <rFont val="Times New Roman"/>
        <family val="1"/>
      </rPr>
      <t>Docouments Provided</t>
    </r>
  </si>
  <si>
    <r>
      <rPr>
        <sz val="12"/>
        <rFont val="Times New Roman"/>
        <family val="1"/>
      </rPr>
      <t>Approved Plans, CC, Sale Plans.</t>
    </r>
  </si>
  <si>
    <r>
      <rPr>
        <sz val="12"/>
        <rFont val="Times New Roman"/>
        <family val="1"/>
      </rPr>
      <t>RERA No.</t>
    </r>
  </si>
  <si>
    <r>
      <rPr>
        <sz val="12"/>
        <rFont val="Times New Roman"/>
        <family val="1"/>
      </rPr>
      <t>Project location details</t>
    </r>
  </si>
  <si>
    <r>
      <rPr>
        <sz val="12"/>
        <rFont val="Times New Roman"/>
        <family val="1"/>
      </rPr>
      <t>Plot No</t>
    </r>
  </si>
  <si>
    <r>
      <rPr>
        <sz val="12"/>
        <rFont val="Times New Roman"/>
        <family val="1"/>
      </rPr>
      <t>RH - 81</t>
    </r>
  </si>
  <si>
    <r>
      <rPr>
        <sz val="12"/>
        <rFont val="Times New Roman"/>
        <family val="1"/>
      </rPr>
      <t>Road</t>
    </r>
  </si>
  <si>
    <r>
      <rPr>
        <sz val="12"/>
        <rFont val="Times New Roman"/>
        <family val="1"/>
      </rPr>
      <t>Yashwant Shrusti Road</t>
    </r>
  </si>
  <si>
    <r>
      <rPr>
        <sz val="12"/>
        <rFont val="Times New Roman"/>
        <family val="1"/>
      </rPr>
      <t>Locality/Village</t>
    </r>
  </si>
  <si>
    <r>
      <rPr>
        <sz val="12"/>
        <rFont val="Times New Roman"/>
        <family val="1"/>
      </rPr>
      <t>Boisar</t>
    </r>
  </si>
  <si>
    <r>
      <rPr>
        <sz val="12"/>
        <rFont val="Times New Roman"/>
        <family val="1"/>
      </rPr>
      <t>City</t>
    </r>
  </si>
  <si>
    <r>
      <rPr>
        <sz val="12"/>
        <rFont val="Times New Roman"/>
        <family val="1"/>
      </rPr>
      <t>District</t>
    </r>
  </si>
  <si>
    <r>
      <rPr>
        <sz val="12"/>
        <rFont val="Times New Roman"/>
        <family val="1"/>
      </rPr>
      <t>Palghar</t>
    </r>
  </si>
  <si>
    <r>
      <rPr>
        <sz val="12"/>
        <rFont val="Times New Roman"/>
        <family val="1"/>
      </rPr>
      <t>Taluka</t>
    </r>
  </si>
  <si>
    <r>
      <rPr>
        <sz val="12"/>
        <rFont val="Times New Roman"/>
        <family val="1"/>
      </rPr>
      <t>Pin Code</t>
    </r>
  </si>
  <si>
    <r>
      <rPr>
        <sz val="12"/>
        <rFont val="Times New Roman"/>
        <family val="1"/>
      </rPr>
      <t>Near by Landmark</t>
    </r>
  </si>
  <si>
    <r>
      <rPr>
        <sz val="12"/>
        <rFont val="Times New Roman"/>
        <family val="1"/>
      </rPr>
      <t>J.R.Plastic</t>
    </r>
  </si>
  <si>
    <r>
      <rPr>
        <sz val="12"/>
        <rFont val="Times New Roman"/>
        <family val="1"/>
      </rPr>
      <t>Distance from city centre:</t>
    </r>
  </si>
  <si>
    <r>
      <rPr>
        <sz val="12"/>
        <rFont val="Times New Roman"/>
        <family val="1"/>
      </rPr>
      <t>Accessibility to the Project from the City: (Proximity to civic amenities like school, hospital, market, etc.)</t>
    </r>
  </si>
  <si>
    <r>
      <rPr>
        <sz val="12"/>
        <rFont val="Times New Roman"/>
        <family val="1"/>
      </rPr>
      <t>all available at  1 to 2 km.</t>
    </r>
  </si>
  <si>
    <r>
      <rPr>
        <sz val="12"/>
        <rFont val="Times New Roman"/>
        <family val="1"/>
      </rPr>
      <t>Does property have Electricity / Water / Drainage</t>
    </r>
  </si>
  <si>
    <r>
      <rPr>
        <sz val="12"/>
        <rFont val="Times New Roman"/>
        <family val="1"/>
      </rPr>
      <t>Yes</t>
    </r>
  </si>
  <si>
    <r>
      <rPr>
        <sz val="12"/>
        <rFont val="Times New Roman"/>
        <family val="1"/>
      </rPr>
      <t>Class of locality</t>
    </r>
  </si>
  <si>
    <r>
      <rPr>
        <sz val="12"/>
        <rFont val="Times New Roman"/>
        <family val="1"/>
      </rPr>
      <t>Middle Class</t>
    </r>
  </si>
  <si>
    <r>
      <rPr>
        <sz val="12"/>
        <rFont val="Times New Roman"/>
        <family val="1"/>
      </rPr>
      <t>Nature of land with topographical condtion</t>
    </r>
  </si>
  <si>
    <r>
      <rPr>
        <sz val="12"/>
        <rFont val="Times New Roman"/>
        <family val="1"/>
      </rPr>
      <t>Plane</t>
    </r>
  </si>
  <si>
    <r>
      <rPr>
        <sz val="12"/>
        <rFont val="Times New Roman"/>
        <family val="1"/>
      </rPr>
      <t>Nature of the locality</t>
    </r>
  </si>
  <si>
    <r>
      <rPr>
        <sz val="12"/>
        <rFont val="Times New Roman"/>
        <family val="1"/>
      </rPr>
      <t>Developing</t>
    </r>
  </si>
  <si>
    <r>
      <rPr>
        <sz val="12"/>
        <rFont val="Times New Roman"/>
        <family val="1"/>
      </rPr>
      <t>Quality of infrastructure in vicinity</t>
    </r>
  </si>
  <si>
    <r>
      <rPr>
        <sz val="12"/>
        <rFont val="Times New Roman"/>
        <family val="1"/>
      </rPr>
      <t>Good</t>
    </r>
  </si>
  <si>
    <r>
      <rPr>
        <sz val="12"/>
        <rFont val="Times New Roman"/>
        <family val="1"/>
      </rPr>
      <t>Type of Structure</t>
    </r>
  </si>
  <si>
    <r>
      <rPr>
        <sz val="12"/>
        <rFont val="Times New Roman"/>
        <family val="1"/>
      </rPr>
      <t>RCC Frame Structure</t>
    </r>
  </si>
  <si>
    <r>
      <rPr>
        <sz val="12"/>
        <rFont val="Times New Roman"/>
        <family val="1"/>
      </rPr>
      <t>Approved usage of the Property:</t>
    </r>
  </si>
  <si>
    <r>
      <rPr>
        <sz val="12"/>
        <rFont val="Times New Roman"/>
        <family val="1"/>
      </rPr>
      <t>Residential + Commercial</t>
    </r>
  </si>
  <si>
    <r>
      <rPr>
        <sz val="12"/>
        <rFont val="Times New Roman"/>
        <family val="1"/>
      </rPr>
      <t>Restrictive Covenants in regard to Land Use</t>
    </r>
  </si>
  <si>
    <r>
      <rPr>
        <sz val="12"/>
        <rFont val="Times New Roman"/>
        <family val="1"/>
      </rPr>
      <t>No</t>
    </r>
  </si>
  <si>
    <r>
      <rPr>
        <b/>
        <sz val="12"/>
        <rFont val="Times New Roman"/>
        <family val="1"/>
      </rPr>
      <t>Boundries</t>
    </r>
  </si>
  <si>
    <r>
      <rPr>
        <b/>
        <sz val="12"/>
        <rFont val="Times New Roman"/>
        <family val="1"/>
      </rPr>
      <t>At site</t>
    </r>
  </si>
  <si>
    <r>
      <rPr>
        <sz val="12"/>
        <rFont val="Times New Roman"/>
        <family val="1"/>
      </rPr>
      <t>East</t>
    </r>
  </si>
  <si>
    <r>
      <rPr>
        <sz val="12"/>
        <rFont val="Times New Roman"/>
        <family val="1"/>
      </rPr>
      <t>NA</t>
    </r>
  </si>
  <si>
    <r>
      <rPr>
        <sz val="12"/>
        <rFont val="Times New Roman"/>
        <family val="1"/>
      </rPr>
      <t>West</t>
    </r>
  </si>
  <si>
    <r>
      <rPr>
        <sz val="12"/>
        <rFont val="Times New Roman"/>
        <family val="1"/>
      </rPr>
      <t>North</t>
    </r>
  </si>
  <si>
    <r>
      <rPr>
        <sz val="12"/>
        <rFont val="Times New Roman"/>
        <family val="1"/>
      </rPr>
      <t>South</t>
    </r>
  </si>
  <si>
    <r>
      <rPr>
        <sz val="12"/>
        <rFont val="Times New Roman"/>
        <family val="1"/>
      </rPr>
      <t>Madhurajbhar</t>
    </r>
  </si>
  <si>
    <r>
      <rPr>
        <sz val="12"/>
        <rFont val="Times New Roman"/>
        <family val="1"/>
      </rPr>
      <t>Does the boundaries at site match, as mentioned in the Docoumentation: NA</t>
    </r>
  </si>
  <si>
    <r>
      <rPr>
        <b/>
        <sz val="12"/>
        <rFont val="Times New Roman"/>
        <family val="1"/>
      </rPr>
      <t>Area Statement Details :</t>
    </r>
  </si>
  <si>
    <r>
      <rPr>
        <sz val="12"/>
        <rFont val="Times New Roman"/>
        <family val="1"/>
      </rPr>
      <t>Total land area of the project in Sq. Mt.</t>
    </r>
  </si>
  <si>
    <r>
      <rPr>
        <sz val="12"/>
        <rFont val="Times New Roman"/>
        <family val="1"/>
      </rPr>
      <t>Permissible FSI</t>
    </r>
  </si>
  <si>
    <r>
      <rPr>
        <sz val="12"/>
        <rFont val="Times New Roman"/>
        <family val="1"/>
      </rPr>
      <t>Permissible TDR/Paid FSI</t>
    </r>
  </si>
  <si>
    <r>
      <rPr>
        <sz val="12"/>
        <rFont val="Times New Roman"/>
        <family val="1"/>
      </rPr>
      <t>Total FSI availaible for the project</t>
    </r>
  </si>
  <si>
    <r>
      <rPr>
        <sz val="12"/>
        <rFont val="Times New Roman"/>
        <family val="1"/>
      </rPr>
      <t>Total Approved Builtup area of the project (Sq.Mt)</t>
    </r>
  </si>
  <si>
    <r>
      <rPr>
        <sz val="12"/>
        <rFont val="Times New Roman"/>
        <family val="1"/>
      </rPr>
      <t>Total number of Buildings</t>
    </r>
  </si>
  <si>
    <r>
      <rPr>
        <sz val="12"/>
        <rFont val="Times New Roman"/>
        <family val="1"/>
      </rPr>
      <t>05 Building (20 Wings)</t>
    </r>
  </si>
  <si>
    <r>
      <rPr>
        <b/>
        <sz val="12"/>
        <rFont val="Times New Roman"/>
        <family val="1"/>
      </rPr>
      <t>Approval Detail : Plan approval</t>
    </r>
  </si>
  <si>
    <r>
      <rPr>
        <sz val="12"/>
        <rFont val="Times New Roman"/>
        <family val="1"/>
      </rPr>
      <t>Layout Approval No</t>
    </r>
  </si>
  <si>
    <r>
      <rPr>
        <sz val="12"/>
        <rFont val="Times New Roman"/>
        <family val="1"/>
      </rPr>
      <t>Letter No.A21395</t>
    </r>
  </si>
  <si>
    <r>
      <rPr>
        <sz val="12"/>
        <rFont val="Times New Roman"/>
        <family val="1"/>
      </rPr>
      <t>Dated</t>
    </r>
  </si>
  <si>
    <r>
      <rPr>
        <sz val="12"/>
        <rFont val="Times New Roman"/>
        <family val="1"/>
      </rPr>
      <t>19/01/2015.</t>
    </r>
  </si>
  <si>
    <r>
      <rPr>
        <sz val="12"/>
        <rFont val="Times New Roman"/>
        <family val="1"/>
      </rPr>
      <t>Approved Floor plan No.</t>
    </r>
  </si>
  <si>
    <r>
      <rPr>
        <sz val="12"/>
        <rFont val="Times New Roman"/>
        <family val="1"/>
      </rPr>
      <t xml:space="preserve">Valid Up to:
</t>
    </r>
    <r>
      <rPr>
        <sz val="12"/>
        <rFont val="Times New Roman"/>
        <family val="1"/>
      </rPr>
      <t>Type A1, B1, C1 &amp; D1 = Gr + 6th Floor Type A to I = Gr + 7th Floor</t>
    </r>
  </si>
  <si>
    <r>
      <rPr>
        <b/>
        <sz val="12"/>
        <rFont val="Times New Roman"/>
        <family val="1"/>
      </rPr>
      <t>Dated</t>
    </r>
  </si>
  <si>
    <r>
      <rPr>
        <b/>
        <sz val="12"/>
        <rFont val="Times New Roman"/>
        <family val="1"/>
      </rPr>
      <t>06/06/2017.</t>
    </r>
  </si>
  <si>
    <r>
      <rPr>
        <b/>
        <sz val="12"/>
        <rFont val="Times New Roman"/>
        <family val="1"/>
      </rPr>
      <t>Building wise Construction details</t>
    </r>
  </si>
  <si>
    <r>
      <rPr>
        <sz val="12"/>
        <rFont val="Times New Roman"/>
        <family val="1"/>
      </rPr>
      <t>Approved area of building (Sq.Mt)</t>
    </r>
  </si>
  <si>
    <r>
      <rPr>
        <sz val="12"/>
        <rFont val="Times New Roman"/>
        <family val="1"/>
      </rPr>
      <t>Approved no of units</t>
    </r>
  </si>
  <si>
    <r>
      <rPr>
        <sz val="12"/>
        <rFont val="Times New Roman"/>
        <family val="1"/>
      </rPr>
      <t>Flats - 832, Shops - 102</t>
    </r>
  </si>
  <si>
    <r>
      <rPr>
        <sz val="12"/>
        <rFont val="Times New Roman"/>
        <family val="1"/>
      </rPr>
      <t>Approved no of Floors</t>
    </r>
  </si>
  <si>
    <r>
      <rPr>
        <sz val="12"/>
        <rFont val="Times New Roman"/>
        <family val="1"/>
      </rPr>
      <t>Below Table</t>
    </r>
  </si>
  <si>
    <r>
      <rPr>
        <sz val="12"/>
        <rFont val="Times New Roman"/>
        <family val="1"/>
      </rPr>
      <t>Building No.</t>
    </r>
  </si>
  <si>
    <r>
      <rPr>
        <sz val="12"/>
        <rFont val="Times New Roman"/>
        <family val="1"/>
      </rPr>
      <t>Name</t>
    </r>
  </si>
  <si>
    <r>
      <rPr>
        <sz val="12"/>
        <rFont val="Times New Roman"/>
        <family val="1"/>
      </rPr>
      <t>Wing</t>
    </r>
  </si>
  <si>
    <r>
      <rPr>
        <sz val="12"/>
        <rFont val="Times New Roman"/>
        <family val="1"/>
      </rPr>
      <t>Type</t>
    </r>
  </si>
  <si>
    <r>
      <rPr>
        <sz val="12"/>
        <rFont val="Times New Roman"/>
        <family val="1"/>
      </rPr>
      <t>Floors</t>
    </r>
  </si>
  <si>
    <r>
      <rPr>
        <sz val="12"/>
        <rFont val="Times New Roman"/>
        <family val="1"/>
      </rPr>
      <t>Building No.1</t>
    </r>
  </si>
  <si>
    <r>
      <rPr>
        <sz val="12"/>
        <rFont val="Times New Roman"/>
        <family val="1"/>
      </rPr>
      <t>Orion</t>
    </r>
  </si>
  <si>
    <r>
      <rPr>
        <sz val="12"/>
        <rFont val="Times New Roman"/>
        <family val="1"/>
      </rPr>
      <t>A</t>
    </r>
  </si>
  <si>
    <r>
      <rPr>
        <sz val="12"/>
        <rFont val="Times New Roman"/>
        <family val="1"/>
      </rPr>
      <t>Gr + 6th Floor</t>
    </r>
  </si>
  <si>
    <r>
      <rPr>
        <sz val="12"/>
        <rFont val="Times New Roman"/>
        <family val="1"/>
      </rPr>
      <t>B</t>
    </r>
  </si>
  <si>
    <r>
      <rPr>
        <sz val="12"/>
        <rFont val="Times New Roman"/>
        <family val="1"/>
      </rPr>
      <t>B1</t>
    </r>
  </si>
  <si>
    <r>
      <rPr>
        <sz val="12"/>
        <rFont val="Times New Roman"/>
        <family val="1"/>
      </rPr>
      <t>C</t>
    </r>
  </si>
  <si>
    <r>
      <rPr>
        <sz val="12"/>
        <rFont val="Times New Roman"/>
        <family val="1"/>
      </rPr>
      <t>C1</t>
    </r>
  </si>
  <si>
    <r>
      <rPr>
        <sz val="12"/>
        <rFont val="Times New Roman"/>
        <family val="1"/>
      </rPr>
      <t>D</t>
    </r>
  </si>
  <si>
    <r>
      <rPr>
        <sz val="12"/>
        <rFont val="Times New Roman"/>
        <family val="1"/>
      </rPr>
      <t>D1</t>
    </r>
  </si>
  <si>
    <r>
      <rPr>
        <sz val="12"/>
        <rFont val="Times New Roman"/>
        <family val="1"/>
      </rPr>
      <t>Building No.2</t>
    </r>
  </si>
  <si>
    <r>
      <rPr>
        <sz val="12"/>
        <rFont val="Times New Roman"/>
        <family val="1"/>
      </rPr>
      <t>Aquila</t>
    </r>
  </si>
  <si>
    <r>
      <rPr>
        <sz val="12"/>
        <rFont val="Times New Roman"/>
        <family val="1"/>
      </rPr>
      <t>Gr + 7th Floor</t>
    </r>
  </si>
  <si>
    <r>
      <rPr>
        <sz val="12"/>
        <rFont val="Times New Roman"/>
        <family val="1"/>
      </rPr>
      <t>Building No.4</t>
    </r>
  </si>
  <si>
    <r>
      <rPr>
        <sz val="12"/>
        <rFont val="Times New Roman"/>
        <family val="1"/>
      </rPr>
      <t>Castor</t>
    </r>
  </si>
  <si>
    <r>
      <rPr>
        <sz val="12"/>
        <rFont val="Times New Roman"/>
        <family val="1"/>
      </rPr>
      <t>E</t>
    </r>
  </si>
  <si>
    <r>
      <rPr>
        <sz val="12"/>
        <rFont val="Times New Roman"/>
        <family val="1"/>
      </rPr>
      <t>Building No.5</t>
    </r>
  </si>
  <si>
    <r>
      <rPr>
        <sz val="12"/>
        <rFont val="Times New Roman"/>
        <family val="1"/>
      </rPr>
      <t>Phoenix</t>
    </r>
  </si>
  <si>
    <r>
      <rPr>
        <sz val="12"/>
        <rFont val="Times New Roman"/>
        <family val="1"/>
      </rPr>
      <t>F</t>
    </r>
  </si>
  <si>
    <r>
      <rPr>
        <sz val="12"/>
        <rFont val="Times New Roman"/>
        <family val="1"/>
      </rPr>
      <t>G</t>
    </r>
  </si>
  <si>
    <r>
      <rPr>
        <sz val="12"/>
        <rFont val="Times New Roman"/>
        <family val="1"/>
      </rPr>
      <t>H</t>
    </r>
  </si>
  <si>
    <r>
      <rPr>
        <sz val="12"/>
        <rFont val="Times New Roman"/>
        <family val="1"/>
      </rPr>
      <t>I</t>
    </r>
  </si>
  <si>
    <r>
      <rPr>
        <sz val="12"/>
        <rFont val="Times New Roman"/>
        <family val="1"/>
      </rPr>
      <t>Building No.6</t>
    </r>
  </si>
  <si>
    <r>
      <rPr>
        <sz val="12"/>
        <rFont val="Times New Roman"/>
        <family val="1"/>
      </rPr>
      <t>Atlas</t>
    </r>
  </si>
  <si>
    <r>
      <rPr>
        <sz val="12"/>
        <rFont val="Times New Roman"/>
        <family val="1"/>
      </rPr>
      <t>Expected Completion</t>
    </r>
  </si>
  <si>
    <r>
      <rPr>
        <sz val="12"/>
        <rFont val="Times New Roman"/>
        <family val="1"/>
      </rPr>
      <t>Projected life of the structure</t>
    </r>
  </si>
  <si>
    <r>
      <rPr>
        <sz val="12"/>
        <rFont val="Times New Roman"/>
        <family val="1"/>
      </rPr>
      <t>60 Years After Completion</t>
    </r>
  </si>
  <si>
    <r>
      <rPr>
        <sz val="12"/>
        <rFont val="Times New Roman"/>
        <family val="1"/>
      </rPr>
      <t>Quality of construction:</t>
    </r>
  </si>
  <si>
    <r>
      <rPr>
        <sz val="12"/>
        <rFont val="Times New Roman"/>
        <family val="1"/>
      </rPr>
      <t>Material laying at Site:</t>
    </r>
  </si>
  <si>
    <r>
      <rPr>
        <sz val="12"/>
        <rFont val="Times New Roman"/>
        <family val="1"/>
      </rPr>
      <t>Violations Observed if any : NA</t>
    </r>
  </si>
  <si>
    <r>
      <rPr>
        <b/>
        <sz val="12"/>
        <rFont val="Times New Roman"/>
        <family val="1"/>
      </rPr>
      <t>Proposed Amenities :</t>
    </r>
  </si>
  <si>
    <r>
      <rPr>
        <sz val="12"/>
        <rFont val="Times New Roman"/>
        <family val="1"/>
      </rPr>
      <t>1.Vitrified tiles flooring 2. Granite Kitchen Platform  3. Decorative Enternace  etc.</t>
    </r>
  </si>
  <si>
    <r>
      <rPr>
        <b/>
        <sz val="12"/>
        <rFont val="Times New Roman"/>
        <family val="1"/>
      </rPr>
      <t>Recommended Rates of the Property :</t>
    </r>
  </si>
  <si>
    <r>
      <rPr>
        <sz val="12"/>
        <rFont val="Times New Roman"/>
        <family val="1"/>
      </rPr>
      <t>Recommended rate of the flat Per Sq. Ft. ( on Saleable area)</t>
    </r>
  </si>
  <si>
    <r>
      <rPr>
        <sz val="12"/>
        <rFont val="Times New Roman"/>
        <family val="1"/>
      </rPr>
      <t>Recommended rate of the shop Per Sq. Ft. (on Saleable area)</t>
    </r>
  </si>
  <si>
    <r>
      <rPr>
        <sz val="12"/>
        <rFont val="Times New Roman"/>
        <family val="1"/>
      </rPr>
      <t>Society Formation Charges</t>
    </r>
  </si>
  <si>
    <r>
      <rPr>
        <sz val="12"/>
        <rFont val="Times New Roman"/>
        <family val="1"/>
      </rPr>
      <t>Recommended rate of Parking</t>
    </r>
  </si>
  <si>
    <r>
      <rPr>
        <b/>
        <sz val="12"/>
        <rFont val="Times New Roman"/>
        <family val="1"/>
      </rPr>
      <t>Distressed valuation of the Property</t>
    </r>
  </si>
  <si>
    <r>
      <rPr>
        <b/>
        <sz val="12"/>
        <rFont val="Times New Roman"/>
        <family val="1"/>
      </rPr>
      <t>Commercial Area Details :</t>
    </r>
  </si>
  <si>
    <r>
      <rPr>
        <b/>
        <sz val="12"/>
        <rFont val="Times New Roman"/>
        <family val="1"/>
      </rPr>
      <t>Building &amp; Wing</t>
    </r>
  </si>
  <si>
    <r>
      <rPr>
        <b/>
        <sz val="12"/>
        <rFont val="Times New Roman"/>
        <family val="1"/>
      </rPr>
      <t>No. of Units</t>
    </r>
  </si>
  <si>
    <r>
      <rPr>
        <b/>
        <sz val="12"/>
        <rFont val="Times New Roman"/>
        <family val="1"/>
      </rPr>
      <t>Total Carpet Area</t>
    </r>
  </si>
  <si>
    <r>
      <rPr>
        <b/>
        <sz val="12"/>
        <rFont val="Times New Roman"/>
        <family val="1"/>
      </rPr>
      <t>Total Saleable Area</t>
    </r>
  </si>
  <si>
    <r>
      <rPr>
        <b/>
        <sz val="12"/>
        <rFont val="Times New Roman"/>
        <family val="1"/>
      </rPr>
      <t>Total</t>
    </r>
  </si>
  <si>
    <r>
      <rPr>
        <b/>
        <sz val="12"/>
        <rFont val="Times New Roman"/>
        <family val="1"/>
      </rPr>
      <t>Residential Area Details :</t>
    </r>
  </si>
  <si>
    <r>
      <rPr>
        <b/>
        <sz val="12"/>
        <rFont val="Times New Roman"/>
        <family val="1"/>
      </rPr>
      <t>Building details Floor Wise</t>
    </r>
  </si>
  <si>
    <r>
      <rPr>
        <b/>
        <sz val="12"/>
        <rFont val="Times New Roman"/>
        <family val="1"/>
      </rPr>
      <t>Details of Flats in Building</t>
    </r>
  </si>
  <si>
    <r>
      <rPr>
        <b/>
        <sz val="12"/>
        <rFont val="Times New Roman"/>
        <family val="1"/>
      </rPr>
      <t>Flat/Shop No.</t>
    </r>
  </si>
  <si>
    <r>
      <rPr>
        <b/>
        <sz val="12"/>
        <rFont val="Times New Roman"/>
        <family val="1"/>
      </rPr>
      <t>Description</t>
    </r>
  </si>
  <si>
    <r>
      <rPr>
        <b/>
        <sz val="12"/>
        <rFont val="Times New Roman"/>
        <family val="1"/>
      </rPr>
      <t>Gross Carpet area</t>
    </r>
  </si>
  <si>
    <r>
      <rPr>
        <b/>
        <sz val="11"/>
        <rFont val="Times New Roman"/>
        <family val="1"/>
      </rPr>
      <t>Attached Terrace area</t>
    </r>
  </si>
  <si>
    <r>
      <rPr>
        <b/>
        <sz val="12"/>
        <rFont val="Times New Roman"/>
        <family val="1"/>
      </rPr>
      <t>Saleable area</t>
    </r>
  </si>
  <si>
    <r>
      <rPr>
        <b/>
        <sz val="12"/>
        <rFont val="Times New Roman"/>
        <family val="1"/>
      </rPr>
      <t>Floor</t>
    </r>
  </si>
  <si>
    <r>
      <rPr>
        <b/>
        <sz val="12"/>
        <rFont val="Times New Roman"/>
        <family val="1"/>
      </rPr>
      <t>Building No. 1 = Orion</t>
    </r>
  </si>
  <si>
    <r>
      <rPr>
        <b/>
        <sz val="12"/>
        <rFont val="Times New Roman"/>
        <family val="1"/>
      </rPr>
      <t>Wing A = Type A1</t>
    </r>
  </si>
  <si>
    <r>
      <rPr>
        <b/>
        <sz val="12"/>
        <rFont val="Times New Roman"/>
        <family val="1"/>
      </rPr>
      <t>Ground Floor for Commercial</t>
    </r>
  </si>
  <si>
    <r>
      <rPr>
        <sz val="12"/>
        <rFont val="Times New Roman"/>
        <family val="1"/>
      </rPr>
      <t>Shop</t>
    </r>
  </si>
  <si>
    <r>
      <rPr>
        <sz val="12"/>
        <rFont val="Times New Roman"/>
        <family val="1"/>
      </rPr>
      <t>Ground Floor for Commercial</t>
    </r>
  </si>
  <si>
    <r>
      <rPr>
        <b/>
        <sz val="12"/>
        <rFont val="Times New Roman"/>
        <family val="1"/>
      </rPr>
      <t>1st Floor</t>
    </r>
  </si>
  <si>
    <r>
      <rPr>
        <sz val="12"/>
        <rFont val="Times New Roman"/>
        <family val="1"/>
      </rPr>
      <t>1BHK</t>
    </r>
  </si>
  <si>
    <r>
      <rPr>
        <sz val="12"/>
        <rFont val="Times New Roman"/>
        <family val="1"/>
      </rPr>
      <t>1st Floor</t>
    </r>
  </si>
  <si>
    <r>
      <rPr>
        <sz val="12"/>
        <rFont val="Times New Roman"/>
        <family val="1"/>
      </rPr>
      <t>3BHK</t>
    </r>
  </si>
  <si>
    <r>
      <rPr>
        <b/>
        <sz val="12"/>
        <rFont val="Times New Roman"/>
        <family val="1"/>
      </rPr>
      <t>2nd to 6th Floor</t>
    </r>
  </si>
  <si>
    <r>
      <rPr>
        <sz val="12"/>
        <rFont val="Times New Roman"/>
        <family val="1"/>
      </rPr>
      <t>2nd to 6th Floor</t>
    </r>
  </si>
  <si>
    <r>
      <rPr>
        <b/>
        <sz val="12"/>
        <rFont val="Times New Roman"/>
        <family val="1"/>
      </rPr>
      <t>Wing B = Type B1</t>
    </r>
  </si>
  <si>
    <r>
      <rPr>
        <sz val="12"/>
        <rFont val="Times New Roman"/>
        <family val="1"/>
      </rPr>
      <t>1RK</t>
    </r>
  </si>
  <si>
    <r>
      <rPr>
        <b/>
        <sz val="12"/>
        <rFont val="Times New Roman"/>
        <family val="1"/>
      </rPr>
      <t>Ground Floor for Residential &amp; Parking</t>
    </r>
  </si>
  <si>
    <r>
      <rPr>
        <sz val="12"/>
        <rFont val="Times New Roman"/>
        <family val="1"/>
      </rPr>
      <t>Ground Floor for Residential &amp; Parking</t>
    </r>
  </si>
  <si>
    <r>
      <rPr>
        <b/>
        <sz val="12"/>
        <rFont val="Times New Roman"/>
        <family val="1"/>
      </rPr>
      <t>Wing D = Type D1</t>
    </r>
  </si>
  <si>
    <r>
      <rPr>
        <b/>
        <sz val="12"/>
        <rFont val="Times New Roman"/>
        <family val="1"/>
      </rPr>
      <t>1st to 6th Floor</t>
    </r>
  </si>
  <si>
    <r>
      <rPr>
        <sz val="12"/>
        <rFont val="Times New Roman"/>
        <family val="1"/>
      </rPr>
      <t>1st to 6th Floor</t>
    </r>
  </si>
  <si>
    <r>
      <rPr>
        <b/>
        <sz val="12"/>
        <rFont val="Times New Roman"/>
        <family val="1"/>
      </rPr>
      <t>Building No. 2 = Aquila</t>
    </r>
  </si>
  <si>
    <r>
      <rPr>
        <b/>
        <sz val="12"/>
        <rFont val="Times New Roman"/>
        <family val="1"/>
      </rPr>
      <t>Wing A = Type B</t>
    </r>
  </si>
  <si>
    <r>
      <rPr>
        <b/>
        <sz val="12"/>
        <rFont val="Times New Roman"/>
        <family val="1"/>
      </rPr>
      <t>2nd to 7th Floor</t>
    </r>
  </si>
  <si>
    <r>
      <rPr>
        <sz val="12"/>
        <rFont val="Times New Roman"/>
        <family val="1"/>
      </rPr>
      <t>2nd to 7th Floor</t>
    </r>
  </si>
  <si>
    <r>
      <rPr>
        <b/>
        <sz val="12"/>
        <rFont val="Times New Roman"/>
        <family val="1"/>
      </rPr>
      <t>Wing B = Type A</t>
    </r>
  </si>
  <si>
    <r>
      <rPr>
        <b/>
        <sz val="12"/>
        <rFont val="Times New Roman"/>
        <family val="1"/>
      </rPr>
      <t>Wing C = Type D1</t>
    </r>
  </si>
  <si>
    <r>
      <rPr>
        <b/>
        <sz val="12"/>
        <rFont val="Times New Roman"/>
        <family val="1"/>
      </rPr>
      <t>Wing D = Type C1</t>
    </r>
  </si>
  <si>
    <r>
      <rPr>
        <b/>
        <sz val="12"/>
        <rFont val="Times New Roman"/>
        <family val="1"/>
      </rPr>
      <t>Building No. 4 = Castor</t>
    </r>
  </si>
  <si>
    <r>
      <rPr>
        <sz val="12"/>
        <rFont val="Times New Roman"/>
        <family val="1"/>
      </rPr>
      <t>Ground Floor for</t>
    </r>
  </si>
  <si>
    <r>
      <rPr>
        <b/>
        <sz val="12"/>
        <rFont val="Times New Roman"/>
        <family val="1"/>
      </rPr>
      <t>Wing C = Type E</t>
    </r>
  </si>
  <si>
    <r>
      <rPr>
        <b/>
        <sz val="12"/>
        <rFont val="Times New Roman"/>
        <family val="1"/>
      </rPr>
      <t>Ground Floor for Residential</t>
    </r>
  </si>
  <si>
    <r>
      <rPr>
        <sz val="12"/>
        <rFont val="Times New Roman"/>
        <family val="1"/>
      </rPr>
      <t>Ground Floor for Residential</t>
    </r>
  </si>
  <si>
    <r>
      <rPr>
        <b/>
        <sz val="12"/>
        <rFont val="Times New Roman"/>
        <family val="1"/>
      </rPr>
      <t>1st to 7th Floor</t>
    </r>
  </si>
  <si>
    <r>
      <rPr>
        <sz val="12"/>
        <rFont val="Times New Roman"/>
        <family val="1"/>
      </rPr>
      <t>1st to 7th Floor</t>
    </r>
  </si>
  <si>
    <r>
      <rPr>
        <b/>
        <sz val="12"/>
        <rFont val="Times New Roman"/>
        <family val="1"/>
      </rPr>
      <t>Building No. 5 = Phoenix</t>
    </r>
  </si>
  <si>
    <r>
      <rPr>
        <b/>
        <sz val="12"/>
        <rFont val="Times New Roman"/>
        <family val="1"/>
      </rPr>
      <t>Wing A = Type F</t>
    </r>
  </si>
  <si>
    <r>
      <rPr>
        <b/>
        <sz val="12"/>
        <rFont val="Times New Roman"/>
        <family val="1"/>
      </rPr>
      <t>Wing B = Type G</t>
    </r>
  </si>
  <si>
    <r>
      <rPr>
        <b/>
        <sz val="12"/>
        <rFont val="Times New Roman"/>
        <family val="1"/>
      </rPr>
      <t>Wing C = Type H</t>
    </r>
  </si>
  <si>
    <r>
      <rPr>
        <b/>
        <sz val="12"/>
        <rFont val="Times New Roman"/>
        <family val="1"/>
      </rPr>
      <t>Wing D = Type I</t>
    </r>
  </si>
  <si>
    <r>
      <rPr>
        <b/>
        <sz val="12"/>
        <rFont val="Times New Roman"/>
        <family val="1"/>
      </rPr>
      <t>Building No. 6 = Atlas</t>
    </r>
  </si>
  <si>
    <r>
      <rPr>
        <b/>
        <sz val="12"/>
        <rFont val="Times New Roman"/>
        <family val="1"/>
      </rPr>
      <t>Wing A = Type G</t>
    </r>
  </si>
  <si>
    <r>
      <rPr>
        <b/>
        <sz val="12"/>
        <rFont val="Times New Roman"/>
        <family val="1"/>
      </rPr>
      <t>Wing B = Type F</t>
    </r>
  </si>
  <si>
    <r>
      <rPr>
        <b/>
        <sz val="12"/>
        <rFont val="Times New Roman"/>
        <family val="1"/>
      </rPr>
      <t>Wing C = Type I</t>
    </r>
  </si>
  <si>
    <r>
      <rPr>
        <b/>
        <sz val="12"/>
        <rFont val="Times New Roman"/>
        <family val="1"/>
      </rPr>
      <t>Wing D = Type H</t>
    </r>
  </si>
  <si>
    <r>
      <rPr>
        <b/>
        <sz val="12"/>
        <rFont val="Times New Roman"/>
        <family val="1"/>
      </rPr>
      <t>Remarks:</t>
    </r>
  </si>
  <si>
    <t xml:space="preserve">RCC </t>
  </si>
  <si>
    <t>PHOTOGRAPHS OF PROPERTY : Thakur Galaxy</t>
  </si>
  <si>
    <t>Thakur Galaxy</t>
  </si>
  <si>
    <t>Wheather the construction is as per approved Building plan : Yes</t>
  </si>
  <si>
    <t>Nothing</t>
  </si>
  <si>
    <r>
      <rPr>
        <sz val="12"/>
        <rFont val="Times New Roman"/>
        <family val="1"/>
      </rPr>
      <t>10/04/2021.</t>
    </r>
  </si>
  <si>
    <r>
      <rPr>
        <sz val="12"/>
        <rFont val="Times New Roman"/>
        <family val="1"/>
      </rPr>
      <t>Thakur Galaxy, Plot No.RH - 81, Yashwant Shrusti Road, Boisar, Boisar, Palghar, Palghar.</t>
    </r>
  </si>
  <si>
    <r>
      <rPr>
        <b/>
        <sz val="12"/>
        <rFont val="Times New Roman"/>
        <family val="1"/>
      </rPr>
      <t>As per deed</t>
    </r>
  </si>
  <si>
    <r>
      <rPr>
        <sz val="12"/>
        <rFont val="Times New Roman"/>
        <family val="1"/>
      </rPr>
      <t>Commencement Certificate No.</t>
    </r>
  </si>
  <si>
    <r>
      <rPr>
        <b/>
        <sz val="12"/>
        <rFont val="Times New Roman"/>
        <family val="1"/>
      </rPr>
      <t xml:space="preserve">Building Completion
</t>
    </r>
    <r>
      <rPr>
        <b/>
        <sz val="12"/>
        <rFont val="Times New Roman"/>
        <family val="1"/>
      </rPr>
      <t>Certificate.</t>
    </r>
  </si>
  <si>
    <r>
      <rPr>
        <b/>
        <sz val="12"/>
        <rFont val="Times New Roman"/>
        <family val="1"/>
      </rPr>
      <t>Wing C = Type C1</t>
    </r>
  </si>
  <si>
    <r>
      <rPr>
        <b/>
        <sz val="12"/>
        <rFont val="Times New Roman"/>
        <family val="1"/>
      </rPr>
      <t>Wing D = Type C</t>
    </r>
  </si>
  <si>
    <t>At site</t>
  </si>
  <si>
    <t>Building</t>
  </si>
  <si>
    <t>1.8 KM from Boisar
Railway Station</t>
  </si>
  <si>
    <t>Boisar</t>
  </si>
  <si>
    <t>A1</t>
  </si>
  <si>
    <t>Palghar</t>
  </si>
  <si>
    <t>Building No.1 - Orion (All Wings) = Gr + 6th Floor
Building No.2 - Aquila (C &amp; D Wing) = Gr + 6th Floor</t>
  </si>
  <si>
    <t>Advance Maintenance Charges for 12 months</t>
  </si>
  <si>
    <t>Completed</t>
  </si>
  <si>
    <r>
      <rPr>
        <sz val="12"/>
        <rFont val="Times New Roman"/>
        <family val="1"/>
      </rPr>
      <t>IFMS/DE/SPA/TRP/A21396/2016</t>
    </r>
    <r>
      <rPr>
        <sz val="11"/>
        <color theme="1"/>
        <rFont val="Calibri"/>
        <family val="2"/>
        <scheme val="minor"/>
      </rPr>
      <t/>
    </r>
  </si>
  <si>
    <r>
      <rPr>
        <b/>
        <sz val="12"/>
        <rFont val="Times New Roman"/>
        <family val="1"/>
      </rPr>
      <t>IFMS/DE/TD/TRP/CO4175/2018</t>
    </r>
    <r>
      <rPr>
        <sz val="11"/>
        <color theme="1"/>
        <rFont val="Calibri"/>
        <family val="2"/>
        <scheme val="minor"/>
      </rPr>
      <t/>
    </r>
  </si>
  <si>
    <t>Dated</t>
  </si>
  <si>
    <t>MIDC/SPA//FMS/B01390</t>
  </si>
  <si>
    <t>Indus</t>
  </si>
  <si>
    <t>Building No.3</t>
  </si>
  <si>
    <t>B</t>
  </si>
  <si>
    <t>C</t>
  </si>
  <si>
    <t>D</t>
  </si>
  <si>
    <t>Building No. 3 = Indus</t>
  </si>
  <si>
    <t>Wing A = Type A</t>
  </si>
  <si>
    <t>Wing B = Type B</t>
  </si>
  <si>
    <t>1st Floor</t>
  </si>
  <si>
    <t>1RK</t>
  </si>
  <si>
    <t>Wing C = Type C</t>
  </si>
  <si>
    <t>Ground Floor for Residential &amp; Parking</t>
  </si>
  <si>
    <t>Parking</t>
  </si>
  <si>
    <t>1BHK</t>
  </si>
  <si>
    <t>Wing D = Type D</t>
  </si>
  <si>
    <t>1st to 7th Floor</t>
  </si>
  <si>
    <r>
      <rPr>
        <sz val="12"/>
        <rFont val="Times New Roman"/>
        <family val="1"/>
      </rPr>
      <t>Building No.3</t>
    </r>
    <r>
      <rPr>
        <sz val="11"/>
        <color theme="1"/>
        <rFont val="Calibri"/>
        <family val="2"/>
        <scheme val="minor"/>
      </rPr>
      <t/>
    </r>
  </si>
  <si>
    <t xml:space="preserve">15,000/-
</t>
  </si>
  <si>
    <t>Legal Charges</t>
  </si>
  <si>
    <t>Smith</t>
  </si>
  <si>
    <t>3900 to 4351</t>
  </si>
  <si>
    <t>Cost Sheet</t>
  </si>
  <si>
    <t>19.79151, 72.75691</t>
  </si>
  <si>
    <t>Latitude &amp;  Longitude</t>
  </si>
  <si>
    <t>https://goo.gl/maps/5PmyBnzGy5TKqNyD6</t>
  </si>
  <si>
    <t>Building No.1 - Orion (A to D Wing)
Building No.2 - Aquila (A to D Wing) 
Building No.4 - Castor (A to D Wing)
Building No.3 - Indus (A to D Wing)
Building No.5 - Phoenix (A to D Wing)
Building No.6 - Atlas (A to D Wing)
Building No.7 - Mira (A to F Wing)</t>
  </si>
  <si>
    <t>Tarapur Industrial estate</t>
  </si>
  <si>
    <t>07 Building (30 Wings)</t>
  </si>
  <si>
    <t>Building No.7</t>
  </si>
  <si>
    <t>Mira</t>
  </si>
  <si>
    <t>E</t>
  </si>
  <si>
    <t>F</t>
  </si>
  <si>
    <t>J</t>
  </si>
  <si>
    <t>K</t>
  </si>
  <si>
    <t>I</t>
  </si>
  <si>
    <t>Building No.2 - Aquila (A &amp; B Wing) = Gr + 7th Floor
Building No.3 - Indus (All Wings) = Gr + 7th Floor
Building No.4 - Castor (All Wings) = Gr + 7th Floor
Building No.5 - Phoenix (All Wings) = Gr + 7th Floor
Building No.6 - Atlas (All Wings) = Gr + 7th Floor
Building No.7 - Mira (All Wings) = Gr + 7th Floor</t>
  </si>
  <si>
    <t>Building No.7  = Mira</t>
  </si>
  <si>
    <t>Wing A = Type J</t>
  </si>
  <si>
    <t>1st Floor For Residential</t>
  </si>
  <si>
    <t>2nd to 7th Floor</t>
  </si>
  <si>
    <t>otla</t>
  </si>
  <si>
    <t>Ground/Stilt Floor for Commercial &amp; Parking</t>
  </si>
  <si>
    <t>Wing B = Type K</t>
  </si>
  <si>
    <t>Wing C = Type J</t>
  </si>
  <si>
    <t>Wing D = Type I</t>
  </si>
  <si>
    <t>Stilt For Parking</t>
  </si>
  <si>
    <t>Wing E = Type L</t>
  </si>
  <si>
    <t>Ground Floor For Residential &amp; Parking</t>
  </si>
  <si>
    <t>Wing F = Type I</t>
  </si>
  <si>
    <t>Flats - 1240, Shops - 140</t>
  </si>
  <si>
    <t>Not Registered on RERA. (Plans approved before RERA)</t>
  </si>
  <si>
    <t>Full O. Certificate No.:
(1 to 6 Buildings)</t>
  </si>
  <si>
    <t>MIDC/SPA//FMS/A45807</t>
  </si>
  <si>
    <t>Full O. Certificate No.:
(Building No. 7)</t>
  </si>
  <si>
    <t>Office No. 1031, Wing J, Akshar Business Park, Plot No. 03 Sector 25, Near APMC Market, Vashi, 
Navi Mumbai, Maharashtra 400703 TEL: 022-46090378/79/80                                                                                                                           E mail : vsjcapf@gmail.com. Web site : www.vsjadon.com</t>
  </si>
  <si>
    <t>4351 to 4500</t>
  </si>
  <si>
    <t>Trupti</t>
  </si>
  <si>
    <t xml:space="preserve">1,25,000
</t>
  </si>
  <si>
    <t xml:space="preserve">50,000
</t>
  </si>
  <si>
    <t>1st to 6th Floor</t>
  </si>
  <si>
    <t>7th Floor</t>
  </si>
  <si>
    <t>Building No.7 Wing F 702 area changed by Trupti 11/06/2024 by index2 value 2736805/-</t>
  </si>
  <si>
    <t>Building No.7 Wing D105 area changed by Trupti 28/09/2024 by index2 value 2015809/-</t>
  </si>
  <si>
    <t>Building No.7 Wing D106 area changed by Trupti 28/09/2024 by index2 value 2015809/-</t>
  </si>
  <si>
    <t>Building No.7 Wing C106 area changed by Trupti 28/09/2024 by index2 value 2015809/-</t>
  </si>
  <si>
    <t>CHECK NOTES FOR OTHER CHANGES 28/09/2024</t>
  </si>
  <si>
    <t xml:space="preserve">
</t>
  </si>
  <si>
    <t>Building No. 1, 2, 3, 4, 5, 6 &amp; 7 - All work is completed. OC received.</t>
  </si>
  <si>
    <t>We considered Saleable area as per our calculation.</t>
  </si>
  <si>
    <t>We considered Carpet area as per Approved Plan.</t>
  </si>
  <si>
    <t>We considered Gross carpet area = Net carpet + Enclose balcony + C.B Area + F.B Area.</t>
  </si>
  <si>
    <t>We have considered rate by verifying it from market inquire.</t>
  </si>
  <si>
    <t xml:space="preserve">Car parking is subjected to authentic documentation.
</t>
  </si>
  <si>
    <t xml:space="preserve">We have updated approved floor plans &amp; CC of Building No.3 (Wing A to D) (on 28/04/2022).
</t>
  </si>
  <si>
    <t xml:space="preserve">We have updated approved floor plans &amp; CC of Building No.7 (Wing A to F) (on 30/03/2023).
</t>
  </si>
  <si>
    <t>Recommended Rates / Other charges of the Property have been revised on 12/12/2022, 26/03/2024, 11/06/2024 &amp; 28/09/2024.</t>
  </si>
  <si>
    <t>Location Link</t>
  </si>
  <si>
    <t xml:space="preserve">58 Years </t>
  </si>
  <si>
    <t>Pooja Kawale</t>
  </si>
  <si>
    <t>Yadnyesh Patil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</si>
</sst>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0.000"/>
    <numFmt numFmtId="167" formatCode="0.00000"/>
  </numFmts>
  <fonts count="24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2"/>
      <color rgb="FF000000"/>
      <name val="Times New Roman"/>
      <family val="2"/>
    </font>
    <font>
      <b/>
      <sz val="1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1"/>
      <color rgb="FF000000"/>
      <name val="Calibri"/>
      <family val="2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5" fillId="0" borderId="0"/>
    <xf numFmtId="0" fontId="3" fillId="0" borderId="0"/>
    <xf numFmtId="0" fontId="5" fillId="0" borderId="0"/>
    <xf numFmtId="0" fontId="2" fillId="0" borderId="0"/>
    <xf numFmtId="164" fontId="5" fillId="0" borderId="0" applyFont="0" applyFill="0" applyBorder="0" applyAlignment="0" applyProtection="0"/>
    <xf numFmtId="0" fontId="17" fillId="0" borderId="0"/>
    <xf numFmtId="0" fontId="23" fillId="0" borderId="0" applyNumberFormat="0" applyFill="0" applyBorder="0" applyAlignment="0" applyProtection="0"/>
  </cellStyleXfs>
  <cellXfs count="209">
    <xf numFmtId="0" fontId="0" fillId="0" borderId="0" xfId="0"/>
    <xf numFmtId="0" fontId="0" fillId="3" borderId="1" xfId="0" applyFill="1" applyBorder="1"/>
    <xf numFmtId="0" fontId="0" fillId="0" borderId="2" xfId="0" applyBorder="1" applyAlignment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/>
    <xf numFmtId="0" fontId="7" fillId="0" borderId="0" xfId="1" applyFont="1"/>
    <xf numFmtId="0" fontId="7" fillId="0" borderId="0" xfId="1" applyFont="1" applyProtection="1">
      <protection locked="0"/>
    </xf>
    <xf numFmtId="0" fontId="7" fillId="0" borderId="9" xfId="1" applyFont="1" applyBorder="1" applyProtection="1">
      <protection hidden="1"/>
    </xf>
    <xf numFmtId="0" fontId="7" fillId="0" borderId="10" xfId="1" applyFont="1" applyBorder="1" applyProtection="1">
      <protection hidden="1"/>
    </xf>
    <xf numFmtId="0" fontId="7" fillId="0" borderId="10" xfId="1" applyFont="1" applyBorder="1"/>
    <xf numFmtId="0" fontId="5" fillId="0" borderId="0" xfId="4" applyFont="1"/>
    <xf numFmtId="0" fontId="5" fillId="0" borderId="0" xfId="4"/>
    <xf numFmtId="0" fontId="2" fillId="0" borderId="0" xfId="5"/>
    <xf numFmtId="0" fontId="9" fillId="0" borderId="1" xfId="5" applyFont="1" applyBorder="1" applyAlignment="1">
      <alignment horizontal="center" vertical="top" wrapText="1"/>
    </xf>
    <xf numFmtId="0" fontId="16" fillId="0" borderId="0" xfId="4" applyFont="1"/>
    <xf numFmtId="0" fontId="2" fillId="0" borderId="1" xfId="5" applyBorder="1" applyAlignment="1">
      <alignment horizontal="center" vertical="center"/>
    </xf>
    <xf numFmtId="0" fontId="2" fillId="0" borderId="1" xfId="5" applyBorder="1" applyAlignment="1">
      <alignment horizontal="left" vertical="center"/>
    </xf>
    <xf numFmtId="1" fontId="2" fillId="0" borderId="1" xfId="5" applyNumberFormat="1" applyBorder="1" applyAlignment="1">
      <alignment horizontal="center" vertical="center"/>
    </xf>
    <xf numFmtId="165" fontId="2" fillId="0" borderId="1" xfId="6" applyNumberFormat="1" applyFont="1" applyBorder="1" applyAlignment="1">
      <alignment horizontal="right" vertical="center"/>
    </xf>
    <xf numFmtId="0" fontId="2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5" fillId="0" borderId="1" xfId="5" applyNumberFormat="1" applyFont="1" applyBorder="1" applyAlignment="1">
      <alignment horizontal="center" vertical="center"/>
    </xf>
    <xf numFmtId="0" fontId="2" fillId="0" borderId="1" xfId="5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0" fontId="14" fillId="0" borderId="0" xfId="0" applyFont="1" applyFill="1" applyBorder="1" applyProtection="1">
      <protection hidden="1"/>
    </xf>
    <xf numFmtId="0" fontId="14" fillId="0" borderId="10" xfId="0" applyNumberFormat="1" applyFont="1" applyBorder="1" applyProtection="1">
      <protection hidden="1"/>
    </xf>
    <xf numFmtId="0" fontId="7" fillId="0" borderId="8" xfId="1" applyFont="1" applyFill="1" applyBorder="1" applyProtection="1">
      <protection hidden="1"/>
    </xf>
    <xf numFmtId="0" fontId="7" fillId="0" borderId="0" xfId="1" applyFont="1" applyFill="1" applyBorder="1" applyProtection="1">
      <protection hidden="1"/>
    </xf>
    <xf numFmtId="0" fontId="14" fillId="0" borderId="11" xfId="0" applyFont="1" applyFill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2" fillId="0" borderId="4" xfId="1" applyFont="1" applyFill="1" applyBorder="1" applyAlignment="1" applyProtection="1">
      <alignment horizontal="center" vertical="top"/>
      <protection locked="0"/>
    </xf>
    <xf numFmtId="0" fontId="12" fillId="0" borderId="5" xfId="1" applyFont="1" applyFill="1" applyBorder="1" applyAlignment="1" applyProtection="1">
      <alignment horizontal="center" vertical="top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0" fillId="0" borderId="0" xfId="0" applyFill="1" applyBorder="1" applyAlignment="1">
      <alignment horizontal="left" vertical="top"/>
    </xf>
    <xf numFmtId="0" fontId="12" fillId="0" borderId="1" xfId="0" applyFont="1" applyFill="1" applyBorder="1" applyAlignment="1">
      <alignment horizontal="left" vertical="top" wrapText="1" indent="2"/>
    </xf>
    <xf numFmtId="0" fontId="13" fillId="0" borderId="0" xfId="0" applyFont="1" applyFill="1" applyBorder="1" applyAlignment="1">
      <alignment horizontal="left" vertical="top" wrapText="1"/>
    </xf>
    <xf numFmtId="0" fontId="7" fillId="0" borderId="8" xfId="1" applyFont="1" applyBorder="1"/>
    <xf numFmtId="0" fontId="0" fillId="0" borderId="8" xfId="0" applyFill="1" applyBorder="1" applyAlignment="1">
      <alignment horizontal="left" vertical="top"/>
    </xf>
    <xf numFmtId="0" fontId="7" fillId="0" borderId="0" xfId="1" applyFont="1" applyBorder="1"/>
    <xf numFmtId="0" fontId="7" fillId="0" borderId="11" xfId="1" applyFont="1" applyBorder="1"/>
    <xf numFmtId="0" fontId="0" fillId="0" borderId="11" xfId="0" applyFill="1" applyBorder="1" applyAlignment="1">
      <alignment horizontal="left" vertical="top"/>
    </xf>
    <xf numFmtId="0" fontId="12" fillId="0" borderId="1" xfId="1" applyFont="1" applyBorder="1" applyAlignment="1" applyProtection="1">
      <alignment horizontal="center" wrapText="1"/>
      <protection locked="0"/>
    </xf>
    <xf numFmtId="1" fontId="12" fillId="0" borderId="1" xfId="1" applyNumberFormat="1" applyFont="1" applyBorder="1" applyAlignment="1" applyProtection="1">
      <alignment horizontal="center" wrapText="1"/>
      <protection locked="0"/>
    </xf>
    <xf numFmtId="0" fontId="12" fillId="0" borderId="3" xfId="1" applyFont="1" applyBorder="1" applyAlignment="1" applyProtection="1">
      <alignment horizontal="center" wrapText="1"/>
      <protection locked="0"/>
    </xf>
    <xf numFmtId="0" fontId="13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left" vertical="top" wrapText="1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3" xfId="1" applyNumberFormat="1" applyFont="1" applyFill="1" applyBorder="1" applyAlignment="1" applyProtection="1">
      <alignment horizontal="center" vertical="center" wrapText="1"/>
      <protection hidden="1"/>
    </xf>
    <xf numFmtId="1" fontId="18" fillId="0" borderId="1" xfId="0" applyNumberFormat="1" applyFont="1" applyFill="1" applyBorder="1" applyAlignment="1">
      <alignment horizontal="center" vertical="top" shrinkToFit="1"/>
    </xf>
    <xf numFmtId="0" fontId="12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right" vertical="top" wrapText="1" indent="2"/>
    </xf>
    <xf numFmtId="0" fontId="12" fillId="0" borderId="1" xfId="0" applyFont="1" applyFill="1" applyBorder="1" applyAlignment="1">
      <alignment horizontal="right" vertical="top" wrapText="1" indent="3"/>
    </xf>
    <xf numFmtId="1" fontId="18" fillId="0" borderId="1" xfId="0" applyNumberFormat="1" applyFont="1" applyFill="1" applyBorder="1" applyAlignment="1">
      <alignment horizontal="left" vertical="top" indent="2" shrinkToFit="1"/>
    </xf>
    <xf numFmtId="1" fontId="18" fillId="0" borderId="1" xfId="0" applyNumberFormat="1" applyFont="1" applyFill="1" applyBorder="1" applyAlignment="1">
      <alignment horizontal="left" vertical="top" indent="3" shrinkToFit="1"/>
    </xf>
    <xf numFmtId="0" fontId="13" fillId="0" borderId="1" xfId="0" applyFont="1" applyFill="1" applyBorder="1" applyAlignment="1">
      <alignment vertical="top"/>
    </xf>
    <xf numFmtId="0" fontId="12" fillId="0" borderId="1" xfId="0" applyFont="1" applyFill="1" applyBorder="1" applyAlignment="1">
      <alignment vertical="top"/>
    </xf>
    <xf numFmtId="0" fontId="12" fillId="0" borderId="37" xfId="1" applyFont="1" applyBorder="1" applyAlignment="1" applyProtection="1">
      <alignment horizontal="center" vertical="top" wrapText="1"/>
      <protection locked="0"/>
    </xf>
    <xf numFmtId="0" fontId="12" fillId="0" borderId="37" xfId="1" applyFont="1" applyFill="1" applyBorder="1" applyAlignment="1" applyProtection="1">
      <alignment horizontal="center" vertical="top" wrapText="1"/>
      <protection locked="0"/>
    </xf>
    <xf numFmtId="0" fontId="12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left" vertical="top"/>
    </xf>
    <xf numFmtId="1" fontId="18" fillId="0" borderId="1" xfId="0" applyNumberFormat="1" applyFont="1" applyFill="1" applyBorder="1" applyAlignment="1">
      <alignment horizontal="center" vertical="center" shrinkToFit="1"/>
    </xf>
    <xf numFmtId="2" fontId="0" fillId="0" borderId="0" xfId="0" applyNumberFormat="1" applyFill="1" applyBorder="1" applyAlignment="1">
      <alignment horizontal="left" vertical="top"/>
    </xf>
    <xf numFmtId="0" fontId="12" fillId="0" borderId="1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top" wrapText="1"/>
    </xf>
    <xf numFmtId="0" fontId="19" fillId="0" borderId="1" xfId="0" applyFont="1" applyFill="1" applyBorder="1" applyAlignment="1">
      <alignment horizontal="center" vertical="top" wrapText="1"/>
    </xf>
    <xf numFmtId="1" fontId="0" fillId="0" borderId="1" xfId="0" applyNumberForma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top" wrapText="1"/>
    </xf>
    <xf numFmtId="167" fontId="18" fillId="0" borderId="0" xfId="0" applyNumberFormat="1" applyFont="1" applyFill="1" applyBorder="1" applyAlignment="1">
      <alignment horizontal="center" vertical="top" shrinkToFit="1"/>
    </xf>
    <xf numFmtId="0" fontId="0" fillId="3" borderId="0" xfId="0" applyFill="1" applyBorder="1" applyAlignment="1">
      <alignment horizontal="left" vertical="top"/>
    </xf>
    <xf numFmtId="1" fontId="0" fillId="3" borderId="0" xfId="0" applyNumberFormat="1" applyFill="1" applyBorder="1" applyAlignment="1">
      <alignment horizontal="left" vertical="top"/>
    </xf>
    <xf numFmtId="14" fontId="0" fillId="3" borderId="0" xfId="0" applyNumberFormat="1" applyFill="1" applyBorder="1" applyAlignment="1">
      <alignment horizontal="left" vertical="top"/>
    </xf>
    <xf numFmtId="0" fontId="0" fillId="4" borderId="0" xfId="0" applyFill="1" applyBorder="1" applyAlignment="1">
      <alignment horizontal="left" vertical="top"/>
    </xf>
    <xf numFmtId="1" fontId="0" fillId="4" borderId="0" xfId="0" applyNumberFormat="1" applyFill="1" applyBorder="1" applyAlignment="1">
      <alignment horizontal="left" vertical="top"/>
    </xf>
    <xf numFmtId="14" fontId="0" fillId="4" borderId="0" xfId="0" applyNumberFormat="1" applyFill="1" applyBorder="1" applyAlignment="1">
      <alignment horizontal="left" vertical="top"/>
    </xf>
    <xf numFmtId="0" fontId="0" fillId="5" borderId="0" xfId="0" applyFill="1" applyBorder="1" applyAlignment="1">
      <alignment horizontal="left" vertical="top"/>
    </xf>
    <xf numFmtId="0" fontId="7" fillId="0" borderId="0" xfId="1" applyFont="1" applyAlignment="1">
      <alignment wrapText="1"/>
    </xf>
    <xf numFmtId="0" fontId="13" fillId="0" borderId="1" xfId="0" applyFont="1" applyFill="1" applyBorder="1" applyAlignment="1">
      <alignment vertical="top" wrapText="1"/>
    </xf>
    <xf numFmtId="0" fontId="0" fillId="0" borderId="0" xfId="0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 wrapText="1"/>
    </xf>
    <xf numFmtId="1" fontId="12" fillId="0" borderId="1" xfId="0" applyNumberFormat="1" applyFont="1" applyFill="1" applyBorder="1" applyAlignment="1">
      <alignment horizontal="center" vertical="top" wrapText="1"/>
    </xf>
    <xf numFmtId="1" fontId="12" fillId="0" borderId="6" xfId="0" applyNumberFormat="1" applyFont="1" applyFill="1" applyBorder="1" applyAlignment="1">
      <alignment horizontal="center" vertical="top" wrapText="1"/>
    </xf>
    <xf numFmtId="1" fontId="12" fillId="0" borderId="20" xfId="0" applyNumberFormat="1" applyFont="1" applyFill="1" applyBorder="1" applyAlignment="1">
      <alignment horizontal="center" vertical="top" wrapText="1"/>
    </xf>
    <xf numFmtId="1" fontId="12" fillId="0" borderId="7" xfId="0" applyNumberFormat="1" applyFont="1" applyFill="1" applyBorder="1" applyAlignment="1">
      <alignment horizontal="center" vertical="top" wrapText="1"/>
    </xf>
    <xf numFmtId="1" fontId="18" fillId="0" borderId="6" xfId="0" applyNumberFormat="1" applyFont="1" applyFill="1" applyBorder="1" applyAlignment="1">
      <alignment horizontal="center" vertical="center" shrinkToFit="1"/>
    </xf>
    <xf numFmtId="1" fontId="18" fillId="0" borderId="20" xfId="0" applyNumberFormat="1" applyFont="1" applyFill="1" applyBorder="1" applyAlignment="1">
      <alignment horizontal="center" vertical="center" shrinkToFit="1"/>
    </xf>
    <xf numFmtId="1" fontId="18" fillId="0" borderId="7" xfId="0" applyNumberFormat="1" applyFont="1" applyFill="1" applyBorder="1" applyAlignment="1">
      <alignment horizontal="center" vertical="center" shrinkToFit="1"/>
    </xf>
    <xf numFmtId="0" fontId="12" fillId="0" borderId="28" xfId="1" applyFont="1" applyFill="1" applyBorder="1" applyAlignment="1" applyProtection="1">
      <alignment horizontal="center" vertical="top" wrapText="1"/>
      <protection locked="0"/>
    </xf>
    <xf numFmtId="0" fontId="12" fillId="0" borderId="3" xfId="1" applyFont="1" applyFill="1" applyBorder="1" applyAlignment="1" applyProtection="1">
      <alignment horizontal="center" vertical="top" wrapText="1"/>
      <protection locked="0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top" wrapText="1"/>
    </xf>
    <xf numFmtId="1" fontId="18" fillId="0" borderId="1" xfId="0" applyNumberFormat="1" applyFont="1" applyFill="1" applyBorder="1" applyAlignment="1">
      <alignment horizontal="left" vertical="top" shrinkToFit="1"/>
    </xf>
    <xf numFmtId="0" fontId="13" fillId="0" borderId="42" xfId="1" applyFont="1" applyFill="1" applyBorder="1" applyAlignment="1" applyProtection="1">
      <alignment horizontal="left" vertical="top" wrapText="1"/>
      <protection locked="0"/>
    </xf>
    <xf numFmtId="0" fontId="13" fillId="0" borderId="43" xfId="1" applyFont="1" applyFill="1" applyBorder="1" applyAlignment="1" applyProtection="1">
      <alignment horizontal="left" vertical="top" wrapText="1"/>
      <protection locked="0"/>
    </xf>
    <xf numFmtId="0" fontId="13" fillId="0" borderId="16" xfId="1" applyFont="1" applyFill="1" applyBorder="1" applyAlignment="1" applyProtection="1">
      <alignment horizontal="center" vertical="center" wrapText="1"/>
      <protection locked="0"/>
    </xf>
    <xf numFmtId="0" fontId="13" fillId="0" borderId="17" xfId="1" applyFont="1" applyFill="1" applyBorder="1" applyAlignment="1" applyProtection="1">
      <alignment horizontal="center" vertical="center" wrapText="1"/>
      <protection locked="0"/>
    </xf>
    <xf numFmtId="0" fontId="13" fillId="0" borderId="27" xfId="1" applyFont="1" applyFill="1" applyBorder="1" applyAlignment="1" applyProtection="1">
      <alignment horizontal="center" vertical="center" wrapText="1"/>
      <protection locked="0"/>
    </xf>
    <xf numFmtId="0" fontId="13" fillId="0" borderId="41" xfId="1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Fill="1" applyBorder="1" applyAlignment="1">
      <alignment horizontal="left" vertical="top" wrapText="1"/>
    </xf>
    <xf numFmtId="0" fontId="12" fillId="0" borderId="7" xfId="0" applyFont="1" applyFill="1" applyBorder="1" applyAlignment="1">
      <alignment horizontal="left" vertical="top" wrapText="1"/>
    </xf>
    <xf numFmtId="0" fontId="13" fillId="0" borderId="6" xfId="0" applyFont="1" applyFill="1" applyBorder="1" applyAlignment="1">
      <alignment horizontal="left" vertical="top" wrapText="1"/>
    </xf>
    <xf numFmtId="0" fontId="13" fillId="0" borderId="7" xfId="0" applyFont="1" applyFill="1" applyBorder="1" applyAlignment="1">
      <alignment horizontal="left" vertical="top" wrapText="1"/>
    </xf>
    <xf numFmtId="0" fontId="12" fillId="0" borderId="20" xfId="0" applyFont="1" applyFill="1" applyBorder="1" applyAlignment="1">
      <alignment horizontal="left" vertical="top" wrapText="1"/>
    </xf>
    <xf numFmtId="0" fontId="12" fillId="0" borderId="16" xfId="0" applyFont="1" applyFill="1" applyBorder="1" applyAlignment="1">
      <alignment horizontal="left" vertical="top" wrapText="1"/>
    </xf>
    <xf numFmtId="0" fontId="12" fillId="0" borderId="17" xfId="0" applyFont="1" applyFill="1" applyBorder="1" applyAlignment="1">
      <alignment horizontal="left" vertical="top" wrapText="1"/>
    </xf>
    <xf numFmtId="0" fontId="12" fillId="0" borderId="18" xfId="0" applyFont="1" applyFill="1" applyBorder="1" applyAlignment="1">
      <alignment horizontal="left" vertical="top" wrapText="1"/>
    </xf>
    <xf numFmtId="0" fontId="12" fillId="0" borderId="19" xfId="0" applyFont="1" applyFill="1" applyBorder="1" applyAlignment="1">
      <alignment horizontal="left" vertical="top" wrapText="1"/>
    </xf>
    <xf numFmtId="0" fontId="13" fillId="0" borderId="20" xfId="0" applyFont="1" applyFill="1" applyBorder="1" applyAlignment="1">
      <alignment horizontal="left" vertical="top" wrapText="1"/>
    </xf>
    <xf numFmtId="14" fontId="13" fillId="0" borderId="6" xfId="0" applyNumberFormat="1" applyFont="1" applyFill="1" applyBorder="1" applyAlignment="1">
      <alignment horizontal="left" vertical="top" wrapText="1"/>
    </xf>
    <xf numFmtId="9" fontId="13" fillId="0" borderId="16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26" xfId="1" applyFont="1" applyFill="1" applyBorder="1" applyAlignment="1" applyProtection="1">
      <alignment horizontal="center" vertical="center" wrapText="1"/>
      <protection locked="0"/>
    </xf>
    <xf numFmtId="0" fontId="13" fillId="0" borderId="12" xfId="1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Fill="1" applyBorder="1" applyAlignment="1">
      <alignment horizontal="center" vertical="top"/>
    </xf>
    <xf numFmtId="0" fontId="21" fillId="0" borderId="1" xfId="0" applyFont="1" applyFill="1" applyBorder="1" applyAlignment="1">
      <alignment horizontal="center" vertical="top"/>
    </xf>
    <xf numFmtId="0" fontId="0" fillId="0" borderId="1" xfId="0" applyFill="1" applyBorder="1" applyAlignment="1">
      <alignment horizontal="left" vertical="top" wrapText="1"/>
    </xf>
    <xf numFmtId="0" fontId="21" fillId="0" borderId="1" xfId="0" applyFont="1" applyFill="1" applyBorder="1" applyAlignment="1">
      <alignment horizontal="left" vertical="top" wrapText="1"/>
    </xf>
    <xf numFmtId="0" fontId="12" fillId="0" borderId="32" xfId="0" applyFont="1" applyFill="1" applyBorder="1" applyAlignment="1">
      <alignment horizontal="left" vertical="top" wrapText="1"/>
    </xf>
    <xf numFmtId="0" fontId="12" fillId="0" borderId="34" xfId="0" applyFont="1" applyFill="1" applyBorder="1" applyAlignment="1">
      <alignment horizontal="left" vertical="top" wrapText="1"/>
    </xf>
    <xf numFmtId="0" fontId="12" fillId="0" borderId="30" xfId="0" applyFont="1" applyFill="1" applyBorder="1" applyAlignment="1">
      <alignment horizontal="left" vertical="top" wrapText="1"/>
    </xf>
    <xf numFmtId="0" fontId="12" fillId="0" borderId="31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left" vertical="top" wrapText="1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3" xfId="1" applyNumberFormat="1" applyFont="1" applyFill="1" applyBorder="1" applyAlignment="1" applyProtection="1">
      <alignment horizontal="center" vertical="center" wrapText="1"/>
      <protection hidden="1"/>
    </xf>
    <xf numFmtId="1" fontId="13" fillId="0" borderId="1" xfId="0" applyNumberFormat="1" applyFont="1" applyFill="1" applyBorder="1" applyAlignment="1">
      <alignment horizontal="center" vertical="top" wrapText="1"/>
    </xf>
    <xf numFmtId="0" fontId="12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top" wrapText="1"/>
    </xf>
    <xf numFmtId="0" fontId="12" fillId="0" borderId="23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0" fontId="8" fillId="0" borderId="1" xfId="1" applyFont="1" applyBorder="1" applyAlignment="1" applyProtection="1">
      <alignment vertical="top"/>
      <protection locked="0"/>
    </xf>
    <xf numFmtId="2" fontId="18" fillId="0" borderId="1" xfId="0" applyNumberFormat="1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9"/>
    </xf>
    <xf numFmtId="0" fontId="13" fillId="0" borderId="0" xfId="0" applyFont="1" applyFill="1" applyBorder="1" applyAlignment="1">
      <alignment horizontal="left" vertical="top" wrapText="1"/>
    </xf>
    <xf numFmtId="0" fontId="10" fillId="0" borderId="0" xfId="1" applyFont="1" applyAlignment="1" applyProtection="1">
      <alignment horizontal="left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Fill="1" applyBorder="1" applyAlignment="1" applyProtection="1">
      <alignment horizontal="left" vertical="top" wrapText="1"/>
      <protection locked="0"/>
    </xf>
    <xf numFmtId="0" fontId="13" fillId="0" borderId="5" xfId="1" applyFont="1" applyFill="1" applyBorder="1" applyAlignment="1" applyProtection="1">
      <alignment horizontal="left" vertical="top" wrapText="1"/>
      <protection locked="0"/>
    </xf>
    <xf numFmtId="0" fontId="12" fillId="0" borderId="37" xfId="1" applyFont="1" applyFill="1" applyBorder="1" applyAlignment="1" applyProtection="1">
      <alignment horizontal="center" vertical="top" wrapText="1"/>
      <protection locked="0"/>
    </xf>
    <xf numFmtId="0" fontId="12" fillId="0" borderId="38" xfId="1" applyFont="1" applyFill="1" applyBorder="1" applyAlignment="1" applyProtection="1">
      <alignment horizontal="center" vertical="top" wrapText="1"/>
      <protection locked="0"/>
    </xf>
    <xf numFmtId="0" fontId="12" fillId="0" borderId="4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2" fontId="12" fillId="0" borderId="1" xfId="0" applyNumberFormat="1" applyFont="1" applyFill="1" applyBorder="1" applyAlignment="1">
      <alignment horizontal="left" vertical="top" shrinkToFit="1"/>
    </xf>
    <xf numFmtId="0" fontId="12" fillId="0" borderId="1" xfId="1" applyFont="1" applyFill="1" applyBorder="1" applyAlignment="1" applyProtection="1">
      <alignment horizontal="center" vertical="center"/>
      <protection locked="0"/>
    </xf>
    <xf numFmtId="0" fontId="13" fillId="0" borderId="21" xfId="1" applyFont="1" applyFill="1" applyBorder="1" applyAlignment="1" applyProtection="1">
      <alignment horizontal="left" vertical="top" wrapText="1"/>
      <protection locked="0"/>
    </xf>
    <xf numFmtId="0" fontId="13" fillId="0" borderId="15" xfId="1" applyFont="1" applyFill="1" applyBorder="1" applyAlignment="1" applyProtection="1">
      <alignment horizontal="left" vertical="top" wrapText="1"/>
      <protection locked="0"/>
    </xf>
    <xf numFmtId="0" fontId="13" fillId="0" borderId="13" xfId="1" applyFont="1" applyFill="1" applyBorder="1" applyAlignment="1" applyProtection="1">
      <alignment horizontal="left" vertical="top" wrapText="1"/>
      <protection locked="0"/>
    </xf>
    <xf numFmtId="0" fontId="13" fillId="0" borderId="14" xfId="1" applyFont="1" applyFill="1" applyBorder="1" applyAlignment="1" applyProtection="1">
      <alignment horizontal="left" vertical="top" wrapText="1"/>
      <protection locked="0"/>
    </xf>
    <xf numFmtId="0" fontId="13" fillId="0" borderId="22" xfId="1" applyFont="1" applyFill="1" applyBorder="1" applyAlignment="1" applyProtection="1">
      <alignment horizontal="left" vertical="top" wrapText="1"/>
      <protection locked="0"/>
    </xf>
    <xf numFmtId="0" fontId="22" fillId="0" borderId="1" xfId="0" applyFont="1" applyFill="1" applyBorder="1" applyAlignment="1">
      <alignment horizontal="left" vertical="top" wrapText="1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4" fontId="12" fillId="0" borderId="1" xfId="0" applyNumberFormat="1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top" wrapText="1"/>
    </xf>
    <xf numFmtId="0" fontId="12" fillId="0" borderId="33" xfId="0" applyFont="1" applyFill="1" applyBorder="1" applyAlignment="1">
      <alignment horizontal="left" vertical="top" wrapText="1"/>
    </xf>
    <xf numFmtId="0" fontId="12" fillId="0" borderId="35" xfId="0" applyFont="1" applyFill="1" applyBorder="1" applyAlignment="1">
      <alignment horizontal="left" vertical="top" wrapText="1"/>
    </xf>
    <xf numFmtId="9" fontId="12" fillId="2" borderId="5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29" xfId="1" applyNumberFormat="1" applyFont="1" applyFill="1" applyBorder="1" applyAlignment="1" applyProtection="1">
      <alignment horizontal="center" vertical="center" wrapText="1"/>
      <protection hidden="1"/>
    </xf>
    <xf numFmtId="1" fontId="20" fillId="0" borderId="1" xfId="0" applyNumberFormat="1" applyFont="1" applyFill="1" applyBorder="1" applyAlignment="1">
      <alignment horizontal="left" vertical="top" shrinkToFit="1"/>
    </xf>
    <xf numFmtId="1" fontId="12" fillId="0" borderId="1" xfId="0" applyNumberFormat="1" applyFont="1" applyFill="1" applyBorder="1" applyAlignment="1">
      <alignment horizontal="left" vertical="top" wrapText="1" shrinkToFit="1"/>
    </xf>
    <xf numFmtId="1" fontId="12" fillId="0" borderId="1" xfId="0" applyNumberFormat="1" applyFont="1" applyFill="1" applyBorder="1" applyAlignment="1">
      <alignment horizontal="left" vertical="top" shrinkToFit="1"/>
    </xf>
    <xf numFmtId="0" fontId="13" fillId="0" borderId="4" xfId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0" fontId="13" fillId="0" borderId="39" xfId="1" applyFont="1" applyFill="1" applyBorder="1" applyAlignment="1" applyProtection="1">
      <alignment horizontal="center" vertical="center"/>
      <protection locked="0"/>
    </xf>
    <xf numFmtId="0" fontId="13" fillId="0" borderId="17" xfId="1" applyFont="1" applyFill="1" applyBorder="1" applyAlignment="1" applyProtection="1">
      <alignment horizontal="center" vertical="center"/>
      <protection locked="0"/>
    </xf>
    <xf numFmtId="0" fontId="13" fillId="0" borderId="40" xfId="1" applyFont="1" applyFill="1" applyBorder="1" applyAlignment="1" applyProtection="1">
      <alignment horizontal="center" vertical="center"/>
      <protection locked="0"/>
    </xf>
    <xf numFmtId="0" fontId="13" fillId="0" borderId="41" xfId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top" wrapText="1"/>
    </xf>
    <xf numFmtId="0" fontId="12" fillId="0" borderId="20" xfId="0" applyFont="1" applyFill="1" applyBorder="1" applyAlignment="1">
      <alignment horizontal="center" vertical="top" wrapText="1"/>
    </xf>
    <xf numFmtId="0" fontId="12" fillId="0" borderId="7" xfId="0" applyFont="1" applyFill="1" applyBorder="1" applyAlignment="1">
      <alignment horizontal="center" vertical="top" wrapText="1"/>
    </xf>
    <xf numFmtId="0" fontId="23" fillId="0" borderId="6" xfId="8" applyFill="1" applyBorder="1" applyAlignment="1">
      <alignment horizontal="left" vertical="top" wrapText="1"/>
    </xf>
    <xf numFmtId="0" fontId="12" fillId="0" borderId="4" xfId="1" applyFont="1" applyFill="1" applyBorder="1" applyAlignment="1" applyProtection="1">
      <alignment horizontal="center" vertical="center"/>
      <protection locked="0"/>
    </xf>
    <xf numFmtId="0" fontId="12" fillId="0" borderId="36" xfId="1" applyFont="1" applyFill="1" applyBorder="1" applyAlignment="1" applyProtection="1">
      <alignment horizontal="center" vertical="top" wrapText="1"/>
      <protection locked="0"/>
    </xf>
    <xf numFmtId="0" fontId="0" fillId="3" borderId="24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13" fillId="5" borderId="6" xfId="0" applyFont="1" applyFill="1" applyBorder="1" applyAlignment="1">
      <alignment horizontal="left" vertical="top" wrapText="1"/>
    </xf>
    <xf numFmtId="0" fontId="13" fillId="5" borderId="20" xfId="0" applyFont="1" applyFill="1" applyBorder="1" applyAlignment="1">
      <alignment horizontal="left" vertical="top" wrapText="1"/>
    </xf>
    <xf numFmtId="0" fontId="13" fillId="5" borderId="7" xfId="0" applyFont="1" applyFill="1" applyBorder="1" applyAlignment="1">
      <alignment horizontal="left" vertical="top" wrapText="1"/>
    </xf>
    <xf numFmtId="0" fontId="0" fillId="0" borderId="6" xfId="0" applyFill="1" applyBorder="1" applyAlignment="1">
      <alignment horizontal="center" vertical="top" wrapText="1"/>
    </xf>
    <xf numFmtId="0" fontId="0" fillId="0" borderId="20" xfId="0" applyFill="1" applyBorder="1" applyAlignment="1">
      <alignment horizontal="center" vertical="top" wrapText="1"/>
    </xf>
    <xf numFmtId="0" fontId="0" fillId="0" borderId="7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1" xfId="5" applyFont="1" applyBorder="1" applyAlignment="1">
      <alignment horizontal="left"/>
    </xf>
  </cellXfs>
  <cellStyles count="9">
    <cellStyle name="Comma 2" xfId="6"/>
    <cellStyle name="Excel Built-in Normal" xfId="2"/>
    <cellStyle name="Excel Built-in Normal 2" xfId="4"/>
    <cellStyle name="Hyperlink" xfId="8" builtinId="8"/>
    <cellStyle name="Normal" xfId="0" builtinId="0"/>
    <cellStyle name="Normal 2" xfId="3"/>
    <cellStyle name="Normal 3" xfId="1"/>
    <cellStyle name="Normal 3 3" xfId="7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53968</xdr:colOff>
      <xdr:row>885</xdr:row>
      <xdr:rowOff>23587</xdr:rowOff>
    </xdr:from>
    <xdr:to>
      <xdr:col>5</xdr:col>
      <xdr:colOff>580644</xdr:colOff>
      <xdr:row>899</xdr:row>
      <xdr:rowOff>79704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1031868" y="175340737"/>
          <a:ext cx="4273176" cy="2812017"/>
          <a:chOff x="304800" y="4658575"/>
          <a:chExt cx="6113145" cy="3851275"/>
        </a:xfrm>
      </xdr:grpSpPr>
      <xdr:pic>
        <xdr:nvPicPr>
          <xdr:cNvPr id="12" name="image23.jpeg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13944" y="4667719"/>
            <a:ext cx="6094476" cy="3832859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13" name="Shape 69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/>
        </xdr:nvSpPr>
        <xdr:spPr>
          <a:xfrm>
            <a:off x="304800" y="4658575"/>
            <a:ext cx="6113145" cy="3851275"/>
          </a:xfrm>
          <a:custGeom>
            <a:avLst/>
            <a:gdLst/>
            <a:ahLst/>
            <a:cxnLst/>
            <a:rect l="0" t="0" r="0" b="0"/>
            <a:pathLst>
              <a:path w="6113145" h="3851275">
                <a:moveTo>
                  <a:pt x="6111240" y="3851148"/>
                </a:moveTo>
                <a:lnTo>
                  <a:pt x="3048" y="3851148"/>
                </a:lnTo>
                <a:lnTo>
                  <a:pt x="0" y="3849624"/>
                </a:lnTo>
                <a:lnTo>
                  <a:pt x="0" y="3048"/>
                </a:lnTo>
                <a:lnTo>
                  <a:pt x="3048" y="0"/>
                </a:lnTo>
                <a:lnTo>
                  <a:pt x="6111240" y="0"/>
                </a:lnTo>
                <a:lnTo>
                  <a:pt x="6112764" y="3048"/>
                </a:lnTo>
                <a:lnTo>
                  <a:pt x="6112764" y="4572"/>
                </a:lnTo>
                <a:lnTo>
                  <a:pt x="9144" y="4572"/>
                </a:lnTo>
                <a:lnTo>
                  <a:pt x="4572" y="9144"/>
                </a:lnTo>
                <a:lnTo>
                  <a:pt x="9144" y="9144"/>
                </a:lnTo>
                <a:lnTo>
                  <a:pt x="9144" y="3842004"/>
                </a:lnTo>
                <a:lnTo>
                  <a:pt x="4572" y="3842004"/>
                </a:lnTo>
                <a:lnTo>
                  <a:pt x="9144" y="3846576"/>
                </a:lnTo>
                <a:lnTo>
                  <a:pt x="6112764" y="3846576"/>
                </a:lnTo>
                <a:lnTo>
                  <a:pt x="6112764" y="3849624"/>
                </a:lnTo>
                <a:lnTo>
                  <a:pt x="6111240" y="3851148"/>
                </a:lnTo>
                <a:close/>
              </a:path>
              <a:path w="6113145" h="3851275">
                <a:moveTo>
                  <a:pt x="9144" y="9144"/>
                </a:moveTo>
                <a:lnTo>
                  <a:pt x="4572" y="9144"/>
                </a:lnTo>
                <a:lnTo>
                  <a:pt x="9144" y="4572"/>
                </a:lnTo>
                <a:lnTo>
                  <a:pt x="9144" y="9144"/>
                </a:lnTo>
                <a:close/>
              </a:path>
              <a:path w="6113145" h="3851275">
                <a:moveTo>
                  <a:pt x="6103620" y="9144"/>
                </a:moveTo>
                <a:lnTo>
                  <a:pt x="9144" y="9144"/>
                </a:lnTo>
                <a:lnTo>
                  <a:pt x="9144" y="4572"/>
                </a:lnTo>
                <a:lnTo>
                  <a:pt x="6103620" y="4572"/>
                </a:lnTo>
                <a:lnTo>
                  <a:pt x="6103620" y="9144"/>
                </a:lnTo>
                <a:close/>
              </a:path>
              <a:path w="6113145" h="3851275">
                <a:moveTo>
                  <a:pt x="6103620" y="3846576"/>
                </a:moveTo>
                <a:lnTo>
                  <a:pt x="6103620" y="4572"/>
                </a:lnTo>
                <a:lnTo>
                  <a:pt x="6108192" y="9144"/>
                </a:lnTo>
                <a:lnTo>
                  <a:pt x="6112764" y="9144"/>
                </a:lnTo>
                <a:lnTo>
                  <a:pt x="6112764" y="3842004"/>
                </a:lnTo>
                <a:lnTo>
                  <a:pt x="6108192" y="3842004"/>
                </a:lnTo>
                <a:lnTo>
                  <a:pt x="6103620" y="3846576"/>
                </a:lnTo>
                <a:close/>
              </a:path>
              <a:path w="6113145" h="3851275">
                <a:moveTo>
                  <a:pt x="6112764" y="9144"/>
                </a:moveTo>
                <a:lnTo>
                  <a:pt x="6108192" y="9144"/>
                </a:lnTo>
                <a:lnTo>
                  <a:pt x="6103620" y="4572"/>
                </a:lnTo>
                <a:lnTo>
                  <a:pt x="6112764" y="4572"/>
                </a:lnTo>
                <a:lnTo>
                  <a:pt x="6112764" y="9144"/>
                </a:lnTo>
                <a:close/>
              </a:path>
              <a:path w="6113145" h="3851275">
                <a:moveTo>
                  <a:pt x="9144" y="3846576"/>
                </a:moveTo>
                <a:lnTo>
                  <a:pt x="4572" y="3842004"/>
                </a:lnTo>
                <a:lnTo>
                  <a:pt x="9144" y="3842004"/>
                </a:lnTo>
                <a:lnTo>
                  <a:pt x="9144" y="3846576"/>
                </a:lnTo>
                <a:close/>
              </a:path>
              <a:path w="6113145" h="3851275">
                <a:moveTo>
                  <a:pt x="6103620" y="3846576"/>
                </a:moveTo>
                <a:lnTo>
                  <a:pt x="9144" y="3846576"/>
                </a:lnTo>
                <a:lnTo>
                  <a:pt x="9144" y="3842004"/>
                </a:lnTo>
                <a:lnTo>
                  <a:pt x="6103620" y="3842004"/>
                </a:lnTo>
                <a:lnTo>
                  <a:pt x="6103620" y="3846576"/>
                </a:lnTo>
                <a:close/>
              </a:path>
              <a:path w="6113145" h="3851275">
                <a:moveTo>
                  <a:pt x="6112764" y="3846576"/>
                </a:moveTo>
                <a:lnTo>
                  <a:pt x="6103620" y="3846576"/>
                </a:lnTo>
                <a:lnTo>
                  <a:pt x="6108192" y="3842004"/>
                </a:lnTo>
                <a:lnTo>
                  <a:pt x="6112764" y="3842004"/>
                </a:lnTo>
                <a:lnTo>
                  <a:pt x="6112764" y="3846576"/>
                </a:lnTo>
                <a:close/>
              </a:path>
            </a:pathLst>
          </a:custGeom>
          <a:solidFill>
            <a:srgbClr val="000000"/>
          </a:solidFill>
          <a:ln>
            <a:solidFill>
              <a:schemeClr val="tx1"/>
            </a:solidFill>
          </a:ln>
        </xdr:spPr>
        <xdr:txBody>
          <a:bodyPr wrap="square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IN"/>
          </a:p>
        </xdr:txBody>
      </xdr:sp>
    </xdr:grpSp>
    <xdr:clientData/>
  </xdr:twoCellAnchor>
  <xdr:twoCellAnchor>
    <xdr:from>
      <xdr:col>1</xdr:col>
      <xdr:colOff>44824</xdr:colOff>
      <xdr:row>869</xdr:row>
      <xdr:rowOff>33620</xdr:rowOff>
    </xdr:from>
    <xdr:to>
      <xdr:col>5</xdr:col>
      <xdr:colOff>571500</xdr:colOff>
      <xdr:row>883</xdr:row>
      <xdr:rowOff>89737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1022724" y="172201170"/>
          <a:ext cx="4273176" cy="2812017"/>
          <a:chOff x="0" y="0"/>
          <a:chExt cx="6113145" cy="3850004"/>
        </a:xfrm>
      </xdr:grpSpPr>
      <xdr:pic>
        <xdr:nvPicPr>
          <xdr:cNvPr id="10" name="image24.png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144" y="9144"/>
            <a:ext cx="6094476" cy="3831335"/>
          </a:xfrm>
          <a:prstGeom prst="rect">
            <a:avLst/>
          </a:prstGeom>
          <a:ln>
            <a:solidFill>
              <a:sysClr val="windowText" lastClr="000000"/>
            </a:solidFill>
          </a:ln>
        </xdr:spPr>
      </xdr:pic>
      <xdr:sp macro="" textlink="">
        <xdr:nvSpPr>
          <xdr:cNvPr id="11" name="Shape 72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/>
        </xdr:nvSpPr>
        <xdr:spPr>
          <a:xfrm>
            <a:off x="0" y="0"/>
            <a:ext cx="6113145" cy="3850004"/>
          </a:xfrm>
          <a:custGeom>
            <a:avLst/>
            <a:gdLst/>
            <a:ahLst/>
            <a:cxnLst/>
            <a:rect l="0" t="0" r="0" b="0"/>
            <a:pathLst>
              <a:path w="6113145" h="3850004">
                <a:moveTo>
                  <a:pt x="6111240" y="3849624"/>
                </a:moveTo>
                <a:lnTo>
                  <a:pt x="3048" y="3849624"/>
                </a:lnTo>
                <a:lnTo>
                  <a:pt x="0" y="3846576"/>
                </a:lnTo>
                <a:lnTo>
                  <a:pt x="0" y="1524"/>
                </a:lnTo>
                <a:lnTo>
                  <a:pt x="3048" y="0"/>
                </a:lnTo>
                <a:lnTo>
                  <a:pt x="6111240" y="0"/>
                </a:lnTo>
                <a:lnTo>
                  <a:pt x="6112764" y="1524"/>
                </a:lnTo>
                <a:lnTo>
                  <a:pt x="6112764" y="4572"/>
                </a:lnTo>
                <a:lnTo>
                  <a:pt x="9144" y="4572"/>
                </a:lnTo>
                <a:lnTo>
                  <a:pt x="4572" y="9144"/>
                </a:lnTo>
                <a:lnTo>
                  <a:pt x="9144" y="9144"/>
                </a:lnTo>
                <a:lnTo>
                  <a:pt x="9144" y="3840480"/>
                </a:lnTo>
                <a:lnTo>
                  <a:pt x="4572" y="3840480"/>
                </a:lnTo>
                <a:lnTo>
                  <a:pt x="9144" y="3845052"/>
                </a:lnTo>
                <a:lnTo>
                  <a:pt x="6112764" y="3845052"/>
                </a:lnTo>
                <a:lnTo>
                  <a:pt x="6112764" y="3846576"/>
                </a:lnTo>
                <a:lnTo>
                  <a:pt x="6111240" y="3849624"/>
                </a:lnTo>
                <a:close/>
              </a:path>
              <a:path w="6113145" h="3850004">
                <a:moveTo>
                  <a:pt x="9144" y="9144"/>
                </a:moveTo>
                <a:lnTo>
                  <a:pt x="4572" y="9144"/>
                </a:lnTo>
                <a:lnTo>
                  <a:pt x="9144" y="4572"/>
                </a:lnTo>
                <a:lnTo>
                  <a:pt x="9144" y="9144"/>
                </a:lnTo>
                <a:close/>
              </a:path>
              <a:path w="6113145" h="3850004">
                <a:moveTo>
                  <a:pt x="6103620" y="9144"/>
                </a:moveTo>
                <a:lnTo>
                  <a:pt x="9144" y="9144"/>
                </a:lnTo>
                <a:lnTo>
                  <a:pt x="9144" y="4572"/>
                </a:lnTo>
                <a:lnTo>
                  <a:pt x="6103620" y="4572"/>
                </a:lnTo>
                <a:lnTo>
                  <a:pt x="6103620" y="9144"/>
                </a:lnTo>
                <a:close/>
              </a:path>
              <a:path w="6113145" h="3850004">
                <a:moveTo>
                  <a:pt x="6103620" y="3845052"/>
                </a:moveTo>
                <a:lnTo>
                  <a:pt x="6103620" y="4572"/>
                </a:lnTo>
                <a:lnTo>
                  <a:pt x="6108192" y="9144"/>
                </a:lnTo>
                <a:lnTo>
                  <a:pt x="6112764" y="9144"/>
                </a:lnTo>
                <a:lnTo>
                  <a:pt x="6112764" y="3840480"/>
                </a:lnTo>
                <a:lnTo>
                  <a:pt x="6108192" y="3840480"/>
                </a:lnTo>
                <a:lnTo>
                  <a:pt x="6103620" y="3845052"/>
                </a:lnTo>
                <a:close/>
              </a:path>
              <a:path w="6113145" h="3850004">
                <a:moveTo>
                  <a:pt x="6112764" y="9144"/>
                </a:moveTo>
                <a:lnTo>
                  <a:pt x="6108192" y="9144"/>
                </a:lnTo>
                <a:lnTo>
                  <a:pt x="6103620" y="4572"/>
                </a:lnTo>
                <a:lnTo>
                  <a:pt x="6112764" y="4572"/>
                </a:lnTo>
                <a:lnTo>
                  <a:pt x="6112764" y="9144"/>
                </a:lnTo>
                <a:close/>
              </a:path>
              <a:path w="6113145" h="3850004">
                <a:moveTo>
                  <a:pt x="9144" y="3845052"/>
                </a:moveTo>
                <a:lnTo>
                  <a:pt x="4572" y="3840480"/>
                </a:lnTo>
                <a:lnTo>
                  <a:pt x="9144" y="3840480"/>
                </a:lnTo>
                <a:lnTo>
                  <a:pt x="9144" y="3845052"/>
                </a:lnTo>
                <a:close/>
              </a:path>
              <a:path w="6113145" h="3850004">
                <a:moveTo>
                  <a:pt x="6103620" y="3845052"/>
                </a:moveTo>
                <a:lnTo>
                  <a:pt x="9144" y="3845052"/>
                </a:lnTo>
                <a:lnTo>
                  <a:pt x="9144" y="3840480"/>
                </a:lnTo>
                <a:lnTo>
                  <a:pt x="6103620" y="3840480"/>
                </a:lnTo>
                <a:lnTo>
                  <a:pt x="6103620" y="3845052"/>
                </a:lnTo>
                <a:close/>
              </a:path>
              <a:path w="6113145" h="3850004">
                <a:moveTo>
                  <a:pt x="6112764" y="3845052"/>
                </a:moveTo>
                <a:lnTo>
                  <a:pt x="6103620" y="3845052"/>
                </a:lnTo>
                <a:lnTo>
                  <a:pt x="6108192" y="3840480"/>
                </a:lnTo>
                <a:lnTo>
                  <a:pt x="6112764" y="3840480"/>
                </a:lnTo>
                <a:lnTo>
                  <a:pt x="6112764" y="3845052"/>
                </a:lnTo>
                <a:close/>
              </a:path>
            </a:pathLst>
          </a:custGeom>
          <a:solidFill>
            <a:srgbClr val="000000">
              <a:alpha val="50000"/>
            </a:srgbClr>
          </a:solidFill>
          <a:ln>
            <a:solidFill>
              <a:sysClr val="windowText" lastClr="000000"/>
            </a:solidFill>
          </a:ln>
        </xdr:spPr>
        <xdr:txBody>
          <a:bodyPr wrap="square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IN"/>
          </a:p>
        </xdr:txBody>
      </xdr:sp>
    </xdr:grpSp>
    <xdr:clientData/>
  </xdr:twoCellAnchor>
  <xdr:twoCellAnchor>
    <xdr:from>
      <xdr:col>8</xdr:col>
      <xdr:colOff>638175</xdr:colOff>
      <xdr:row>825</xdr:row>
      <xdr:rowOff>17318</xdr:rowOff>
    </xdr:from>
    <xdr:to>
      <xdr:col>20</xdr:col>
      <xdr:colOff>251841</xdr:colOff>
      <xdr:row>864</xdr:row>
      <xdr:rowOff>78935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7934325" y="163523468"/>
          <a:ext cx="6617716" cy="7738767"/>
          <a:chOff x="285750" y="166419068"/>
          <a:chExt cx="6289825" cy="7828822"/>
        </a:xfrm>
      </xdr:grpSpPr>
      <xdr:pic>
        <xdr:nvPicPr>
          <xdr:cNvPr id="22" name="Picture 21" descr="insp-210811-843.jpg (1239×930)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98463" y="166419068"/>
            <a:ext cx="3836903" cy="288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3" name="Picture 22" descr="insp-210811-845.jpg (959×1280)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91021" y="169433479"/>
            <a:ext cx="1888031" cy="252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4" name="Picture 23" descr="insp-210811-847.jpg (959×1280)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85750" y="172087890"/>
            <a:ext cx="1618312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5" name="Picture 24" descr="insp-210811-851.jpg (959×1280)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326385" y="166419068"/>
            <a:ext cx="2157750" cy="288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6" name="Picture 25" descr="insp-210811-861.jpg (959×1280)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477929" y="169433479"/>
            <a:ext cx="1888031" cy="252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7" name="Picture 26" descr="insp-210811-862.jpg (959×1280)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456885" y="169433479"/>
            <a:ext cx="1888031" cy="252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8" name="Picture 27" descr="insp-210811-860.jpg (959×1280)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991824" y="172087890"/>
            <a:ext cx="1618312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9" name="Picture 28" descr="insp-210811-871.jpg (1239×930)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697898" y="172087890"/>
            <a:ext cx="2877677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292100</xdr:colOff>
      <xdr:row>824</xdr:row>
      <xdr:rowOff>127000</xdr:rowOff>
    </xdr:from>
    <xdr:to>
      <xdr:col>7</xdr:col>
      <xdr:colOff>790025</xdr:colOff>
      <xdr:row>859</xdr:row>
      <xdr:rowOff>49089</xdr:rowOff>
    </xdr:to>
    <xdr:grpSp>
      <xdr:nvGrpSpPr>
        <xdr:cNvPr id="2" name="Group 1"/>
        <xdr:cNvGrpSpPr/>
      </xdr:nvGrpSpPr>
      <xdr:grpSpPr>
        <a:xfrm>
          <a:off x="292100" y="163436300"/>
          <a:ext cx="6695525" cy="6811839"/>
          <a:chOff x="292100" y="163436300"/>
          <a:chExt cx="6695525" cy="6811839"/>
        </a:xfrm>
      </xdr:grpSpPr>
      <xdr:pic>
        <xdr:nvPicPr>
          <xdr:cNvPr id="45" name="Picture 44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180373" y="168628139"/>
            <a:ext cx="1213734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6" name="Picture 45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92100" y="163436300"/>
            <a:ext cx="2158259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7" name="Picture 46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60733" y="163436300"/>
            <a:ext cx="2158259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8" name="Picture 47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829366" y="163436300"/>
            <a:ext cx="2158259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9" name="Picture 48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92100" y="165166913"/>
            <a:ext cx="2158259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0" name="Picture 49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60732" y="165166913"/>
            <a:ext cx="2158259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1" name="Picture 50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829364" y="165166913"/>
            <a:ext cx="2158259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2" name="Picture 51"/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02332" y="166897526"/>
            <a:ext cx="1213734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3" name="Picture 52"/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69090" y="166897526"/>
            <a:ext cx="2158259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4" name="Picture 53"/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180373" y="166897526"/>
            <a:ext cx="1213734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5" name="Picture 54"/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69089" y="168628139"/>
            <a:ext cx="2158259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6" name="Picture 55"/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547131" y="166897526"/>
            <a:ext cx="1213734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5PmyBnzGy5TKqNyD6" TargetMode="Externa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S868"/>
  <sheetViews>
    <sheetView tabSelected="1" view="pageBreakPreview" zoomScaleNormal="100" zoomScaleSheetLayoutView="100" zoomScalePageLayoutView="85" workbookViewId="0">
      <selection activeCell="E9" sqref="E9:H9"/>
    </sheetView>
  </sheetViews>
  <sheetFormatPr defaultColWidth="9.1796875" defaultRowHeight="15.5" x14ac:dyDescent="0.35"/>
  <cols>
    <col min="1" max="1" width="14" style="7" customWidth="1"/>
    <col min="2" max="2" width="13.7265625" style="7" customWidth="1"/>
    <col min="3" max="3" width="14" style="7" customWidth="1"/>
    <col min="4" max="4" width="14.1796875" style="7" customWidth="1"/>
    <col min="5" max="5" width="11.7265625" style="7" customWidth="1"/>
    <col min="6" max="7" width="10.54296875" style="7" customWidth="1"/>
    <col min="8" max="8" width="15.7265625" style="7" customWidth="1"/>
    <col min="9" max="9" width="17.453125" style="6" customWidth="1"/>
    <col min="10" max="10" width="11.453125" style="6" customWidth="1"/>
    <col min="11" max="11" width="12.26953125" style="6" bestFit="1" customWidth="1"/>
    <col min="12" max="12" width="10.54296875" style="6" customWidth="1"/>
    <col min="13" max="13" width="11.81640625" style="6" customWidth="1"/>
    <col min="14" max="14" width="12.54296875" style="6" hidden="1" customWidth="1"/>
    <col min="15" max="15" width="9.81640625" style="6" hidden="1" customWidth="1"/>
    <col min="16" max="16" width="10.453125" style="6" hidden="1" customWidth="1"/>
    <col min="17" max="247" width="9.1796875" style="6"/>
    <col min="248" max="248" width="8.7265625" style="6" customWidth="1"/>
    <col min="249" max="249" width="9.81640625" style="6" customWidth="1"/>
    <col min="250" max="250" width="14.453125" style="6" customWidth="1"/>
    <col min="251" max="251" width="7.26953125" style="6" customWidth="1"/>
    <col min="252" max="252" width="5.54296875" style="6" customWidth="1"/>
    <col min="253" max="253" width="9" style="6" customWidth="1"/>
    <col min="254" max="255" width="9.81640625" style="6" customWidth="1"/>
    <col min="256" max="256" width="11.1796875" style="6" customWidth="1"/>
    <col min="257" max="257" width="2.81640625" style="6" customWidth="1"/>
    <col min="258" max="258" width="3.54296875" style="6" customWidth="1"/>
    <col min="259" max="503" width="9.1796875" style="6"/>
    <col min="504" max="504" width="8.7265625" style="6" customWidth="1"/>
    <col min="505" max="505" width="9.81640625" style="6" customWidth="1"/>
    <col min="506" max="506" width="14.453125" style="6" customWidth="1"/>
    <col min="507" max="507" width="7.26953125" style="6" customWidth="1"/>
    <col min="508" max="508" width="5.54296875" style="6" customWidth="1"/>
    <col min="509" max="509" width="9" style="6" customWidth="1"/>
    <col min="510" max="511" width="9.81640625" style="6" customWidth="1"/>
    <col min="512" max="512" width="11.1796875" style="6" customWidth="1"/>
    <col min="513" max="513" width="2.81640625" style="6" customWidth="1"/>
    <col min="514" max="514" width="3.54296875" style="6" customWidth="1"/>
    <col min="515" max="759" width="9.1796875" style="6"/>
    <col min="760" max="760" width="8.7265625" style="6" customWidth="1"/>
    <col min="761" max="761" width="9.81640625" style="6" customWidth="1"/>
    <col min="762" max="762" width="14.453125" style="6" customWidth="1"/>
    <col min="763" max="763" width="7.26953125" style="6" customWidth="1"/>
    <col min="764" max="764" width="5.54296875" style="6" customWidth="1"/>
    <col min="765" max="765" width="9" style="6" customWidth="1"/>
    <col min="766" max="767" width="9.81640625" style="6" customWidth="1"/>
    <col min="768" max="768" width="11.1796875" style="6" customWidth="1"/>
    <col min="769" max="769" width="2.81640625" style="6" customWidth="1"/>
    <col min="770" max="770" width="3.54296875" style="6" customWidth="1"/>
    <col min="771" max="1015" width="9.1796875" style="6"/>
    <col min="1016" max="1016" width="8.7265625" style="6" customWidth="1"/>
    <col min="1017" max="1017" width="9.81640625" style="6" customWidth="1"/>
    <col min="1018" max="1018" width="14.453125" style="6" customWidth="1"/>
    <col min="1019" max="1019" width="7.26953125" style="6" customWidth="1"/>
    <col min="1020" max="1020" width="5.54296875" style="6" customWidth="1"/>
    <col min="1021" max="1021" width="9" style="6" customWidth="1"/>
    <col min="1022" max="1023" width="9.81640625" style="6" customWidth="1"/>
    <col min="1024" max="1024" width="11.1796875" style="6" customWidth="1"/>
    <col min="1025" max="1025" width="2.81640625" style="6" customWidth="1"/>
    <col min="1026" max="1026" width="3.54296875" style="6" customWidth="1"/>
    <col min="1027" max="1271" width="9.1796875" style="6"/>
    <col min="1272" max="1272" width="8.7265625" style="6" customWidth="1"/>
    <col min="1273" max="1273" width="9.81640625" style="6" customWidth="1"/>
    <col min="1274" max="1274" width="14.453125" style="6" customWidth="1"/>
    <col min="1275" max="1275" width="7.26953125" style="6" customWidth="1"/>
    <col min="1276" max="1276" width="5.54296875" style="6" customWidth="1"/>
    <col min="1277" max="1277" width="9" style="6" customWidth="1"/>
    <col min="1278" max="1279" width="9.81640625" style="6" customWidth="1"/>
    <col min="1280" max="1280" width="11.1796875" style="6" customWidth="1"/>
    <col min="1281" max="1281" width="2.81640625" style="6" customWidth="1"/>
    <col min="1282" max="1282" width="3.54296875" style="6" customWidth="1"/>
    <col min="1283" max="1527" width="9.1796875" style="6"/>
    <col min="1528" max="1528" width="8.7265625" style="6" customWidth="1"/>
    <col min="1529" max="1529" width="9.81640625" style="6" customWidth="1"/>
    <col min="1530" max="1530" width="14.453125" style="6" customWidth="1"/>
    <col min="1531" max="1531" width="7.26953125" style="6" customWidth="1"/>
    <col min="1532" max="1532" width="5.54296875" style="6" customWidth="1"/>
    <col min="1533" max="1533" width="9" style="6" customWidth="1"/>
    <col min="1534" max="1535" width="9.81640625" style="6" customWidth="1"/>
    <col min="1536" max="1536" width="11.1796875" style="6" customWidth="1"/>
    <col min="1537" max="1537" width="2.81640625" style="6" customWidth="1"/>
    <col min="1538" max="1538" width="3.54296875" style="6" customWidth="1"/>
    <col min="1539" max="1783" width="9.1796875" style="6"/>
    <col min="1784" max="1784" width="8.7265625" style="6" customWidth="1"/>
    <col min="1785" max="1785" width="9.81640625" style="6" customWidth="1"/>
    <col min="1786" max="1786" width="14.453125" style="6" customWidth="1"/>
    <col min="1787" max="1787" width="7.26953125" style="6" customWidth="1"/>
    <col min="1788" max="1788" width="5.54296875" style="6" customWidth="1"/>
    <col min="1789" max="1789" width="9" style="6" customWidth="1"/>
    <col min="1790" max="1791" width="9.81640625" style="6" customWidth="1"/>
    <col min="1792" max="1792" width="11.1796875" style="6" customWidth="1"/>
    <col min="1793" max="1793" width="2.81640625" style="6" customWidth="1"/>
    <col min="1794" max="1794" width="3.54296875" style="6" customWidth="1"/>
    <col min="1795" max="2039" width="9.1796875" style="6"/>
    <col min="2040" max="2040" width="8.7265625" style="6" customWidth="1"/>
    <col min="2041" max="2041" width="9.81640625" style="6" customWidth="1"/>
    <col min="2042" max="2042" width="14.453125" style="6" customWidth="1"/>
    <col min="2043" max="2043" width="7.26953125" style="6" customWidth="1"/>
    <col min="2044" max="2044" width="5.54296875" style="6" customWidth="1"/>
    <col min="2045" max="2045" width="9" style="6" customWidth="1"/>
    <col min="2046" max="2047" width="9.81640625" style="6" customWidth="1"/>
    <col min="2048" max="2048" width="11.1796875" style="6" customWidth="1"/>
    <col min="2049" max="2049" width="2.81640625" style="6" customWidth="1"/>
    <col min="2050" max="2050" width="3.54296875" style="6" customWidth="1"/>
    <col min="2051" max="2295" width="9.1796875" style="6"/>
    <col min="2296" max="2296" width="8.7265625" style="6" customWidth="1"/>
    <col min="2297" max="2297" width="9.81640625" style="6" customWidth="1"/>
    <col min="2298" max="2298" width="14.453125" style="6" customWidth="1"/>
    <col min="2299" max="2299" width="7.26953125" style="6" customWidth="1"/>
    <col min="2300" max="2300" width="5.54296875" style="6" customWidth="1"/>
    <col min="2301" max="2301" width="9" style="6" customWidth="1"/>
    <col min="2302" max="2303" width="9.81640625" style="6" customWidth="1"/>
    <col min="2304" max="2304" width="11.1796875" style="6" customWidth="1"/>
    <col min="2305" max="2305" width="2.81640625" style="6" customWidth="1"/>
    <col min="2306" max="2306" width="3.54296875" style="6" customWidth="1"/>
    <col min="2307" max="2551" width="9.1796875" style="6"/>
    <col min="2552" max="2552" width="8.7265625" style="6" customWidth="1"/>
    <col min="2553" max="2553" width="9.81640625" style="6" customWidth="1"/>
    <col min="2554" max="2554" width="14.453125" style="6" customWidth="1"/>
    <col min="2555" max="2555" width="7.26953125" style="6" customWidth="1"/>
    <col min="2556" max="2556" width="5.54296875" style="6" customWidth="1"/>
    <col min="2557" max="2557" width="9" style="6" customWidth="1"/>
    <col min="2558" max="2559" width="9.81640625" style="6" customWidth="1"/>
    <col min="2560" max="2560" width="11.1796875" style="6" customWidth="1"/>
    <col min="2561" max="2561" width="2.81640625" style="6" customWidth="1"/>
    <col min="2562" max="2562" width="3.54296875" style="6" customWidth="1"/>
    <col min="2563" max="2807" width="9.1796875" style="6"/>
    <col min="2808" max="2808" width="8.7265625" style="6" customWidth="1"/>
    <col min="2809" max="2809" width="9.81640625" style="6" customWidth="1"/>
    <col min="2810" max="2810" width="14.453125" style="6" customWidth="1"/>
    <col min="2811" max="2811" width="7.26953125" style="6" customWidth="1"/>
    <col min="2812" max="2812" width="5.54296875" style="6" customWidth="1"/>
    <col min="2813" max="2813" width="9" style="6" customWidth="1"/>
    <col min="2814" max="2815" width="9.81640625" style="6" customWidth="1"/>
    <col min="2816" max="2816" width="11.1796875" style="6" customWidth="1"/>
    <col min="2817" max="2817" width="2.81640625" style="6" customWidth="1"/>
    <col min="2818" max="2818" width="3.54296875" style="6" customWidth="1"/>
    <col min="2819" max="3063" width="9.1796875" style="6"/>
    <col min="3064" max="3064" width="8.7265625" style="6" customWidth="1"/>
    <col min="3065" max="3065" width="9.81640625" style="6" customWidth="1"/>
    <col min="3066" max="3066" width="14.453125" style="6" customWidth="1"/>
    <col min="3067" max="3067" width="7.26953125" style="6" customWidth="1"/>
    <col min="3068" max="3068" width="5.54296875" style="6" customWidth="1"/>
    <col min="3069" max="3069" width="9" style="6" customWidth="1"/>
    <col min="3070" max="3071" width="9.81640625" style="6" customWidth="1"/>
    <col min="3072" max="3072" width="11.1796875" style="6" customWidth="1"/>
    <col min="3073" max="3073" width="2.81640625" style="6" customWidth="1"/>
    <col min="3074" max="3074" width="3.54296875" style="6" customWidth="1"/>
    <col min="3075" max="3319" width="9.1796875" style="6"/>
    <col min="3320" max="3320" width="8.7265625" style="6" customWidth="1"/>
    <col min="3321" max="3321" width="9.81640625" style="6" customWidth="1"/>
    <col min="3322" max="3322" width="14.453125" style="6" customWidth="1"/>
    <col min="3323" max="3323" width="7.26953125" style="6" customWidth="1"/>
    <col min="3324" max="3324" width="5.54296875" style="6" customWidth="1"/>
    <col min="3325" max="3325" width="9" style="6" customWidth="1"/>
    <col min="3326" max="3327" width="9.81640625" style="6" customWidth="1"/>
    <col min="3328" max="3328" width="11.1796875" style="6" customWidth="1"/>
    <col min="3329" max="3329" width="2.81640625" style="6" customWidth="1"/>
    <col min="3330" max="3330" width="3.54296875" style="6" customWidth="1"/>
    <col min="3331" max="3575" width="9.1796875" style="6"/>
    <col min="3576" max="3576" width="8.7265625" style="6" customWidth="1"/>
    <col min="3577" max="3577" width="9.81640625" style="6" customWidth="1"/>
    <col min="3578" max="3578" width="14.453125" style="6" customWidth="1"/>
    <col min="3579" max="3579" width="7.26953125" style="6" customWidth="1"/>
    <col min="3580" max="3580" width="5.54296875" style="6" customWidth="1"/>
    <col min="3581" max="3581" width="9" style="6" customWidth="1"/>
    <col min="3582" max="3583" width="9.81640625" style="6" customWidth="1"/>
    <col min="3584" max="3584" width="11.1796875" style="6" customWidth="1"/>
    <col min="3585" max="3585" width="2.81640625" style="6" customWidth="1"/>
    <col min="3586" max="3586" width="3.54296875" style="6" customWidth="1"/>
    <col min="3587" max="3831" width="9.1796875" style="6"/>
    <col min="3832" max="3832" width="8.7265625" style="6" customWidth="1"/>
    <col min="3833" max="3833" width="9.81640625" style="6" customWidth="1"/>
    <col min="3834" max="3834" width="14.453125" style="6" customWidth="1"/>
    <col min="3835" max="3835" width="7.26953125" style="6" customWidth="1"/>
    <col min="3836" max="3836" width="5.54296875" style="6" customWidth="1"/>
    <col min="3837" max="3837" width="9" style="6" customWidth="1"/>
    <col min="3838" max="3839" width="9.81640625" style="6" customWidth="1"/>
    <col min="3840" max="3840" width="11.1796875" style="6" customWidth="1"/>
    <col min="3841" max="3841" width="2.81640625" style="6" customWidth="1"/>
    <col min="3842" max="3842" width="3.54296875" style="6" customWidth="1"/>
    <col min="3843" max="4087" width="9.1796875" style="6"/>
    <col min="4088" max="4088" width="8.7265625" style="6" customWidth="1"/>
    <col min="4089" max="4089" width="9.81640625" style="6" customWidth="1"/>
    <col min="4090" max="4090" width="14.453125" style="6" customWidth="1"/>
    <col min="4091" max="4091" width="7.26953125" style="6" customWidth="1"/>
    <col min="4092" max="4092" width="5.54296875" style="6" customWidth="1"/>
    <col min="4093" max="4093" width="9" style="6" customWidth="1"/>
    <col min="4094" max="4095" width="9.81640625" style="6" customWidth="1"/>
    <col min="4096" max="4096" width="11.1796875" style="6" customWidth="1"/>
    <col min="4097" max="4097" width="2.81640625" style="6" customWidth="1"/>
    <col min="4098" max="4098" width="3.54296875" style="6" customWidth="1"/>
    <col min="4099" max="4343" width="9.1796875" style="6"/>
    <col min="4344" max="4344" width="8.7265625" style="6" customWidth="1"/>
    <col min="4345" max="4345" width="9.81640625" style="6" customWidth="1"/>
    <col min="4346" max="4346" width="14.453125" style="6" customWidth="1"/>
    <col min="4347" max="4347" width="7.26953125" style="6" customWidth="1"/>
    <col min="4348" max="4348" width="5.54296875" style="6" customWidth="1"/>
    <col min="4349" max="4349" width="9" style="6" customWidth="1"/>
    <col min="4350" max="4351" width="9.81640625" style="6" customWidth="1"/>
    <col min="4352" max="4352" width="11.1796875" style="6" customWidth="1"/>
    <col min="4353" max="4353" width="2.81640625" style="6" customWidth="1"/>
    <col min="4354" max="4354" width="3.54296875" style="6" customWidth="1"/>
    <col min="4355" max="4599" width="9.1796875" style="6"/>
    <col min="4600" max="4600" width="8.7265625" style="6" customWidth="1"/>
    <col min="4601" max="4601" width="9.81640625" style="6" customWidth="1"/>
    <col min="4602" max="4602" width="14.453125" style="6" customWidth="1"/>
    <col min="4603" max="4603" width="7.26953125" style="6" customWidth="1"/>
    <col min="4604" max="4604" width="5.54296875" style="6" customWidth="1"/>
    <col min="4605" max="4605" width="9" style="6" customWidth="1"/>
    <col min="4606" max="4607" width="9.81640625" style="6" customWidth="1"/>
    <col min="4608" max="4608" width="11.1796875" style="6" customWidth="1"/>
    <col min="4609" max="4609" width="2.81640625" style="6" customWidth="1"/>
    <col min="4610" max="4610" width="3.54296875" style="6" customWidth="1"/>
    <col min="4611" max="4855" width="9.1796875" style="6"/>
    <col min="4856" max="4856" width="8.7265625" style="6" customWidth="1"/>
    <col min="4857" max="4857" width="9.81640625" style="6" customWidth="1"/>
    <col min="4858" max="4858" width="14.453125" style="6" customWidth="1"/>
    <col min="4859" max="4859" width="7.26953125" style="6" customWidth="1"/>
    <col min="4860" max="4860" width="5.54296875" style="6" customWidth="1"/>
    <col min="4861" max="4861" width="9" style="6" customWidth="1"/>
    <col min="4862" max="4863" width="9.81640625" style="6" customWidth="1"/>
    <col min="4864" max="4864" width="11.1796875" style="6" customWidth="1"/>
    <col min="4865" max="4865" width="2.81640625" style="6" customWidth="1"/>
    <col min="4866" max="4866" width="3.54296875" style="6" customWidth="1"/>
    <col min="4867" max="5111" width="9.1796875" style="6"/>
    <col min="5112" max="5112" width="8.7265625" style="6" customWidth="1"/>
    <col min="5113" max="5113" width="9.81640625" style="6" customWidth="1"/>
    <col min="5114" max="5114" width="14.453125" style="6" customWidth="1"/>
    <col min="5115" max="5115" width="7.26953125" style="6" customWidth="1"/>
    <col min="5116" max="5116" width="5.54296875" style="6" customWidth="1"/>
    <col min="5117" max="5117" width="9" style="6" customWidth="1"/>
    <col min="5118" max="5119" width="9.81640625" style="6" customWidth="1"/>
    <col min="5120" max="5120" width="11.1796875" style="6" customWidth="1"/>
    <col min="5121" max="5121" width="2.81640625" style="6" customWidth="1"/>
    <col min="5122" max="5122" width="3.54296875" style="6" customWidth="1"/>
    <col min="5123" max="5367" width="9.1796875" style="6"/>
    <col min="5368" max="5368" width="8.7265625" style="6" customWidth="1"/>
    <col min="5369" max="5369" width="9.81640625" style="6" customWidth="1"/>
    <col min="5370" max="5370" width="14.453125" style="6" customWidth="1"/>
    <col min="5371" max="5371" width="7.26953125" style="6" customWidth="1"/>
    <col min="5372" max="5372" width="5.54296875" style="6" customWidth="1"/>
    <col min="5373" max="5373" width="9" style="6" customWidth="1"/>
    <col min="5374" max="5375" width="9.81640625" style="6" customWidth="1"/>
    <col min="5376" max="5376" width="11.1796875" style="6" customWidth="1"/>
    <col min="5377" max="5377" width="2.81640625" style="6" customWidth="1"/>
    <col min="5378" max="5378" width="3.54296875" style="6" customWidth="1"/>
    <col min="5379" max="5623" width="9.1796875" style="6"/>
    <col min="5624" max="5624" width="8.7265625" style="6" customWidth="1"/>
    <col min="5625" max="5625" width="9.81640625" style="6" customWidth="1"/>
    <col min="5626" max="5626" width="14.453125" style="6" customWidth="1"/>
    <col min="5627" max="5627" width="7.26953125" style="6" customWidth="1"/>
    <col min="5628" max="5628" width="5.54296875" style="6" customWidth="1"/>
    <col min="5629" max="5629" width="9" style="6" customWidth="1"/>
    <col min="5630" max="5631" width="9.81640625" style="6" customWidth="1"/>
    <col min="5632" max="5632" width="11.1796875" style="6" customWidth="1"/>
    <col min="5633" max="5633" width="2.81640625" style="6" customWidth="1"/>
    <col min="5634" max="5634" width="3.54296875" style="6" customWidth="1"/>
    <col min="5635" max="5879" width="9.1796875" style="6"/>
    <col min="5880" max="5880" width="8.7265625" style="6" customWidth="1"/>
    <col min="5881" max="5881" width="9.81640625" style="6" customWidth="1"/>
    <col min="5882" max="5882" width="14.453125" style="6" customWidth="1"/>
    <col min="5883" max="5883" width="7.26953125" style="6" customWidth="1"/>
    <col min="5884" max="5884" width="5.54296875" style="6" customWidth="1"/>
    <col min="5885" max="5885" width="9" style="6" customWidth="1"/>
    <col min="5886" max="5887" width="9.81640625" style="6" customWidth="1"/>
    <col min="5888" max="5888" width="11.1796875" style="6" customWidth="1"/>
    <col min="5889" max="5889" width="2.81640625" style="6" customWidth="1"/>
    <col min="5890" max="5890" width="3.54296875" style="6" customWidth="1"/>
    <col min="5891" max="6135" width="9.1796875" style="6"/>
    <col min="6136" max="6136" width="8.7265625" style="6" customWidth="1"/>
    <col min="6137" max="6137" width="9.81640625" style="6" customWidth="1"/>
    <col min="6138" max="6138" width="14.453125" style="6" customWidth="1"/>
    <col min="6139" max="6139" width="7.26953125" style="6" customWidth="1"/>
    <col min="6140" max="6140" width="5.54296875" style="6" customWidth="1"/>
    <col min="6141" max="6141" width="9" style="6" customWidth="1"/>
    <col min="6142" max="6143" width="9.81640625" style="6" customWidth="1"/>
    <col min="6144" max="6144" width="11.1796875" style="6" customWidth="1"/>
    <col min="6145" max="6145" width="2.81640625" style="6" customWidth="1"/>
    <col min="6146" max="6146" width="3.54296875" style="6" customWidth="1"/>
    <col min="6147" max="6391" width="9.1796875" style="6"/>
    <col min="6392" max="6392" width="8.7265625" style="6" customWidth="1"/>
    <col min="6393" max="6393" width="9.81640625" style="6" customWidth="1"/>
    <col min="6394" max="6394" width="14.453125" style="6" customWidth="1"/>
    <col min="6395" max="6395" width="7.26953125" style="6" customWidth="1"/>
    <col min="6396" max="6396" width="5.54296875" style="6" customWidth="1"/>
    <col min="6397" max="6397" width="9" style="6" customWidth="1"/>
    <col min="6398" max="6399" width="9.81640625" style="6" customWidth="1"/>
    <col min="6400" max="6400" width="11.1796875" style="6" customWidth="1"/>
    <col min="6401" max="6401" width="2.81640625" style="6" customWidth="1"/>
    <col min="6402" max="6402" width="3.54296875" style="6" customWidth="1"/>
    <col min="6403" max="6647" width="9.1796875" style="6"/>
    <col min="6648" max="6648" width="8.7265625" style="6" customWidth="1"/>
    <col min="6649" max="6649" width="9.81640625" style="6" customWidth="1"/>
    <col min="6650" max="6650" width="14.453125" style="6" customWidth="1"/>
    <col min="6651" max="6651" width="7.26953125" style="6" customWidth="1"/>
    <col min="6652" max="6652" width="5.54296875" style="6" customWidth="1"/>
    <col min="6653" max="6653" width="9" style="6" customWidth="1"/>
    <col min="6654" max="6655" width="9.81640625" style="6" customWidth="1"/>
    <col min="6656" max="6656" width="11.1796875" style="6" customWidth="1"/>
    <col min="6657" max="6657" width="2.81640625" style="6" customWidth="1"/>
    <col min="6658" max="6658" width="3.54296875" style="6" customWidth="1"/>
    <col min="6659" max="6903" width="9.1796875" style="6"/>
    <col min="6904" max="6904" width="8.7265625" style="6" customWidth="1"/>
    <col min="6905" max="6905" width="9.81640625" style="6" customWidth="1"/>
    <col min="6906" max="6906" width="14.453125" style="6" customWidth="1"/>
    <col min="6907" max="6907" width="7.26953125" style="6" customWidth="1"/>
    <col min="6908" max="6908" width="5.54296875" style="6" customWidth="1"/>
    <col min="6909" max="6909" width="9" style="6" customWidth="1"/>
    <col min="6910" max="6911" width="9.81640625" style="6" customWidth="1"/>
    <col min="6912" max="6912" width="11.1796875" style="6" customWidth="1"/>
    <col min="6913" max="6913" width="2.81640625" style="6" customWidth="1"/>
    <col min="6914" max="6914" width="3.54296875" style="6" customWidth="1"/>
    <col min="6915" max="7159" width="9.1796875" style="6"/>
    <col min="7160" max="7160" width="8.7265625" style="6" customWidth="1"/>
    <col min="7161" max="7161" width="9.81640625" style="6" customWidth="1"/>
    <col min="7162" max="7162" width="14.453125" style="6" customWidth="1"/>
    <col min="7163" max="7163" width="7.26953125" style="6" customWidth="1"/>
    <col min="7164" max="7164" width="5.54296875" style="6" customWidth="1"/>
    <col min="7165" max="7165" width="9" style="6" customWidth="1"/>
    <col min="7166" max="7167" width="9.81640625" style="6" customWidth="1"/>
    <col min="7168" max="7168" width="11.1796875" style="6" customWidth="1"/>
    <col min="7169" max="7169" width="2.81640625" style="6" customWidth="1"/>
    <col min="7170" max="7170" width="3.54296875" style="6" customWidth="1"/>
    <col min="7171" max="7415" width="9.1796875" style="6"/>
    <col min="7416" max="7416" width="8.7265625" style="6" customWidth="1"/>
    <col min="7417" max="7417" width="9.81640625" style="6" customWidth="1"/>
    <col min="7418" max="7418" width="14.453125" style="6" customWidth="1"/>
    <col min="7419" max="7419" width="7.26953125" style="6" customWidth="1"/>
    <col min="7420" max="7420" width="5.54296875" style="6" customWidth="1"/>
    <col min="7421" max="7421" width="9" style="6" customWidth="1"/>
    <col min="7422" max="7423" width="9.81640625" style="6" customWidth="1"/>
    <col min="7424" max="7424" width="11.1796875" style="6" customWidth="1"/>
    <col min="7425" max="7425" width="2.81640625" style="6" customWidth="1"/>
    <col min="7426" max="7426" width="3.54296875" style="6" customWidth="1"/>
    <col min="7427" max="7671" width="9.1796875" style="6"/>
    <col min="7672" max="7672" width="8.7265625" style="6" customWidth="1"/>
    <col min="7673" max="7673" width="9.81640625" style="6" customWidth="1"/>
    <col min="7674" max="7674" width="14.453125" style="6" customWidth="1"/>
    <col min="7675" max="7675" width="7.26953125" style="6" customWidth="1"/>
    <col min="7676" max="7676" width="5.54296875" style="6" customWidth="1"/>
    <col min="7677" max="7677" width="9" style="6" customWidth="1"/>
    <col min="7678" max="7679" width="9.81640625" style="6" customWidth="1"/>
    <col min="7680" max="7680" width="11.1796875" style="6" customWidth="1"/>
    <col min="7681" max="7681" width="2.81640625" style="6" customWidth="1"/>
    <col min="7682" max="7682" width="3.54296875" style="6" customWidth="1"/>
    <col min="7683" max="7927" width="9.1796875" style="6"/>
    <col min="7928" max="7928" width="8.7265625" style="6" customWidth="1"/>
    <col min="7929" max="7929" width="9.81640625" style="6" customWidth="1"/>
    <col min="7930" max="7930" width="14.453125" style="6" customWidth="1"/>
    <col min="7931" max="7931" width="7.26953125" style="6" customWidth="1"/>
    <col min="7932" max="7932" width="5.54296875" style="6" customWidth="1"/>
    <col min="7933" max="7933" width="9" style="6" customWidth="1"/>
    <col min="7934" max="7935" width="9.81640625" style="6" customWidth="1"/>
    <col min="7936" max="7936" width="11.1796875" style="6" customWidth="1"/>
    <col min="7937" max="7937" width="2.81640625" style="6" customWidth="1"/>
    <col min="7938" max="7938" width="3.54296875" style="6" customWidth="1"/>
    <col min="7939" max="8183" width="9.1796875" style="6"/>
    <col min="8184" max="8184" width="8.7265625" style="6" customWidth="1"/>
    <col min="8185" max="8185" width="9.81640625" style="6" customWidth="1"/>
    <col min="8186" max="8186" width="14.453125" style="6" customWidth="1"/>
    <col min="8187" max="8187" width="7.26953125" style="6" customWidth="1"/>
    <col min="8188" max="8188" width="5.54296875" style="6" customWidth="1"/>
    <col min="8189" max="8189" width="9" style="6" customWidth="1"/>
    <col min="8190" max="8191" width="9.81640625" style="6" customWidth="1"/>
    <col min="8192" max="8192" width="11.1796875" style="6" customWidth="1"/>
    <col min="8193" max="8193" width="2.81640625" style="6" customWidth="1"/>
    <col min="8194" max="8194" width="3.54296875" style="6" customWidth="1"/>
    <col min="8195" max="8439" width="9.1796875" style="6"/>
    <col min="8440" max="8440" width="8.7265625" style="6" customWidth="1"/>
    <col min="8441" max="8441" width="9.81640625" style="6" customWidth="1"/>
    <col min="8442" max="8442" width="14.453125" style="6" customWidth="1"/>
    <col min="8443" max="8443" width="7.26953125" style="6" customWidth="1"/>
    <col min="8444" max="8444" width="5.54296875" style="6" customWidth="1"/>
    <col min="8445" max="8445" width="9" style="6" customWidth="1"/>
    <col min="8446" max="8447" width="9.81640625" style="6" customWidth="1"/>
    <col min="8448" max="8448" width="11.1796875" style="6" customWidth="1"/>
    <col min="8449" max="8449" width="2.81640625" style="6" customWidth="1"/>
    <col min="8450" max="8450" width="3.54296875" style="6" customWidth="1"/>
    <col min="8451" max="8695" width="9.1796875" style="6"/>
    <col min="8696" max="8696" width="8.7265625" style="6" customWidth="1"/>
    <col min="8697" max="8697" width="9.81640625" style="6" customWidth="1"/>
    <col min="8698" max="8698" width="14.453125" style="6" customWidth="1"/>
    <col min="8699" max="8699" width="7.26953125" style="6" customWidth="1"/>
    <col min="8700" max="8700" width="5.54296875" style="6" customWidth="1"/>
    <col min="8701" max="8701" width="9" style="6" customWidth="1"/>
    <col min="8702" max="8703" width="9.81640625" style="6" customWidth="1"/>
    <col min="8704" max="8704" width="11.1796875" style="6" customWidth="1"/>
    <col min="8705" max="8705" width="2.81640625" style="6" customWidth="1"/>
    <col min="8706" max="8706" width="3.54296875" style="6" customWidth="1"/>
    <col min="8707" max="8951" width="9.1796875" style="6"/>
    <col min="8952" max="8952" width="8.7265625" style="6" customWidth="1"/>
    <col min="8953" max="8953" width="9.81640625" style="6" customWidth="1"/>
    <col min="8954" max="8954" width="14.453125" style="6" customWidth="1"/>
    <col min="8955" max="8955" width="7.26953125" style="6" customWidth="1"/>
    <col min="8956" max="8956" width="5.54296875" style="6" customWidth="1"/>
    <col min="8957" max="8957" width="9" style="6" customWidth="1"/>
    <col min="8958" max="8959" width="9.81640625" style="6" customWidth="1"/>
    <col min="8960" max="8960" width="11.1796875" style="6" customWidth="1"/>
    <col min="8961" max="8961" width="2.81640625" style="6" customWidth="1"/>
    <col min="8962" max="8962" width="3.54296875" style="6" customWidth="1"/>
    <col min="8963" max="9207" width="9.1796875" style="6"/>
    <col min="9208" max="9208" width="8.7265625" style="6" customWidth="1"/>
    <col min="9209" max="9209" width="9.81640625" style="6" customWidth="1"/>
    <col min="9210" max="9210" width="14.453125" style="6" customWidth="1"/>
    <col min="9211" max="9211" width="7.26953125" style="6" customWidth="1"/>
    <col min="9212" max="9212" width="5.54296875" style="6" customWidth="1"/>
    <col min="9213" max="9213" width="9" style="6" customWidth="1"/>
    <col min="9214" max="9215" width="9.81640625" style="6" customWidth="1"/>
    <col min="9216" max="9216" width="11.1796875" style="6" customWidth="1"/>
    <col min="9217" max="9217" width="2.81640625" style="6" customWidth="1"/>
    <col min="9218" max="9218" width="3.54296875" style="6" customWidth="1"/>
    <col min="9219" max="9463" width="9.1796875" style="6"/>
    <col min="9464" max="9464" width="8.7265625" style="6" customWidth="1"/>
    <col min="9465" max="9465" width="9.81640625" style="6" customWidth="1"/>
    <col min="9466" max="9466" width="14.453125" style="6" customWidth="1"/>
    <col min="9467" max="9467" width="7.26953125" style="6" customWidth="1"/>
    <col min="9468" max="9468" width="5.54296875" style="6" customWidth="1"/>
    <col min="9469" max="9469" width="9" style="6" customWidth="1"/>
    <col min="9470" max="9471" width="9.81640625" style="6" customWidth="1"/>
    <col min="9472" max="9472" width="11.1796875" style="6" customWidth="1"/>
    <col min="9473" max="9473" width="2.81640625" style="6" customWidth="1"/>
    <col min="9474" max="9474" width="3.54296875" style="6" customWidth="1"/>
    <col min="9475" max="9719" width="9.1796875" style="6"/>
    <col min="9720" max="9720" width="8.7265625" style="6" customWidth="1"/>
    <col min="9721" max="9721" width="9.81640625" style="6" customWidth="1"/>
    <col min="9722" max="9722" width="14.453125" style="6" customWidth="1"/>
    <col min="9723" max="9723" width="7.26953125" style="6" customWidth="1"/>
    <col min="9724" max="9724" width="5.54296875" style="6" customWidth="1"/>
    <col min="9725" max="9725" width="9" style="6" customWidth="1"/>
    <col min="9726" max="9727" width="9.81640625" style="6" customWidth="1"/>
    <col min="9728" max="9728" width="11.1796875" style="6" customWidth="1"/>
    <col min="9729" max="9729" width="2.81640625" style="6" customWidth="1"/>
    <col min="9730" max="9730" width="3.54296875" style="6" customWidth="1"/>
    <col min="9731" max="9975" width="9.1796875" style="6"/>
    <col min="9976" max="9976" width="8.7265625" style="6" customWidth="1"/>
    <col min="9977" max="9977" width="9.81640625" style="6" customWidth="1"/>
    <col min="9978" max="9978" width="14.453125" style="6" customWidth="1"/>
    <col min="9979" max="9979" width="7.26953125" style="6" customWidth="1"/>
    <col min="9980" max="9980" width="5.54296875" style="6" customWidth="1"/>
    <col min="9981" max="9981" width="9" style="6" customWidth="1"/>
    <col min="9982" max="9983" width="9.81640625" style="6" customWidth="1"/>
    <col min="9984" max="9984" width="11.1796875" style="6" customWidth="1"/>
    <col min="9985" max="9985" width="2.81640625" style="6" customWidth="1"/>
    <col min="9986" max="9986" width="3.54296875" style="6" customWidth="1"/>
    <col min="9987" max="10231" width="9.1796875" style="6"/>
    <col min="10232" max="10232" width="8.7265625" style="6" customWidth="1"/>
    <col min="10233" max="10233" width="9.81640625" style="6" customWidth="1"/>
    <col min="10234" max="10234" width="14.453125" style="6" customWidth="1"/>
    <col min="10235" max="10235" width="7.26953125" style="6" customWidth="1"/>
    <col min="10236" max="10236" width="5.54296875" style="6" customWidth="1"/>
    <col min="10237" max="10237" width="9" style="6" customWidth="1"/>
    <col min="10238" max="10239" width="9.81640625" style="6" customWidth="1"/>
    <col min="10240" max="10240" width="11.1796875" style="6" customWidth="1"/>
    <col min="10241" max="10241" width="2.81640625" style="6" customWidth="1"/>
    <col min="10242" max="10242" width="3.54296875" style="6" customWidth="1"/>
    <col min="10243" max="10487" width="9.1796875" style="6"/>
    <col min="10488" max="10488" width="8.7265625" style="6" customWidth="1"/>
    <col min="10489" max="10489" width="9.81640625" style="6" customWidth="1"/>
    <col min="10490" max="10490" width="14.453125" style="6" customWidth="1"/>
    <col min="10491" max="10491" width="7.26953125" style="6" customWidth="1"/>
    <col min="10492" max="10492" width="5.54296875" style="6" customWidth="1"/>
    <col min="10493" max="10493" width="9" style="6" customWidth="1"/>
    <col min="10494" max="10495" width="9.81640625" style="6" customWidth="1"/>
    <col min="10496" max="10496" width="11.1796875" style="6" customWidth="1"/>
    <col min="10497" max="10497" width="2.81640625" style="6" customWidth="1"/>
    <col min="10498" max="10498" width="3.54296875" style="6" customWidth="1"/>
    <col min="10499" max="10743" width="9.1796875" style="6"/>
    <col min="10744" max="10744" width="8.7265625" style="6" customWidth="1"/>
    <col min="10745" max="10745" width="9.81640625" style="6" customWidth="1"/>
    <col min="10746" max="10746" width="14.453125" style="6" customWidth="1"/>
    <col min="10747" max="10747" width="7.26953125" style="6" customWidth="1"/>
    <col min="10748" max="10748" width="5.54296875" style="6" customWidth="1"/>
    <col min="10749" max="10749" width="9" style="6" customWidth="1"/>
    <col min="10750" max="10751" width="9.81640625" style="6" customWidth="1"/>
    <col min="10752" max="10752" width="11.1796875" style="6" customWidth="1"/>
    <col min="10753" max="10753" width="2.81640625" style="6" customWidth="1"/>
    <col min="10754" max="10754" width="3.54296875" style="6" customWidth="1"/>
    <col min="10755" max="10999" width="9.1796875" style="6"/>
    <col min="11000" max="11000" width="8.7265625" style="6" customWidth="1"/>
    <col min="11001" max="11001" width="9.81640625" style="6" customWidth="1"/>
    <col min="11002" max="11002" width="14.453125" style="6" customWidth="1"/>
    <col min="11003" max="11003" width="7.26953125" style="6" customWidth="1"/>
    <col min="11004" max="11004" width="5.54296875" style="6" customWidth="1"/>
    <col min="11005" max="11005" width="9" style="6" customWidth="1"/>
    <col min="11006" max="11007" width="9.81640625" style="6" customWidth="1"/>
    <col min="11008" max="11008" width="11.1796875" style="6" customWidth="1"/>
    <col min="11009" max="11009" width="2.81640625" style="6" customWidth="1"/>
    <col min="11010" max="11010" width="3.54296875" style="6" customWidth="1"/>
    <col min="11011" max="11255" width="9.1796875" style="6"/>
    <col min="11256" max="11256" width="8.7265625" style="6" customWidth="1"/>
    <col min="11257" max="11257" width="9.81640625" style="6" customWidth="1"/>
    <col min="11258" max="11258" width="14.453125" style="6" customWidth="1"/>
    <col min="11259" max="11259" width="7.26953125" style="6" customWidth="1"/>
    <col min="11260" max="11260" width="5.54296875" style="6" customWidth="1"/>
    <col min="11261" max="11261" width="9" style="6" customWidth="1"/>
    <col min="11262" max="11263" width="9.81640625" style="6" customWidth="1"/>
    <col min="11264" max="11264" width="11.1796875" style="6" customWidth="1"/>
    <col min="11265" max="11265" width="2.81640625" style="6" customWidth="1"/>
    <col min="11266" max="11266" width="3.54296875" style="6" customWidth="1"/>
    <col min="11267" max="11511" width="9.1796875" style="6"/>
    <col min="11512" max="11512" width="8.7265625" style="6" customWidth="1"/>
    <col min="11513" max="11513" width="9.81640625" style="6" customWidth="1"/>
    <col min="11514" max="11514" width="14.453125" style="6" customWidth="1"/>
    <col min="11515" max="11515" width="7.26953125" style="6" customWidth="1"/>
    <col min="11516" max="11516" width="5.54296875" style="6" customWidth="1"/>
    <col min="11517" max="11517" width="9" style="6" customWidth="1"/>
    <col min="11518" max="11519" width="9.81640625" style="6" customWidth="1"/>
    <col min="11520" max="11520" width="11.1796875" style="6" customWidth="1"/>
    <col min="11521" max="11521" width="2.81640625" style="6" customWidth="1"/>
    <col min="11522" max="11522" width="3.54296875" style="6" customWidth="1"/>
    <col min="11523" max="11767" width="9.1796875" style="6"/>
    <col min="11768" max="11768" width="8.7265625" style="6" customWidth="1"/>
    <col min="11769" max="11769" width="9.81640625" style="6" customWidth="1"/>
    <col min="11770" max="11770" width="14.453125" style="6" customWidth="1"/>
    <col min="11771" max="11771" width="7.26953125" style="6" customWidth="1"/>
    <col min="11772" max="11772" width="5.54296875" style="6" customWidth="1"/>
    <col min="11773" max="11773" width="9" style="6" customWidth="1"/>
    <col min="11774" max="11775" width="9.81640625" style="6" customWidth="1"/>
    <col min="11776" max="11776" width="11.1796875" style="6" customWidth="1"/>
    <col min="11777" max="11777" width="2.81640625" style="6" customWidth="1"/>
    <col min="11778" max="11778" width="3.54296875" style="6" customWidth="1"/>
    <col min="11779" max="12023" width="9.1796875" style="6"/>
    <col min="12024" max="12024" width="8.7265625" style="6" customWidth="1"/>
    <col min="12025" max="12025" width="9.81640625" style="6" customWidth="1"/>
    <col min="12026" max="12026" width="14.453125" style="6" customWidth="1"/>
    <col min="12027" max="12027" width="7.26953125" style="6" customWidth="1"/>
    <col min="12028" max="12028" width="5.54296875" style="6" customWidth="1"/>
    <col min="12029" max="12029" width="9" style="6" customWidth="1"/>
    <col min="12030" max="12031" width="9.81640625" style="6" customWidth="1"/>
    <col min="12032" max="12032" width="11.1796875" style="6" customWidth="1"/>
    <col min="12033" max="12033" width="2.81640625" style="6" customWidth="1"/>
    <col min="12034" max="12034" width="3.54296875" style="6" customWidth="1"/>
    <col min="12035" max="12279" width="9.1796875" style="6"/>
    <col min="12280" max="12280" width="8.7265625" style="6" customWidth="1"/>
    <col min="12281" max="12281" width="9.81640625" style="6" customWidth="1"/>
    <col min="12282" max="12282" width="14.453125" style="6" customWidth="1"/>
    <col min="12283" max="12283" width="7.26953125" style="6" customWidth="1"/>
    <col min="12284" max="12284" width="5.54296875" style="6" customWidth="1"/>
    <col min="12285" max="12285" width="9" style="6" customWidth="1"/>
    <col min="12286" max="12287" width="9.81640625" style="6" customWidth="1"/>
    <col min="12288" max="12288" width="11.1796875" style="6" customWidth="1"/>
    <col min="12289" max="12289" width="2.81640625" style="6" customWidth="1"/>
    <col min="12290" max="12290" width="3.54296875" style="6" customWidth="1"/>
    <col min="12291" max="12535" width="9.1796875" style="6"/>
    <col min="12536" max="12536" width="8.7265625" style="6" customWidth="1"/>
    <col min="12537" max="12537" width="9.81640625" style="6" customWidth="1"/>
    <col min="12538" max="12538" width="14.453125" style="6" customWidth="1"/>
    <col min="12539" max="12539" width="7.26953125" style="6" customWidth="1"/>
    <col min="12540" max="12540" width="5.54296875" style="6" customWidth="1"/>
    <col min="12541" max="12541" width="9" style="6" customWidth="1"/>
    <col min="12542" max="12543" width="9.81640625" style="6" customWidth="1"/>
    <col min="12544" max="12544" width="11.1796875" style="6" customWidth="1"/>
    <col min="12545" max="12545" width="2.81640625" style="6" customWidth="1"/>
    <col min="12546" max="12546" width="3.54296875" style="6" customWidth="1"/>
    <col min="12547" max="12791" width="9.1796875" style="6"/>
    <col min="12792" max="12792" width="8.7265625" style="6" customWidth="1"/>
    <col min="12793" max="12793" width="9.81640625" style="6" customWidth="1"/>
    <col min="12794" max="12794" width="14.453125" style="6" customWidth="1"/>
    <col min="12795" max="12795" width="7.26953125" style="6" customWidth="1"/>
    <col min="12796" max="12796" width="5.54296875" style="6" customWidth="1"/>
    <col min="12797" max="12797" width="9" style="6" customWidth="1"/>
    <col min="12798" max="12799" width="9.81640625" style="6" customWidth="1"/>
    <col min="12800" max="12800" width="11.1796875" style="6" customWidth="1"/>
    <col min="12801" max="12801" width="2.81640625" style="6" customWidth="1"/>
    <col min="12802" max="12802" width="3.54296875" style="6" customWidth="1"/>
    <col min="12803" max="13047" width="9.1796875" style="6"/>
    <col min="13048" max="13048" width="8.7265625" style="6" customWidth="1"/>
    <col min="13049" max="13049" width="9.81640625" style="6" customWidth="1"/>
    <col min="13050" max="13050" width="14.453125" style="6" customWidth="1"/>
    <col min="13051" max="13051" width="7.26953125" style="6" customWidth="1"/>
    <col min="13052" max="13052" width="5.54296875" style="6" customWidth="1"/>
    <col min="13053" max="13053" width="9" style="6" customWidth="1"/>
    <col min="13054" max="13055" width="9.81640625" style="6" customWidth="1"/>
    <col min="13056" max="13056" width="11.1796875" style="6" customWidth="1"/>
    <col min="13057" max="13057" width="2.81640625" style="6" customWidth="1"/>
    <col min="13058" max="13058" width="3.54296875" style="6" customWidth="1"/>
    <col min="13059" max="13303" width="9.1796875" style="6"/>
    <col min="13304" max="13304" width="8.7265625" style="6" customWidth="1"/>
    <col min="13305" max="13305" width="9.81640625" style="6" customWidth="1"/>
    <col min="13306" max="13306" width="14.453125" style="6" customWidth="1"/>
    <col min="13307" max="13307" width="7.26953125" style="6" customWidth="1"/>
    <col min="13308" max="13308" width="5.54296875" style="6" customWidth="1"/>
    <col min="13309" max="13309" width="9" style="6" customWidth="1"/>
    <col min="13310" max="13311" width="9.81640625" style="6" customWidth="1"/>
    <col min="13312" max="13312" width="11.1796875" style="6" customWidth="1"/>
    <col min="13313" max="13313" width="2.81640625" style="6" customWidth="1"/>
    <col min="13314" max="13314" width="3.54296875" style="6" customWidth="1"/>
    <col min="13315" max="13559" width="9.1796875" style="6"/>
    <col min="13560" max="13560" width="8.7265625" style="6" customWidth="1"/>
    <col min="13561" max="13561" width="9.81640625" style="6" customWidth="1"/>
    <col min="13562" max="13562" width="14.453125" style="6" customWidth="1"/>
    <col min="13563" max="13563" width="7.26953125" style="6" customWidth="1"/>
    <col min="13564" max="13564" width="5.54296875" style="6" customWidth="1"/>
    <col min="13565" max="13565" width="9" style="6" customWidth="1"/>
    <col min="13566" max="13567" width="9.81640625" style="6" customWidth="1"/>
    <col min="13568" max="13568" width="11.1796875" style="6" customWidth="1"/>
    <col min="13569" max="13569" width="2.81640625" style="6" customWidth="1"/>
    <col min="13570" max="13570" width="3.54296875" style="6" customWidth="1"/>
    <col min="13571" max="13815" width="9.1796875" style="6"/>
    <col min="13816" max="13816" width="8.7265625" style="6" customWidth="1"/>
    <col min="13817" max="13817" width="9.81640625" style="6" customWidth="1"/>
    <col min="13818" max="13818" width="14.453125" style="6" customWidth="1"/>
    <col min="13819" max="13819" width="7.26953125" style="6" customWidth="1"/>
    <col min="13820" max="13820" width="5.54296875" style="6" customWidth="1"/>
    <col min="13821" max="13821" width="9" style="6" customWidth="1"/>
    <col min="13822" max="13823" width="9.81640625" style="6" customWidth="1"/>
    <col min="13824" max="13824" width="11.1796875" style="6" customWidth="1"/>
    <col min="13825" max="13825" width="2.81640625" style="6" customWidth="1"/>
    <col min="13826" max="13826" width="3.54296875" style="6" customWidth="1"/>
    <col min="13827" max="14071" width="9.1796875" style="6"/>
    <col min="14072" max="14072" width="8.7265625" style="6" customWidth="1"/>
    <col min="14073" max="14073" width="9.81640625" style="6" customWidth="1"/>
    <col min="14074" max="14074" width="14.453125" style="6" customWidth="1"/>
    <col min="14075" max="14075" width="7.26953125" style="6" customWidth="1"/>
    <col min="14076" max="14076" width="5.54296875" style="6" customWidth="1"/>
    <col min="14077" max="14077" width="9" style="6" customWidth="1"/>
    <col min="14078" max="14079" width="9.81640625" style="6" customWidth="1"/>
    <col min="14080" max="14080" width="11.1796875" style="6" customWidth="1"/>
    <col min="14081" max="14081" width="2.81640625" style="6" customWidth="1"/>
    <col min="14082" max="14082" width="3.54296875" style="6" customWidth="1"/>
    <col min="14083" max="14327" width="9.1796875" style="6"/>
    <col min="14328" max="14328" width="8.7265625" style="6" customWidth="1"/>
    <col min="14329" max="14329" width="9.81640625" style="6" customWidth="1"/>
    <col min="14330" max="14330" width="14.453125" style="6" customWidth="1"/>
    <col min="14331" max="14331" width="7.26953125" style="6" customWidth="1"/>
    <col min="14332" max="14332" width="5.54296875" style="6" customWidth="1"/>
    <col min="14333" max="14333" width="9" style="6" customWidth="1"/>
    <col min="14334" max="14335" width="9.81640625" style="6" customWidth="1"/>
    <col min="14336" max="14336" width="11.1796875" style="6" customWidth="1"/>
    <col min="14337" max="14337" width="2.81640625" style="6" customWidth="1"/>
    <col min="14338" max="14338" width="3.54296875" style="6" customWidth="1"/>
    <col min="14339" max="14583" width="9.1796875" style="6"/>
    <col min="14584" max="14584" width="8.7265625" style="6" customWidth="1"/>
    <col min="14585" max="14585" width="9.81640625" style="6" customWidth="1"/>
    <col min="14586" max="14586" width="14.453125" style="6" customWidth="1"/>
    <col min="14587" max="14587" width="7.26953125" style="6" customWidth="1"/>
    <col min="14588" max="14588" width="5.54296875" style="6" customWidth="1"/>
    <col min="14589" max="14589" width="9" style="6" customWidth="1"/>
    <col min="14590" max="14591" width="9.81640625" style="6" customWidth="1"/>
    <col min="14592" max="14592" width="11.1796875" style="6" customWidth="1"/>
    <col min="14593" max="14593" width="2.81640625" style="6" customWidth="1"/>
    <col min="14594" max="14594" width="3.54296875" style="6" customWidth="1"/>
    <col min="14595" max="14839" width="9.1796875" style="6"/>
    <col min="14840" max="14840" width="8.7265625" style="6" customWidth="1"/>
    <col min="14841" max="14841" width="9.81640625" style="6" customWidth="1"/>
    <col min="14842" max="14842" width="14.453125" style="6" customWidth="1"/>
    <col min="14843" max="14843" width="7.26953125" style="6" customWidth="1"/>
    <col min="14844" max="14844" width="5.54296875" style="6" customWidth="1"/>
    <col min="14845" max="14845" width="9" style="6" customWidth="1"/>
    <col min="14846" max="14847" width="9.81640625" style="6" customWidth="1"/>
    <col min="14848" max="14848" width="11.1796875" style="6" customWidth="1"/>
    <col min="14849" max="14849" width="2.81640625" style="6" customWidth="1"/>
    <col min="14850" max="14850" width="3.54296875" style="6" customWidth="1"/>
    <col min="14851" max="15095" width="9.1796875" style="6"/>
    <col min="15096" max="15096" width="8.7265625" style="6" customWidth="1"/>
    <col min="15097" max="15097" width="9.81640625" style="6" customWidth="1"/>
    <col min="15098" max="15098" width="14.453125" style="6" customWidth="1"/>
    <col min="15099" max="15099" width="7.26953125" style="6" customWidth="1"/>
    <col min="15100" max="15100" width="5.54296875" style="6" customWidth="1"/>
    <col min="15101" max="15101" width="9" style="6" customWidth="1"/>
    <col min="15102" max="15103" width="9.81640625" style="6" customWidth="1"/>
    <col min="15104" max="15104" width="11.1796875" style="6" customWidth="1"/>
    <col min="15105" max="15105" width="2.81640625" style="6" customWidth="1"/>
    <col min="15106" max="15106" width="3.54296875" style="6" customWidth="1"/>
    <col min="15107" max="15351" width="9.1796875" style="6"/>
    <col min="15352" max="15352" width="8.7265625" style="6" customWidth="1"/>
    <col min="15353" max="15353" width="9.81640625" style="6" customWidth="1"/>
    <col min="15354" max="15354" width="14.453125" style="6" customWidth="1"/>
    <col min="15355" max="15355" width="7.26953125" style="6" customWidth="1"/>
    <col min="15356" max="15356" width="5.54296875" style="6" customWidth="1"/>
    <col min="15357" max="15357" width="9" style="6" customWidth="1"/>
    <col min="15358" max="15359" width="9.81640625" style="6" customWidth="1"/>
    <col min="15360" max="15360" width="11.1796875" style="6" customWidth="1"/>
    <col min="15361" max="15361" width="2.81640625" style="6" customWidth="1"/>
    <col min="15362" max="15362" width="3.54296875" style="6" customWidth="1"/>
    <col min="15363" max="15607" width="9.1796875" style="6"/>
    <col min="15608" max="15608" width="8.7265625" style="6" customWidth="1"/>
    <col min="15609" max="15609" width="9.81640625" style="6" customWidth="1"/>
    <col min="15610" max="15610" width="14.453125" style="6" customWidth="1"/>
    <col min="15611" max="15611" width="7.26953125" style="6" customWidth="1"/>
    <col min="15612" max="15612" width="5.54296875" style="6" customWidth="1"/>
    <col min="15613" max="15613" width="9" style="6" customWidth="1"/>
    <col min="15614" max="15615" width="9.81640625" style="6" customWidth="1"/>
    <col min="15616" max="15616" width="11.1796875" style="6" customWidth="1"/>
    <col min="15617" max="15617" width="2.81640625" style="6" customWidth="1"/>
    <col min="15618" max="15618" width="3.54296875" style="6" customWidth="1"/>
    <col min="15619" max="15863" width="9.1796875" style="6"/>
    <col min="15864" max="15864" width="8.7265625" style="6" customWidth="1"/>
    <col min="15865" max="15865" width="9.81640625" style="6" customWidth="1"/>
    <col min="15866" max="15866" width="14.453125" style="6" customWidth="1"/>
    <col min="15867" max="15867" width="7.26953125" style="6" customWidth="1"/>
    <col min="15868" max="15868" width="5.54296875" style="6" customWidth="1"/>
    <col min="15869" max="15869" width="9" style="6" customWidth="1"/>
    <col min="15870" max="15871" width="9.81640625" style="6" customWidth="1"/>
    <col min="15872" max="15872" width="11.1796875" style="6" customWidth="1"/>
    <col min="15873" max="15873" width="2.81640625" style="6" customWidth="1"/>
    <col min="15874" max="15874" width="3.54296875" style="6" customWidth="1"/>
    <col min="15875" max="16119" width="9.1796875" style="6"/>
    <col min="16120" max="16120" width="8.7265625" style="6" customWidth="1"/>
    <col min="16121" max="16121" width="9.81640625" style="6" customWidth="1"/>
    <col min="16122" max="16122" width="14.453125" style="6" customWidth="1"/>
    <col min="16123" max="16123" width="7.26953125" style="6" customWidth="1"/>
    <col min="16124" max="16124" width="5.54296875" style="6" customWidth="1"/>
    <col min="16125" max="16125" width="9" style="6" customWidth="1"/>
    <col min="16126" max="16127" width="9.81640625" style="6" customWidth="1"/>
    <col min="16128" max="16128" width="11.1796875" style="6" customWidth="1"/>
    <col min="16129" max="16129" width="2.81640625" style="6" customWidth="1"/>
    <col min="16130" max="16130" width="3.54296875" style="6" customWidth="1"/>
    <col min="16131" max="16384" width="9.1796875" style="6"/>
  </cols>
  <sheetData>
    <row r="1" spans="1:9" ht="46.5" customHeight="1" x14ac:dyDescent="0.35">
      <c r="A1" s="175" t="s">
        <v>344</v>
      </c>
      <c r="B1" s="175"/>
      <c r="C1" s="175"/>
      <c r="D1" s="175"/>
      <c r="E1" s="175"/>
      <c r="F1" s="175"/>
      <c r="G1" s="175"/>
      <c r="H1" s="175"/>
    </row>
    <row r="2" spans="1:9" ht="16.5" customHeight="1" x14ac:dyDescent="0.35">
      <c r="A2" s="176" t="s">
        <v>0</v>
      </c>
      <c r="B2" s="176"/>
      <c r="C2" s="176"/>
      <c r="D2" s="176"/>
      <c r="E2" s="176"/>
      <c r="F2" s="176"/>
      <c r="G2" s="176"/>
      <c r="H2" s="176"/>
    </row>
    <row r="3" spans="1:9" s="36" customFormat="1" ht="17.25" customHeight="1" x14ac:dyDescent="0.35">
      <c r="A3" s="110" t="s">
        <v>82</v>
      </c>
      <c r="B3" s="110"/>
      <c r="C3" s="110" t="s">
        <v>270</v>
      </c>
      <c r="D3" s="110"/>
      <c r="E3" s="177" t="str">
        <f ca="1">TEXT(TODAY(),"DD/MM/YYYY")</f>
        <v>29/08/2025</v>
      </c>
      <c r="F3" s="134"/>
      <c r="G3" s="134"/>
      <c r="H3" s="134"/>
    </row>
    <row r="4" spans="1:9" s="36" customFormat="1" ht="17.25" customHeight="1" x14ac:dyDescent="0.35">
      <c r="A4" s="110" t="s">
        <v>83</v>
      </c>
      <c r="B4" s="110"/>
      <c r="C4" s="110" t="s">
        <v>84</v>
      </c>
      <c r="D4" s="110"/>
      <c r="E4" s="134" t="s">
        <v>84</v>
      </c>
      <c r="F4" s="134"/>
      <c r="G4" s="134"/>
      <c r="H4" s="134"/>
    </row>
    <row r="5" spans="1:9" s="36" customFormat="1" ht="17.25" customHeight="1" x14ac:dyDescent="0.35">
      <c r="A5" s="110" t="s">
        <v>85</v>
      </c>
      <c r="B5" s="110"/>
      <c r="C5" s="110" t="s">
        <v>86</v>
      </c>
      <c r="D5" s="110"/>
      <c r="E5" s="177">
        <v>45898</v>
      </c>
      <c r="F5" s="134"/>
      <c r="G5" s="134"/>
      <c r="H5" s="134"/>
    </row>
    <row r="6" spans="1:9" s="36" customFormat="1" ht="17.25" customHeight="1" x14ac:dyDescent="0.35">
      <c r="A6" s="110" t="s">
        <v>87</v>
      </c>
      <c r="B6" s="110"/>
      <c r="C6" s="110" t="s">
        <v>88</v>
      </c>
      <c r="D6" s="110"/>
      <c r="E6" s="134" t="s">
        <v>88</v>
      </c>
      <c r="F6" s="134"/>
      <c r="G6" s="134"/>
      <c r="H6" s="134"/>
    </row>
    <row r="7" spans="1:9" s="36" customFormat="1" ht="17.25" customHeight="1" x14ac:dyDescent="0.35">
      <c r="A7" s="110" t="s">
        <v>89</v>
      </c>
      <c r="B7" s="110"/>
      <c r="C7" s="110" t="s">
        <v>88</v>
      </c>
      <c r="D7" s="110"/>
      <c r="E7" s="134" t="s">
        <v>88</v>
      </c>
      <c r="F7" s="134"/>
      <c r="G7" s="134"/>
      <c r="H7" s="134"/>
    </row>
    <row r="8" spans="1:9" s="36" customFormat="1" ht="17.25" customHeight="1" x14ac:dyDescent="0.35">
      <c r="A8" s="110" t="s">
        <v>90</v>
      </c>
      <c r="B8" s="110"/>
      <c r="C8" s="110" t="s">
        <v>91</v>
      </c>
      <c r="D8" s="110"/>
      <c r="E8" s="140" t="s">
        <v>267</v>
      </c>
      <c r="F8" s="174"/>
      <c r="G8" s="174"/>
      <c r="H8" s="174"/>
    </row>
    <row r="9" spans="1:9" s="36" customFormat="1" ht="17.25" customHeight="1" x14ac:dyDescent="0.35">
      <c r="A9" s="110" t="s">
        <v>92</v>
      </c>
      <c r="B9" s="110"/>
      <c r="C9" s="110" t="s">
        <v>93</v>
      </c>
      <c r="D9" s="110"/>
      <c r="E9" s="134" t="s">
        <v>93</v>
      </c>
      <c r="F9" s="134"/>
      <c r="G9" s="134"/>
      <c r="H9" s="134"/>
    </row>
    <row r="10" spans="1:9" s="36" customFormat="1" ht="109.5" customHeight="1" x14ac:dyDescent="0.35">
      <c r="A10" s="110" t="s">
        <v>94</v>
      </c>
      <c r="B10" s="110"/>
      <c r="C10" s="110" t="s">
        <v>95</v>
      </c>
      <c r="D10" s="110"/>
      <c r="E10" s="110" t="s">
        <v>315</v>
      </c>
      <c r="F10" s="134"/>
      <c r="G10" s="134"/>
      <c r="H10" s="134"/>
    </row>
    <row r="11" spans="1:9" s="36" customFormat="1" x14ac:dyDescent="0.35">
      <c r="A11" s="110" t="s">
        <v>96</v>
      </c>
      <c r="B11" s="110"/>
      <c r="C11" s="110" t="s">
        <v>97</v>
      </c>
      <c r="D11" s="110"/>
      <c r="E11" s="134" t="s">
        <v>97</v>
      </c>
      <c r="F11" s="134"/>
      <c r="G11" s="134"/>
      <c r="H11" s="134"/>
    </row>
    <row r="12" spans="1:9" s="36" customFormat="1" ht="34.5" customHeight="1" x14ac:dyDescent="0.35">
      <c r="A12" s="110" t="s">
        <v>98</v>
      </c>
      <c r="B12" s="110"/>
      <c r="C12" s="110"/>
      <c r="D12" s="110"/>
      <c r="E12" s="135" t="s">
        <v>340</v>
      </c>
      <c r="F12" s="135"/>
      <c r="G12" s="135"/>
      <c r="H12" s="135"/>
    </row>
    <row r="13" spans="1:9" s="36" customFormat="1" ht="33.25" customHeight="1" x14ac:dyDescent="0.35">
      <c r="A13" s="48" t="s">
        <v>99</v>
      </c>
      <c r="B13" s="110" t="s">
        <v>271</v>
      </c>
      <c r="C13" s="110"/>
      <c r="D13" s="110"/>
      <c r="E13" s="110"/>
      <c r="F13" s="110"/>
      <c r="G13" s="110"/>
      <c r="H13" s="110"/>
    </row>
    <row r="14" spans="1:9" s="36" customFormat="1" ht="17.25" customHeight="1" x14ac:dyDescent="0.35">
      <c r="A14" s="48" t="s">
        <v>100</v>
      </c>
      <c r="B14" s="110" t="s">
        <v>101</v>
      </c>
      <c r="C14" s="110"/>
      <c r="D14" s="110"/>
      <c r="E14" s="110"/>
      <c r="F14" s="110"/>
      <c r="G14" s="110"/>
      <c r="H14" s="110"/>
    </row>
    <row r="15" spans="1:9" s="36" customFormat="1" ht="17.25" customHeight="1" x14ac:dyDescent="0.35">
      <c r="A15" s="48" t="s">
        <v>102</v>
      </c>
      <c r="B15" s="110" t="s">
        <v>103</v>
      </c>
      <c r="C15" s="110"/>
      <c r="D15" s="110"/>
      <c r="E15" s="110" t="s">
        <v>104</v>
      </c>
      <c r="F15" s="110"/>
      <c r="G15" s="178" t="s">
        <v>280</v>
      </c>
      <c r="H15" s="178" t="s">
        <v>280</v>
      </c>
      <c r="I15" s="36" t="s">
        <v>316</v>
      </c>
    </row>
    <row r="16" spans="1:9" s="36" customFormat="1" ht="17.25" customHeight="1" x14ac:dyDescent="0.35">
      <c r="A16" s="48" t="s">
        <v>106</v>
      </c>
      <c r="B16" s="110" t="s">
        <v>105</v>
      </c>
      <c r="C16" s="110" t="s">
        <v>107</v>
      </c>
      <c r="D16" s="110"/>
      <c r="E16" s="110" t="s">
        <v>107</v>
      </c>
      <c r="F16" s="110"/>
      <c r="G16" s="110" t="s">
        <v>282</v>
      </c>
      <c r="H16" s="178" t="s">
        <v>108</v>
      </c>
    </row>
    <row r="17" spans="1:8" s="36" customFormat="1" ht="17.25" customHeight="1" x14ac:dyDescent="0.35">
      <c r="A17" s="48" t="s">
        <v>109</v>
      </c>
      <c r="B17" s="110" t="s">
        <v>108</v>
      </c>
      <c r="C17" s="110" t="s">
        <v>110</v>
      </c>
      <c r="D17" s="110"/>
      <c r="E17" s="110" t="s">
        <v>110</v>
      </c>
      <c r="F17" s="110"/>
      <c r="G17" s="178">
        <v>401501</v>
      </c>
      <c r="H17" s="178">
        <v>401501</v>
      </c>
    </row>
    <row r="18" spans="1:8" s="36" customFormat="1" ht="34.5" customHeight="1" x14ac:dyDescent="0.35">
      <c r="A18" s="48" t="s">
        <v>111</v>
      </c>
      <c r="B18" s="110" t="s">
        <v>112</v>
      </c>
      <c r="C18" s="110" t="s">
        <v>113</v>
      </c>
      <c r="D18" s="110"/>
      <c r="E18" s="110" t="s">
        <v>113</v>
      </c>
      <c r="F18" s="110"/>
      <c r="G18" s="135" t="s">
        <v>279</v>
      </c>
      <c r="H18" s="135"/>
    </row>
    <row r="19" spans="1:8" s="36" customFormat="1" ht="32.9" customHeight="1" x14ac:dyDescent="0.35">
      <c r="A19" s="110" t="s">
        <v>114</v>
      </c>
      <c r="B19" s="110"/>
      <c r="C19" s="110"/>
      <c r="D19" s="110"/>
      <c r="E19" s="110" t="s">
        <v>115</v>
      </c>
      <c r="F19" s="110"/>
      <c r="G19" s="110"/>
      <c r="H19" s="110"/>
    </row>
    <row r="20" spans="1:8" s="36" customFormat="1" ht="17.25" customHeight="1" x14ac:dyDescent="0.35">
      <c r="A20" s="179" t="s">
        <v>116</v>
      </c>
      <c r="B20" s="180"/>
      <c r="C20" s="180" t="s">
        <v>117</v>
      </c>
      <c r="D20" s="180"/>
      <c r="E20" s="110" t="s">
        <v>117</v>
      </c>
      <c r="F20" s="110" t="s">
        <v>117</v>
      </c>
      <c r="G20" s="110" t="s">
        <v>117</v>
      </c>
      <c r="H20" s="110" t="s">
        <v>117</v>
      </c>
    </row>
    <row r="21" spans="1:8" s="36" customFormat="1" ht="17.25" customHeight="1" x14ac:dyDescent="0.35">
      <c r="A21" s="138" t="s">
        <v>118</v>
      </c>
      <c r="B21" s="139"/>
      <c r="C21" s="139" t="s">
        <v>119</v>
      </c>
      <c r="D21" s="139"/>
      <c r="E21" s="110" t="s">
        <v>119</v>
      </c>
      <c r="F21" s="110" t="s">
        <v>119</v>
      </c>
      <c r="G21" s="110" t="s">
        <v>119</v>
      </c>
      <c r="H21" s="110" t="s">
        <v>119</v>
      </c>
    </row>
    <row r="22" spans="1:8" s="36" customFormat="1" ht="17.25" customHeight="1" x14ac:dyDescent="0.35">
      <c r="A22" s="138" t="s">
        <v>120</v>
      </c>
      <c r="B22" s="139"/>
      <c r="C22" s="139" t="s">
        <v>121</v>
      </c>
      <c r="D22" s="139"/>
      <c r="E22" s="110" t="s">
        <v>121</v>
      </c>
      <c r="F22" s="110" t="s">
        <v>121</v>
      </c>
      <c r="G22" s="110" t="s">
        <v>121</v>
      </c>
      <c r="H22" s="110" t="s">
        <v>121</v>
      </c>
    </row>
    <row r="23" spans="1:8" s="36" customFormat="1" ht="17.25" customHeight="1" x14ac:dyDescent="0.35">
      <c r="A23" s="138" t="s">
        <v>122</v>
      </c>
      <c r="B23" s="139"/>
      <c r="C23" s="139" t="s">
        <v>123</v>
      </c>
      <c r="D23" s="139"/>
      <c r="E23" s="110" t="s">
        <v>123</v>
      </c>
      <c r="F23" s="110" t="s">
        <v>123</v>
      </c>
      <c r="G23" s="110" t="s">
        <v>123</v>
      </c>
      <c r="H23" s="110" t="s">
        <v>123</v>
      </c>
    </row>
    <row r="24" spans="1:8" s="36" customFormat="1" ht="17.25" customHeight="1" x14ac:dyDescent="0.35">
      <c r="A24" s="138" t="s">
        <v>124</v>
      </c>
      <c r="B24" s="139"/>
      <c r="C24" s="139" t="s">
        <v>125</v>
      </c>
      <c r="D24" s="139"/>
      <c r="E24" s="110" t="s">
        <v>125</v>
      </c>
      <c r="F24" s="110" t="s">
        <v>125</v>
      </c>
      <c r="G24" s="110" t="s">
        <v>125</v>
      </c>
      <c r="H24" s="110" t="s">
        <v>125</v>
      </c>
    </row>
    <row r="25" spans="1:8" s="36" customFormat="1" ht="17.25" customHeight="1" x14ac:dyDescent="0.35">
      <c r="A25" s="136" t="s">
        <v>126</v>
      </c>
      <c r="B25" s="137"/>
      <c r="C25" s="137" t="s">
        <v>127</v>
      </c>
      <c r="D25" s="137"/>
      <c r="E25" s="110" t="s">
        <v>127</v>
      </c>
      <c r="F25" s="110" t="s">
        <v>127</v>
      </c>
      <c r="G25" s="110" t="s">
        <v>127</v>
      </c>
      <c r="H25" s="110" t="s">
        <v>127</v>
      </c>
    </row>
    <row r="26" spans="1:8" s="36" customFormat="1" ht="17.25" customHeight="1" x14ac:dyDescent="0.35">
      <c r="A26" s="110" t="s">
        <v>128</v>
      </c>
      <c r="B26" s="110"/>
      <c r="C26" s="110" t="s">
        <v>129</v>
      </c>
      <c r="D26" s="118"/>
      <c r="E26" s="110" t="s">
        <v>129</v>
      </c>
      <c r="F26" s="110" t="s">
        <v>129</v>
      </c>
      <c r="G26" s="110" t="s">
        <v>129</v>
      </c>
      <c r="H26" s="110" t="s">
        <v>129</v>
      </c>
    </row>
    <row r="27" spans="1:8" s="36" customFormat="1" ht="17.25" customHeight="1" x14ac:dyDescent="0.35">
      <c r="A27" s="110" t="s">
        <v>130</v>
      </c>
      <c r="B27" s="110"/>
      <c r="C27" s="110" t="s">
        <v>131</v>
      </c>
      <c r="D27" s="110"/>
      <c r="E27" s="110" t="s">
        <v>131</v>
      </c>
      <c r="F27" s="110" t="s">
        <v>131</v>
      </c>
      <c r="G27" s="110" t="s">
        <v>131</v>
      </c>
      <c r="H27" s="110" t="s">
        <v>131</v>
      </c>
    </row>
    <row r="28" spans="1:8" s="36" customFormat="1" ht="17.25" customHeight="1" x14ac:dyDescent="0.35">
      <c r="A28" s="57" t="s">
        <v>132</v>
      </c>
      <c r="B28" s="93" t="s">
        <v>272</v>
      </c>
      <c r="C28" s="93"/>
      <c r="D28" s="93" t="s">
        <v>133</v>
      </c>
      <c r="E28" s="93"/>
      <c r="F28" s="132" t="s">
        <v>277</v>
      </c>
      <c r="G28" s="132"/>
      <c r="H28" s="132"/>
    </row>
    <row r="29" spans="1:8" s="36" customFormat="1" ht="17.25" customHeight="1" x14ac:dyDescent="0.35">
      <c r="A29" s="52" t="s">
        <v>134</v>
      </c>
      <c r="B29" s="94" t="s">
        <v>135</v>
      </c>
      <c r="C29" s="94"/>
      <c r="D29" s="94" t="s">
        <v>278</v>
      </c>
      <c r="E29" s="94"/>
      <c r="F29" s="133" t="s">
        <v>278</v>
      </c>
      <c r="G29" s="133"/>
      <c r="H29" s="133"/>
    </row>
    <row r="30" spans="1:8" s="36" customFormat="1" ht="17.25" customHeight="1" x14ac:dyDescent="0.35">
      <c r="A30" s="52" t="s">
        <v>136</v>
      </c>
      <c r="B30" s="92" t="s">
        <v>135</v>
      </c>
      <c r="C30" s="92"/>
      <c r="D30" s="94" t="s">
        <v>102</v>
      </c>
      <c r="E30" s="94"/>
      <c r="F30" s="132" t="s">
        <v>102</v>
      </c>
      <c r="G30" s="132"/>
      <c r="H30" s="132"/>
    </row>
    <row r="31" spans="1:8" s="36" customFormat="1" ht="17.25" customHeight="1" x14ac:dyDescent="0.35">
      <c r="A31" s="52" t="s">
        <v>137</v>
      </c>
      <c r="B31" s="94" t="s">
        <v>135</v>
      </c>
      <c r="C31" s="94"/>
      <c r="D31" s="94" t="s">
        <v>102</v>
      </c>
      <c r="E31" s="94"/>
      <c r="F31" s="132" t="s">
        <v>102</v>
      </c>
      <c r="G31" s="132"/>
      <c r="H31" s="132"/>
    </row>
    <row r="32" spans="1:8" s="36" customFormat="1" ht="17.25" customHeight="1" x14ac:dyDescent="0.35">
      <c r="A32" s="52" t="s">
        <v>138</v>
      </c>
      <c r="B32" s="94" t="s">
        <v>135</v>
      </c>
      <c r="C32" s="94"/>
      <c r="D32" s="153" t="s">
        <v>139</v>
      </c>
      <c r="E32" s="153"/>
      <c r="F32" s="132" t="s">
        <v>139</v>
      </c>
      <c r="G32" s="132"/>
      <c r="H32" s="132"/>
    </row>
    <row r="33" spans="1:8" s="36" customFormat="1" ht="17.25" customHeight="1" x14ac:dyDescent="0.35">
      <c r="A33" s="140" t="s">
        <v>140</v>
      </c>
      <c r="B33" s="140"/>
      <c r="C33" s="140"/>
      <c r="D33" s="140"/>
      <c r="E33" s="140"/>
      <c r="F33" s="140"/>
      <c r="G33" s="140"/>
      <c r="H33" s="140"/>
    </row>
    <row r="34" spans="1:8" s="36" customFormat="1" ht="17.25" customHeight="1" x14ac:dyDescent="0.35">
      <c r="A34" s="93" t="s">
        <v>313</v>
      </c>
      <c r="B34" s="93"/>
      <c r="C34" s="120" t="s">
        <v>312</v>
      </c>
      <c r="D34" s="127"/>
      <c r="E34" s="127"/>
      <c r="F34" s="127"/>
      <c r="G34" s="127"/>
      <c r="H34" s="121"/>
    </row>
    <row r="35" spans="1:8" s="36" customFormat="1" ht="17.25" customHeight="1" x14ac:dyDescent="0.35">
      <c r="A35" s="93" t="s">
        <v>366</v>
      </c>
      <c r="B35" s="93"/>
      <c r="C35" s="195" t="s">
        <v>314</v>
      </c>
      <c r="D35" s="127"/>
      <c r="E35" s="127"/>
      <c r="F35" s="127"/>
      <c r="G35" s="127"/>
      <c r="H35" s="121"/>
    </row>
    <row r="36" spans="1:8" s="36" customFormat="1" ht="17.25" customHeight="1" x14ac:dyDescent="0.35">
      <c r="A36" s="140" t="s">
        <v>141</v>
      </c>
      <c r="B36" s="140"/>
      <c r="C36" s="140"/>
      <c r="D36" s="140"/>
      <c r="E36" s="140"/>
      <c r="F36" s="140"/>
      <c r="G36" s="140"/>
      <c r="H36" s="140"/>
    </row>
    <row r="37" spans="1:8" s="36" customFormat="1" ht="17.25" customHeight="1" x14ac:dyDescent="0.35">
      <c r="A37" s="110" t="s">
        <v>142</v>
      </c>
      <c r="B37" s="110"/>
      <c r="C37" s="110"/>
      <c r="D37" s="110"/>
      <c r="E37" s="152">
        <v>36433</v>
      </c>
      <c r="F37" s="152"/>
      <c r="G37" s="152"/>
      <c r="H37" s="152"/>
    </row>
    <row r="38" spans="1:8" s="36" customFormat="1" ht="17.25" customHeight="1" x14ac:dyDescent="0.35">
      <c r="A38" s="110" t="s">
        <v>143</v>
      </c>
      <c r="B38" s="110"/>
      <c r="C38" s="110"/>
      <c r="D38" s="110">
        <v>1</v>
      </c>
      <c r="E38" s="152">
        <v>1</v>
      </c>
      <c r="F38" s="152">
        <v>1</v>
      </c>
      <c r="G38" s="152">
        <v>1</v>
      </c>
      <c r="H38" s="152">
        <v>1</v>
      </c>
    </row>
    <row r="39" spans="1:8" s="36" customFormat="1" ht="17.25" customHeight="1" x14ac:dyDescent="0.35">
      <c r="A39" s="110" t="s">
        <v>144</v>
      </c>
      <c r="B39" s="110"/>
      <c r="C39" s="110"/>
      <c r="D39" s="110">
        <v>0</v>
      </c>
      <c r="E39" s="152">
        <v>0</v>
      </c>
      <c r="F39" s="152">
        <v>0</v>
      </c>
      <c r="G39" s="152">
        <v>0</v>
      </c>
      <c r="H39" s="152">
        <v>0</v>
      </c>
    </row>
    <row r="40" spans="1:8" s="36" customFormat="1" ht="17.25" customHeight="1" x14ac:dyDescent="0.35">
      <c r="A40" s="110" t="s">
        <v>145</v>
      </c>
      <c r="B40" s="110"/>
      <c r="C40" s="110"/>
      <c r="D40" s="110">
        <v>1</v>
      </c>
      <c r="E40" s="152">
        <v>1</v>
      </c>
      <c r="F40" s="152">
        <v>1</v>
      </c>
      <c r="G40" s="152">
        <v>1</v>
      </c>
      <c r="H40" s="152">
        <v>1</v>
      </c>
    </row>
    <row r="41" spans="1:8" s="36" customFormat="1" ht="17.25" customHeight="1" x14ac:dyDescent="0.35">
      <c r="A41" s="110" t="s">
        <v>146</v>
      </c>
      <c r="B41" s="110"/>
      <c r="C41" s="110"/>
      <c r="D41" s="110">
        <v>36433</v>
      </c>
      <c r="E41" s="152">
        <v>36433</v>
      </c>
      <c r="F41" s="152">
        <v>36433</v>
      </c>
      <c r="G41" s="152">
        <v>36433</v>
      </c>
      <c r="H41" s="152">
        <v>36433</v>
      </c>
    </row>
    <row r="42" spans="1:8" s="36" customFormat="1" ht="17.25" customHeight="1" x14ac:dyDescent="0.35">
      <c r="A42" s="110" t="s">
        <v>147</v>
      </c>
      <c r="B42" s="110"/>
      <c r="C42" s="110"/>
      <c r="D42" s="110" t="s">
        <v>148</v>
      </c>
      <c r="E42" s="167" t="s">
        <v>317</v>
      </c>
      <c r="F42" s="152" t="s">
        <v>148</v>
      </c>
      <c r="G42" s="152" t="s">
        <v>148</v>
      </c>
      <c r="H42" s="152" t="s">
        <v>148</v>
      </c>
    </row>
    <row r="43" spans="1:8" s="36" customFormat="1" ht="17.25" customHeight="1" x14ac:dyDescent="0.35">
      <c r="A43" s="140" t="s">
        <v>149</v>
      </c>
      <c r="B43" s="140"/>
      <c r="C43" s="140"/>
      <c r="D43" s="140"/>
      <c r="E43" s="140"/>
      <c r="F43" s="140"/>
      <c r="G43" s="140"/>
      <c r="H43" s="140"/>
    </row>
    <row r="44" spans="1:8" s="36" customFormat="1" ht="17.25" customHeight="1" x14ac:dyDescent="0.35">
      <c r="A44" s="118" t="s">
        <v>150</v>
      </c>
      <c r="B44" s="119"/>
      <c r="C44" s="118" t="s">
        <v>151</v>
      </c>
      <c r="D44" s="122"/>
      <c r="E44" s="119"/>
      <c r="F44" s="61" t="s">
        <v>152</v>
      </c>
      <c r="G44" s="120" t="s">
        <v>153</v>
      </c>
      <c r="H44" s="121"/>
    </row>
    <row r="45" spans="1:8" s="36" customFormat="1" x14ac:dyDescent="0.35">
      <c r="A45" s="118" t="s">
        <v>154</v>
      </c>
      <c r="B45" s="119"/>
      <c r="C45" s="118" t="s">
        <v>151</v>
      </c>
      <c r="D45" s="122"/>
      <c r="E45" s="119"/>
      <c r="F45" s="61" t="s">
        <v>152</v>
      </c>
      <c r="G45" s="120" t="s">
        <v>153</v>
      </c>
      <c r="H45" s="121"/>
    </row>
    <row r="46" spans="1:8" s="36" customFormat="1" ht="17.25" customHeight="1" x14ac:dyDescent="0.35">
      <c r="A46" s="123" t="s">
        <v>273</v>
      </c>
      <c r="B46" s="124"/>
      <c r="C46" s="118" t="s">
        <v>286</v>
      </c>
      <c r="D46" s="122"/>
      <c r="E46" s="119"/>
      <c r="F46" s="61" t="s">
        <v>152</v>
      </c>
      <c r="G46" s="120" t="s">
        <v>153</v>
      </c>
      <c r="H46" s="121"/>
    </row>
    <row r="47" spans="1:8" s="36" customFormat="1" ht="36.75" customHeight="1" x14ac:dyDescent="0.35">
      <c r="A47" s="125"/>
      <c r="B47" s="126"/>
      <c r="C47" s="118" t="s">
        <v>155</v>
      </c>
      <c r="D47" s="122"/>
      <c r="E47" s="122"/>
      <c r="F47" s="122"/>
      <c r="G47" s="122"/>
      <c r="H47" s="119"/>
    </row>
    <row r="48" spans="1:8" s="36" customFormat="1" x14ac:dyDescent="0.35">
      <c r="A48" s="118" t="s">
        <v>274</v>
      </c>
      <c r="B48" s="119"/>
      <c r="C48" s="118" t="s">
        <v>287</v>
      </c>
      <c r="D48" s="122"/>
      <c r="E48" s="119"/>
      <c r="F48" s="61" t="s">
        <v>156</v>
      </c>
      <c r="G48" s="120" t="s">
        <v>157</v>
      </c>
      <c r="H48" s="121"/>
    </row>
    <row r="49" spans="1:8" s="36" customFormat="1" ht="38.25" customHeight="1" x14ac:dyDescent="0.35">
      <c r="A49" s="120" t="s">
        <v>341</v>
      </c>
      <c r="B49" s="121"/>
      <c r="C49" s="120" t="s">
        <v>289</v>
      </c>
      <c r="D49" s="127"/>
      <c r="E49" s="121"/>
      <c r="F49" s="63" t="s">
        <v>288</v>
      </c>
      <c r="G49" s="128">
        <v>44643</v>
      </c>
      <c r="H49" s="121"/>
    </row>
    <row r="50" spans="1:8" s="36" customFormat="1" ht="38.25" customHeight="1" x14ac:dyDescent="0.35">
      <c r="A50" s="120" t="s">
        <v>343</v>
      </c>
      <c r="B50" s="121"/>
      <c r="C50" s="120" t="s">
        <v>342</v>
      </c>
      <c r="D50" s="127"/>
      <c r="E50" s="121"/>
      <c r="F50" s="75" t="s">
        <v>288</v>
      </c>
      <c r="G50" s="128">
        <v>44963</v>
      </c>
      <c r="H50" s="121"/>
    </row>
    <row r="51" spans="1:8" s="36" customFormat="1" ht="15" x14ac:dyDescent="0.35">
      <c r="A51" s="140" t="s">
        <v>158</v>
      </c>
      <c r="B51" s="140"/>
      <c r="C51" s="140"/>
      <c r="D51" s="140"/>
      <c r="E51" s="140"/>
      <c r="F51" s="140"/>
      <c r="G51" s="140"/>
      <c r="H51" s="140"/>
    </row>
    <row r="52" spans="1:8" s="36" customFormat="1" x14ac:dyDescent="0.35">
      <c r="A52" s="110" t="s">
        <v>159</v>
      </c>
      <c r="B52" s="110"/>
      <c r="C52" s="110"/>
      <c r="D52" s="110"/>
      <c r="E52" s="111">
        <v>36433</v>
      </c>
      <c r="F52" s="111"/>
      <c r="G52" s="111"/>
      <c r="H52" s="111"/>
    </row>
    <row r="53" spans="1:8" s="36" customFormat="1" x14ac:dyDescent="0.35">
      <c r="A53" s="110" t="s">
        <v>160</v>
      </c>
      <c r="B53" s="110"/>
      <c r="C53" s="110" t="s">
        <v>161</v>
      </c>
      <c r="D53" s="110"/>
      <c r="E53" s="185" t="s">
        <v>339</v>
      </c>
      <c r="F53" s="111" t="s">
        <v>161</v>
      </c>
      <c r="G53" s="111" t="s">
        <v>161</v>
      </c>
      <c r="H53" s="111" t="s">
        <v>161</v>
      </c>
    </row>
    <row r="54" spans="1:8" s="36" customFormat="1" x14ac:dyDescent="0.35">
      <c r="A54" s="110" t="s">
        <v>162</v>
      </c>
      <c r="B54" s="110"/>
      <c r="C54" s="110" t="s">
        <v>163</v>
      </c>
      <c r="D54" s="110"/>
      <c r="E54" s="111" t="s">
        <v>163</v>
      </c>
      <c r="F54" s="111" t="s">
        <v>163</v>
      </c>
      <c r="G54" s="111" t="s">
        <v>163</v>
      </c>
      <c r="H54" s="111" t="s">
        <v>163</v>
      </c>
    </row>
    <row r="55" spans="1:8" s="36" customFormat="1" x14ac:dyDescent="0.35">
      <c r="A55" s="58" t="s">
        <v>164</v>
      </c>
      <c r="B55" s="94" t="s">
        <v>165</v>
      </c>
      <c r="C55" s="94"/>
      <c r="D55" s="52" t="s">
        <v>166</v>
      </c>
      <c r="E55" s="37" t="s">
        <v>167</v>
      </c>
      <c r="F55" s="94" t="s">
        <v>168</v>
      </c>
      <c r="G55" s="94"/>
      <c r="H55" s="94"/>
    </row>
    <row r="56" spans="1:8" s="36" customFormat="1" x14ac:dyDescent="0.35">
      <c r="A56" s="92" t="s">
        <v>169</v>
      </c>
      <c r="B56" s="92" t="s">
        <v>170</v>
      </c>
      <c r="C56" s="92"/>
      <c r="D56" s="52" t="s">
        <v>171</v>
      </c>
      <c r="E56" s="52" t="s">
        <v>281</v>
      </c>
      <c r="F56" s="94" t="s">
        <v>172</v>
      </c>
      <c r="G56" s="94"/>
      <c r="H56" s="94"/>
    </row>
    <row r="57" spans="1:8" s="36" customFormat="1" x14ac:dyDescent="0.35">
      <c r="A57" s="92"/>
      <c r="B57" s="92"/>
      <c r="C57" s="92"/>
      <c r="D57" s="52" t="s">
        <v>173</v>
      </c>
      <c r="E57" s="52" t="s">
        <v>174</v>
      </c>
      <c r="F57" s="94" t="s">
        <v>172</v>
      </c>
      <c r="G57" s="94"/>
      <c r="H57" s="94"/>
    </row>
    <row r="58" spans="1:8" s="36" customFormat="1" x14ac:dyDescent="0.35">
      <c r="A58" s="92"/>
      <c r="B58" s="92"/>
      <c r="C58" s="92"/>
      <c r="D58" s="52" t="s">
        <v>175</v>
      </c>
      <c r="E58" s="52" t="s">
        <v>176</v>
      </c>
      <c r="F58" s="94" t="s">
        <v>172</v>
      </c>
      <c r="G58" s="94"/>
      <c r="H58" s="94"/>
    </row>
    <row r="59" spans="1:8" s="36" customFormat="1" x14ac:dyDescent="0.35">
      <c r="A59" s="92"/>
      <c r="B59" s="92"/>
      <c r="C59" s="92"/>
      <c r="D59" s="52" t="s">
        <v>177</v>
      </c>
      <c r="E59" s="52" t="s">
        <v>178</v>
      </c>
      <c r="F59" s="94" t="s">
        <v>172</v>
      </c>
      <c r="G59" s="94"/>
      <c r="H59" s="94"/>
    </row>
    <row r="60" spans="1:8" s="36" customFormat="1" x14ac:dyDescent="0.35">
      <c r="A60" s="92" t="s">
        <v>179</v>
      </c>
      <c r="B60" s="92" t="s">
        <v>180</v>
      </c>
      <c r="C60" s="92"/>
      <c r="D60" s="52" t="s">
        <v>171</v>
      </c>
      <c r="E60" s="52" t="s">
        <v>173</v>
      </c>
      <c r="F60" s="94" t="s">
        <v>181</v>
      </c>
      <c r="G60" s="94"/>
      <c r="H60" s="94"/>
    </row>
    <row r="61" spans="1:8" s="36" customFormat="1" x14ac:dyDescent="0.35">
      <c r="A61" s="92"/>
      <c r="B61" s="92"/>
      <c r="C61" s="92"/>
      <c r="D61" s="52" t="s">
        <v>173</v>
      </c>
      <c r="E61" s="52" t="s">
        <v>171</v>
      </c>
      <c r="F61" s="94" t="s">
        <v>181</v>
      </c>
      <c r="G61" s="94"/>
      <c r="H61" s="94"/>
    </row>
    <row r="62" spans="1:8" s="36" customFormat="1" x14ac:dyDescent="0.35">
      <c r="A62" s="92"/>
      <c r="B62" s="92"/>
      <c r="C62" s="92"/>
      <c r="D62" s="52" t="s">
        <v>175</v>
      </c>
      <c r="E62" s="52" t="s">
        <v>178</v>
      </c>
      <c r="F62" s="94" t="s">
        <v>172</v>
      </c>
      <c r="G62" s="94"/>
      <c r="H62" s="94"/>
    </row>
    <row r="63" spans="1:8" s="36" customFormat="1" x14ac:dyDescent="0.35">
      <c r="A63" s="92"/>
      <c r="B63" s="92"/>
      <c r="C63" s="92"/>
      <c r="D63" s="52" t="s">
        <v>177</v>
      </c>
      <c r="E63" s="52" t="s">
        <v>176</v>
      </c>
      <c r="F63" s="94" t="s">
        <v>172</v>
      </c>
      <c r="G63" s="94"/>
      <c r="H63" s="94"/>
    </row>
    <row r="64" spans="1:8" s="36" customFormat="1" x14ac:dyDescent="0.35">
      <c r="A64" s="92" t="s">
        <v>291</v>
      </c>
      <c r="B64" s="92" t="s">
        <v>290</v>
      </c>
      <c r="C64" s="92"/>
      <c r="D64" s="91" t="s">
        <v>171</v>
      </c>
      <c r="E64" s="91" t="s">
        <v>3</v>
      </c>
      <c r="F64" s="94" t="s">
        <v>181</v>
      </c>
      <c r="G64" s="94"/>
      <c r="H64" s="94"/>
    </row>
    <row r="65" spans="1:8" s="36" customFormat="1" x14ac:dyDescent="0.35">
      <c r="A65" s="92"/>
      <c r="B65" s="92"/>
      <c r="C65" s="92"/>
      <c r="D65" s="91" t="s">
        <v>173</v>
      </c>
      <c r="E65" s="91" t="s">
        <v>292</v>
      </c>
      <c r="F65" s="94" t="s">
        <v>181</v>
      </c>
      <c r="G65" s="94"/>
      <c r="H65" s="94"/>
    </row>
    <row r="66" spans="1:8" s="36" customFormat="1" x14ac:dyDescent="0.35">
      <c r="A66" s="92"/>
      <c r="B66" s="92"/>
      <c r="C66" s="92"/>
      <c r="D66" s="91" t="s">
        <v>175</v>
      </c>
      <c r="E66" s="91" t="s">
        <v>293</v>
      </c>
      <c r="F66" s="94" t="s">
        <v>181</v>
      </c>
      <c r="G66" s="94"/>
      <c r="H66" s="94"/>
    </row>
    <row r="67" spans="1:8" s="36" customFormat="1" x14ac:dyDescent="0.35">
      <c r="A67" s="92"/>
      <c r="B67" s="92"/>
      <c r="C67" s="92"/>
      <c r="D67" s="91" t="s">
        <v>177</v>
      </c>
      <c r="E67" s="91" t="s">
        <v>294</v>
      </c>
      <c r="F67" s="94" t="s">
        <v>181</v>
      </c>
      <c r="G67" s="94"/>
      <c r="H67" s="94"/>
    </row>
    <row r="68" spans="1:8" s="36" customFormat="1" x14ac:dyDescent="0.35">
      <c r="A68" s="92" t="s">
        <v>182</v>
      </c>
      <c r="B68" s="92" t="s">
        <v>183</v>
      </c>
      <c r="C68" s="92"/>
      <c r="D68" s="91" t="s">
        <v>171</v>
      </c>
      <c r="E68" s="91" t="s">
        <v>173</v>
      </c>
      <c r="F68" s="94" t="s">
        <v>181</v>
      </c>
      <c r="G68" s="94"/>
      <c r="H68" s="94"/>
    </row>
    <row r="69" spans="1:8" s="36" customFormat="1" x14ac:dyDescent="0.35">
      <c r="A69" s="92"/>
      <c r="B69" s="92"/>
      <c r="C69" s="92"/>
      <c r="D69" s="91" t="s">
        <v>173</v>
      </c>
      <c r="E69" s="91" t="s">
        <v>171</v>
      </c>
      <c r="F69" s="94" t="s">
        <v>181</v>
      </c>
      <c r="G69" s="94"/>
      <c r="H69" s="94"/>
    </row>
    <row r="70" spans="1:8" s="36" customFormat="1" x14ac:dyDescent="0.35">
      <c r="A70" s="92"/>
      <c r="B70" s="92"/>
      <c r="C70" s="92"/>
      <c r="D70" s="91" t="s">
        <v>175</v>
      </c>
      <c r="E70" s="91" t="s">
        <v>184</v>
      </c>
      <c r="F70" s="94" t="s">
        <v>181</v>
      </c>
      <c r="G70" s="94"/>
      <c r="H70" s="94"/>
    </row>
    <row r="71" spans="1:8" s="36" customFormat="1" x14ac:dyDescent="0.35">
      <c r="A71" s="92"/>
      <c r="B71" s="92"/>
      <c r="C71" s="92"/>
      <c r="D71" s="91" t="s">
        <v>177</v>
      </c>
      <c r="E71" s="91" t="s">
        <v>175</v>
      </c>
      <c r="F71" s="94" t="s">
        <v>181</v>
      </c>
      <c r="G71" s="94"/>
      <c r="H71" s="94"/>
    </row>
    <row r="72" spans="1:8" s="36" customFormat="1" x14ac:dyDescent="0.35">
      <c r="A72" s="92" t="s">
        <v>185</v>
      </c>
      <c r="B72" s="92" t="s">
        <v>186</v>
      </c>
      <c r="C72" s="92"/>
      <c r="D72" s="91" t="s">
        <v>171</v>
      </c>
      <c r="E72" s="91" t="s">
        <v>187</v>
      </c>
      <c r="F72" s="94" t="s">
        <v>181</v>
      </c>
      <c r="G72" s="94"/>
      <c r="H72" s="94"/>
    </row>
    <row r="73" spans="1:8" s="36" customFormat="1" x14ac:dyDescent="0.35">
      <c r="A73" s="92"/>
      <c r="B73" s="92"/>
      <c r="C73" s="92"/>
      <c r="D73" s="91" t="s">
        <v>173</v>
      </c>
      <c r="E73" s="91" t="s">
        <v>188</v>
      </c>
      <c r="F73" s="94" t="s">
        <v>181</v>
      </c>
      <c r="G73" s="94"/>
      <c r="H73" s="94"/>
    </row>
    <row r="74" spans="1:8" s="36" customFormat="1" x14ac:dyDescent="0.35">
      <c r="A74" s="92"/>
      <c r="B74" s="92"/>
      <c r="C74" s="92"/>
      <c r="D74" s="91" t="s">
        <v>175</v>
      </c>
      <c r="E74" s="91" t="s">
        <v>189</v>
      </c>
      <c r="F74" s="94" t="s">
        <v>181</v>
      </c>
      <c r="G74" s="94"/>
      <c r="H74" s="94"/>
    </row>
    <row r="75" spans="1:8" s="36" customFormat="1" x14ac:dyDescent="0.35">
      <c r="A75" s="92"/>
      <c r="B75" s="92"/>
      <c r="C75" s="92"/>
      <c r="D75" s="91" t="s">
        <v>177</v>
      </c>
      <c r="E75" s="91" t="s">
        <v>190</v>
      </c>
      <c r="F75" s="94" t="s">
        <v>181</v>
      </c>
      <c r="G75" s="94"/>
      <c r="H75" s="94"/>
    </row>
    <row r="76" spans="1:8" s="36" customFormat="1" x14ac:dyDescent="0.35">
      <c r="A76" s="92" t="s">
        <v>191</v>
      </c>
      <c r="B76" s="92" t="s">
        <v>192</v>
      </c>
      <c r="C76" s="92"/>
      <c r="D76" s="91" t="s">
        <v>171</v>
      </c>
      <c r="E76" s="91" t="s">
        <v>188</v>
      </c>
      <c r="F76" s="94" t="s">
        <v>181</v>
      </c>
      <c r="G76" s="94"/>
      <c r="H76" s="94"/>
    </row>
    <row r="77" spans="1:8" s="36" customFormat="1" x14ac:dyDescent="0.35">
      <c r="A77" s="92"/>
      <c r="B77" s="92"/>
      <c r="C77" s="92"/>
      <c r="D77" s="91" t="s">
        <v>173</v>
      </c>
      <c r="E77" s="91" t="s">
        <v>187</v>
      </c>
      <c r="F77" s="94" t="s">
        <v>181</v>
      </c>
      <c r="G77" s="94"/>
      <c r="H77" s="94"/>
    </row>
    <row r="78" spans="1:8" s="36" customFormat="1" x14ac:dyDescent="0.35">
      <c r="A78" s="92"/>
      <c r="B78" s="92"/>
      <c r="C78" s="92"/>
      <c r="D78" s="91" t="s">
        <v>175</v>
      </c>
      <c r="E78" s="91" t="s">
        <v>190</v>
      </c>
      <c r="F78" s="94" t="s">
        <v>181</v>
      </c>
      <c r="G78" s="94"/>
      <c r="H78" s="94"/>
    </row>
    <row r="79" spans="1:8" s="36" customFormat="1" x14ac:dyDescent="0.35">
      <c r="A79" s="92"/>
      <c r="B79" s="92"/>
      <c r="C79" s="92"/>
      <c r="D79" s="91" t="s">
        <v>177</v>
      </c>
      <c r="E79" s="91" t="s">
        <v>189</v>
      </c>
      <c r="F79" s="94" t="s">
        <v>181</v>
      </c>
      <c r="G79" s="94"/>
      <c r="H79" s="94"/>
    </row>
    <row r="80" spans="1:8" s="36" customFormat="1" x14ac:dyDescent="0.35">
      <c r="A80" s="104" t="s">
        <v>318</v>
      </c>
      <c r="B80" s="104" t="s">
        <v>319</v>
      </c>
      <c r="C80" s="105"/>
      <c r="D80" s="68" t="s">
        <v>171</v>
      </c>
      <c r="E80" s="68" t="s">
        <v>322</v>
      </c>
      <c r="F80" s="94" t="s">
        <v>181</v>
      </c>
      <c r="G80" s="94"/>
      <c r="H80" s="94"/>
    </row>
    <row r="81" spans="1:19" s="36" customFormat="1" x14ac:dyDescent="0.35">
      <c r="A81" s="106"/>
      <c r="B81" s="106"/>
      <c r="C81" s="107"/>
      <c r="D81" s="68" t="s">
        <v>173</v>
      </c>
      <c r="E81" s="68" t="s">
        <v>323</v>
      </c>
      <c r="F81" s="94" t="s">
        <v>181</v>
      </c>
      <c r="G81" s="94"/>
      <c r="H81" s="94"/>
    </row>
    <row r="82" spans="1:19" s="36" customFormat="1" x14ac:dyDescent="0.35">
      <c r="A82" s="106"/>
      <c r="B82" s="106"/>
      <c r="C82" s="107"/>
      <c r="D82" s="68" t="s">
        <v>175</v>
      </c>
      <c r="E82" s="68" t="s">
        <v>322</v>
      </c>
      <c r="F82" s="94" t="s">
        <v>181</v>
      </c>
      <c r="G82" s="94"/>
      <c r="H82" s="94"/>
    </row>
    <row r="83" spans="1:19" s="36" customFormat="1" x14ac:dyDescent="0.35">
      <c r="A83" s="106"/>
      <c r="B83" s="106"/>
      <c r="C83" s="107"/>
      <c r="D83" s="68" t="s">
        <v>177</v>
      </c>
      <c r="E83" s="68" t="s">
        <v>324</v>
      </c>
      <c r="F83" s="94" t="s">
        <v>181</v>
      </c>
      <c r="G83" s="94"/>
      <c r="H83" s="94"/>
    </row>
    <row r="84" spans="1:19" s="36" customFormat="1" x14ac:dyDescent="0.35">
      <c r="A84" s="106"/>
      <c r="B84" s="106"/>
      <c r="C84" s="107"/>
      <c r="D84" s="68" t="s">
        <v>320</v>
      </c>
      <c r="E84" s="68" t="s">
        <v>17</v>
      </c>
      <c r="F84" s="94" t="s">
        <v>181</v>
      </c>
      <c r="G84" s="94"/>
      <c r="H84" s="94"/>
    </row>
    <row r="85" spans="1:19" s="36" customFormat="1" x14ac:dyDescent="0.35">
      <c r="A85" s="108"/>
      <c r="B85" s="108"/>
      <c r="C85" s="109"/>
      <c r="D85" s="68" t="s">
        <v>321</v>
      </c>
      <c r="E85" s="68" t="s">
        <v>324</v>
      </c>
      <c r="F85" s="94" t="s">
        <v>181</v>
      </c>
      <c r="G85" s="94"/>
      <c r="H85" s="94"/>
    </row>
    <row r="86" spans="1:19" s="36" customFormat="1" ht="17.25" customHeight="1" x14ac:dyDescent="0.35">
      <c r="A86" s="110" t="s">
        <v>193</v>
      </c>
      <c r="B86" s="110"/>
      <c r="C86" s="110"/>
      <c r="D86" s="110"/>
      <c r="E86" s="110" t="s">
        <v>285</v>
      </c>
      <c r="F86" s="110"/>
      <c r="G86" s="110"/>
      <c r="H86" s="110"/>
    </row>
    <row r="87" spans="1:19" s="36" customFormat="1" ht="17.25" customHeight="1" x14ac:dyDescent="0.35">
      <c r="A87" s="110" t="s">
        <v>194</v>
      </c>
      <c r="B87" s="110"/>
      <c r="C87" s="110" t="s">
        <v>195</v>
      </c>
      <c r="D87" s="110"/>
      <c r="E87" s="110" t="s">
        <v>367</v>
      </c>
      <c r="F87" s="110" t="s">
        <v>195</v>
      </c>
      <c r="G87" s="110" t="s">
        <v>195</v>
      </c>
      <c r="H87" s="110" t="s">
        <v>195</v>
      </c>
    </row>
    <row r="88" spans="1:19" s="36" customFormat="1" ht="17.25" customHeight="1" x14ac:dyDescent="0.35">
      <c r="A88" s="110" t="s">
        <v>196</v>
      </c>
      <c r="B88" s="110"/>
      <c r="C88" s="110" t="s">
        <v>125</v>
      </c>
      <c r="D88" s="110"/>
      <c r="E88" s="110" t="s">
        <v>125</v>
      </c>
      <c r="F88" s="110" t="s">
        <v>125</v>
      </c>
      <c r="G88" s="110" t="s">
        <v>125</v>
      </c>
      <c r="H88" s="110" t="s">
        <v>125</v>
      </c>
    </row>
    <row r="89" spans="1:19" s="36" customFormat="1" ht="18.75" customHeight="1" thickBot="1" x14ac:dyDescent="0.4">
      <c r="A89" s="110" t="s">
        <v>197</v>
      </c>
      <c r="B89" s="110"/>
      <c r="C89" s="110"/>
      <c r="D89" s="110" t="s">
        <v>269</v>
      </c>
      <c r="E89" s="110"/>
      <c r="F89" s="110"/>
      <c r="G89" s="110"/>
      <c r="H89" s="110"/>
    </row>
    <row r="90" spans="1:19" s="40" customFormat="1" ht="33.75" customHeight="1" x14ac:dyDescent="0.35">
      <c r="A90" s="169" t="s">
        <v>74</v>
      </c>
      <c r="B90" s="170"/>
      <c r="C90" s="171" t="s">
        <v>283</v>
      </c>
      <c r="D90" s="172"/>
      <c r="E90" s="172"/>
      <c r="F90" s="172"/>
      <c r="G90" s="172"/>
      <c r="H90" s="173"/>
      <c r="I90" s="27" t="str">
        <f ca="1">(IF(E96&gt;99%,"All work completed. Please provide OC.",IF(E96&gt;89.8%,"Plinth, RCC, Brick, Plaster, Flooring, Painting work Completed. Finishing work is in process.",IF(E96&lt;94%,(IF(C96=0,"Work not yet Started.",IF(D96=25%,"Piling work in process",IF(D96=50%,"Excavation work in process",IF(D96=100%,"Excavation work Completed. ","0")))&amp;(IF(C97=0%,"",IF(C97=J98,"Footing work is process",IF(C97=J99,"Footing work Completed",IF(C97=J100,"1st Basement Completed",IF(C97=J101,"1st &amp; 2nd Basement Completed",IF(C97=J102,"1st to 3rd Basement Completed",IF(C97=J103,"1st to 4th Basement Completed",IF(C97=J104,"Plinth work is process",IF(C97=J105,"Plinth work completed","0")))))))))))&amp;(IF(C98=(D91+F91+H91),", RCC Slab",IF(C98&gt;0,", RCC upto "&amp;C98&amp;" Slab",""))&amp;(IF(C99=H91,", Brickwork",IF(C99&gt;0,", Brickwork upto "&amp;C99&amp;" Floor",""))&amp;(IF(C100=H91,", Internal Plaster",IF(C100&gt;0,", Internal Plaster upto "&amp;C100&amp;" Floor",""))&amp;(IF(C101=H91,", External Plaster",IF(C101&gt;0,", External Plaster upto "&amp;C101&amp;" Floor",""))&amp;(IF(C102=H91,", Flooring",IF(C102&gt;0,", Flooring upto "&amp;C102&amp;" Floor",""))&amp;(IF(C103=H91,", Painting",IF(C103&gt;0,", Painting upto "&amp;C103&amp;" Floor",""))&amp;(IF(C104&gt;0,", Finishing upto "&amp;C104&amp;" Floor","")&amp;(IF(C98&gt;0.5," Completed",""))))))))))))))</f>
        <v>All work completed. Please provide OC.</v>
      </c>
      <c r="J90" s="8"/>
      <c r="K90" s="39"/>
      <c r="L90" s="39"/>
      <c r="M90" s="39"/>
      <c r="N90" s="39"/>
      <c r="O90" s="39"/>
      <c r="P90" s="39"/>
      <c r="Q90" s="39"/>
      <c r="R90" s="39"/>
      <c r="S90" s="39"/>
    </row>
    <row r="91" spans="1:19" s="36" customFormat="1" ht="17.25" customHeight="1" x14ac:dyDescent="0.35">
      <c r="A91" s="33" t="s">
        <v>76</v>
      </c>
      <c r="B91" s="35">
        <v>0</v>
      </c>
      <c r="C91" s="35" t="s">
        <v>34</v>
      </c>
      <c r="D91" s="35">
        <v>1</v>
      </c>
      <c r="E91" s="35" t="s">
        <v>33</v>
      </c>
      <c r="F91" s="35">
        <v>0</v>
      </c>
      <c r="G91" s="35" t="s">
        <v>37</v>
      </c>
      <c r="H91" s="34">
        <f ca="1">--TRIM(RIGHT(SUBSTITUTE(LEFT(C90,_xlfn.AGGREGATE(16,6,FIND({0,1,2,3,4,5,6,7,8,9},C90,ROW(INDIRECT("1:"&amp;LEN(C90)))),1))," ",REPT(" ",LEN(C90))),LEN(C90)))</f>
        <v>6</v>
      </c>
      <c r="I91" s="28"/>
      <c r="J91" s="9"/>
      <c r="K91" s="41"/>
      <c r="L91" s="41"/>
      <c r="M91" s="41"/>
      <c r="N91" s="41"/>
      <c r="O91" s="41"/>
      <c r="P91" s="41"/>
      <c r="Q91" s="41"/>
      <c r="R91" s="41"/>
      <c r="S91" s="41"/>
    </row>
    <row r="92" spans="1:19" s="36" customFormat="1" ht="17.25" customHeight="1" x14ac:dyDescent="0.35">
      <c r="A92" s="186" t="s">
        <v>41</v>
      </c>
      <c r="B92" s="187"/>
      <c r="C92" s="161" t="str">
        <f>I92</f>
        <v>All work Completed. OC Received.</v>
      </c>
      <c r="D92" s="161"/>
      <c r="E92" s="161"/>
      <c r="F92" s="161"/>
      <c r="G92" s="161"/>
      <c r="H92" s="162"/>
      <c r="I92" s="28" t="s">
        <v>47</v>
      </c>
      <c r="J92" s="9"/>
      <c r="K92" s="41"/>
      <c r="L92" s="41"/>
      <c r="M92" s="41"/>
      <c r="N92" s="41"/>
      <c r="O92" s="41"/>
      <c r="P92" s="41"/>
      <c r="Q92" s="41"/>
      <c r="R92" s="41"/>
      <c r="S92" s="41"/>
    </row>
    <row r="93" spans="1:19" s="36" customFormat="1" ht="17.25" customHeight="1" x14ac:dyDescent="0.35">
      <c r="A93" s="188" t="s">
        <v>40</v>
      </c>
      <c r="B93" s="189"/>
      <c r="C93" s="129">
        <v>1</v>
      </c>
      <c r="D93" s="115"/>
      <c r="E93" s="114" t="s">
        <v>39</v>
      </c>
      <c r="F93" s="115"/>
      <c r="G93" s="129">
        <v>1</v>
      </c>
      <c r="H93" s="130"/>
      <c r="I93" s="28"/>
      <c r="J93" s="9"/>
      <c r="K93" s="41"/>
      <c r="L93" s="41"/>
      <c r="M93" s="41"/>
      <c r="N93" s="41"/>
      <c r="O93" s="41"/>
      <c r="P93" s="41"/>
      <c r="Q93" s="41"/>
      <c r="R93" s="41"/>
      <c r="S93" s="41"/>
    </row>
    <row r="94" spans="1:19" s="36" customFormat="1" ht="17.25" customHeight="1" thickBot="1" x14ac:dyDescent="0.4">
      <c r="A94" s="190"/>
      <c r="B94" s="191"/>
      <c r="C94" s="116"/>
      <c r="D94" s="117"/>
      <c r="E94" s="116"/>
      <c r="F94" s="117"/>
      <c r="G94" s="116"/>
      <c r="H94" s="131"/>
      <c r="I94" s="28"/>
      <c r="J94" s="9"/>
      <c r="K94" s="41"/>
      <c r="L94" s="41"/>
      <c r="M94" s="41"/>
      <c r="N94" s="41"/>
      <c r="O94" s="41"/>
      <c r="P94" s="41"/>
      <c r="Q94" s="41"/>
      <c r="R94" s="41"/>
      <c r="S94" s="41"/>
    </row>
    <row r="95" spans="1:19" s="36" customFormat="1" hidden="1" x14ac:dyDescent="0.35">
      <c r="A95" s="197" t="s">
        <v>1</v>
      </c>
      <c r="B95" s="163"/>
      <c r="C95" s="59" t="s">
        <v>73</v>
      </c>
      <c r="D95" s="60" t="s">
        <v>38</v>
      </c>
      <c r="E95" s="163" t="s">
        <v>40</v>
      </c>
      <c r="F95" s="163"/>
      <c r="G95" s="163" t="s">
        <v>39</v>
      </c>
      <c r="H95" s="164"/>
      <c r="I95" s="25" t="s">
        <v>75</v>
      </c>
      <c r="J95" s="10">
        <f ca="1">H91*25%</f>
        <v>1.5</v>
      </c>
      <c r="K95" s="41"/>
      <c r="L95" s="41"/>
      <c r="M95" s="41"/>
      <c r="N95" s="41"/>
      <c r="O95" s="41"/>
      <c r="P95" s="41"/>
      <c r="Q95" s="41"/>
      <c r="R95" s="41"/>
      <c r="S95" s="41"/>
    </row>
    <row r="96" spans="1:19" s="36" customFormat="1" ht="17.25" hidden="1" customHeight="1" x14ac:dyDescent="0.35">
      <c r="A96" s="165" t="s">
        <v>63</v>
      </c>
      <c r="B96" s="166"/>
      <c r="C96" s="44">
        <f ca="1">J97</f>
        <v>6</v>
      </c>
      <c r="D96" s="49">
        <f ca="1">((100/H91)*C96)/100</f>
        <v>1</v>
      </c>
      <c r="E96" s="141">
        <f ca="1">(((C97/H91*10)+(40/(D91+F91+H91)*C98)+(7.5/(H91)*C99)+(7.5/(H91)*C100)+(10/H91*C101)+(10/H91*C102)+(5/H91*C103)+(5/H91*C104)+(5/H91*C105))/100)</f>
        <v>1</v>
      </c>
      <c r="F96" s="141"/>
      <c r="G96" s="141">
        <f ca="1">((((C96/H91)*20)+((C97/H91)*25)+(30/(H91+F91+D91)*C98)+(5/H91*C99)+(5/H91*C100)+(5/H91*C101)+(5/H91*C102)+(0/H91*C103)+(0/H91*C104)+(5/H91*C105))/100)</f>
        <v>1</v>
      </c>
      <c r="H96" s="181"/>
      <c r="I96" s="25" t="s">
        <v>42</v>
      </c>
      <c r="J96" s="26">
        <f ca="1">H91*50%</f>
        <v>3</v>
      </c>
      <c r="K96" s="41"/>
      <c r="L96" s="41"/>
      <c r="M96" s="41"/>
      <c r="N96" s="41"/>
      <c r="O96" s="41"/>
      <c r="P96" s="41"/>
      <c r="Q96" s="41"/>
      <c r="R96" s="41"/>
      <c r="S96" s="41"/>
    </row>
    <row r="97" spans="1:19" s="36" customFormat="1" ht="17.25" hidden="1" customHeight="1" x14ac:dyDescent="0.35">
      <c r="A97" s="165" t="s">
        <v>2</v>
      </c>
      <c r="B97" s="166"/>
      <c r="C97" s="45">
        <f ca="1">J105</f>
        <v>6</v>
      </c>
      <c r="D97" s="49">
        <f ca="1">((100/H91)*C97)/100</f>
        <v>1</v>
      </c>
      <c r="E97" s="141"/>
      <c r="F97" s="141"/>
      <c r="G97" s="141"/>
      <c r="H97" s="181"/>
      <c r="I97" s="25" t="s">
        <v>43</v>
      </c>
      <c r="J97" s="26">
        <f ca="1">H91</f>
        <v>6</v>
      </c>
      <c r="K97" s="41"/>
      <c r="L97" s="41"/>
      <c r="M97" s="41"/>
      <c r="N97" s="41"/>
      <c r="O97" s="41"/>
      <c r="P97" s="41"/>
      <c r="Q97" s="41"/>
      <c r="R97" s="41"/>
      <c r="S97" s="41"/>
    </row>
    <row r="98" spans="1:19" s="36" customFormat="1" ht="17.25" hidden="1" customHeight="1" x14ac:dyDescent="0.35">
      <c r="A98" s="165" t="s">
        <v>265</v>
      </c>
      <c r="B98" s="166"/>
      <c r="C98" s="45">
        <f ca="1">D91+H91</f>
        <v>7</v>
      </c>
      <c r="D98" s="49">
        <f ca="1">((100/(D91+F91+H91))*C98)/100</f>
        <v>1</v>
      </c>
      <c r="E98" s="141"/>
      <c r="F98" s="141"/>
      <c r="G98" s="141"/>
      <c r="H98" s="181"/>
      <c r="I98" s="25" t="s">
        <v>44</v>
      </c>
      <c r="J98" s="30">
        <f ca="1">(IF(B91&gt;1,(H91/(B91+2)),H91/4))</f>
        <v>1.5</v>
      </c>
      <c r="K98" s="41"/>
      <c r="L98" s="41"/>
      <c r="M98" s="41"/>
      <c r="N98" s="41"/>
      <c r="O98" s="41"/>
      <c r="P98" s="41"/>
      <c r="Q98" s="41"/>
      <c r="R98" s="41"/>
      <c r="S98" s="41"/>
    </row>
    <row r="99" spans="1:19" s="36" customFormat="1" hidden="1" x14ac:dyDescent="0.35">
      <c r="A99" s="165" t="s">
        <v>70</v>
      </c>
      <c r="B99" s="166" t="s">
        <v>64</v>
      </c>
      <c r="C99" s="44">
        <v>6</v>
      </c>
      <c r="D99" s="49">
        <f ca="1">((100/H91)*C99)/100</f>
        <v>1</v>
      </c>
      <c r="E99" s="141"/>
      <c r="F99" s="141"/>
      <c r="G99" s="141"/>
      <c r="H99" s="181"/>
      <c r="I99" s="25" t="s">
        <v>45</v>
      </c>
      <c r="J99" s="30">
        <f ca="1">(IF(B91&gt;1,(H91/(B91+2)+J98),H91/4+J98))</f>
        <v>3</v>
      </c>
      <c r="K99" s="41"/>
      <c r="L99" s="41"/>
      <c r="M99" s="41"/>
      <c r="N99" s="41"/>
      <c r="O99" s="41"/>
      <c r="P99" s="41"/>
      <c r="Q99" s="41"/>
      <c r="R99" s="41"/>
      <c r="S99" s="41"/>
    </row>
    <row r="100" spans="1:19" s="36" customFormat="1" hidden="1" x14ac:dyDescent="0.35">
      <c r="A100" s="165" t="s">
        <v>71</v>
      </c>
      <c r="B100" s="166" t="s">
        <v>64</v>
      </c>
      <c r="C100" s="44">
        <v>6</v>
      </c>
      <c r="D100" s="49">
        <f ca="1">((100/H91)*C100)/100</f>
        <v>1</v>
      </c>
      <c r="E100" s="141"/>
      <c r="F100" s="141"/>
      <c r="G100" s="141"/>
      <c r="H100" s="181"/>
      <c r="I100" s="25" t="s">
        <v>80</v>
      </c>
      <c r="J100" s="30">
        <f>(IF(B91&gt;1,(H91/(B91+2)+J99),0))</f>
        <v>0</v>
      </c>
      <c r="K100" s="41"/>
      <c r="L100" s="41"/>
      <c r="M100" s="41"/>
      <c r="N100" s="41"/>
      <c r="O100" s="41"/>
      <c r="P100" s="41"/>
      <c r="Q100" s="41"/>
      <c r="R100" s="41"/>
      <c r="S100" s="41"/>
    </row>
    <row r="101" spans="1:19" s="36" customFormat="1" ht="17.25" hidden="1" customHeight="1" x14ac:dyDescent="0.35">
      <c r="A101" s="196" t="s">
        <v>69</v>
      </c>
      <c r="B101" s="168" t="s">
        <v>66</v>
      </c>
      <c r="C101" s="44">
        <v>6</v>
      </c>
      <c r="D101" s="49">
        <f ca="1">((100/(H91))*C101)/100</f>
        <v>1</v>
      </c>
      <c r="E101" s="141"/>
      <c r="F101" s="141"/>
      <c r="G101" s="141"/>
      <c r="H101" s="181"/>
      <c r="I101" s="25" t="s">
        <v>77</v>
      </c>
      <c r="J101" s="30">
        <f>(IF(B91&gt;2,(H91/(B91+2)+J100),0))</f>
        <v>0</v>
      </c>
      <c r="K101" s="41"/>
      <c r="L101" s="41"/>
      <c r="M101" s="41"/>
      <c r="N101" s="41"/>
      <c r="O101" s="41"/>
      <c r="P101" s="41"/>
      <c r="Q101" s="41"/>
      <c r="R101" s="41"/>
      <c r="S101" s="41"/>
    </row>
    <row r="102" spans="1:19" s="36" customFormat="1" ht="17.25" hidden="1" customHeight="1" x14ac:dyDescent="0.35">
      <c r="A102" s="165" t="s">
        <v>65</v>
      </c>
      <c r="B102" s="166" t="s">
        <v>65</v>
      </c>
      <c r="C102" s="44">
        <v>6</v>
      </c>
      <c r="D102" s="49">
        <f ca="1">((100/H91)*C102)/100</f>
        <v>1</v>
      </c>
      <c r="E102" s="141"/>
      <c r="F102" s="141"/>
      <c r="G102" s="141"/>
      <c r="H102" s="181"/>
      <c r="I102" s="25" t="s">
        <v>78</v>
      </c>
      <c r="J102" s="31">
        <f>(IF(B91&gt;3,(H91/(B91+2)+J101),0))</f>
        <v>0</v>
      </c>
      <c r="K102" s="41"/>
      <c r="L102" s="41"/>
      <c r="M102" s="41"/>
      <c r="N102" s="41"/>
      <c r="O102" s="41"/>
      <c r="P102" s="41"/>
      <c r="Q102" s="41"/>
      <c r="R102" s="41"/>
      <c r="S102" s="41"/>
    </row>
    <row r="103" spans="1:19" s="36" customFormat="1" hidden="1" x14ac:dyDescent="0.35">
      <c r="A103" s="165" t="s">
        <v>72</v>
      </c>
      <c r="B103" s="166"/>
      <c r="C103" s="44">
        <v>6</v>
      </c>
      <c r="D103" s="49">
        <f ca="1">((100/H91)*C103)/100</f>
        <v>1</v>
      </c>
      <c r="E103" s="141"/>
      <c r="F103" s="141"/>
      <c r="G103" s="141"/>
      <c r="H103" s="181"/>
      <c r="I103" s="25" t="s">
        <v>79</v>
      </c>
      <c r="J103" s="30">
        <f>(IF(B91&gt;4,(H91/(B91+2)+J102),0))</f>
        <v>0</v>
      </c>
      <c r="K103" s="41"/>
      <c r="L103" s="41"/>
      <c r="M103" s="41"/>
      <c r="N103" s="41"/>
      <c r="O103" s="41"/>
      <c r="P103" s="41"/>
      <c r="Q103" s="41"/>
      <c r="R103" s="41"/>
      <c r="S103" s="41"/>
    </row>
    <row r="104" spans="1:19" s="36" customFormat="1" hidden="1" x14ac:dyDescent="0.35">
      <c r="A104" s="165" t="s">
        <v>67</v>
      </c>
      <c r="B104" s="166" t="s">
        <v>67</v>
      </c>
      <c r="C104" s="44">
        <v>6</v>
      </c>
      <c r="D104" s="49">
        <f ca="1">((100/(H91))*C104)/100</f>
        <v>1</v>
      </c>
      <c r="E104" s="141"/>
      <c r="F104" s="141"/>
      <c r="G104" s="141"/>
      <c r="H104" s="181"/>
      <c r="I104" s="25" t="s">
        <v>81</v>
      </c>
      <c r="J104" s="30">
        <f ca="1">(IF(B91=1,(H91/(B91+3)+J99),IF(B91=0,(H91/4+J99),IF(B91&gt;1,0))))</f>
        <v>4.5</v>
      </c>
      <c r="K104" s="41"/>
      <c r="L104" s="41"/>
      <c r="M104" s="41"/>
      <c r="N104" s="41"/>
      <c r="O104" s="41"/>
      <c r="P104" s="41"/>
      <c r="Q104" s="41"/>
      <c r="R104" s="41"/>
      <c r="S104" s="41"/>
    </row>
    <row r="105" spans="1:19" s="43" customFormat="1" ht="17.25" hidden="1" customHeight="1" thickBot="1" x14ac:dyDescent="0.4">
      <c r="A105" s="102" t="s">
        <v>68</v>
      </c>
      <c r="B105" s="103"/>
      <c r="C105" s="46">
        <v>6</v>
      </c>
      <c r="D105" s="50">
        <f ca="1">((100/(H91))*C105)/100</f>
        <v>1</v>
      </c>
      <c r="E105" s="142"/>
      <c r="F105" s="142"/>
      <c r="G105" s="142"/>
      <c r="H105" s="182"/>
      <c r="I105" s="29" t="s">
        <v>46</v>
      </c>
      <c r="J105" s="32">
        <f ca="1">(IF(B91&gt;1.5,(H91/(B91+2)+J99+MAX(0,J100-J99)+MAX(0,J101-J100)+MAX(0,J102-J101)+MAX(0,J103-J102)+MAX(0,J104-J103)),IF(B91=1,(H91/(B91+3)+J104),IF(B91=0,H91/4+J104))))</f>
        <v>6</v>
      </c>
      <c r="K105" s="42"/>
      <c r="L105" s="42"/>
      <c r="M105" s="42"/>
      <c r="N105" s="42"/>
      <c r="O105" s="42"/>
      <c r="P105" s="42"/>
      <c r="Q105" s="42"/>
      <c r="R105" s="42"/>
      <c r="S105" s="42"/>
    </row>
    <row r="106" spans="1:19" s="40" customFormat="1" ht="94.5" customHeight="1" x14ac:dyDescent="0.35">
      <c r="A106" s="112" t="s">
        <v>74</v>
      </c>
      <c r="B106" s="113"/>
      <c r="C106" s="171" t="s">
        <v>325</v>
      </c>
      <c r="D106" s="172"/>
      <c r="E106" s="172"/>
      <c r="F106" s="172"/>
      <c r="G106" s="172"/>
      <c r="H106" s="173"/>
      <c r="I106" s="27" t="str">
        <f>(IF(E112&gt;99%,"All work completed. Please provide OC.",IF(E112&gt;89.8%,"Plinth, RCC, Brick, Plaster, Flooring, Painting work Completed. Finishing work is in process.",IF(E112&lt;94%,(IF(C112=0,"Work not yet Started.",IF(D112=25%,"Piling work in process",IF(D112=50%,"Excavation work in process",IF(D112=100%,"Excavation work Completed. ","0")))&amp;(IF(C113=0%,"",IF(C113=J114,"Footing work is process",IF(C113=J115,"Footing work Completed",IF(C113=J116,"1st Basement Completed",IF(C113=J117,"1st &amp; 2nd Basement Completed",IF(C113=J118,"1st to 3rd Basement Completed",IF(C113=J119,"1st to 4th Basement Completed",IF(C113=J120,"Plinth work is process",IF(C113=J121,"Plinth work completed","0")))))))))))&amp;(IF(C114=(D107+F107+H107),", RCC Slab",IF(C114&gt;0,", RCC upto "&amp;C114&amp;" Slab",""))&amp;(IF(C115=H107,", Brickwork",IF(C115&gt;0,", Brickwork upto "&amp;C115&amp;" Floor",""))&amp;(IF(C116=H107,", Internal Plaster",IF(C116&gt;0,", Internal Plaster upto "&amp;C116&amp;" Floor",""))&amp;(IF(C117=H107,", External Plaster",IF(C117&gt;0,", External Plaster upto "&amp;C117&amp;" Floor",""))&amp;(IF(C118=H107,", Flooring",IF(C118&gt;0,", Flooring upto "&amp;C118&amp;" Floor",""))&amp;(IF(C119=H107,", Painting",IF(C119&gt;0,", Painting upto "&amp;C119&amp;" Floor",""))&amp;(IF(C120&gt;0,", Finishing upto "&amp;C120&amp;" Floor","")&amp;(IF(C114&gt;0.5," Completed",""))))))))))))))</f>
        <v>All work completed. Please provide OC.</v>
      </c>
      <c r="J106" s="8"/>
      <c r="K106" s="39"/>
      <c r="L106" s="39"/>
      <c r="M106" s="39"/>
      <c r="N106" s="39"/>
      <c r="O106" s="39"/>
      <c r="P106" s="39"/>
      <c r="Q106" s="39"/>
      <c r="R106" s="39"/>
      <c r="S106" s="39"/>
    </row>
    <row r="107" spans="1:19" s="36" customFormat="1" ht="17.25" customHeight="1" x14ac:dyDescent="0.35">
      <c r="A107" s="33" t="s">
        <v>76</v>
      </c>
      <c r="B107" s="35">
        <v>0</v>
      </c>
      <c r="C107" s="35" t="s">
        <v>34</v>
      </c>
      <c r="D107" s="35">
        <v>1</v>
      </c>
      <c r="E107" s="35" t="s">
        <v>33</v>
      </c>
      <c r="F107" s="35">
        <v>0</v>
      </c>
      <c r="G107" s="35" t="s">
        <v>37</v>
      </c>
      <c r="H107" s="34">
        <v>7</v>
      </c>
      <c r="I107" s="28"/>
      <c r="J107" s="9"/>
      <c r="K107" s="41"/>
      <c r="L107" s="41"/>
      <c r="M107" s="41"/>
      <c r="N107" s="41"/>
      <c r="O107" s="41"/>
      <c r="P107" s="41"/>
      <c r="Q107" s="41"/>
      <c r="R107" s="41"/>
      <c r="S107" s="41"/>
    </row>
    <row r="108" spans="1:19" s="36" customFormat="1" ht="17.25" customHeight="1" x14ac:dyDescent="0.35">
      <c r="A108" s="186" t="s">
        <v>41</v>
      </c>
      <c r="B108" s="187"/>
      <c r="C108" s="161" t="str">
        <f>I108</f>
        <v>All work Completed. OC Received.</v>
      </c>
      <c r="D108" s="161"/>
      <c r="E108" s="161"/>
      <c r="F108" s="161"/>
      <c r="G108" s="161"/>
      <c r="H108" s="162"/>
      <c r="I108" s="28" t="s">
        <v>47</v>
      </c>
      <c r="J108" s="9"/>
      <c r="K108" s="41"/>
      <c r="L108" s="41"/>
      <c r="M108" s="41"/>
      <c r="N108" s="41"/>
      <c r="O108" s="41"/>
      <c r="P108" s="41"/>
      <c r="Q108" s="41"/>
      <c r="R108" s="41"/>
      <c r="S108" s="41"/>
    </row>
    <row r="109" spans="1:19" s="36" customFormat="1" ht="17.25" customHeight="1" x14ac:dyDescent="0.35">
      <c r="A109" s="188" t="s">
        <v>40</v>
      </c>
      <c r="B109" s="189"/>
      <c r="C109" s="129">
        <v>1</v>
      </c>
      <c r="D109" s="115"/>
      <c r="E109" s="114" t="s">
        <v>39</v>
      </c>
      <c r="F109" s="115"/>
      <c r="G109" s="129">
        <v>1</v>
      </c>
      <c r="H109" s="130"/>
      <c r="I109" s="28"/>
      <c r="J109" s="9"/>
      <c r="K109" s="41"/>
      <c r="L109" s="41"/>
      <c r="M109" s="41"/>
      <c r="N109" s="41"/>
      <c r="O109" s="41"/>
      <c r="P109" s="41"/>
      <c r="Q109" s="41"/>
      <c r="R109" s="41"/>
      <c r="S109" s="41"/>
    </row>
    <row r="110" spans="1:19" s="36" customFormat="1" ht="17.25" customHeight="1" thickBot="1" x14ac:dyDescent="0.4">
      <c r="A110" s="190"/>
      <c r="B110" s="191"/>
      <c r="C110" s="116"/>
      <c r="D110" s="117"/>
      <c r="E110" s="116"/>
      <c r="F110" s="117"/>
      <c r="G110" s="116"/>
      <c r="H110" s="131"/>
      <c r="I110" s="28"/>
      <c r="J110" s="9"/>
      <c r="K110" s="41"/>
      <c r="L110" s="41"/>
      <c r="M110" s="41"/>
      <c r="N110" s="41"/>
      <c r="O110" s="41"/>
      <c r="P110" s="41"/>
      <c r="Q110" s="41"/>
      <c r="R110" s="41"/>
      <c r="S110" s="41"/>
    </row>
    <row r="111" spans="1:19" s="36" customFormat="1" hidden="1" x14ac:dyDescent="0.35">
      <c r="A111" s="163" t="s">
        <v>1</v>
      </c>
      <c r="B111" s="163"/>
      <c r="C111" s="59" t="s">
        <v>73</v>
      </c>
      <c r="D111" s="60" t="s">
        <v>38</v>
      </c>
      <c r="E111" s="163" t="s">
        <v>40</v>
      </c>
      <c r="F111" s="163"/>
      <c r="G111" s="163" t="s">
        <v>39</v>
      </c>
      <c r="H111" s="163"/>
      <c r="I111" s="25" t="s">
        <v>75</v>
      </c>
      <c r="J111" s="10">
        <f>H107*25%</f>
        <v>1.75</v>
      </c>
      <c r="K111" s="41"/>
      <c r="L111" s="41"/>
      <c r="M111" s="41"/>
      <c r="N111" s="41"/>
      <c r="O111" s="41"/>
      <c r="P111" s="41"/>
      <c r="Q111" s="41"/>
      <c r="R111" s="41"/>
      <c r="S111" s="41"/>
    </row>
    <row r="112" spans="1:19" s="36" customFormat="1" ht="17.25" hidden="1" customHeight="1" x14ac:dyDescent="0.35">
      <c r="A112" s="166" t="s">
        <v>63</v>
      </c>
      <c r="B112" s="166"/>
      <c r="C112" s="44">
        <f>J113</f>
        <v>7</v>
      </c>
      <c r="D112" s="49">
        <f>((100/H107)*C112)/100</f>
        <v>1</v>
      </c>
      <c r="E112" s="141">
        <f>(((C113/H107*10)+(40/(D107+F107+H107)*C114)+(7.5/(H107)*C115)+(7.5/(H107)*C116)+(10/H107*C117)+(10/H107*C118)+(5/H107*C119)+(5/H107*C120)+(5/H107*C121))/100)</f>
        <v>1</v>
      </c>
      <c r="F112" s="141"/>
      <c r="G112" s="141">
        <f>((((C112/H107)*20)+((C113/H107)*25)+(30/(H107+F107+D107)*C114)+(5/H107*C115)+(5/H107*C116)+(5/H107*C117)+(5/H107*C118)+(0/H107*C119)+(0/H107*C120)+(5/H107*C121))/100)</f>
        <v>1</v>
      </c>
      <c r="H112" s="141"/>
      <c r="I112" s="25" t="s">
        <v>42</v>
      </c>
      <c r="J112" s="26">
        <f>H107*50%</f>
        <v>3.5</v>
      </c>
      <c r="K112" s="41"/>
      <c r="L112" s="41"/>
      <c r="M112" s="41"/>
      <c r="N112" s="41"/>
      <c r="O112" s="41"/>
      <c r="P112" s="41"/>
      <c r="Q112" s="41"/>
      <c r="R112" s="41"/>
      <c r="S112" s="41"/>
    </row>
    <row r="113" spans="1:19" s="36" customFormat="1" ht="17.25" hidden="1" customHeight="1" x14ac:dyDescent="0.35">
      <c r="A113" s="166" t="s">
        <v>2</v>
      </c>
      <c r="B113" s="166"/>
      <c r="C113" s="45">
        <f>J121</f>
        <v>7</v>
      </c>
      <c r="D113" s="49">
        <f>((100/H107)*C113)/100</f>
        <v>1</v>
      </c>
      <c r="E113" s="141"/>
      <c r="F113" s="141"/>
      <c r="G113" s="141"/>
      <c r="H113" s="141"/>
      <c r="I113" s="25" t="s">
        <v>43</v>
      </c>
      <c r="J113" s="26">
        <f>H107</f>
        <v>7</v>
      </c>
      <c r="K113" s="41"/>
      <c r="L113" s="41"/>
      <c r="M113" s="41"/>
      <c r="N113" s="41"/>
      <c r="O113" s="41"/>
      <c r="P113" s="41"/>
      <c r="Q113" s="41"/>
      <c r="R113" s="41"/>
      <c r="S113" s="41"/>
    </row>
    <row r="114" spans="1:19" s="36" customFormat="1" ht="17.25" hidden="1" customHeight="1" x14ac:dyDescent="0.35">
      <c r="A114" s="166" t="s">
        <v>265</v>
      </c>
      <c r="B114" s="166"/>
      <c r="C114" s="45">
        <f>D107+H107</f>
        <v>8</v>
      </c>
      <c r="D114" s="49">
        <f>((100/(D107+F107+H107))*C114)/100</f>
        <v>1</v>
      </c>
      <c r="E114" s="141"/>
      <c r="F114" s="141"/>
      <c r="G114" s="141"/>
      <c r="H114" s="141"/>
      <c r="I114" s="25" t="s">
        <v>44</v>
      </c>
      <c r="J114" s="30">
        <f>(IF(B107&gt;1,(H107/(B107+2)),H107/4))</f>
        <v>1.75</v>
      </c>
      <c r="K114" s="41"/>
      <c r="L114" s="41"/>
      <c r="M114" s="41"/>
      <c r="N114" s="41"/>
      <c r="O114" s="41"/>
      <c r="P114" s="41"/>
      <c r="Q114" s="41"/>
      <c r="R114" s="41"/>
      <c r="S114" s="41"/>
    </row>
    <row r="115" spans="1:19" s="36" customFormat="1" hidden="1" x14ac:dyDescent="0.35">
      <c r="A115" s="166" t="s">
        <v>70</v>
      </c>
      <c r="B115" s="166" t="s">
        <v>64</v>
      </c>
      <c r="C115" s="44">
        <v>7</v>
      </c>
      <c r="D115" s="49">
        <f>((100/H107)*C115)/100</f>
        <v>1</v>
      </c>
      <c r="E115" s="141"/>
      <c r="F115" s="141"/>
      <c r="G115" s="141"/>
      <c r="H115" s="141"/>
      <c r="I115" s="25" t="s">
        <v>45</v>
      </c>
      <c r="J115" s="30">
        <f>(IF(B107&gt;1,(H107/(B107+2)+J114),H107/4+J114))</f>
        <v>3.5</v>
      </c>
      <c r="K115" s="41"/>
      <c r="L115" s="41"/>
      <c r="M115" s="41"/>
      <c r="N115" s="41"/>
      <c r="O115" s="41"/>
      <c r="P115" s="41"/>
      <c r="Q115" s="41"/>
      <c r="R115" s="41"/>
      <c r="S115" s="41"/>
    </row>
    <row r="116" spans="1:19" s="36" customFormat="1" hidden="1" x14ac:dyDescent="0.35">
      <c r="A116" s="166" t="s">
        <v>71</v>
      </c>
      <c r="B116" s="166" t="s">
        <v>64</v>
      </c>
      <c r="C116" s="44">
        <v>7</v>
      </c>
      <c r="D116" s="49">
        <f>((100/H107)*C116)/100</f>
        <v>1</v>
      </c>
      <c r="E116" s="141"/>
      <c r="F116" s="141"/>
      <c r="G116" s="141"/>
      <c r="H116" s="141"/>
      <c r="I116" s="25" t="s">
        <v>80</v>
      </c>
      <c r="J116" s="30">
        <f>(IF(B107&gt;1,(H107/(B107+2)+J115),0))</f>
        <v>0</v>
      </c>
      <c r="K116" s="41"/>
      <c r="L116" s="41"/>
      <c r="M116" s="41"/>
      <c r="N116" s="41"/>
      <c r="O116" s="41"/>
      <c r="P116" s="41"/>
      <c r="Q116" s="41"/>
      <c r="R116" s="41"/>
      <c r="S116" s="41"/>
    </row>
    <row r="117" spans="1:19" s="36" customFormat="1" ht="17.25" hidden="1" customHeight="1" x14ac:dyDescent="0.35">
      <c r="A117" s="168" t="s">
        <v>69</v>
      </c>
      <c r="B117" s="168" t="s">
        <v>66</v>
      </c>
      <c r="C117" s="44">
        <v>7</v>
      </c>
      <c r="D117" s="49">
        <f>((100/(H107))*C117)/100</f>
        <v>1</v>
      </c>
      <c r="E117" s="141"/>
      <c r="F117" s="141"/>
      <c r="G117" s="141"/>
      <c r="H117" s="141"/>
      <c r="I117" s="25" t="s">
        <v>77</v>
      </c>
      <c r="J117" s="30">
        <f>(IF(B107&gt;2,(H107/(B107+2)+J116),0))</f>
        <v>0</v>
      </c>
      <c r="K117" s="41"/>
      <c r="L117" s="41"/>
      <c r="M117" s="41"/>
      <c r="N117" s="41"/>
      <c r="O117" s="41"/>
      <c r="P117" s="41"/>
      <c r="Q117" s="41"/>
      <c r="R117" s="41"/>
      <c r="S117" s="41"/>
    </row>
    <row r="118" spans="1:19" s="36" customFormat="1" ht="17.25" hidden="1" customHeight="1" x14ac:dyDescent="0.35">
      <c r="A118" s="166" t="s">
        <v>65</v>
      </c>
      <c r="B118" s="166" t="s">
        <v>65</v>
      </c>
      <c r="C118" s="44">
        <v>7</v>
      </c>
      <c r="D118" s="49">
        <f>((100/H107)*C118)/100</f>
        <v>1</v>
      </c>
      <c r="E118" s="141"/>
      <c r="F118" s="141"/>
      <c r="G118" s="141"/>
      <c r="H118" s="141"/>
      <c r="I118" s="25" t="s">
        <v>78</v>
      </c>
      <c r="J118" s="31">
        <f>(IF(B107&gt;3,(H107/(B107+2)+J117),0))</f>
        <v>0</v>
      </c>
      <c r="K118" s="41"/>
      <c r="L118" s="41"/>
      <c r="M118" s="41"/>
      <c r="N118" s="41"/>
      <c r="O118" s="41"/>
      <c r="P118" s="41"/>
      <c r="Q118" s="41"/>
      <c r="R118" s="41"/>
      <c r="S118" s="41"/>
    </row>
    <row r="119" spans="1:19" s="36" customFormat="1" hidden="1" x14ac:dyDescent="0.35">
      <c r="A119" s="166" t="s">
        <v>72</v>
      </c>
      <c r="B119" s="166"/>
      <c r="C119" s="44">
        <v>7</v>
      </c>
      <c r="D119" s="49">
        <f>((100/H107)*C119)/100</f>
        <v>1</v>
      </c>
      <c r="E119" s="141"/>
      <c r="F119" s="141"/>
      <c r="G119" s="141"/>
      <c r="H119" s="141"/>
      <c r="I119" s="25" t="s">
        <v>79</v>
      </c>
      <c r="J119" s="30">
        <f>(IF(B107&gt;4,(H107/(B107+2)+J118),0))</f>
        <v>0</v>
      </c>
      <c r="K119" s="41"/>
      <c r="L119" s="41"/>
      <c r="M119" s="41"/>
      <c r="N119" s="41"/>
      <c r="O119" s="41"/>
      <c r="P119" s="41"/>
      <c r="Q119" s="41"/>
      <c r="R119" s="41"/>
      <c r="S119" s="41"/>
    </row>
    <row r="120" spans="1:19" s="36" customFormat="1" hidden="1" x14ac:dyDescent="0.35">
      <c r="A120" s="166" t="s">
        <v>67</v>
      </c>
      <c r="B120" s="166" t="s">
        <v>67</v>
      </c>
      <c r="C120" s="44">
        <v>7</v>
      </c>
      <c r="D120" s="49">
        <f>((100/(H107))*C120)/100</f>
        <v>1</v>
      </c>
      <c r="E120" s="141"/>
      <c r="F120" s="141"/>
      <c r="G120" s="141"/>
      <c r="H120" s="141"/>
      <c r="I120" s="25" t="s">
        <v>81</v>
      </c>
      <c r="J120" s="30">
        <f>(IF(B107=1,(H107/(B107+3)+J115),IF(B107=0,(H107/4+J115),IF(B107&gt;1,0))))</f>
        <v>5.25</v>
      </c>
      <c r="K120" s="41"/>
      <c r="L120" s="41"/>
      <c r="M120" s="41"/>
      <c r="N120" s="41"/>
      <c r="O120" s="41"/>
      <c r="P120" s="41"/>
      <c r="Q120" s="41"/>
      <c r="R120" s="41"/>
      <c r="S120" s="41"/>
    </row>
    <row r="121" spans="1:19" s="43" customFormat="1" ht="17.25" hidden="1" customHeight="1" thickBot="1" x14ac:dyDescent="0.4">
      <c r="A121" s="166" t="s">
        <v>68</v>
      </c>
      <c r="B121" s="166"/>
      <c r="C121" s="44">
        <v>7</v>
      </c>
      <c r="D121" s="49">
        <f>((100/(H107))*C121)/100</f>
        <v>1</v>
      </c>
      <c r="E121" s="141"/>
      <c r="F121" s="141"/>
      <c r="G121" s="141"/>
      <c r="H121" s="141"/>
      <c r="I121" s="29" t="s">
        <v>46</v>
      </c>
      <c r="J121" s="32">
        <f>(IF(B107&gt;1.5,(H107/(B107+2)+J115+MAX(0,J116-J115)+MAX(0,J117-J116)+MAX(0,J118-J117)+MAX(0,J119-J118)+MAX(0,J120-J119)),IF(B107=1,(H107/(B107+3)+J120),IF(B107=0,H107/4+J120))))</f>
        <v>7</v>
      </c>
      <c r="K121" s="42"/>
      <c r="L121" s="42"/>
      <c r="M121" s="42"/>
      <c r="N121" s="42"/>
      <c r="O121" s="42"/>
      <c r="P121" s="42"/>
      <c r="Q121" s="42"/>
      <c r="R121" s="42"/>
      <c r="S121" s="42"/>
    </row>
    <row r="122" spans="1:19" s="36" customFormat="1" ht="17.25" customHeight="1" x14ac:dyDescent="0.35">
      <c r="A122" s="110" t="s">
        <v>268</v>
      </c>
      <c r="B122" s="110"/>
      <c r="C122" s="110"/>
      <c r="D122" s="110"/>
      <c r="E122" s="110"/>
      <c r="F122" s="110"/>
      <c r="G122" s="110"/>
      <c r="H122" s="110"/>
    </row>
    <row r="123" spans="1:19" s="36" customFormat="1" ht="17.25" customHeight="1" x14ac:dyDescent="0.35">
      <c r="A123" s="110" t="s">
        <v>198</v>
      </c>
      <c r="B123" s="110"/>
      <c r="C123" s="110"/>
      <c r="D123" s="110"/>
      <c r="E123" s="110"/>
      <c r="F123" s="110"/>
      <c r="G123" s="110"/>
      <c r="H123" s="110"/>
    </row>
    <row r="124" spans="1:19" s="36" customFormat="1" ht="17.25" customHeight="1" x14ac:dyDescent="0.35">
      <c r="A124" s="140" t="s">
        <v>199</v>
      </c>
      <c r="B124" s="140"/>
      <c r="C124" s="110" t="s">
        <v>200</v>
      </c>
      <c r="D124" s="110"/>
      <c r="E124" s="110"/>
      <c r="F124" s="110"/>
      <c r="G124" s="110"/>
      <c r="H124" s="110"/>
    </row>
    <row r="125" spans="1:19" s="36" customFormat="1" ht="17.25" customHeight="1" x14ac:dyDescent="0.35">
      <c r="A125" s="140" t="s">
        <v>201</v>
      </c>
      <c r="B125" s="140"/>
      <c r="C125" s="140"/>
      <c r="D125" s="140"/>
      <c r="E125" s="140"/>
      <c r="F125" s="140"/>
      <c r="G125" s="140"/>
      <c r="H125" s="140"/>
    </row>
    <row r="126" spans="1:19" s="36" customFormat="1" ht="17.25" customHeight="1" x14ac:dyDescent="0.35">
      <c r="A126" s="110" t="s">
        <v>202</v>
      </c>
      <c r="B126" s="110"/>
      <c r="C126" s="110"/>
      <c r="D126" s="110"/>
      <c r="E126" s="183">
        <v>4500</v>
      </c>
      <c r="F126" s="183"/>
      <c r="G126" s="183"/>
      <c r="H126" s="183"/>
      <c r="I126" s="77" t="s">
        <v>310</v>
      </c>
      <c r="J126" s="78" t="s">
        <v>309</v>
      </c>
      <c r="K126" s="79">
        <v>44907</v>
      </c>
      <c r="L126" s="77" t="s">
        <v>311</v>
      </c>
    </row>
    <row r="127" spans="1:19" s="36" customFormat="1" ht="17.25" customHeight="1" x14ac:dyDescent="0.35">
      <c r="A127" s="110" t="s">
        <v>203</v>
      </c>
      <c r="B127" s="110"/>
      <c r="C127" s="110"/>
      <c r="D127" s="110"/>
      <c r="E127" s="111">
        <v>5000</v>
      </c>
      <c r="F127" s="111"/>
      <c r="G127" s="111"/>
      <c r="H127" s="111"/>
      <c r="I127" s="80" t="s">
        <v>345</v>
      </c>
      <c r="J127" s="81" t="s">
        <v>346</v>
      </c>
      <c r="K127" s="82">
        <v>45377</v>
      </c>
      <c r="L127" s="80" t="s">
        <v>311</v>
      </c>
    </row>
    <row r="128" spans="1:19" s="36" customFormat="1" x14ac:dyDescent="0.35">
      <c r="A128" s="110" t="s">
        <v>204</v>
      </c>
      <c r="B128" s="110"/>
      <c r="C128" s="110"/>
      <c r="D128" s="110"/>
      <c r="E128" s="184" t="s">
        <v>347</v>
      </c>
      <c r="F128" s="111"/>
      <c r="G128" s="111"/>
      <c r="H128" s="111"/>
      <c r="I128" s="83" t="s">
        <v>355</v>
      </c>
      <c r="J128" s="83"/>
      <c r="K128" s="83"/>
      <c r="L128" s="83"/>
    </row>
    <row r="129" spans="1:9" s="36" customFormat="1" ht="17.25" customHeight="1" x14ac:dyDescent="0.35">
      <c r="A129" s="110" t="s">
        <v>284</v>
      </c>
      <c r="B129" s="110"/>
      <c r="C129" s="110"/>
      <c r="D129" s="110"/>
      <c r="E129" s="184" t="s">
        <v>348</v>
      </c>
      <c r="F129" s="111"/>
      <c r="G129" s="111"/>
      <c r="H129" s="111"/>
      <c r="I129" s="36">
        <f>1.5*1024*12</f>
        <v>18432</v>
      </c>
    </row>
    <row r="130" spans="1:9" s="36" customFormat="1" ht="17.25" hidden="1" customHeight="1" x14ac:dyDescent="0.35">
      <c r="A130" s="110" t="s">
        <v>308</v>
      </c>
      <c r="B130" s="110"/>
      <c r="C130" s="110"/>
      <c r="D130" s="110"/>
      <c r="E130" s="184" t="s">
        <v>307</v>
      </c>
      <c r="F130" s="111"/>
      <c r="G130" s="111"/>
      <c r="H130" s="111"/>
      <c r="I130" s="36">
        <f>1.5*1024*12</f>
        <v>18432</v>
      </c>
    </row>
    <row r="131" spans="1:9" s="36" customFormat="1" ht="17.25" customHeight="1" x14ac:dyDescent="0.35">
      <c r="A131" s="110" t="s">
        <v>205</v>
      </c>
      <c r="B131" s="110"/>
      <c r="C131" s="110"/>
      <c r="D131" s="110"/>
      <c r="E131" s="185">
        <v>180000</v>
      </c>
      <c r="F131" s="111"/>
      <c r="G131" s="111"/>
      <c r="H131" s="111"/>
    </row>
    <row r="132" spans="1:9" s="36" customFormat="1" ht="17.25" customHeight="1" x14ac:dyDescent="0.35">
      <c r="A132" s="140" t="s">
        <v>206</v>
      </c>
      <c r="B132" s="140"/>
      <c r="C132" s="140"/>
      <c r="D132" s="140"/>
      <c r="E132" s="111">
        <v>3120</v>
      </c>
      <c r="F132" s="111"/>
      <c r="G132" s="111"/>
      <c r="H132" s="111"/>
    </row>
    <row r="133" spans="1:9" s="36" customFormat="1" ht="17.25" customHeight="1" x14ac:dyDescent="0.35">
      <c r="A133" s="93" t="s">
        <v>207</v>
      </c>
      <c r="B133" s="93"/>
      <c r="C133" s="93"/>
      <c r="D133" s="93"/>
      <c r="E133" s="93"/>
      <c r="F133" s="93"/>
      <c r="G133" s="93"/>
      <c r="H133" s="93"/>
    </row>
    <row r="134" spans="1:9" s="36" customFormat="1" ht="17.25" customHeight="1" x14ac:dyDescent="0.35">
      <c r="A134" s="89" t="s">
        <v>208</v>
      </c>
      <c r="B134" s="93" t="s">
        <v>209</v>
      </c>
      <c r="C134" s="93"/>
      <c r="D134" s="93" t="s">
        <v>210</v>
      </c>
      <c r="E134" s="93"/>
      <c r="F134" s="93" t="s">
        <v>211</v>
      </c>
      <c r="G134" s="93"/>
      <c r="H134" s="93"/>
    </row>
    <row r="135" spans="1:9" s="36" customFormat="1" ht="17.25" customHeight="1" x14ac:dyDescent="0.35">
      <c r="A135" s="91" t="s">
        <v>169</v>
      </c>
      <c r="B135" s="94">
        <v>16</v>
      </c>
      <c r="C135" s="94">
        <v>2343</v>
      </c>
      <c r="D135" s="94">
        <v>2343</v>
      </c>
      <c r="E135" s="94">
        <v>2343</v>
      </c>
      <c r="F135" s="94">
        <v>3514</v>
      </c>
      <c r="G135" s="94">
        <v>3514</v>
      </c>
      <c r="H135" s="94">
        <v>3514</v>
      </c>
    </row>
    <row r="136" spans="1:9" s="36" customFormat="1" ht="17.25" customHeight="1" x14ac:dyDescent="0.35">
      <c r="A136" s="91" t="s">
        <v>179</v>
      </c>
      <c r="B136" s="94">
        <v>16</v>
      </c>
      <c r="C136" s="94">
        <v>2320</v>
      </c>
      <c r="D136" s="94">
        <v>2320</v>
      </c>
      <c r="E136" s="94">
        <v>2320</v>
      </c>
      <c r="F136" s="94">
        <v>3480</v>
      </c>
      <c r="G136" s="94">
        <v>3480</v>
      </c>
      <c r="H136" s="94">
        <v>3480</v>
      </c>
    </row>
    <row r="137" spans="1:9" s="36" customFormat="1" ht="17.25" customHeight="1" x14ac:dyDescent="0.35">
      <c r="A137" s="62" t="s">
        <v>306</v>
      </c>
      <c r="B137" s="94">
        <f>COUNT(C323:C330,C347:C354)</f>
        <v>16</v>
      </c>
      <c r="C137" s="94"/>
      <c r="D137" s="95">
        <f>SUM(C323:C330,C347:C354)</f>
        <v>2331.493164</v>
      </c>
      <c r="E137" s="94"/>
      <c r="F137" s="96">
        <f>SUM(E323:E330,E347:E354)</f>
        <v>3497.2397460000002</v>
      </c>
      <c r="G137" s="97"/>
      <c r="H137" s="98"/>
    </row>
    <row r="138" spans="1:9" s="36" customFormat="1" ht="17.25" customHeight="1" x14ac:dyDescent="0.35">
      <c r="A138" s="52" t="s">
        <v>182</v>
      </c>
      <c r="B138" s="94">
        <v>16</v>
      </c>
      <c r="C138" s="94">
        <v>2320</v>
      </c>
      <c r="D138" s="94">
        <v>2320</v>
      </c>
      <c r="E138" s="94">
        <v>2320</v>
      </c>
      <c r="F138" s="94">
        <v>3480</v>
      </c>
      <c r="G138" s="94">
        <v>3480</v>
      </c>
      <c r="H138" s="94">
        <v>3480</v>
      </c>
    </row>
    <row r="139" spans="1:9" s="36" customFormat="1" ht="17.25" customHeight="1" x14ac:dyDescent="0.35">
      <c r="A139" s="52" t="s">
        <v>185</v>
      </c>
      <c r="B139" s="94">
        <v>27</v>
      </c>
      <c r="C139" s="94">
        <v>4068</v>
      </c>
      <c r="D139" s="94">
        <v>4068</v>
      </c>
      <c r="E139" s="94">
        <v>4068</v>
      </c>
      <c r="F139" s="94">
        <v>6103</v>
      </c>
      <c r="G139" s="94">
        <v>6103</v>
      </c>
      <c r="H139" s="94">
        <v>6103</v>
      </c>
    </row>
    <row r="140" spans="1:9" s="36" customFormat="1" ht="17.25" customHeight="1" x14ac:dyDescent="0.35">
      <c r="A140" s="52" t="s">
        <v>191</v>
      </c>
      <c r="B140" s="94">
        <v>27</v>
      </c>
      <c r="C140" s="94">
        <v>4068</v>
      </c>
      <c r="D140" s="94">
        <v>4068</v>
      </c>
      <c r="E140" s="94">
        <v>4068</v>
      </c>
      <c r="F140" s="94">
        <v>4479</v>
      </c>
      <c r="G140" s="94">
        <v>4479</v>
      </c>
      <c r="H140" s="94">
        <v>4479</v>
      </c>
    </row>
    <row r="141" spans="1:9" s="36" customFormat="1" ht="17.25" customHeight="1" x14ac:dyDescent="0.35">
      <c r="A141" s="72" t="s">
        <v>318</v>
      </c>
      <c r="B141" s="95">
        <f>COUNT(C679:C686)+COUNT(C703:C708)+COUNT(C721:C728)</f>
        <v>22</v>
      </c>
      <c r="C141" s="94"/>
      <c r="D141" s="95">
        <f t="shared" ref="D141" si="0">SUM(C679:C686)+SUM(C703:C708)+SUM(C721:C728)</f>
        <v>2896.5385800000004</v>
      </c>
      <c r="E141" s="94"/>
      <c r="F141" s="95">
        <f>SUM(E679:E686)+SUM(E703:E708)+SUM(E721:E728)</f>
        <v>5124.5520299999989</v>
      </c>
      <c r="G141" s="94"/>
      <c r="H141" s="94"/>
    </row>
    <row r="142" spans="1:9" s="36" customFormat="1" ht="17.25" customHeight="1" x14ac:dyDescent="0.35">
      <c r="A142" s="47" t="s">
        <v>212</v>
      </c>
      <c r="B142" s="93">
        <f>SUM(B135:B141)</f>
        <v>140</v>
      </c>
      <c r="C142" s="93"/>
      <c r="D142" s="143">
        <f>SUM(D135:D141)</f>
        <v>20347.031744</v>
      </c>
      <c r="E142" s="143"/>
      <c r="F142" s="143">
        <f>SUM(F135:F141)</f>
        <v>29677.791775999998</v>
      </c>
      <c r="G142" s="143"/>
      <c r="H142" s="143"/>
    </row>
    <row r="143" spans="1:9" s="36" customFormat="1" ht="17.25" customHeight="1" x14ac:dyDescent="0.35">
      <c r="A143" s="93" t="s">
        <v>213</v>
      </c>
      <c r="B143" s="93"/>
      <c r="C143" s="93"/>
      <c r="D143" s="93"/>
      <c r="E143" s="93"/>
      <c r="F143" s="93"/>
      <c r="G143" s="93"/>
      <c r="H143" s="93"/>
    </row>
    <row r="144" spans="1:9" s="36" customFormat="1" ht="17.25" customHeight="1" x14ac:dyDescent="0.35">
      <c r="A144" s="47" t="s">
        <v>208</v>
      </c>
      <c r="B144" s="93" t="s">
        <v>209</v>
      </c>
      <c r="C144" s="93"/>
      <c r="D144" s="93" t="s">
        <v>211</v>
      </c>
      <c r="E144" s="93"/>
      <c r="F144" s="93" t="s">
        <v>211</v>
      </c>
      <c r="G144" s="93"/>
      <c r="H144" s="93"/>
    </row>
    <row r="145" spans="1:9" s="36" customFormat="1" ht="17.25" customHeight="1" x14ac:dyDescent="0.35">
      <c r="A145" s="52" t="s">
        <v>169</v>
      </c>
      <c r="B145" s="94">
        <v>152</v>
      </c>
      <c r="C145" s="94">
        <v>67327</v>
      </c>
      <c r="D145" s="94">
        <v>67327</v>
      </c>
      <c r="E145" s="94">
        <v>67327</v>
      </c>
      <c r="F145" s="94">
        <v>101394</v>
      </c>
      <c r="G145" s="94">
        <v>101394</v>
      </c>
      <c r="H145" s="94">
        <v>101394</v>
      </c>
      <c r="I145" s="36">
        <f>156+164+176+176+170+170</f>
        <v>1012</v>
      </c>
    </row>
    <row r="146" spans="1:9" s="36" customFormat="1" ht="17.25" customHeight="1" x14ac:dyDescent="0.35">
      <c r="A146" s="52" t="s">
        <v>179</v>
      </c>
      <c r="B146" s="94">
        <v>164</v>
      </c>
      <c r="C146" s="94">
        <v>72655</v>
      </c>
      <c r="D146" s="94">
        <v>72655</v>
      </c>
      <c r="E146" s="94">
        <v>72655</v>
      </c>
      <c r="F146" s="94">
        <v>109386</v>
      </c>
      <c r="G146" s="94">
        <v>109386</v>
      </c>
      <c r="H146" s="94">
        <v>109386</v>
      </c>
    </row>
    <row r="147" spans="1:9" s="36" customFormat="1" ht="17.25" customHeight="1" x14ac:dyDescent="0.35">
      <c r="A147" s="62" t="s">
        <v>306</v>
      </c>
      <c r="B147" s="94">
        <f>COUNT(C332:C337)+COUNT(C339:C344)*6+COUNT(C356:C361)+COUNT(C363:C368)*6+COUNT(C372:C375,C378:C383)+COUNT(C385:C390)*6+COUNT(C394:C397)+COUNT(C400:C405)*7</f>
        <v>176</v>
      </c>
      <c r="C147" s="94"/>
      <c r="D147" s="95">
        <f>SUM(C332:C337)+SUM(C339:C344)*6+SUM(C356:C361)+SUM(C363:C368)*6+SUM(C372:C375,C378:C383)+SUM(C385:C390)*6+SUM(C394:C397)+SUM(C400:C405)*7</f>
        <v>76235.689857600009</v>
      </c>
      <c r="E147" s="95"/>
      <c r="F147" s="96">
        <f>SUM(E332:E337)+SUM(E339:E344)*6+SUM(E356:E361)+SUM(E363:E368)*6+SUM(E372:E375,E378:E383)+SUM(E385:E390)*6+SUM(E394:E397)+SUM(E400:E405)*7</f>
        <v>114933.76820640001</v>
      </c>
      <c r="G147" s="97"/>
      <c r="H147" s="98"/>
    </row>
    <row r="148" spans="1:9" s="36" customFormat="1" ht="17.25" customHeight="1" x14ac:dyDescent="0.35">
      <c r="A148" s="52" t="s">
        <v>182</v>
      </c>
      <c r="B148" s="94">
        <v>176</v>
      </c>
      <c r="C148" s="94">
        <v>77428</v>
      </c>
      <c r="D148" s="94">
        <v>77428</v>
      </c>
      <c r="E148" s="94">
        <v>77428</v>
      </c>
      <c r="F148" s="94">
        <v>116546</v>
      </c>
      <c r="G148" s="94">
        <v>116546</v>
      </c>
      <c r="H148" s="94">
        <v>116546</v>
      </c>
    </row>
    <row r="149" spans="1:9" s="36" customFormat="1" ht="17.25" customHeight="1" x14ac:dyDescent="0.35">
      <c r="A149" s="52" t="s">
        <v>185</v>
      </c>
      <c r="B149" s="94">
        <v>170</v>
      </c>
      <c r="C149" s="94">
        <v>67218</v>
      </c>
      <c r="D149" s="94">
        <v>67218</v>
      </c>
      <c r="E149" s="94">
        <v>67218</v>
      </c>
      <c r="F149" s="94">
        <v>101444</v>
      </c>
      <c r="G149" s="94">
        <v>101444</v>
      </c>
      <c r="H149" s="94">
        <v>101444</v>
      </c>
    </row>
    <row r="150" spans="1:9" s="36" customFormat="1" ht="17.25" customHeight="1" x14ac:dyDescent="0.35">
      <c r="A150" s="52" t="s">
        <v>191</v>
      </c>
      <c r="B150" s="94">
        <v>170</v>
      </c>
      <c r="C150" s="94">
        <v>67218</v>
      </c>
      <c r="D150" s="94">
        <v>67218</v>
      </c>
      <c r="E150" s="94">
        <v>67218</v>
      </c>
      <c r="F150" s="94">
        <v>101444</v>
      </c>
      <c r="G150" s="94">
        <v>101444</v>
      </c>
      <c r="H150" s="94">
        <v>101444</v>
      </c>
    </row>
    <row r="151" spans="1:9" s="36" customFormat="1" ht="17.25" customHeight="1" x14ac:dyDescent="0.35">
      <c r="A151" s="72" t="s">
        <v>318</v>
      </c>
      <c r="B151" s="94">
        <f>COUNT(C688:C693)+COUNT(C695:C700)*6+COUNT(C710:C713)+COUNT(C715:C718)*6+COUNT(C730:C735)+COUNT(C737:C742)*6+COUNT(C746:C749)+COUNT(C752:C757)*7+COUNT(C767:C768)+COUNT(C770:C771)+COUNT(C773:C776)*6+COUNT(C780:C783)+COUNT(C786:C791)*7</f>
        <v>232</v>
      </c>
      <c r="C151" s="94"/>
      <c r="D151" s="95">
        <f>SUM(C688:C693)+SUM(C695:C700)*6+SUM(C710:C713)+SUM(C715:C718)*6+SUM(C730:C735)+SUM(C737:C742)*6+SUM(C746:C749)+SUM(C752:C757)*7+SUM(C767:C768)+SUM(C770:C771)+SUM(C773:C776)*6+SUM(C780:C783)+SUM(C786:C791)*7</f>
        <v>90760.917780000003</v>
      </c>
      <c r="E151" s="95"/>
      <c r="F151" s="95">
        <f>SUM(E688:E693)+SUM(E695:E700)*6+SUM(E710:E713)+SUM(E715:E718)*6+SUM(E730:E735)+SUM(E737:E742)*6+SUM(E746:E749)+SUM(E752:E757)*7+SUM(E767:E768)+SUM(E770:E771)+SUM(E773:E776)*6+SUM(E780:E783)+SUM(E786:E791)*7</f>
        <v>137065.60234999997</v>
      </c>
      <c r="G151" s="95"/>
      <c r="H151" s="95"/>
    </row>
    <row r="152" spans="1:9" s="36" customFormat="1" ht="17.25" customHeight="1" x14ac:dyDescent="0.35">
      <c r="A152" s="47" t="s">
        <v>212</v>
      </c>
      <c r="B152" s="93">
        <f>SUM(B145:B151)</f>
        <v>1240</v>
      </c>
      <c r="C152" s="93"/>
      <c r="D152" s="143">
        <f>SUM(D145:D151)</f>
        <v>518842.60763760004</v>
      </c>
      <c r="E152" s="143"/>
      <c r="F152" s="143">
        <f>SUM(F145:F151)</f>
        <v>782213.37055639992</v>
      </c>
      <c r="G152" s="143"/>
      <c r="H152" s="143"/>
    </row>
    <row r="153" spans="1:9" s="36" customFormat="1" ht="17.25" customHeight="1" x14ac:dyDescent="0.35">
      <c r="A153" s="93" t="s">
        <v>214</v>
      </c>
      <c r="B153" s="93"/>
      <c r="C153" s="93"/>
      <c r="D153" s="93"/>
      <c r="E153" s="93"/>
      <c r="F153" s="93"/>
      <c r="G153" s="93"/>
      <c r="H153" s="93"/>
    </row>
    <row r="154" spans="1:9" s="36" customFormat="1" ht="17.25" customHeight="1" x14ac:dyDescent="0.35">
      <c r="A154" s="93" t="s">
        <v>215</v>
      </c>
      <c r="B154" s="93"/>
      <c r="C154" s="93"/>
      <c r="D154" s="93"/>
      <c r="E154" s="93"/>
      <c r="F154" s="93"/>
      <c r="G154" s="93"/>
      <c r="H154" s="93"/>
    </row>
    <row r="155" spans="1:9" s="36" customFormat="1" ht="45.75" customHeight="1" x14ac:dyDescent="0.35">
      <c r="A155" s="47" t="s">
        <v>216</v>
      </c>
      <c r="B155" s="47" t="s">
        <v>217</v>
      </c>
      <c r="C155" s="69" t="s">
        <v>218</v>
      </c>
      <c r="D155" s="73" t="s">
        <v>219</v>
      </c>
      <c r="E155" s="69" t="s">
        <v>220</v>
      </c>
      <c r="F155" s="93" t="s">
        <v>221</v>
      </c>
      <c r="G155" s="93"/>
      <c r="H155" s="93"/>
    </row>
    <row r="156" spans="1:9" s="36" customFormat="1" ht="15" x14ac:dyDescent="0.35">
      <c r="A156" s="93" t="s">
        <v>222</v>
      </c>
      <c r="B156" s="93"/>
      <c r="C156" s="93"/>
      <c r="D156" s="93"/>
      <c r="E156" s="93"/>
      <c r="F156" s="93"/>
      <c r="G156" s="93"/>
      <c r="H156" s="93"/>
    </row>
    <row r="157" spans="1:9" s="36" customFormat="1" ht="15" x14ac:dyDescent="0.35">
      <c r="A157" s="93" t="s">
        <v>223</v>
      </c>
      <c r="B157" s="93"/>
      <c r="C157" s="93"/>
      <c r="D157" s="93"/>
      <c r="E157" s="93"/>
      <c r="F157" s="93"/>
      <c r="G157" s="93"/>
      <c r="H157" s="93"/>
    </row>
    <row r="158" spans="1:9" s="36" customFormat="1" ht="15" x14ac:dyDescent="0.35">
      <c r="A158" s="93" t="s">
        <v>224</v>
      </c>
      <c r="B158" s="93"/>
      <c r="C158" s="93"/>
      <c r="D158" s="93"/>
      <c r="E158" s="93"/>
      <c r="F158" s="93"/>
      <c r="G158" s="93"/>
      <c r="H158" s="93"/>
    </row>
    <row r="159" spans="1:9" s="36" customFormat="1" x14ac:dyDescent="0.35">
      <c r="A159" s="51">
        <v>1</v>
      </c>
      <c r="B159" s="64" t="s">
        <v>225</v>
      </c>
      <c r="C159" s="51">
        <v>149</v>
      </c>
      <c r="D159" s="51">
        <v>0</v>
      </c>
      <c r="E159" s="51">
        <v>223</v>
      </c>
      <c r="F159" s="92" t="s">
        <v>226</v>
      </c>
      <c r="G159" s="92"/>
      <c r="H159" s="92"/>
    </row>
    <row r="160" spans="1:9" s="36" customFormat="1" x14ac:dyDescent="0.35">
      <c r="A160" s="51">
        <v>2</v>
      </c>
      <c r="B160" s="64" t="s">
        <v>225</v>
      </c>
      <c r="C160" s="51">
        <v>145</v>
      </c>
      <c r="D160" s="51">
        <v>0</v>
      </c>
      <c r="E160" s="51">
        <v>218</v>
      </c>
      <c r="F160" s="92"/>
      <c r="G160" s="92"/>
      <c r="H160" s="92"/>
    </row>
    <row r="161" spans="1:8" s="36" customFormat="1" x14ac:dyDescent="0.35">
      <c r="A161" s="51">
        <v>3</v>
      </c>
      <c r="B161" s="64" t="s">
        <v>225</v>
      </c>
      <c r="C161" s="51">
        <v>141</v>
      </c>
      <c r="D161" s="51">
        <v>0</v>
      </c>
      <c r="E161" s="51">
        <v>211</v>
      </c>
      <c r="F161" s="92"/>
      <c r="G161" s="92"/>
      <c r="H161" s="92"/>
    </row>
    <row r="162" spans="1:8" s="36" customFormat="1" x14ac:dyDescent="0.35">
      <c r="A162" s="51">
        <v>4</v>
      </c>
      <c r="B162" s="64" t="s">
        <v>225</v>
      </c>
      <c r="C162" s="51">
        <v>124</v>
      </c>
      <c r="D162" s="51">
        <v>0</v>
      </c>
      <c r="E162" s="51">
        <v>186</v>
      </c>
      <c r="F162" s="92"/>
      <c r="G162" s="92"/>
      <c r="H162" s="92"/>
    </row>
    <row r="163" spans="1:8" s="36" customFormat="1" x14ac:dyDescent="0.35">
      <c r="A163" s="51">
        <v>5</v>
      </c>
      <c r="B163" s="64" t="s">
        <v>225</v>
      </c>
      <c r="C163" s="51">
        <v>163</v>
      </c>
      <c r="D163" s="51">
        <v>0</v>
      </c>
      <c r="E163" s="51">
        <v>244</v>
      </c>
      <c r="F163" s="92"/>
      <c r="G163" s="92"/>
      <c r="H163" s="92"/>
    </row>
    <row r="164" spans="1:8" s="36" customFormat="1" x14ac:dyDescent="0.35">
      <c r="A164" s="51">
        <v>6</v>
      </c>
      <c r="B164" s="64" t="s">
        <v>225</v>
      </c>
      <c r="C164" s="51">
        <v>163</v>
      </c>
      <c r="D164" s="51">
        <v>0</v>
      </c>
      <c r="E164" s="51">
        <v>244</v>
      </c>
      <c r="F164" s="92"/>
      <c r="G164" s="92"/>
      <c r="H164" s="92"/>
    </row>
    <row r="165" spans="1:8" s="36" customFormat="1" x14ac:dyDescent="0.35">
      <c r="A165" s="51">
        <v>7</v>
      </c>
      <c r="B165" s="64" t="s">
        <v>225</v>
      </c>
      <c r="C165" s="51">
        <v>124</v>
      </c>
      <c r="D165" s="51">
        <v>0</v>
      </c>
      <c r="E165" s="51">
        <v>186</v>
      </c>
      <c r="F165" s="92"/>
      <c r="G165" s="92"/>
      <c r="H165" s="92"/>
    </row>
    <row r="166" spans="1:8" s="36" customFormat="1" x14ac:dyDescent="0.35">
      <c r="A166" s="51">
        <v>8</v>
      </c>
      <c r="B166" s="64" t="s">
        <v>225</v>
      </c>
      <c r="C166" s="51">
        <v>163</v>
      </c>
      <c r="D166" s="51">
        <v>0</v>
      </c>
      <c r="E166" s="51">
        <v>244</v>
      </c>
      <c r="F166" s="92"/>
      <c r="G166" s="92"/>
      <c r="H166" s="92"/>
    </row>
    <row r="167" spans="1:8" s="36" customFormat="1" ht="15" x14ac:dyDescent="0.35">
      <c r="A167" s="93" t="s">
        <v>227</v>
      </c>
      <c r="B167" s="93"/>
      <c r="C167" s="93"/>
      <c r="D167" s="93"/>
      <c r="E167" s="93"/>
      <c r="F167" s="93"/>
      <c r="G167" s="93"/>
      <c r="H167" s="93"/>
    </row>
    <row r="168" spans="1:8" s="36" customFormat="1" x14ac:dyDescent="0.35">
      <c r="A168" s="51">
        <v>1</v>
      </c>
      <c r="B168" s="90" t="s">
        <v>228</v>
      </c>
      <c r="C168" s="51">
        <v>394</v>
      </c>
      <c r="D168" s="51">
        <v>0</v>
      </c>
      <c r="E168" s="51">
        <v>591</v>
      </c>
      <c r="F168" s="92" t="s">
        <v>229</v>
      </c>
      <c r="G168" s="92"/>
      <c r="H168" s="92"/>
    </row>
    <row r="169" spans="1:8" s="36" customFormat="1" x14ac:dyDescent="0.35">
      <c r="A169" s="51">
        <v>2</v>
      </c>
      <c r="B169" s="90" t="s">
        <v>228</v>
      </c>
      <c r="C169" s="51">
        <v>372</v>
      </c>
      <c r="D169" s="51">
        <v>156</v>
      </c>
      <c r="E169" s="51">
        <v>635</v>
      </c>
      <c r="F169" s="92"/>
      <c r="G169" s="92"/>
      <c r="H169" s="92"/>
    </row>
    <row r="170" spans="1:8" s="36" customFormat="1" x14ac:dyDescent="0.35">
      <c r="A170" s="51">
        <v>3</v>
      </c>
      <c r="B170" s="90" t="s">
        <v>228</v>
      </c>
      <c r="C170" s="51">
        <v>380</v>
      </c>
      <c r="D170" s="51">
        <v>101</v>
      </c>
      <c r="E170" s="51">
        <v>621</v>
      </c>
      <c r="F170" s="92"/>
      <c r="G170" s="92"/>
      <c r="H170" s="92"/>
    </row>
    <row r="171" spans="1:8" s="36" customFormat="1" x14ac:dyDescent="0.35">
      <c r="A171" s="51">
        <v>4</v>
      </c>
      <c r="B171" s="90" t="s">
        <v>230</v>
      </c>
      <c r="C171" s="51">
        <v>746</v>
      </c>
      <c r="D171" s="51">
        <v>74</v>
      </c>
      <c r="E171" s="55">
        <v>1192</v>
      </c>
      <c r="F171" s="92"/>
      <c r="G171" s="92"/>
      <c r="H171" s="92"/>
    </row>
    <row r="172" spans="1:8" s="36" customFormat="1" x14ac:dyDescent="0.35">
      <c r="A172" s="51">
        <v>5</v>
      </c>
      <c r="B172" s="90" t="s">
        <v>228</v>
      </c>
      <c r="C172" s="51">
        <v>404</v>
      </c>
      <c r="D172" s="51">
        <v>0</v>
      </c>
      <c r="E172" s="56">
        <v>607</v>
      </c>
      <c r="F172" s="92"/>
      <c r="G172" s="92"/>
      <c r="H172" s="92"/>
    </row>
    <row r="173" spans="1:8" s="36" customFormat="1" x14ac:dyDescent="0.35">
      <c r="A173" s="51">
        <v>6</v>
      </c>
      <c r="B173" s="90" t="s">
        <v>228</v>
      </c>
      <c r="C173" s="51">
        <v>404</v>
      </c>
      <c r="D173" s="51">
        <v>0</v>
      </c>
      <c r="E173" s="56">
        <v>607</v>
      </c>
      <c r="F173" s="92"/>
      <c r="G173" s="92"/>
      <c r="H173" s="92"/>
    </row>
    <row r="174" spans="1:8" s="36" customFormat="1" ht="15" x14ac:dyDescent="0.35">
      <c r="A174" s="93" t="s">
        <v>231</v>
      </c>
      <c r="B174" s="93"/>
      <c r="C174" s="93"/>
      <c r="D174" s="93"/>
      <c r="E174" s="93"/>
      <c r="F174" s="93"/>
      <c r="G174" s="93"/>
      <c r="H174" s="93"/>
    </row>
    <row r="175" spans="1:8" s="36" customFormat="1" x14ac:dyDescent="0.35">
      <c r="A175" s="51">
        <v>1</v>
      </c>
      <c r="B175" s="90" t="s">
        <v>228</v>
      </c>
      <c r="C175" s="51">
        <v>394</v>
      </c>
      <c r="D175" s="51">
        <v>0</v>
      </c>
      <c r="E175" s="56">
        <v>591</v>
      </c>
      <c r="F175" s="92" t="s">
        <v>232</v>
      </c>
      <c r="G175" s="92"/>
      <c r="H175" s="92"/>
    </row>
    <row r="176" spans="1:8" s="36" customFormat="1" x14ac:dyDescent="0.35">
      <c r="A176" s="51">
        <v>2</v>
      </c>
      <c r="B176" s="90" t="s">
        <v>228</v>
      </c>
      <c r="C176" s="51">
        <v>394</v>
      </c>
      <c r="D176" s="51">
        <v>0</v>
      </c>
      <c r="E176" s="56">
        <v>591</v>
      </c>
      <c r="F176" s="92"/>
      <c r="G176" s="92"/>
      <c r="H176" s="92"/>
    </row>
    <row r="177" spans="1:8" s="36" customFormat="1" x14ac:dyDescent="0.35">
      <c r="A177" s="51">
        <v>3</v>
      </c>
      <c r="B177" s="90" t="s">
        <v>228</v>
      </c>
      <c r="C177" s="51">
        <v>402</v>
      </c>
      <c r="D177" s="51">
        <v>0</v>
      </c>
      <c r="E177" s="56">
        <v>604</v>
      </c>
      <c r="F177" s="92"/>
      <c r="G177" s="92"/>
      <c r="H177" s="92"/>
    </row>
    <row r="178" spans="1:8" s="36" customFormat="1" x14ac:dyDescent="0.35">
      <c r="A178" s="51">
        <v>4</v>
      </c>
      <c r="B178" s="90" t="s">
        <v>230</v>
      </c>
      <c r="C178" s="51">
        <v>746</v>
      </c>
      <c r="D178" s="51">
        <v>0</v>
      </c>
      <c r="E178" s="55">
        <v>1118</v>
      </c>
      <c r="F178" s="92"/>
      <c r="G178" s="92"/>
      <c r="H178" s="92"/>
    </row>
    <row r="179" spans="1:8" s="36" customFormat="1" x14ac:dyDescent="0.35">
      <c r="A179" s="51">
        <v>5</v>
      </c>
      <c r="B179" s="90" t="s">
        <v>228</v>
      </c>
      <c r="C179" s="51">
        <v>404</v>
      </c>
      <c r="D179" s="51">
        <v>0</v>
      </c>
      <c r="E179" s="56">
        <v>607</v>
      </c>
      <c r="F179" s="92"/>
      <c r="G179" s="92"/>
      <c r="H179" s="92"/>
    </row>
    <row r="180" spans="1:8" s="36" customFormat="1" x14ac:dyDescent="0.35">
      <c r="A180" s="51">
        <v>6</v>
      </c>
      <c r="B180" s="90" t="s">
        <v>228</v>
      </c>
      <c r="C180" s="51">
        <v>404</v>
      </c>
      <c r="D180" s="51">
        <v>0</v>
      </c>
      <c r="E180" s="56">
        <v>607</v>
      </c>
      <c r="F180" s="92"/>
      <c r="G180" s="92"/>
      <c r="H180" s="92"/>
    </row>
    <row r="181" spans="1:8" s="36" customFormat="1" ht="15" x14ac:dyDescent="0.35">
      <c r="A181" s="93" t="s">
        <v>233</v>
      </c>
      <c r="B181" s="93"/>
      <c r="C181" s="93"/>
      <c r="D181" s="93"/>
      <c r="E181" s="93"/>
      <c r="F181" s="93"/>
      <c r="G181" s="93"/>
      <c r="H181" s="93"/>
    </row>
    <row r="182" spans="1:8" s="36" customFormat="1" ht="15" x14ac:dyDescent="0.35">
      <c r="A182" s="93" t="s">
        <v>224</v>
      </c>
      <c r="B182" s="93"/>
      <c r="C182" s="93"/>
      <c r="D182" s="93"/>
      <c r="E182" s="93"/>
      <c r="F182" s="93"/>
      <c r="G182" s="93"/>
      <c r="H182" s="93"/>
    </row>
    <row r="183" spans="1:8" s="36" customFormat="1" x14ac:dyDescent="0.35">
      <c r="A183" s="51">
        <v>9</v>
      </c>
      <c r="B183" s="64" t="s">
        <v>225</v>
      </c>
      <c r="C183" s="51">
        <v>163</v>
      </c>
      <c r="D183" s="51">
        <v>0</v>
      </c>
      <c r="E183" s="56">
        <v>244</v>
      </c>
      <c r="F183" s="104" t="s">
        <v>226</v>
      </c>
      <c r="G183" s="146"/>
      <c r="H183" s="105"/>
    </row>
    <row r="184" spans="1:8" s="36" customFormat="1" x14ac:dyDescent="0.35">
      <c r="A184" s="51">
        <v>10</v>
      </c>
      <c r="B184" s="64" t="s">
        <v>225</v>
      </c>
      <c r="C184" s="51">
        <v>124</v>
      </c>
      <c r="D184" s="51">
        <v>0</v>
      </c>
      <c r="E184" s="56">
        <v>186</v>
      </c>
      <c r="F184" s="106"/>
      <c r="G184" s="147"/>
      <c r="H184" s="107"/>
    </row>
    <row r="185" spans="1:8" s="36" customFormat="1" x14ac:dyDescent="0.35">
      <c r="A185" s="51">
        <v>11</v>
      </c>
      <c r="B185" s="64" t="s">
        <v>225</v>
      </c>
      <c r="C185" s="51">
        <v>163</v>
      </c>
      <c r="D185" s="51">
        <v>0</v>
      </c>
      <c r="E185" s="56">
        <v>244</v>
      </c>
      <c r="F185" s="106"/>
      <c r="G185" s="147"/>
      <c r="H185" s="107"/>
    </row>
    <row r="186" spans="1:8" s="36" customFormat="1" x14ac:dyDescent="0.35">
      <c r="A186" s="51">
        <v>12</v>
      </c>
      <c r="B186" s="64" t="s">
        <v>225</v>
      </c>
      <c r="C186" s="51">
        <v>163</v>
      </c>
      <c r="D186" s="51">
        <v>0</v>
      </c>
      <c r="E186" s="56">
        <v>244</v>
      </c>
      <c r="F186" s="106"/>
      <c r="G186" s="147"/>
      <c r="H186" s="107"/>
    </row>
    <row r="187" spans="1:8" s="36" customFormat="1" x14ac:dyDescent="0.35">
      <c r="A187" s="51">
        <v>13</v>
      </c>
      <c r="B187" s="64" t="s">
        <v>225</v>
      </c>
      <c r="C187" s="51">
        <v>124</v>
      </c>
      <c r="D187" s="51">
        <v>0</v>
      </c>
      <c r="E187" s="56">
        <v>186</v>
      </c>
      <c r="F187" s="106"/>
      <c r="G187" s="147"/>
      <c r="H187" s="107"/>
    </row>
    <row r="188" spans="1:8" s="36" customFormat="1" x14ac:dyDescent="0.35">
      <c r="A188" s="51">
        <v>14</v>
      </c>
      <c r="B188" s="64" t="s">
        <v>225</v>
      </c>
      <c r="C188" s="51">
        <v>141</v>
      </c>
      <c r="D188" s="51">
        <v>0</v>
      </c>
      <c r="E188" s="56">
        <v>211</v>
      </c>
      <c r="F188" s="106"/>
      <c r="G188" s="147"/>
      <c r="H188" s="107"/>
    </row>
    <row r="189" spans="1:8" s="36" customFormat="1" x14ac:dyDescent="0.35">
      <c r="A189" s="51">
        <v>15</v>
      </c>
      <c r="B189" s="64" t="s">
        <v>225</v>
      </c>
      <c r="C189" s="51">
        <v>145</v>
      </c>
      <c r="D189" s="51">
        <v>0</v>
      </c>
      <c r="E189" s="56">
        <v>218</v>
      </c>
      <c r="F189" s="106"/>
      <c r="G189" s="147"/>
      <c r="H189" s="107"/>
    </row>
    <row r="190" spans="1:8" s="36" customFormat="1" x14ac:dyDescent="0.35">
      <c r="A190" s="51">
        <v>16</v>
      </c>
      <c r="B190" s="64" t="s">
        <v>225</v>
      </c>
      <c r="C190" s="51">
        <v>149</v>
      </c>
      <c r="D190" s="51">
        <v>0</v>
      </c>
      <c r="E190" s="56">
        <v>223</v>
      </c>
      <c r="F190" s="108"/>
      <c r="G190" s="148"/>
      <c r="H190" s="109"/>
    </row>
    <row r="191" spans="1:8" s="36" customFormat="1" ht="15" x14ac:dyDescent="0.35">
      <c r="A191" s="93" t="s">
        <v>227</v>
      </c>
      <c r="B191" s="93"/>
      <c r="C191" s="93"/>
      <c r="D191" s="93"/>
      <c r="E191" s="93"/>
      <c r="F191" s="93"/>
      <c r="G191" s="93"/>
      <c r="H191" s="93"/>
    </row>
    <row r="192" spans="1:8" s="36" customFormat="1" x14ac:dyDescent="0.35">
      <c r="A192" s="51">
        <v>1</v>
      </c>
      <c r="B192" s="64" t="s">
        <v>228</v>
      </c>
      <c r="C192" s="51">
        <v>394</v>
      </c>
      <c r="D192" s="51">
        <v>0</v>
      </c>
      <c r="E192" s="56">
        <v>591</v>
      </c>
      <c r="F192" s="104" t="s">
        <v>229</v>
      </c>
      <c r="G192" s="146"/>
      <c r="H192" s="105"/>
    </row>
    <row r="193" spans="1:8" s="36" customFormat="1" x14ac:dyDescent="0.35">
      <c r="A193" s="51">
        <v>2</v>
      </c>
      <c r="B193" s="64" t="s">
        <v>228</v>
      </c>
      <c r="C193" s="51">
        <v>372</v>
      </c>
      <c r="D193" s="51">
        <v>156</v>
      </c>
      <c r="E193" s="56">
        <v>635</v>
      </c>
      <c r="F193" s="106"/>
      <c r="G193" s="147"/>
      <c r="H193" s="107"/>
    </row>
    <row r="194" spans="1:8" s="36" customFormat="1" x14ac:dyDescent="0.35">
      <c r="A194" s="51">
        <v>3</v>
      </c>
      <c r="B194" s="64" t="s">
        <v>228</v>
      </c>
      <c r="C194" s="51">
        <v>355</v>
      </c>
      <c r="D194" s="51">
        <v>101</v>
      </c>
      <c r="E194" s="56">
        <v>583</v>
      </c>
      <c r="F194" s="106"/>
      <c r="G194" s="147"/>
      <c r="H194" s="107"/>
    </row>
    <row r="195" spans="1:8" s="36" customFormat="1" x14ac:dyDescent="0.35">
      <c r="A195" s="51">
        <v>4</v>
      </c>
      <c r="B195" s="64" t="s">
        <v>230</v>
      </c>
      <c r="C195" s="51">
        <v>723</v>
      </c>
      <c r="D195" s="51">
        <v>74</v>
      </c>
      <c r="E195" s="55">
        <v>1158</v>
      </c>
      <c r="F195" s="106"/>
      <c r="G195" s="147"/>
      <c r="H195" s="107"/>
    </row>
    <row r="196" spans="1:8" s="36" customFormat="1" x14ac:dyDescent="0.35">
      <c r="A196" s="51">
        <v>5</v>
      </c>
      <c r="B196" s="64" t="s">
        <v>234</v>
      </c>
      <c r="C196" s="51">
        <v>264</v>
      </c>
      <c r="D196" s="51">
        <v>0</v>
      </c>
      <c r="E196" s="56">
        <v>397</v>
      </c>
      <c r="F196" s="106"/>
      <c r="G196" s="147"/>
      <c r="H196" s="107"/>
    </row>
    <row r="197" spans="1:8" s="36" customFormat="1" x14ac:dyDescent="0.35">
      <c r="A197" s="51">
        <v>6</v>
      </c>
      <c r="B197" s="64" t="s">
        <v>234</v>
      </c>
      <c r="C197" s="51">
        <v>264</v>
      </c>
      <c r="D197" s="51">
        <v>0</v>
      </c>
      <c r="E197" s="56">
        <v>397</v>
      </c>
      <c r="F197" s="108"/>
      <c r="G197" s="148"/>
      <c r="H197" s="109"/>
    </row>
    <row r="198" spans="1:8" s="36" customFormat="1" ht="15" x14ac:dyDescent="0.35">
      <c r="A198" s="145" t="s">
        <v>231</v>
      </c>
      <c r="B198" s="149"/>
      <c r="C198" s="149"/>
      <c r="D198" s="149"/>
      <c r="E198" s="149"/>
      <c r="F198" s="149"/>
      <c r="G198" s="149"/>
      <c r="H198" s="150"/>
    </row>
    <row r="199" spans="1:8" s="36" customFormat="1" x14ac:dyDescent="0.35">
      <c r="A199" s="51">
        <v>1</v>
      </c>
      <c r="B199" s="64" t="s">
        <v>228</v>
      </c>
      <c r="C199" s="51">
        <v>394</v>
      </c>
      <c r="D199" s="51">
        <v>0</v>
      </c>
      <c r="E199" s="56">
        <v>591</v>
      </c>
      <c r="F199" s="92" t="s">
        <v>232</v>
      </c>
      <c r="G199" s="92"/>
      <c r="H199" s="92"/>
    </row>
    <row r="200" spans="1:8" s="36" customFormat="1" x14ac:dyDescent="0.35">
      <c r="A200" s="51">
        <v>2</v>
      </c>
      <c r="B200" s="64" t="s">
        <v>228</v>
      </c>
      <c r="C200" s="51">
        <v>394</v>
      </c>
      <c r="D200" s="51">
        <v>0</v>
      </c>
      <c r="E200" s="56">
        <v>591</v>
      </c>
      <c r="F200" s="92"/>
      <c r="G200" s="92"/>
      <c r="H200" s="92"/>
    </row>
    <row r="201" spans="1:8" s="36" customFormat="1" x14ac:dyDescent="0.35">
      <c r="A201" s="51">
        <v>3</v>
      </c>
      <c r="B201" s="64" t="s">
        <v>228</v>
      </c>
      <c r="C201" s="51">
        <v>377</v>
      </c>
      <c r="D201" s="51">
        <v>0</v>
      </c>
      <c r="E201" s="56">
        <v>566</v>
      </c>
      <c r="F201" s="92"/>
      <c r="G201" s="92"/>
      <c r="H201" s="92"/>
    </row>
    <row r="202" spans="1:8" s="36" customFormat="1" x14ac:dyDescent="0.35">
      <c r="A202" s="51">
        <v>4</v>
      </c>
      <c r="B202" s="64" t="s">
        <v>230</v>
      </c>
      <c r="C202" s="51">
        <v>723</v>
      </c>
      <c r="D202" s="51">
        <v>0</v>
      </c>
      <c r="E202" s="55">
        <v>1085</v>
      </c>
      <c r="F202" s="92"/>
      <c r="G202" s="92"/>
      <c r="H202" s="92"/>
    </row>
    <row r="203" spans="1:8" s="36" customFormat="1" x14ac:dyDescent="0.35">
      <c r="A203" s="51">
        <v>5</v>
      </c>
      <c r="B203" s="64" t="s">
        <v>228</v>
      </c>
      <c r="C203" s="51">
        <v>386</v>
      </c>
      <c r="D203" s="51">
        <v>0</v>
      </c>
      <c r="E203" s="56">
        <v>579</v>
      </c>
      <c r="F203" s="92"/>
      <c r="G203" s="92"/>
      <c r="H203" s="92"/>
    </row>
    <row r="204" spans="1:8" s="36" customFormat="1" x14ac:dyDescent="0.35">
      <c r="A204" s="51">
        <v>6</v>
      </c>
      <c r="B204" s="64" t="s">
        <v>228</v>
      </c>
      <c r="C204" s="51">
        <v>386</v>
      </c>
      <c r="D204" s="51">
        <v>0</v>
      </c>
      <c r="E204" s="56">
        <v>579</v>
      </c>
      <c r="F204" s="92"/>
      <c r="G204" s="92"/>
      <c r="H204" s="92"/>
    </row>
    <row r="205" spans="1:8" s="36" customFormat="1" ht="15" x14ac:dyDescent="0.35">
      <c r="A205" s="93" t="s">
        <v>275</v>
      </c>
      <c r="B205" s="93"/>
      <c r="C205" s="93"/>
      <c r="D205" s="93"/>
      <c r="E205" s="93"/>
      <c r="F205" s="93"/>
      <c r="G205" s="93"/>
      <c r="H205" s="93"/>
    </row>
    <row r="206" spans="1:8" s="36" customFormat="1" ht="15" x14ac:dyDescent="0.35">
      <c r="A206" s="93" t="s">
        <v>235</v>
      </c>
      <c r="B206" s="93"/>
      <c r="C206" s="93"/>
      <c r="D206" s="93"/>
      <c r="E206" s="93"/>
      <c r="F206" s="93"/>
      <c r="G206" s="93"/>
      <c r="H206" s="93"/>
    </row>
    <row r="207" spans="1:8" s="36" customFormat="1" x14ac:dyDescent="0.35">
      <c r="A207" s="51">
        <v>1</v>
      </c>
      <c r="B207" s="64" t="s">
        <v>228</v>
      </c>
      <c r="C207" s="51">
        <v>372</v>
      </c>
      <c r="D207" s="51">
        <v>0</v>
      </c>
      <c r="E207" s="56">
        <v>557</v>
      </c>
      <c r="F207" s="92" t="s">
        <v>236</v>
      </c>
      <c r="G207" s="92"/>
      <c r="H207" s="92"/>
    </row>
    <row r="208" spans="1:8" s="36" customFormat="1" x14ac:dyDescent="0.35">
      <c r="A208" s="51">
        <v>3</v>
      </c>
      <c r="B208" s="64" t="s">
        <v>228</v>
      </c>
      <c r="C208" s="51">
        <v>355</v>
      </c>
      <c r="D208" s="51">
        <v>0</v>
      </c>
      <c r="E208" s="56">
        <v>532</v>
      </c>
      <c r="F208" s="92"/>
      <c r="G208" s="92"/>
      <c r="H208" s="92"/>
    </row>
    <row r="209" spans="1:9" s="36" customFormat="1" x14ac:dyDescent="0.35">
      <c r="A209" s="51">
        <v>4</v>
      </c>
      <c r="B209" s="64" t="s">
        <v>230</v>
      </c>
      <c r="C209" s="51">
        <v>700</v>
      </c>
      <c r="D209" s="51">
        <v>0</v>
      </c>
      <c r="E209" s="55">
        <v>1049</v>
      </c>
      <c r="F209" s="92"/>
      <c r="G209" s="92"/>
      <c r="H209" s="92"/>
      <c r="I209" s="36">
        <f>6*1049*24</f>
        <v>151056</v>
      </c>
    </row>
    <row r="210" spans="1:9" s="36" customFormat="1" x14ac:dyDescent="0.35">
      <c r="A210" s="51">
        <v>5</v>
      </c>
      <c r="B210" s="64" t="s">
        <v>234</v>
      </c>
      <c r="C210" s="51">
        <v>242</v>
      </c>
      <c r="D210" s="51">
        <v>0</v>
      </c>
      <c r="E210" s="56">
        <v>363</v>
      </c>
      <c r="F210" s="92"/>
      <c r="G210" s="92"/>
      <c r="H210" s="92"/>
    </row>
    <row r="211" spans="1:9" s="36" customFormat="1" ht="15" x14ac:dyDescent="0.35">
      <c r="A211" s="93" t="s">
        <v>227</v>
      </c>
      <c r="B211" s="93"/>
      <c r="C211" s="93"/>
      <c r="D211" s="93"/>
      <c r="E211" s="93"/>
      <c r="F211" s="93"/>
      <c r="G211" s="93"/>
      <c r="H211" s="93"/>
    </row>
    <row r="212" spans="1:9" s="36" customFormat="1" x14ac:dyDescent="0.35">
      <c r="A212" s="51">
        <v>1</v>
      </c>
      <c r="B212" s="90" t="s">
        <v>228</v>
      </c>
      <c r="C212" s="51">
        <v>372</v>
      </c>
      <c r="D212" s="51">
        <v>0</v>
      </c>
      <c r="E212" s="56">
        <v>557</v>
      </c>
      <c r="F212" s="92" t="s">
        <v>229</v>
      </c>
      <c r="G212" s="92"/>
      <c r="H212" s="92"/>
    </row>
    <row r="213" spans="1:9" s="36" customFormat="1" x14ac:dyDescent="0.35">
      <c r="A213" s="51">
        <v>2</v>
      </c>
      <c r="B213" s="90" t="s">
        <v>228</v>
      </c>
      <c r="C213" s="51">
        <v>394</v>
      </c>
      <c r="D213" s="51">
        <v>0</v>
      </c>
      <c r="E213" s="56">
        <v>591</v>
      </c>
      <c r="F213" s="92"/>
      <c r="G213" s="92"/>
      <c r="H213" s="92"/>
    </row>
    <row r="214" spans="1:9" s="36" customFormat="1" x14ac:dyDescent="0.35">
      <c r="A214" s="51">
        <v>3</v>
      </c>
      <c r="B214" s="90" t="s">
        <v>228</v>
      </c>
      <c r="C214" s="51">
        <v>377</v>
      </c>
      <c r="D214" s="51">
        <v>0</v>
      </c>
      <c r="E214" s="56">
        <v>566</v>
      </c>
      <c r="F214" s="92"/>
      <c r="G214" s="92"/>
      <c r="H214" s="92"/>
    </row>
    <row r="215" spans="1:9" s="36" customFormat="1" x14ac:dyDescent="0.35">
      <c r="A215" s="51">
        <v>4</v>
      </c>
      <c r="B215" s="90" t="s">
        <v>230</v>
      </c>
      <c r="C215" s="51">
        <v>723</v>
      </c>
      <c r="D215" s="51">
        <v>0</v>
      </c>
      <c r="E215" s="55">
        <v>1085</v>
      </c>
      <c r="F215" s="92"/>
      <c r="G215" s="92"/>
      <c r="H215" s="92"/>
    </row>
    <row r="216" spans="1:9" s="36" customFormat="1" x14ac:dyDescent="0.35">
      <c r="A216" s="51">
        <v>5</v>
      </c>
      <c r="B216" s="90" t="s">
        <v>228</v>
      </c>
      <c r="C216" s="51">
        <v>264</v>
      </c>
      <c r="D216" s="51">
        <v>0</v>
      </c>
      <c r="E216" s="56">
        <v>397</v>
      </c>
      <c r="F216" s="92"/>
      <c r="G216" s="92"/>
      <c r="H216" s="92"/>
    </row>
    <row r="217" spans="1:9" s="36" customFormat="1" x14ac:dyDescent="0.35">
      <c r="A217" s="51">
        <v>6</v>
      </c>
      <c r="B217" s="90" t="s">
        <v>228</v>
      </c>
      <c r="C217" s="51">
        <v>264</v>
      </c>
      <c r="D217" s="51">
        <v>0</v>
      </c>
      <c r="E217" s="56">
        <v>397</v>
      </c>
      <c r="F217" s="92"/>
      <c r="G217" s="92"/>
      <c r="H217" s="92"/>
    </row>
    <row r="218" spans="1:9" s="36" customFormat="1" ht="15" x14ac:dyDescent="0.35">
      <c r="A218" s="93" t="s">
        <v>231</v>
      </c>
      <c r="B218" s="93"/>
      <c r="C218" s="93"/>
      <c r="D218" s="93"/>
      <c r="E218" s="93"/>
      <c r="F218" s="93"/>
      <c r="G218" s="93"/>
      <c r="H218" s="93"/>
    </row>
    <row r="219" spans="1:9" s="36" customFormat="1" x14ac:dyDescent="0.35">
      <c r="A219" s="51">
        <v>1</v>
      </c>
      <c r="B219" s="90" t="s">
        <v>228</v>
      </c>
      <c r="C219" s="51">
        <v>394</v>
      </c>
      <c r="D219" s="51">
        <v>0</v>
      </c>
      <c r="E219" s="56">
        <v>591</v>
      </c>
      <c r="F219" s="92" t="s">
        <v>232</v>
      </c>
      <c r="G219" s="92"/>
      <c r="H219" s="92"/>
    </row>
    <row r="220" spans="1:9" s="36" customFormat="1" x14ac:dyDescent="0.35">
      <c r="A220" s="51">
        <v>2</v>
      </c>
      <c r="B220" s="90" t="s">
        <v>228</v>
      </c>
      <c r="C220" s="51">
        <v>394</v>
      </c>
      <c r="D220" s="51">
        <v>0</v>
      </c>
      <c r="E220" s="56">
        <v>591</v>
      </c>
      <c r="F220" s="92"/>
      <c r="G220" s="92"/>
      <c r="H220" s="92"/>
    </row>
    <row r="221" spans="1:9" s="36" customFormat="1" x14ac:dyDescent="0.35">
      <c r="A221" s="51">
        <v>3</v>
      </c>
      <c r="B221" s="90" t="s">
        <v>228</v>
      </c>
      <c r="C221" s="51">
        <v>355</v>
      </c>
      <c r="D221" s="51">
        <v>0</v>
      </c>
      <c r="E221" s="56">
        <v>532</v>
      </c>
      <c r="F221" s="92"/>
      <c r="G221" s="92"/>
      <c r="H221" s="92"/>
    </row>
    <row r="222" spans="1:9" s="36" customFormat="1" x14ac:dyDescent="0.35">
      <c r="A222" s="51">
        <v>4</v>
      </c>
      <c r="B222" s="90" t="s">
        <v>230</v>
      </c>
      <c r="C222" s="51">
        <v>723</v>
      </c>
      <c r="D222" s="51">
        <v>0</v>
      </c>
      <c r="E222" s="55">
        <v>1085</v>
      </c>
      <c r="F222" s="92"/>
      <c r="G222" s="92"/>
      <c r="H222" s="92"/>
    </row>
    <row r="223" spans="1:9" s="36" customFormat="1" x14ac:dyDescent="0.35">
      <c r="A223" s="51">
        <v>5</v>
      </c>
      <c r="B223" s="90" t="s">
        <v>228</v>
      </c>
      <c r="C223" s="51">
        <v>391</v>
      </c>
      <c r="D223" s="51">
        <v>0</v>
      </c>
      <c r="E223" s="56">
        <v>587</v>
      </c>
      <c r="F223" s="92"/>
      <c r="G223" s="92"/>
      <c r="H223" s="92"/>
    </row>
    <row r="224" spans="1:9" s="36" customFormat="1" x14ac:dyDescent="0.35">
      <c r="A224" s="51">
        <v>6</v>
      </c>
      <c r="B224" s="90" t="s">
        <v>228</v>
      </c>
      <c r="C224" s="51">
        <v>391</v>
      </c>
      <c r="D224" s="51">
        <v>0</v>
      </c>
      <c r="E224" s="56">
        <v>587</v>
      </c>
      <c r="F224" s="92"/>
      <c r="G224" s="92"/>
      <c r="H224" s="92"/>
    </row>
    <row r="225" spans="1:10" s="36" customFormat="1" ht="15" x14ac:dyDescent="0.35">
      <c r="A225" s="93" t="s">
        <v>237</v>
      </c>
      <c r="B225" s="93"/>
      <c r="C225" s="93"/>
      <c r="D225" s="93"/>
      <c r="E225" s="93"/>
      <c r="F225" s="93"/>
      <c r="G225" s="93"/>
      <c r="H225" s="93"/>
    </row>
    <row r="226" spans="1:10" s="36" customFormat="1" ht="15" x14ac:dyDescent="0.35">
      <c r="A226" s="93" t="s">
        <v>235</v>
      </c>
      <c r="B226" s="93"/>
      <c r="C226" s="93"/>
      <c r="D226" s="93"/>
      <c r="E226" s="93"/>
      <c r="F226" s="93"/>
      <c r="G226" s="93"/>
      <c r="H226" s="93"/>
    </row>
    <row r="227" spans="1:10" s="36" customFormat="1" x14ac:dyDescent="0.35">
      <c r="A227" s="51">
        <v>2</v>
      </c>
      <c r="B227" s="64" t="s">
        <v>228</v>
      </c>
      <c r="C227" s="51">
        <v>357</v>
      </c>
      <c r="D227" s="51">
        <v>0</v>
      </c>
      <c r="E227" s="56">
        <v>535</v>
      </c>
      <c r="F227" s="92" t="s">
        <v>236</v>
      </c>
      <c r="G227" s="92"/>
      <c r="H227" s="92"/>
      <c r="J227" s="67">
        <f>E227/C227</f>
        <v>1.4985994397759104</v>
      </c>
    </row>
    <row r="228" spans="1:10" s="36" customFormat="1" x14ac:dyDescent="0.35">
      <c r="A228" s="51">
        <v>3</v>
      </c>
      <c r="B228" s="64" t="s">
        <v>228</v>
      </c>
      <c r="C228" s="51">
        <v>355</v>
      </c>
      <c r="D228" s="51">
        <v>0</v>
      </c>
      <c r="E228" s="56">
        <v>532</v>
      </c>
      <c r="F228" s="92"/>
      <c r="G228" s="92"/>
      <c r="H228" s="92"/>
      <c r="J228" s="67">
        <f t="shared" ref="J228:J261" si="1">E228/C228</f>
        <v>1.4985915492957746</v>
      </c>
    </row>
    <row r="229" spans="1:10" s="36" customFormat="1" x14ac:dyDescent="0.35">
      <c r="A229" s="51">
        <v>4</v>
      </c>
      <c r="B229" s="64" t="s">
        <v>230</v>
      </c>
      <c r="C229" s="51">
        <v>723</v>
      </c>
      <c r="D229" s="51">
        <v>0</v>
      </c>
      <c r="E229" s="55">
        <v>1085</v>
      </c>
      <c r="F229" s="92"/>
      <c r="G229" s="92"/>
      <c r="H229" s="92"/>
      <c r="J229" s="67">
        <f t="shared" si="1"/>
        <v>1.5006915629322268</v>
      </c>
    </row>
    <row r="230" spans="1:10" s="36" customFormat="1" x14ac:dyDescent="0.35">
      <c r="A230" s="51">
        <v>5</v>
      </c>
      <c r="B230" s="64" t="s">
        <v>228</v>
      </c>
      <c r="C230" s="51">
        <v>355</v>
      </c>
      <c r="D230" s="51">
        <v>0</v>
      </c>
      <c r="E230" s="56">
        <v>532</v>
      </c>
      <c r="F230" s="92"/>
      <c r="G230" s="92"/>
      <c r="H230" s="92"/>
      <c r="J230" s="67">
        <f t="shared" si="1"/>
        <v>1.4985915492957746</v>
      </c>
    </row>
    <row r="231" spans="1:10" s="36" customFormat="1" ht="15" x14ac:dyDescent="0.35">
      <c r="A231" s="93" t="s">
        <v>238</v>
      </c>
      <c r="B231" s="93"/>
      <c r="C231" s="93"/>
      <c r="D231" s="93"/>
      <c r="E231" s="93"/>
      <c r="F231" s="93"/>
      <c r="G231" s="93"/>
      <c r="H231" s="93"/>
      <c r="J231" s="67" t="e">
        <f t="shared" si="1"/>
        <v>#DIV/0!</v>
      </c>
    </row>
    <row r="232" spans="1:10" s="36" customFormat="1" x14ac:dyDescent="0.35">
      <c r="A232" s="51">
        <v>1</v>
      </c>
      <c r="B232" s="64" t="s">
        <v>228</v>
      </c>
      <c r="C232" s="51">
        <v>394</v>
      </c>
      <c r="D232" s="51">
        <v>0</v>
      </c>
      <c r="E232" s="56">
        <v>591</v>
      </c>
      <c r="F232" s="92" t="s">
        <v>239</v>
      </c>
      <c r="G232" s="92"/>
      <c r="H232" s="92"/>
      <c r="J232" s="67">
        <f t="shared" si="1"/>
        <v>1.5</v>
      </c>
    </row>
    <row r="233" spans="1:10" s="36" customFormat="1" x14ac:dyDescent="0.35">
      <c r="A233" s="51">
        <v>2</v>
      </c>
      <c r="B233" s="64" t="s">
        <v>228</v>
      </c>
      <c r="C233" s="51">
        <v>394</v>
      </c>
      <c r="D233" s="51">
        <v>0</v>
      </c>
      <c r="E233" s="56">
        <v>591</v>
      </c>
      <c r="F233" s="92"/>
      <c r="G233" s="92"/>
      <c r="H233" s="92"/>
      <c r="J233" s="67">
        <f t="shared" si="1"/>
        <v>1.5</v>
      </c>
    </row>
    <row r="234" spans="1:10" s="36" customFormat="1" x14ac:dyDescent="0.35">
      <c r="A234" s="51">
        <v>3</v>
      </c>
      <c r="B234" s="64" t="s">
        <v>228</v>
      </c>
      <c r="C234" s="51">
        <v>377</v>
      </c>
      <c r="D234" s="51">
        <v>0</v>
      </c>
      <c r="E234" s="56">
        <v>566</v>
      </c>
      <c r="F234" s="92"/>
      <c r="G234" s="92"/>
      <c r="H234" s="92"/>
      <c r="J234" s="67">
        <f t="shared" si="1"/>
        <v>1.5013262599469497</v>
      </c>
    </row>
    <row r="235" spans="1:10" s="36" customFormat="1" x14ac:dyDescent="0.35">
      <c r="A235" s="51">
        <v>4</v>
      </c>
      <c r="B235" s="64" t="s">
        <v>230</v>
      </c>
      <c r="C235" s="51">
        <v>746</v>
      </c>
      <c r="D235" s="51">
        <v>0</v>
      </c>
      <c r="E235" s="55">
        <v>1120</v>
      </c>
      <c r="F235" s="92"/>
      <c r="G235" s="92"/>
      <c r="H235" s="92"/>
      <c r="J235" s="67">
        <f t="shared" si="1"/>
        <v>1.5013404825737264</v>
      </c>
    </row>
    <row r="236" spans="1:10" s="36" customFormat="1" x14ac:dyDescent="0.35">
      <c r="A236" s="51">
        <v>5</v>
      </c>
      <c r="B236" s="64" t="s">
        <v>228</v>
      </c>
      <c r="C236" s="51">
        <v>390</v>
      </c>
      <c r="D236" s="51">
        <v>0</v>
      </c>
      <c r="E236" s="56">
        <v>585</v>
      </c>
      <c r="F236" s="92"/>
      <c r="G236" s="92"/>
      <c r="H236" s="92"/>
      <c r="J236" s="67">
        <f t="shared" si="1"/>
        <v>1.5</v>
      </c>
    </row>
    <row r="237" spans="1:10" s="36" customFormat="1" x14ac:dyDescent="0.35">
      <c r="A237" s="51">
        <v>6</v>
      </c>
      <c r="B237" s="64" t="s">
        <v>228</v>
      </c>
      <c r="C237" s="51">
        <v>390</v>
      </c>
      <c r="D237" s="51">
        <v>0</v>
      </c>
      <c r="E237" s="56">
        <v>585</v>
      </c>
      <c r="F237" s="92"/>
      <c r="G237" s="92"/>
      <c r="H237" s="92"/>
      <c r="J237" s="67">
        <f t="shared" si="1"/>
        <v>1.5</v>
      </c>
    </row>
    <row r="238" spans="1:10" s="36" customFormat="1" ht="15" x14ac:dyDescent="0.35">
      <c r="A238" s="93" t="s">
        <v>240</v>
      </c>
      <c r="B238" s="93"/>
      <c r="C238" s="93"/>
      <c r="D238" s="93"/>
      <c r="E238" s="93"/>
      <c r="F238" s="93"/>
      <c r="G238" s="93"/>
      <c r="H238" s="93"/>
      <c r="J238" s="67" t="e">
        <f t="shared" si="1"/>
        <v>#DIV/0!</v>
      </c>
    </row>
    <row r="239" spans="1:10" s="36" customFormat="1" ht="15" x14ac:dyDescent="0.35">
      <c r="A239" s="93" t="s">
        <v>241</v>
      </c>
      <c r="B239" s="93"/>
      <c r="C239" s="93"/>
      <c r="D239" s="93"/>
      <c r="E239" s="93"/>
      <c r="F239" s="93"/>
      <c r="G239" s="93"/>
      <c r="H239" s="93"/>
      <c r="J239" s="67" t="e">
        <f t="shared" si="1"/>
        <v>#DIV/0!</v>
      </c>
    </row>
    <row r="240" spans="1:10" s="36" customFormat="1" ht="15" x14ac:dyDescent="0.35">
      <c r="A240" s="93" t="s">
        <v>224</v>
      </c>
      <c r="B240" s="93"/>
      <c r="C240" s="93"/>
      <c r="D240" s="93"/>
      <c r="E240" s="93"/>
      <c r="F240" s="93"/>
      <c r="G240" s="93"/>
      <c r="H240" s="93"/>
      <c r="J240" s="67" t="e">
        <f t="shared" si="1"/>
        <v>#DIV/0!</v>
      </c>
    </row>
    <row r="241" spans="1:10" s="36" customFormat="1" x14ac:dyDescent="0.35">
      <c r="A241" s="51">
        <v>1</v>
      </c>
      <c r="B241" s="64" t="s">
        <v>225</v>
      </c>
      <c r="C241" s="51">
        <v>163</v>
      </c>
      <c r="D241" s="51">
        <v>0</v>
      </c>
      <c r="E241" s="56">
        <v>244</v>
      </c>
      <c r="F241" s="92" t="s">
        <v>226</v>
      </c>
      <c r="G241" s="92"/>
      <c r="H241" s="92"/>
      <c r="J241" s="67">
        <f t="shared" si="1"/>
        <v>1.4969325153374233</v>
      </c>
    </row>
    <row r="242" spans="1:10" s="36" customFormat="1" x14ac:dyDescent="0.35">
      <c r="A242" s="51">
        <v>2</v>
      </c>
      <c r="B242" s="64" t="s">
        <v>225</v>
      </c>
      <c r="C242" s="51">
        <v>124</v>
      </c>
      <c r="D242" s="51">
        <v>0</v>
      </c>
      <c r="E242" s="56">
        <v>186</v>
      </c>
      <c r="F242" s="92"/>
      <c r="G242" s="92"/>
      <c r="H242" s="92"/>
      <c r="J242" s="67">
        <f t="shared" si="1"/>
        <v>1.5</v>
      </c>
    </row>
    <row r="243" spans="1:10" s="36" customFormat="1" x14ac:dyDescent="0.35">
      <c r="A243" s="51">
        <v>3</v>
      </c>
      <c r="B243" s="64" t="s">
        <v>225</v>
      </c>
      <c r="C243" s="51">
        <v>163</v>
      </c>
      <c r="D243" s="51">
        <v>0</v>
      </c>
      <c r="E243" s="56">
        <v>244</v>
      </c>
      <c r="F243" s="92"/>
      <c r="G243" s="92"/>
      <c r="H243" s="92"/>
      <c r="J243" s="67">
        <f t="shared" si="1"/>
        <v>1.4969325153374233</v>
      </c>
    </row>
    <row r="244" spans="1:10" s="36" customFormat="1" x14ac:dyDescent="0.35">
      <c r="A244" s="51">
        <v>4</v>
      </c>
      <c r="B244" s="64" t="s">
        <v>225</v>
      </c>
      <c r="C244" s="51">
        <v>163</v>
      </c>
      <c r="D244" s="51">
        <v>0</v>
      </c>
      <c r="E244" s="56">
        <v>244</v>
      </c>
      <c r="F244" s="92"/>
      <c r="G244" s="92"/>
      <c r="H244" s="92"/>
      <c r="J244" s="67">
        <f t="shared" si="1"/>
        <v>1.4969325153374233</v>
      </c>
    </row>
    <row r="245" spans="1:10" s="36" customFormat="1" x14ac:dyDescent="0.35">
      <c r="A245" s="51">
        <v>5</v>
      </c>
      <c r="B245" s="64" t="s">
        <v>225</v>
      </c>
      <c r="C245" s="51">
        <v>124</v>
      </c>
      <c r="D245" s="51">
        <v>0</v>
      </c>
      <c r="E245" s="56">
        <v>186</v>
      </c>
      <c r="F245" s="92"/>
      <c r="G245" s="92"/>
      <c r="H245" s="92"/>
      <c r="J245" s="67">
        <f t="shared" si="1"/>
        <v>1.5</v>
      </c>
    </row>
    <row r="246" spans="1:10" s="36" customFormat="1" x14ac:dyDescent="0.35">
      <c r="A246" s="51">
        <v>6</v>
      </c>
      <c r="B246" s="64" t="s">
        <v>225</v>
      </c>
      <c r="C246" s="51">
        <v>141</v>
      </c>
      <c r="D246" s="51">
        <v>0</v>
      </c>
      <c r="E246" s="56">
        <v>211</v>
      </c>
      <c r="F246" s="92"/>
      <c r="G246" s="92"/>
      <c r="H246" s="92"/>
      <c r="J246" s="67">
        <f t="shared" si="1"/>
        <v>1.4964539007092199</v>
      </c>
    </row>
    <row r="247" spans="1:10" s="36" customFormat="1" x14ac:dyDescent="0.35">
      <c r="A247" s="51">
        <v>7</v>
      </c>
      <c r="B247" s="64" t="s">
        <v>225</v>
      </c>
      <c r="C247" s="51">
        <v>145</v>
      </c>
      <c r="D247" s="51">
        <v>0</v>
      </c>
      <c r="E247" s="56">
        <v>218</v>
      </c>
      <c r="F247" s="92"/>
      <c r="G247" s="92"/>
      <c r="H247" s="92"/>
      <c r="J247" s="67">
        <f t="shared" si="1"/>
        <v>1.5034482758620689</v>
      </c>
    </row>
    <row r="248" spans="1:10" s="36" customFormat="1" x14ac:dyDescent="0.35">
      <c r="A248" s="51">
        <v>8</v>
      </c>
      <c r="B248" s="64" t="s">
        <v>225</v>
      </c>
      <c r="C248" s="51">
        <v>149</v>
      </c>
      <c r="D248" s="51">
        <v>0</v>
      </c>
      <c r="E248" s="56">
        <v>223</v>
      </c>
      <c r="F248" s="92"/>
      <c r="G248" s="92"/>
      <c r="H248" s="92"/>
      <c r="J248" s="67">
        <f t="shared" si="1"/>
        <v>1.4966442953020134</v>
      </c>
    </row>
    <row r="249" spans="1:10" s="36" customFormat="1" ht="15" x14ac:dyDescent="0.35">
      <c r="A249" s="93" t="s">
        <v>227</v>
      </c>
      <c r="B249" s="93"/>
      <c r="C249" s="93"/>
      <c r="D249" s="93"/>
      <c r="E249" s="93"/>
      <c r="F249" s="93"/>
      <c r="G249" s="93"/>
      <c r="H249" s="93"/>
      <c r="J249" s="67" t="e">
        <f t="shared" si="1"/>
        <v>#DIV/0!</v>
      </c>
    </row>
    <row r="250" spans="1:10" s="36" customFormat="1" x14ac:dyDescent="0.35">
      <c r="A250" s="51">
        <v>1</v>
      </c>
      <c r="B250" s="64" t="s">
        <v>228</v>
      </c>
      <c r="C250" s="51">
        <v>394</v>
      </c>
      <c r="D250" s="51">
        <v>0</v>
      </c>
      <c r="E250" s="56">
        <v>591</v>
      </c>
      <c r="F250" s="92" t="s">
        <v>229</v>
      </c>
      <c r="G250" s="92"/>
      <c r="H250" s="92"/>
      <c r="J250" s="67">
        <f t="shared" si="1"/>
        <v>1.5</v>
      </c>
    </row>
    <row r="251" spans="1:10" s="36" customFormat="1" x14ac:dyDescent="0.35">
      <c r="A251" s="51">
        <v>2</v>
      </c>
      <c r="B251" s="64" t="s">
        <v>228</v>
      </c>
      <c r="C251" s="51">
        <v>372</v>
      </c>
      <c r="D251" s="51">
        <v>156</v>
      </c>
      <c r="E251" s="56">
        <v>635</v>
      </c>
      <c r="F251" s="92"/>
      <c r="G251" s="92"/>
      <c r="H251" s="92"/>
      <c r="J251" s="67">
        <f>(E251-D251)/C251</f>
        <v>1.2876344086021505</v>
      </c>
    </row>
    <row r="252" spans="1:10" s="36" customFormat="1" x14ac:dyDescent="0.35">
      <c r="A252" s="51">
        <v>3</v>
      </c>
      <c r="B252" s="64" t="s">
        <v>228</v>
      </c>
      <c r="C252" s="51">
        <v>355</v>
      </c>
      <c r="D252" s="51">
        <v>101</v>
      </c>
      <c r="E252" s="56">
        <v>583</v>
      </c>
      <c r="F252" s="92"/>
      <c r="G252" s="92"/>
      <c r="H252" s="92"/>
      <c r="J252" s="67">
        <f t="shared" ref="J252:J253" si="2">(E252-D252)/C252</f>
        <v>1.3577464788732394</v>
      </c>
    </row>
    <row r="253" spans="1:10" s="36" customFormat="1" x14ac:dyDescent="0.35">
      <c r="A253" s="51">
        <v>4</v>
      </c>
      <c r="B253" s="64" t="s">
        <v>230</v>
      </c>
      <c r="C253" s="51">
        <v>723</v>
      </c>
      <c r="D253" s="51">
        <v>74</v>
      </c>
      <c r="E253" s="55">
        <v>1158</v>
      </c>
      <c r="F253" s="92"/>
      <c r="G253" s="92"/>
      <c r="H253" s="92"/>
      <c r="J253" s="67">
        <f t="shared" si="2"/>
        <v>1.4993084370677732</v>
      </c>
    </row>
    <row r="254" spans="1:10" s="36" customFormat="1" x14ac:dyDescent="0.35">
      <c r="A254" s="51">
        <v>5</v>
      </c>
      <c r="B254" s="64" t="s">
        <v>234</v>
      </c>
      <c r="C254" s="51">
        <v>263</v>
      </c>
      <c r="D254" s="51">
        <v>0</v>
      </c>
      <c r="E254" s="56">
        <v>394</v>
      </c>
      <c r="F254" s="92"/>
      <c r="G254" s="92"/>
      <c r="H254" s="92"/>
      <c r="J254" s="67">
        <f t="shared" si="1"/>
        <v>1.4980988593155893</v>
      </c>
    </row>
    <row r="255" spans="1:10" s="36" customFormat="1" x14ac:dyDescent="0.35">
      <c r="A255" s="51">
        <v>6</v>
      </c>
      <c r="B255" s="64" t="s">
        <v>234</v>
      </c>
      <c r="C255" s="51">
        <v>263</v>
      </c>
      <c r="D255" s="51">
        <v>0</v>
      </c>
      <c r="E255" s="56">
        <v>394</v>
      </c>
      <c r="F255" s="92"/>
      <c r="G255" s="92"/>
      <c r="H255" s="92"/>
      <c r="J255" s="67">
        <f t="shared" si="1"/>
        <v>1.4980988593155893</v>
      </c>
    </row>
    <row r="256" spans="1:10" s="36" customFormat="1" ht="15" x14ac:dyDescent="0.35">
      <c r="A256" s="93" t="s">
        <v>242</v>
      </c>
      <c r="B256" s="93"/>
      <c r="C256" s="93"/>
      <c r="D256" s="93"/>
      <c r="E256" s="93"/>
      <c r="F256" s="93"/>
      <c r="G256" s="93"/>
      <c r="H256" s="93"/>
      <c r="J256" s="67" t="e">
        <f t="shared" si="1"/>
        <v>#DIV/0!</v>
      </c>
    </row>
    <row r="257" spans="1:10" s="36" customFormat="1" x14ac:dyDescent="0.35">
      <c r="A257" s="51">
        <v>1</v>
      </c>
      <c r="B257" s="64" t="s">
        <v>228</v>
      </c>
      <c r="C257" s="51">
        <v>394</v>
      </c>
      <c r="D257" s="51">
        <v>0</v>
      </c>
      <c r="E257" s="56">
        <v>591</v>
      </c>
      <c r="F257" s="92" t="s">
        <v>243</v>
      </c>
      <c r="G257" s="92"/>
      <c r="H257" s="92"/>
      <c r="J257" s="67">
        <f t="shared" si="1"/>
        <v>1.5</v>
      </c>
    </row>
    <row r="258" spans="1:10" s="36" customFormat="1" x14ac:dyDescent="0.35">
      <c r="A258" s="51">
        <v>2</v>
      </c>
      <c r="B258" s="64" t="s">
        <v>228</v>
      </c>
      <c r="C258" s="51">
        <v>394</v>
      </c>
      <c r="D258" s="51">
        <v>0</v>
      </c>
      <c r="E258" s="56">
        <v>591</v>
      </c>
      <c r="F258" s="92"/>
      <c r="G258" s="92"/>
      <c r="H258" s="92"/>
      <c r="J258" s="67">
        <f t="shared" si="1"/>
        <v>1.5</v>
      </c>
    </row>
    <row r="259" spans="1:10" s="36" customFormat="1" x14ac:dyDescent="0.35">
      <c r="A259" s="51">
        <v>3</v>
      </c>
      <c r="B259" s="64" t="s">
        <v>228</v>
      </c>
      <c r="C259" s="51">
        <v>377</v>
      </c>
      <c r="D259" s="51">
        <v>0</v>
      </c>
      <c r="E259" s="56">
        <v>566</v>
      </c>
      <c r="F259" s="92"/>
      <c r="G259" s="92"/>
      <c r="H259" s="92"/>
      <c r="J259" s="67">
        <f t="shared" si="1"/>
        <v>1.5013262599469497</v>
      </c>
    </row>
    <row r="260" spans="1:10" s="36" customFormat="1" x14ac:dyDescent="0.35">
      <c r="A260" s="51">
        <v>4</v>
      </c>
      <c r="B260" s="64" t="s">
        <v>230</v>
      </c>
      <c r="C260" s="51">
        <v>723</v>
      </c>
      <c r="D260" s="51">
        <v>0</v>
      </c>
      <c r="E260" s="55">
        <v>1085</v>
      </c>
      <c r="F260" s="92"/>
      <c r="G260" s="92"/>
      <c r="H260" s="92"/>
      <c r="J260" s="67">
        <f t="shared" si="1"/>
        <v>1.5006915629322268</v>
      </c>
    </row>
    <row r="261" spans="1:10" s="36" customFormat="1" x14ac:dyDescent="0.35">
      <c r="A261" s="51">
        <v>5</v>
      </c>
      <c r="B261" s="64" t="s">
        <v>228</v>
      </c>
      <c r="C261" s="51">
        <v>386</v>
      </c>
      <c r="D261" s="51">
        <v>0</v>
      </c>
      <c r="E261" s="56">
        <v>579</v>
      </c>
      <c r="F261" s="92"/>
      <c r="G261" s="92"/>
      <c r="H261" s="92"/>
      <c r="J261" s="67">
        <f t="shared" si="1"/>
        <v>1.5</v>
      </c>
    </row>
    <row r="262" spans="1:10" s="36" customFormat="1" x14ac:dyDescent="0.35">
      <c r="A262" s="51">
        <v>6</v>
      </c>
      <c r="B262" s="64" t="s">
        <v>228</v>
      </c>
      <c r="C262" s="51">
        <v>386</v>
      </c>
      <c r="D262" s="51">
        <v>0</v>
      </c>
      <c r="E262" s="56">
        <v>579</v>
      </c>
      <c r="F262" s="92"/>
      <c r="G262" s="92"/>
      <c r="H262" s="92"/>
    </row>
    <row r="263" spans="1:10" s="36" customFormat="1" ht="15" x14ac:dyDescent="0.35">
      <c r="A263" s="93" t="s">
        <v>244</v>
      </c>
      <c r="B263" s="93"/>
      <c r="C263" s="93"/>
      <c r="D263" s="93"/>
      <c r="E263" s="93"/>
      <c r="F263" s="93"/>
      <c r="G263" s="93"/>
      <c r="H263" s="93"/>
    </row>
    <row r="264" spans="1:10" s="36" customFormat="1" ht="15" x14ac:dyDescent="0.35">
      <c r="A264" s="93" t="s">
        <v>224</v>
      </c>
      <c r="B264" s="93"/>
      <c r="C264" s="93"/>
      <c r="D264" s="93"/>
      <c r="E264" s="93"/>
      <c r="F264" s="93"/>
      <c r="G264" s="93"/>
      <c r="H264" s="93"/>
    </row>
    <row r="265" spans="1:10" s="36" customFormat="1" x14ac:dyDescent="0.35">
      <c r="A265" s="51">
        <v>9</v>
      </c>
      <c r="B265" s="90" t="s">
        <v>225</v>
      </c>
      <c r="C265" s="51">
        <v>128</v>
      </c>
      <c r="D265" s="51">
        <v>0</v>
      </c>
      <c r="E265" s="56">
        <v>192</v>
      </c>
      <c r="F265" s="92" t="s">
        <v>226</v>
      </c>
      <c r="G265" s="92"/>
      <c r="H265" s="92"/>
      <c r="I265" s="36">
        <f>192/128</f>
        <v>1.5</v>
      </c>
    </row>
    <row r="266" spans="1:10" s="36" customFormat="1" x14ac:dyDescent="0.35">
      <c r="A266" s="51">
        <v>10</v>
      </c>
      <c r="B266" s="90" t="s">
        <v>225</v>
      </c>
      <c r="C266" s="51">
        <v>143</v>
      </c>
      <c r="D266" s="51">
        <v>0</v>
      </c>
      <c r="E266" s="56">
        <v>214</v>
      </c>
      <c r="F266" s="92"/>
      <c r="G266" s="92"/>
      <c r="H266" s="92"/>
    </row>
    <row r="267" spans="1:10" s="36" customFormat="1" x14ac:dyDescent="0.35">
      <c r="A267" s="51">
        <v>11</v>
      </c>
      <c r="B267" s="90" t="s">
        <v>225</v>
      </c>
      <c r="C267" s="51">
        <v>141</v>
      </c>
      <c r="D267" s="51">
        <v>0</v>
      </c>
      <c r="E267" s="56">
        <v>211</v>
      </c>
      <c r="F267" s="92"/>
      <c r="G267" s="92"/>
      <c r="H267" s="92"/>
    </row>
    <row r="268" spans="1:10" s="36" customFormat="1" x14ac:dyDescent="0.35">
      <c r="A268" s="51">
        <v>12</v>
      </c>
      <c r="B268" s="90" t="s">
        <v>225</v>
      </c>
      <c r="C268" s="51">
        <v>124</v>
      </c>
      <c r="D268" s="51">
        <v>0</v>
      </c>
      <c r="E268" s="56">
        <v>186</v>
      </c>
      <c r="F268" s="92"/>
      <c r="G268" s="92"/>
      <c r="H268" s="92"/>
    </row>
    <row r="269" spans="1:10" s="36" customFormat="1" x14ac:dyDescent="0.35">
      <c r="A269" s="51">
        <v>13</v>
      </c>
      <c r="B269" s="90" t="s">
        <v>225</v>
      </c>
      <c r="C269" s="51">
        <v>163</v>
      </c>
      <c r="D269" s="51">
        <v>0</v>
      </c>
      <c r="E269" s="56">
        <v>244</v>
      </c>
      <c r="F269" s="92"/>
      <c r="G269" s="92"/>
      <c r="H269" s="92"/>
    </row>
    <row r="270" spans="1:10" s="36" customFormat="1" x14ac:dyDescent="0.35">
      <c r="A270" s="51">
        <v>14</v>
      </c>
      <c r="B270" s="90" t="s">
        <v>225</v>
      </c>
      <c r="C270" s="51">
        <v>163</v>
      </c>
      <c r="D270" s="51">
        <v>0</v>
      </c>
      <c r="E270" s="56">
        <v>244</v>
      </c>
      <c r="F270" s="92"/>
      <c r="G270" s="92"/>
      <c r="H270" s="92"/>
    </row>
    <row r="271" spans="1:10" s="36" customFormat="1" x14ac:dyDescent="0.35">
      <c r="A271" s="51">
        <v>15</v>
      </c>
      <c r="B271" s="90" t="s">
        <v>225</v>
      </c>
      <c r="C271" s="51">
        <v>124</v>
      </c>
      <c r="D271" s="51">
        <v>0</v>
      </c>
      <c r="E271" s="56">
        <v>186</v>
      </c>
      <c r="F271" s="92"/>
      <c r="G271" s="92"/>
      <c r="H271" s="92"/>
    </row>
    <row r="272" spans="1:10" s="36" customFormat="1" x14ac:dyDescent="0.35">
      <c r="A272" s="51">
        <v>16</v>
      </c>
      <c r="B272" s="90" t="s">
        <v>225</v>
      </c>
      <c r="C272" s="51">
        <v>163</v>
      </c>
      <c r="D272" s="51">
        <v>0</v>
      </c>
      <c r="E272" s="56">
        <v>244</v>
      </c>
      <c r="F272" s="92"/>
      <c r="G272" s="92"/>
      <c r="H272" s="92"/>
    </row>
    <row r="273" spans="1:8" s="36" customFormat="1" ht="15" x14ac:dyDescent="0.35">
      <c r="A273" s="93" t="s">
        <v>227</v>
      </c>
      <c r="B273" s="93"/>
      <c r="C273" s="93"/>
      <c r="D273" s="93"/>
      <c r="E273" s="93"/>
      <c r="F273" s="93"/>
      <c r="G273" s="93"/>
      <c r="H273" s="93"/>
    </row>
    <row r="274" spans="1:8" s="36" customFormat="1" x14ac:dyDescent="0.35">
      <c r="A274" s="51">
        <v>1</v>
      </c>
      <c r="B274" s="64" t="s">
        <v>228</v>
      </c>
      <c r="C274" s="51">
        <v>394</v>
      </c>
      <c r="D274" s="51">
        <v>0</v>
      </c>
      <c r="E274" s="56">
        <v>591</v>
      </c>
      <c r="F274" s="92" t="s">
        <v>229</v>
      </c>
      <c r="G274" s="92"/>
      <c r="H274" s="92"/>
    </row>
    <row r="275" spans="1:8" s="36" customFormat="1" x14ac:dyDescent="0.35">
      <c r="A275" s="51">
        <v>2</v>
      </c>
      <c r="B275" s="64" t="s">
        <v>228</v>
      </c>
      <c r="C275" s="51">
        <v>372</v>
      </c>
      <c r="D275" s="51">
        <v>156</v>
      </c>
      <c r="E275" s="56">
        <v>635</v>
      </c>
      <c r="F275" s="92"/>
      <c r="G275" s="92"/>
      <c r="H275" s="92"/>
    </row>
    <row r="276" spans="1:8" s="36" customFormat="1" x14ac:dyDescent="0.35">
      <c r="A276" s="51">
        <v>3</v>
      </c>
      <c r="B276" s="64" t="s">
        <v>228</v>
      </c>
      <c r="C276" s="51">
        <v>355</v>
      </c>
      <c r="D276" s="51">
        <v>101</v>
      </c>
      <c r="E276" s="56">
        <v>583</v>
      </c>
      <c r="F276" s="92"/>
      <c r="G276" s="92"/>
      <c r="H276" s="92"/>
    </row>
    <row r="277" spans="1:8" s="36" customFormat="1" x14ac:dyDescent="0.35">
      <c r="A277" s="51">
        <v>4</v>
      </c>
      <c r="B277" s="64" t="s">
        <v>230</v>
      </c>
      <c r="C277" s="51">
        <v>746</v>
      </c>
      <c r="D277" s="51">
        <v>74</v>
      </c>
      <c r="E277" s="55">
        <v>1192</v>
      </c>
      <c r="F277" s="92"/>
      <c r="G277" s="92"/>
      <c r="H277" s="92"/>
    </row>
    <row r="278" spans="1:8" s="36" customFormat="1" x14ac:dyDescent="0.35">
      <c r="A278" s="51">
        <v>5</v>
      </c>
      <c r="B278" s="64" t="s">
        <v>228</v>
      </c>
      <c r="C278" s="51">
        <v>404</v>
      </c>
      <c r="D278" s="51">
        <v>0</v>
      </c>
      <c r="E278" s="56">
        <v>607</v>
      </c>
      <c r="F278" s="92"/>
      <c r="G278" s="92"/>
      <c r="H278" s="92"/>
    </row>
    <row r="279" spans="1:8" s="36" customFormat="1" x14ac:dyDescent="0.35">
      <c r="A279" s="51">
        <v>6</v>
      </c>
      <c r="B279" s="64" t="s">
        <v>228</v>
      </c>
      <c r="C279" s="51">
        <v>404</v>
      </c>
      <c r="D279" s="51">
        <v>0</v>
      </c>
      <c r="E279" s="56">
        <v>607</v>
      </c>
      <c r="F279" s="92"/>
      <c r="G279" s="92"/>
      <c r="H279" s="92"/>
    </row>
    <row r="280" spans="1:8" s="36" customFormat="1" ht="15" x14ac:dyDescent="0.35">
      <c r="A280" s="93" t="s">
        <v>242</v>
      </c>
      <c r="B280" s="93"/>
      <c r="C280" s="93"/>
      <c r="D280" s="93"/>
      <c r="E280" s="93"/>
      <c r="F280" s="93"/>
      <c r="G280" s="93"/>
      <c r="H280" s="93"/>
    </row>
    <row r="281" spans="1:8" s="36" customFormat="1" x14ac:dyDescent="0.35">
      <c r="A281" s="51">
        <v>1</v>
      </c>
      <c r="B281" s="64" t="s">
        <v>228</v>
      </c>
      <c r="C281" s="51">
        <v>394</v>
      </c>
      <c r="D281" s="51">
        <v>0</v>
      </c>
      <c r="E281" s="56">
        <v>591</v>
      </c>
      <c r="F281" s="92" t="s">
        <v>243</v>
      </c>
      <c r="G281" s="92"/>
      <c r="H281" s="92"/>
    </row>
    <row r="282" spans="1:8" s="36" customFormat="1" x14ac:dyDescent="0.35">
      <c r="A282" s="51">
        <v>2</v>
      </c>
      <c r="B282" s="64" t="s">
        <v>228</v>
      </c>
      <c r="C282" s="51">
        <v>394</v>
      </c>
      <c r="D282" s="51">
        <v>0</v>
      </c>
      <c r="E282" s="56">
        <v>591</v>
      </c>
      <c r="F282" s="92"/>
      <c r="G282" s="92"/>
      <c r="H282" s="92"/>
    </row>
    <row r="283" spans="1:8" s="36" customFormat="1" x14ac:dyDescent="0.35">
      <c r="A283" s="51">
        <v>3</v>
      </c>
      <c r="B283" s="64" t="s">
        <v>228</v>
      </c>
      <c r="C283" s="51">
        <v>402</v>
      </c>
      <c r="D283" s="51">
        <v>0</v>
      </c>
      <c r="E283" s="56">
        <v>604</v>
      </c>
      <c r="F283" s="92"/>
      <c r="G283" s="92"/>
      <c r="H283" s="92"/>
    </row>
    <row r="284" spans="1:8" s="36" customFormat="1" x14ac:dyDescent="0.35">
      <c r="A284" s="51">
        <v>4</v>
      </c>
      <c r="B284" s="64" t="s">
        <v>230</v>
      </c>
      <c r="C284" s="51">
        <v>746</v>
      </c>
      <c r="D284" s="51">
        <v>0</v>
      </c>
      <c r="E284" s="55">
        <v>1118</v>
      </c>
      <c r="F284" s="92"/>
      <c r="G284" s="92"/>
      <c r="H284" s="92"/>
    </row>
    <row r="285" spans="1:8" s="36" customFormat="1" x14ac:dyDescent="0.35">
      <c r="A285" s="51">
        <v>5</v>
      </c>
      <c r="B285" s="64" t="s">
        <v>228</v>
      </c>
      <c r="C285" s="51">
        <v>404</v>
      </c>
      <c r="D285" s="51">
        <v>0</v>
      </c>
      <c r="E285" s="56">
        <v>607</v>
      </c>
      <c r="F285" s="92"/>
      <c r="G285" s="92"/>
      <c r="H285" s="92"/>
    </row>
    <row r="286" spans="1:8" s="36" customFormat="1" x14ac:dyDescent="0.35">
      <c r="A286" s="51">
        <v>6</v>
      </c>
      <c r="B286" s="64" t="s">
        <v>228</v>
      </c>
      <c r="C286" s="51">
        <v>404</v>
      </c>
      <c r="D286" s="51">
        <v>0</v>
      </c>
      <c r="E286" s="56">
        <v>607</v>
      </c>
      <c r="F286" s="92"/>
      <c r="G286" s="92"/>
      <c r="H286" s="92"/>
    </row>
    <row r="287" spans="1:8" s="36" customFormat="1" ht="15" x14ac:dyDescent="0.35">
      <c r="A287" s="93" t="s">
        <v>245</v>
      </c>
      <c r="B287" s="93"/>
      <c r="C287" s="93"/>
      <c r="D287" s="93"/>
      <c r="E287" s="93"/>
      <c r="F287" s="93"/>
      <c r="G287" s="93"/>
      <c r="H287" s="93"/>
    </row>
    <row r="288" spans="1:8" s="36" customFormat="1" ht="15" x14ac:dyDescent="0.35">
      <c r="A288" s="145" t="s">
        <v>235</v>
      </c>
      <c r="B288" s="149"/>
      <c r="C288" s="149"/>
      <c r="D288" s="149"/>
      <c r="E288" s="149"/>
      <c r="F288" s="149"/>
      <c r="G288" s="149"/>
      <c r="H288" s="150"/>
    </row>
    <row r="289" spans="1:9" s="36" customFormat="1" x14ac:dyDescent="0.35">
      <c r="A289" s="51">
        <v>2</v>
      </c>
      <c r="B289" s="64" t="s">
        <v>228</v>
      </c>
      <c r="C289" s="51">
        <v>357</v>
      </c>
      <c r="D289" s="51">
        <v>0</v>
      </c>
      <c r="E289" s="56">
        <v>535</v>
      </c>
      <c r="F289" s="104" t="s">
        <v>236</v>
      </c>
      <c r="G289" s="146"/>
      <c r="H289" s="105"/>
    </row>
    <row r="290" spans="1:9" s="36" customFormat="1" x14ac:dyDescent="0.35">
      <c r="A290" s="51">
        <v>3</v>
      </c>
      <c r="B290" s="64" t="s">
        <v>228</v>
      </c>
      <c r="C290" s="51">
        <v>355</v>
      </c>
      <c r="D290" s="51">
        <v>0</v>
      </c>
      <c r="E290" s="56">
        <v>532</v>
      </c>
      <c r="F290" s="106"/>
      <c r="G290" s="147"/>
      <c r="H290" s="107"/>
    </row>
    <row r="291" spans="1:9" s="36" customFormat="1" x14ac:dyDescent="0.35">
      <c r="A291" s="51">
        <v>4</v>
      </c>
      <c r="B291" s="64" t="s">
        <v>230</v>
      </c>
      <c r="C291" s="51">
        <v>723</v>
      </c>
      <c r="D291" s="51">
        <v>0</v>
      </c>
      <c r="E291" s="55">
        <v>1085</v>
      </c>
      <c r="F291" s="106"/>
      <c r="G291" s="147"/>
      <c r="H291" s="107"/>
    </row>
    <row r="292" spans="1:9" s="36" customFormat="1" x14ac:dyDescent="0.35">
      <c r="A292" s="51">
        <v>5</v>
      </c>
      <c r="B292" s="64" t="s">
        <v>228</v>
      </c>
      <c r="C292" s="51">
        <v>355</v>
      </c>
      <c r="D292" s="51">
        <v>0</v>
      </c>
      <c r="E292" s="56">
        <v>532</v>
      </c>
      <c r="F292" s="108"/>
      <c r="G292" s="148"/>
      <c r="H292" s="109"/>
    </row>
    <row r="293" spans="1:9" s="36" customFormat="1" ht="15" x14ac:dyDescent="0.35">
      <c r="A293" s="93" t="s">
        <v>238</v>
      </c>
      <c r="B293" s="93"/>
      <c r="C293" s="93"/>
      <c r="D293" s="93"/>
      <c r="E293" s="93"/>
      <c r="F293" s="93"/>
      <c r="G293" s="93"/>
      <c r="H293" s="93"/>
    </row>
    <row r="294" spans="1:9" s="36" customFormat="1" x14ac:dyDescent="0.35">
      <c r="A294" s="66">
        <v>1</v>
      </c>
      <c r="B294" s="64" t="s">
        <v>228</v>
      </c>
      <c r="C294" s="66">
        <v>394</v>
      </c>
      <c r="D294" s="66">
        <v>0</v>
      </c>
      <c r="E294" s="66">
        <v>591</v>
      </c>
      <c r="F294" s="92" t="s">
        <v>239</v>
      </c>
      <c r="G294" s="92"/>
      <c r="H294" s="92"/>
    </row>
    <row r="295" spans="1:9" s="36" customFormat="1" x14ac:dyDescent="0.35">
      <c r="A295" s="66">
        <v>2</v>
      </c>
      <c r="B295" s="64" t="s">
        <v>228</v>
      </c>
      <c r="C295" s="66">
        <v>394</v>
      </c>
      <c r="D295" s="66">
        <v>0</v>
      </c>
      <c r="E295" s="66">
        <v>591</v>
      </c>
      <c r="F295" s="92"/>
      <c r="G295" s="92"/>
      <c r="H295" s="92"/>
    </row>
    <row r="296" spans="1:9" s="36" customFormat="1" x14ac:dyDescent="0.35">
      <c r="A296" s="66">
        <v>3</v>
      </c>
      <c r="B296" s="64" t="s">
        <v>228</v>
      </c>
      <c r="C296" s="66">
        <v>377</v>
      </c>
      <c r="D296" s="66">
        <v>0</v>
      </c>
      <c r="E296" s="66">
        <v>566</v>
      </c>
      <c r="F296" s="92"/>
      <c r="G296" s="92"/>
      <c r="H296" s="92"/>
    </row>
    <row r="297" spans="1:9" s="36" customFormat="1" x14ac:dyDescent="0.35">
      <c r="A297" s="66">
        <v>4</v>
      </c>
      <c r="B297" s="64" t="s">
        <v>230</v>
      </c>
      <c r="C297" s="66">
        <v>746</v>
      </c>
      <c r="D297" s="66">
        <v>0</v>
      </c>
      <c r="E297" s="66">
        <v>1120</v>
      </c>
      <c r="F297" s="92"/>
      <c r="G297" s="92"/>
      <c r="H297" s="92"/>
      <c r="I297" s="36">
        <f>6*1120</f>
        <v>6720</v>
      </c>
    </row>
    <row r="298" spans="1:9" s="36" customFormat="1" x14ac:dyDescent="0.35">
      <c r="A298" s="66">
        <v>5</v>
      </c>
      <c r="B298" s="64" t="s">
        <v>228</v>
      </c>
      <c r="C298" s="66">
        <v>386</v>
      </c>
      <c r="D298" s="66">
        <v>0</v>
      </c>
      <c r="E298" s="66">
        <v>579</v>
      </c>
      <c r="F298" s="92"/>
      <c r="G298" s="92"/>
      <c r="H298" s="92"/>
    </row>
    <row r="299" spans="1:9" s="36" customFormat="1" x14ac:dyDescent="0.35">
      <c r="A299" s="66">
        <v>6</v>
      </c>
      <c r="B299" s="64" t="s">
        <v>228</v>
      </c>
      <c r="C299" s="66">
        <v>386</v>
      </c>
      <c r="D299" s="66">
        <v>0</v>
      </c>
      <c r="E299" s="66">
        <v>579</v>
      </c>
      <c r="F299" s="92"/>
      <c r="G299" s="92"/>
      <c r="H299" s="92"/>
    </row>
    <row r="300" spans="1:9" s="36" customFormat="1" ht="15" x14ac:dyDescent="0.35">
      <c r="A300" s="93" t="s">
        <v>246</v>
      </c>
      <c r="B300" s="93"/>
      <c r="C300" s="93"/>
      <c r="D300" s="93"/>
      <c r="E300" s="93"/>
      <c r="F300" s="93"/>
      <c r="G300" s="93"/>
      <c r="H300" s="93"/>
    </row>
    <row r="301" spans="1:9" s="36" customFormat="1" ht="15" x14ac:dyDescent="0.35">
      <c r="A301" s="93" t="s">
        <v>235</v>
      </c>
      <c r="B301" s="93"/>
      <c r="C301" s="93"/>
      <c r="D301" s="93"/>
      <c r="E301" s="93"/>
      <c r="F301" s="93"/>
      <c r="G301" s="93"/>
      <c r="H301" s="93"/>
    </row>
    <row r="302" spans="1:9" s="36" customFormat="1" x14ac:dyDescent="0.35">
      <c r="A302" s="66">
        <v>1</v>
      </c>
      <c r="B302" s="64" t="s">
        <v>228</v>
      </c>
      <c r="C302" s="66">
        <v>372</v>
      </c>
      <c r="D302" s="66">
        <v>0</v>
      </c>
      <c r="E302" s="66">
        <v>557</v>
      </c>
      <c r="F302" s="92" t="s">
        <v>236</v>
      </c>
      <c r="G302" s="92"/>
      <c r="H302" s="92"/>
    </row>
    <row r="303" spans="1:9" s="36" customFormat="1" x14ac:dyDescent="0.35">
      <c r="A303" s="66">
        <v>3</v>
      </c>
      <c r="B303" s="64" t="s">
        <v>228</v>
      </c>
      <c r="C303" s="66">
        <v>355</v>
      </c>
      <c r="D303" s="66">
        <v>0</v>
      </c>
      <c r="E303" s="66">
        <v>532</v>
      </c>
      <c r="F303" s="92"/>
      <c r="G303" s="92"/>
      <c r="H303" s="92"/>
    </row>
    <row r="304" spans="1:9" s="36" customFormat="1" x14ac:dyDescent="0.35">
      <c r="A304" s="66">
        <v>4</v>
      </c>
      <c r="B304" s="64" t="s">
        <v>230</v>
      </c>
      <c r="C304" s="66">
        <v>700</v>
      </c>
      <c r="D304" s="66">
        <v>0</v>
      </c>
      <c r="E304" s="66">
        <v>1049</v>
      </c>
      <c r="F304" s="92"/>
      <c r="G304" s="92"/>
      <c r="H304" s="92"/>
    </row>
    <row r="305" spans="1:9" s="36" customFormat="1" x14ac:dyDescent="0.35">
      <c r="A305" s="66">
        <v>5</v>
      </c>
      <c r="B305" s="64" t="s">
        <v>228</v>
      </c>
      <c r="C305" s="66">
        <v>264</v>
      </c>
      <c r="D305" s="66">
        <v>0</v>
      </c>
      <c r="E305" s="66">
        <v>397</v>
      </c>
      <c r="F305" s="92"/>
      <c r="G305" s="92"/>
      <c r="H305" s="92"/>
    </row>
    <row r="306" spans="1:9" s="36" customFormat="1" ht="15" x14ac:dyDescent="0.35">
      <c r="A306" s="93" t="s">
        <v>227</v>
      </c>
      <c r="B306" s="93"/>
      <c r="C306" s="93"/>
      <c r="D306" s="93"/>
      <c r="E306" s="93"/>
      <c r="F306" s="93"/>
      <c r="G306" s="93"/>
      <c r="H306" s="93"/>
    </row>
    <row r="307" spans="1:9" s="36" customFormat="1" x14ac:dyDescent="0.35">
      <c r="A307" s="66">
        <v>1</v>
      </c>
      <c r="B307" s="90" t="s">
        <v>228</v>
      </c>
      <c r="C307" s="66">
        <v>372</v>
      </c>
      <c r="D307" s="66">
        <v>0</v>
      </c>
      <c r="E307" s="66">
        <v>557</v>
      </c>
      <c r="F307" s="92" t="s">
        <v>229</v>
      </c>
      <c r="G307" s="92"/>
      <c r="H307" s="92"/>
    </row>
    <row r="308" spans="1:9" s="36" customFormat="1" x14ac:dyDescent="0.35">
      <c r="A308" s="66">
        <v>2</v>
      </c>
      <c r="B308" s="90" t="s">
        <v>228</v>
      </c>
      <c r="C308" s="66">
        <v>394</v>
      </c>
      <c r="D308" s="66">
        <v>0</v>
      </c>
      <c r="E308" s="66">
        <v>591</v>
      </c>
      <c r="F308" s="92"/>
      <c r="G308" s="92"/>
      <c r="H308" s="92"/>
    </row>
    <row r="309" spans="1:9" s="36" customFormat="1" x14ac:dyDescent="0.35">
      <c r="A309" s="66">
        <v>3</v>
      </c>
      <c r="B309" s="90" t="s">
        <v>228</v>
      </c>
      <c r="C309" s="66">
        <v>355</v>
      </c>
      <c r="D309" s="66">
        <v>0</v>
      </c>
      <c r="E309" s="66">
        <v>532</v>
      </c>
      <c r="F309" s="92"/>
      <c r="G309" s="92"/>
      <c r="H309" s="92"/>
    </row>
    <row r="310" spans="1:9" s="36" customFormat="1" x14ac:dyDescent="0.35">
      <c r="A310" s="66">
        <v>4</v>
      </c>
      <c r="B310" s="90" t="s">
        <v>230</v>
      </c>
      <c r="C310" s="66">
        <v>723</v>
      </c>
      <c r="D310" s="66">
        <v>0</v>
      </c>
      <c r="E310" s="66">
        <v>1085</v>
      </c>
      <c r="F310" s="92"/>
      <c r="G310" s="92"/>
      <c r="H310" s="92"/>
    </row>
    <row r="311" spans="1:9" s="36" customFormat="1" x14ac:dyDescent="0.35">
      <c r="A311" s="66">
        <v>5</v>
      </c>
      <c r="B311" s="90" t="s">
        <v>228</v>
      </c>
      <c r="C311" s="66">
        <v>264</v>
      </c>
      <c r="D311" s="66">
        <v>0</v>
      </c>
      <c r="E311" s="66">
        <v>397</v>
      </c>
      <c r="F311" s="92"/>
      <c r="G311" s="92"/>
      <c r="H311" s="92"/>
    </row>
    <row r="312" spans="1:9" s="36" customFormat="1" x14ac:dyDescent="0.35">
      <c r="A312" s="66">
        <v>6</v>
      </c>
      <c r="B312" s="90" t="s">
        <v>228</v>
      </c>
      <c r="C312" s="66">
        <v>264</v>
      </c>
      <c r="D312" s="66">
        <v>0</v>
      </c>
      <c r="E312" s="66">
        <v>397</v>
      </c>
      <c r="F312" s="92"/>
      <c r="G312" s="92"/>
      <c r="H312" s="92"/>
    </row>
    <row r="313" spans="1:9" s="36" customFormat="1" ht="15" x14ac:dyDescent="0.35">
      <c r="A313" s="93" t="s">
        <v>231</v>
      </c>
      <c r="B313" s="93"/>
      <c r="C313" s="93"/>
      <c r="D313" s="93"/>
      <c r="E313" s="93"/>
      <c r="F313" s="93"/>
      <c r="G313" s="93"/>
      <c r="H313" s="93"/>
    </row>
    <row r="314" spans="1:9" s="36" customFormat="1" x14ac:dyDescent="0.35">
      <c r="A314" s="66">
        <v>1</v>
      </c>
      <c r="B314" s="90" t="s">
        <v>228</v>
      </c>
      <c r="C314" s="66">
        <v>394</v>
      </c>
      <c r="D314" s="66">
        <v>0</v>
      </c>
      <c r="E314" s="66">
        <v>591</v>
      </c>
      <c r="F314" s="92" t="s">
        <v>232</v>
      </c>
      <c r="G314" s="92"/>
      <c r="H314" s="92"/>
      <c r="I314" s="65">
        <f>E314/C314</f>
        <v>1.5</v>
      </c>
    </row>
    <row r="315" spans="1:9" s="36" customFormat="1" x14ac:dyDescent="0.35">
      <c r="A315" s="66">
        <v>2</v>
      </c>
      <c r="B315" s="90" t="s">
        <v>228</v>
      </c>
      <c r="C315" s="66">
        <v>394</v>
      </c>
      <c r="D315" s="66">
        <v>0</v>
      </c>
      <c r="E315" s="66">
        <v>591</v>
      </c>
      <c r="F315" s="92"/>
      <c r="G315" s="92"/>
      <c r="H315" s="92"/>
    </row>
    <row r="316" spans="1:9" s="36" customFormat="1" x14ac:dyDescent="0.35">
      <c r="A316" s="66">
        <v>3</v>
      </c>
      <c r="B316" s="90" t="s">
        <v>228</v>
      </c>
      <c r="C316" s="66">
        <v>355</v>
      </c>
      <c r="D316" s="66">
        <v>0</v>
      </c>
      <c r="E316" s="66">
        <v>532</v>
      </c>
      <c r="F316" s="92"/>
      <c r="G316" s="92"/>
      <c r="H316" s="92"/>
    </row>
    <row r="317" spans="1:9" s="36" customFormat="1" x14ac:dyDescent="0.35">
      <c r="A317" s="66">
        <v>4</v>
      </c>
      <c r="B317" s="90" t="s">
        <v>230</v>
      </c>
      <c r="C317" s="66">
        <v>723</v>
      </c>
      <c r="D317" s="66">
        <v>0</v>
      </c>
      <c r="E317" s="66">
        <v>1085</v>
      </c>
      <c r="F317" s="92"/>
      <c r="G317" s="92"/>
      <c r="H317" s="92"/>
    </row>
    <row r="318" spans="1:9" s="36" customFormat="1" x14ac:dyDescent="0.35">
      <c r="A318" s="66">
        <v>5</v>
      </c>
      <c r="B318" s="90" t="s">
        <v>228</v>
      </c>
      <c r="C318" s="66">
        <v>391</v>
      </c>
      <c r="D318" s="66">
        <v>0</v>
      </c>
      <c r="E318" s="66">
        <v>587</v>
      </c>
      <c r="F318" s="92"/>
      <c r="G318" s="92"/>
      <c r="H318" s="92"/>
    </row>
    <row r="319" spans="1:9" s="36" customFormat="1" x14ac:dyDescent="0.35">
      <c r="A319" s="66">
        <v>6</v>
      </c>
      <c r="B319" s="90" t="s">
        <v>228</v>
      </c>
      <c r="C319" s="66">
        <v>391</v>
      </c>
      <c r="D319" s="66">
        <v>0</v>
      </c>
      <c r="E319" s="66">
        <v>587</v>
      </c>
      <c r="F319" s="92"/>
      <c r="G319" s="92"/>
      <c r="H319" s="92"/>
    </row>
    <row r="320" spans="1:9" s="36" customFormat="1" ht="15" x14ac:dyDescent="0.35">
      <c r="A320" s="93" t="s">
        <v>295</v>
      </c>
      <c r="B320" s="93"/>
      <c r="C320" s="93"/>
      <c r="D320" s="93"/>
      <c r="E320" s="93"/>
      <c r="F320" s="93"/>
      <c r="G320" s="93"/>
      <c r="H320" s="93"/>
    </row>
    <row r="321" spans="1:9" s="36" customFormat="1" ht="15" x14ac:dyDescent="0.35">
      <c r="A321" s="93" t="s">
        <v>296</v>
      </c>
      <c r="B321" s="93"/>
      <c r="C321" s="93"/>
      <c r="D321" s="93"/>
      <c r="E321" s="93"/>
      <c r="F321" s="93"/>
      <c r="G321" s="93"/>
      <c r="H321" s="93"/>
    </row>
    <row r="322" spans="1:9" s="36" customFormat="1" ht="15" x14ac:dyDescent="0.35">
      <c r="A322" s="93" t="s">
        <v>224</v>
      </c>
      <c r="B322" s="93"/>
      <c r="C322" s="93"/>
      <c r="D322" s="93"/>
      <c r="E322" s="93"/>
      <c r="F322" s="93"/>
      <c r="G322" s="93"/>
      <c r="H322" s="93"/>
    </row>
    <row r="323" spans="1:9" s="36" customFormat="1" x14ac:dyDescent="0.35">
      <c r="A323" s="66">
        <v>1</v>
      </c>
      <c r="B323" s="64" t="s">
        <v>225</v>
      </c>
      <c r="C323" s="66">
        <f>2.85*4.63*10.764</f>
        <v>142.036362</v>
      </c>
      <c r="D323" s="66">
        <v>0</v>
      </c>
      <c r="E323" s="66">
        <f>C323*1.5</f>
        <v>213.054543</v>
      </c>
      <c r="F323" s="92" t="s">
        <v>226</v>
      </c>
      <c r="G323" s="92"/>
      <c r="H323" s="92"/>
    </row>
    <row r="324" spans="1:9" s="36" customFormat="1" x14ac:dyDescent="0.35">
      <c r="A324" s="66">
        <v>2</v>
      </c>
      <c r="B324" s="64" t="s">
        <v>225</v>
      </c>
      <c r="C324" s="66">
        <f>2.75*4.83*10.764</f>
        <v>142.97282999999999</v>
      </c>
      <c r="D324" s="66">
        <v>0</v>
      </c>
      <c r="E324" s="66">
        <f t="shared" ref="E324:E330" si="3">C324*1.5</f>
        <v>214.45924499999998</v>
      </c>
      <c r="F324" s="92"/>
      <c r="G324" s="92"/>
      <c r="H324" s="92"/>
    </row>
    <row r="325" spans="1:9" s="36" customFormat="1" x14ac:dyDescent="0.35">
      <c r="A325" s="66">
        <v>3</v>
      </c>
      <c r="B325" s="64" t="s">
        <v>225</v>
      </c>
      <c r="C325" s="66">
        <f>2.75*4.75*10.764</f>
        <v>140.60475</v>
      </c>
      <c r="D325" s="66">
        <v>0</v>
      </c>
      <c r="E325" s="66">
        <f t="shared" si="3"/>
        <v>210.90712500000001</v>
      </c>
      <c r="F325" s="92"/>
      <c r="G325" s="92"/>
      <c r="H325" s="92"/>
    </row>
    <row r="326" spans="1:9" s="36" customFormat="1" x14ac:dyDescent="0.35">
      <c r="A326" s="66">
        <v>4</v>
      </c>
      <c r="B326" s="64" t="s">
        <v>225</v>
      </c>
      <c r="C326" s="66">
        <f>2.1*5.5*10.764</f>
        <v>124.3242</v>
      </c>
      <c r="D326" s="66">
        <v>0</v>
      </c>
      <c r="E326" s="66">
        <f t="shared" si="3"/>
        <v>186.4863</v>
      </c>
      <c r="F326" s="92"/>
      <c r="G326" s="92"/>
      <c r="H326" s="92"/>
    </row>
    <row r="327" spans="1:9" s="36" customFormat="1" x14ac:dyDescent="0.35">
      <c r="A327" s="66">
        <v>5</v>
      </c>
      <c r="B327" s="64" t="s">
        <v>225</v>
      </c>
      <c r="C327" s="66">
        <f>2.75*5.5*10.764</f>
        <v>162.80549999999999</v>
      </c>
      <c r="D327" s="66">
        <v>0</v>
      </c>
      <c r="E327" s="66">
        <f t="shared" si="3"/>
        <v>244.20824999999999</v>
      </c>
      <c r="F327" s="92"/>
      <c r="G327" s="92"/>
      <c r="H327" s="92"/>
    </row>
    <row r="328" spans="1:9" s="36" customFormat="1" x14ac:dyDescent="0.35">
      <c r="A328" s="66">
        <v>6</v>
      </c>
      <c r="B328" s="64" t="s">
        <v>225</v>
      </c>
      <c r="C328" s="66">
        <f>2.75*5.5*10.764</f>
        <v>162.80549999999999</v>
      </c>
      <c r="D328" s="66">
        <v>0</v>
      </c>
      <c r="E328" s="66">
        <f t="shared" si="3"/>
        <v>244.20824999999999</v>
      </c>
      <c r="F328" s="92"/>
      <c r="G328" s="92"/>
      <c r="H328" s="92"/>
    </row>
    <row r="329" spans="1:9" s="36" customFormat="1" x14ac:dyDescent="0.35">
      <c r="A329" s="66">
        <v>7</v>
      </c>
      <c r="B329" s="64" t="s">
        <v>225</v>
      </c>
      <c r="C329" s="66">
        <f>2.1*5.5*10.764</f>
        <v>124.3242</v>
      </c>
      <c r="D329" s="66">
        <v>0</v>
      </c>
      <c r="E329" s="66">
        <f t="shared" si="3"/>
        <v>186.4863</v>
      </c>
      <c r="F329" s="92"/>
      <c r="G329" s="92"/>
      <c r="H329" s="92"/>
    </row>
    <row r="330" spans="1:9" s="36" customFormat="1" x14ac:dyDescent="0.35">
      <c r="A330" s="66">
        <v>8</v>
      </c>
      <c r="B330" s="64" t="s">
        <v>225</v>
      </c>
      <c r="C330" s="66">
        <f>2.75*5.5*10.764</f>
        <v>162.80549999999999</v>
      </c>
      <c r="D330" s="66">
        <v>0</v>
      </c>
      <c r="E330" s="66">
        <f t="shared" si="3"/>
        <v>244.20824999999999</v>
      </c>
      <c r="F330" s="92"/>
      <c r="G330" s="92"/>
      <c r="H330" s="92"/>
    </row>
    <row r="331" spans="1:9" s="36" customFormat="1" ht="15" x14ac:dyDescent="0.35">
      <c r="A331" s="93" t="s">
        <v>298</v>
      </c>
      <c r="B331" s="93"/>
      <c r="C331" s="93"/>
      <c r="D331" s="93"/>
      <c r="E331" s="93"/>
      <c r="F331" s="93"/>
      <c r="G331" s="93"/>
      <c r="H331" s="93"/>
    </row>
    <row r="332" spans="1:9" s="36" customFormat="1" x14ac:dyDescent="0.35">
      <c r="A332" s="66">
        <v>1</v>
      </c>
      <c r="B332" s="64" t="s">
        <v>228</v>
      </c>
      <c r="C332" s="66">
        <f>((2.75*4.7+2.1*2.4+2.75*3.45+1.2*1.8+1.05*1.8+1.7*0.6+2.1*1)+0.75*2.75)*10.764</f>
        <v>394.87734</v>
      </c>
      <c r="D332" s="66">
        <v>0</v>
      </c>
      <c r="E332" s="66">
        <f>C332*1.5+D332</f>
        <v>592.31601000000001</v>
      </c>
      <c r="F332" s="92" t="s">
        <v>229</v>
      </c>
      <c r="G332" s="92"/>
      <c r="H332" s="92"/>
    </row>
    <row r="333" spans="1:9" s="36" customFormat="1" x14ac:dyDescent="0.35">
      <c r="A333" s="66">
        <v>2</v>
      </c>
      <c r="B333" s="64" t="s">
        <v>228</v>
      </c>
      <c r="C333" s="66">
        <f>((2.75*4.7+2.1*2.4+3.45*2.75+1.2*1.8+1.05*1.8+1.7*0.6+1*0.6))*10.764</f>
        <v>356.53059000000002</v>
      </c>
      <c r="D333" s="66">
        <f>(5*1.1+1.9*2.75)*10.764</f>
        <v>115.44389999999999</v>
      </c>
      <c r="E333" s="66">
        <f t="shared" ref="E333:E344" si="4">C333*1.5+D333</f>
        <v>650.23978499999998</v>
      </c>
      <c r="F333" s="92"/>
      <c r="G333" s="92"/>
      <c r="H333" s="92"/>
    </row>
    <row r="334" spans="1:9" s="36" customFormat="1" x14ac:dyDescent="0.35">
      <c r="A334" s="66">
        <v>3</v>
      </c>
      <c r="B334" s="64" t="s">
        <v>228</v>
      </c>
      <c r="C334" s="66">
        <f>(2.75*4.2+1.4*1.2+2.1*2.3+2.75*3.35+1.8*1.1+1.2*1.9+2.1*0.9)*10.764</f>
        <v>359.75978999999995</v>
      </c>
      <c r="D334" s="66">
        <f>7.7*1.1*10.764</f>
        <v>91.171080000000003</v>
      </c>
      <c r="E334" s="66">
        <f t="shared" si="4"/>
        <v>630.81076499999983</v>
      </c>
      <c r="F334" s="92"/>
      <c r="G334" s="92"/>
      <c r="H334" s="92"/>
    </row>
    <row r="335" spans="1:9" s="36" customFormat="1" x14ac:dyDescent="0.35">
      <c r="A335" s="66">
        <v>4</v>
      </c>
      <c r="B335" s="64" t="s">
        <v>230</v>
      </c>
      <c r="C335" s="66">
        <f>(5.05*2.9+3*2.1+2.25*2.25+3.35*2.75+2.85*3.33+2.75*3.73+1.2*1.8+1.2*1.75+2.75*0.9+2.5*0.9+0.9*0.6+0.75*2.9)*10.764</f>
        <v>717.61435200000005</v>
      </c>
      <c r="D335" s="66">
        <f>6*1.1*10.764</f>
        <v>71.042400000000001</v>
      </c>
      <c r="E335" s="66">
        <f t="shared" si="4"/>
        <v>1147.4639280000001</v>
      </c>
      <c r="F335" s="92"/>
      <c r="G335" s="92"/>
      <c r="H335" s="92"/>
      <c r="I335" s="36">
        <f>4523400/1112</f>
        <v>4067.8057553956833</v>
      </c>
    </row>
    <row r="336" spans="1:9" s="36" customFormat="1" x14ac:dyDescent="0.35">
      <c r="A336" s="66">
        <v>5</v>
      </c>
      <c r="B336" s="64" t="s">
        <v>228</v>
      </c>
      <c r="C336" s="66">
        <f>(5.05*2.75+2.45*2.1+3.5*2.75+1.8*1.2+1.05*1.8+0.7*1.7+2.1*0.9+0.75*2.75)*10.764</f>
        <v>407.41739999999993</v>
      </c>
      <c r="D336" s="66">
        <v>0</v>
      </c>
      <c r="E336" s="66">
        <f t="shared" si="4"/>
        <v>611.12609999999995</v>
      </c>
      <c r="F336" s="92"/>
      <c r="G336" s="92"/>
      <c r="H336" s="92"/>
    </row>
    <row r="337" spans="1:8" s="36" customFormat="1" x14ac:dyDescent="0.35">
      <c r="A337" s="66">
        <v>6</v>
      </c>
      <c r="B337" s="64" t="s">
        <v>228</v>
      </c>
      <c r="C337" s="66">
        <f>(5.05*2.75+2.45*2.1+3.5*2.75+1.8*1.2+1.05*1.8+0.7*1.7+2.1*0.9+0.75*2.75)*10.764</f>
        <v>407.41739999999993</v>
      </c>
      <c r="D337" s="66">
        <v>0</v>
      </c>
      <c r="E337" s="66">
        <f t="shared" si="4"/>
        <v>611.12609999999995</v>
      </c>
      <c r="F337" s="92"/>
      <c r="G337" s="92"/>
      <c r="H337" s="92"/>
    </row>
    <row r="338" spans="1:8" s="36" customFormat="1" ht="15" x14ac:dyDescent="0.35">
      <c r="A338" s="93" t="s">
        <v>242</v>
      </c>
      <c r="B338" s="93"/>
      <c r="C338" s="93"/>
      <c r="D338" s="93"/>
      <c r="E338" s="93"/>
      <c r="F338" s="93"/>
      <c r="G338" s="93"/>
      <c r="H338" s="93"/>
    </row>
    <row r="339" spans="1:8" s="36" customFormat="1" x14ac:dyDescent="0.35">
      <c r="A339" s="66">
        <v>1</v>
      </c>
      <c r="B339" s="64" t="s">
        <v>228</v>
      </c>
      <c r="C339" s="66">
        <f>((2.75*4.7+2.1*2.4+2.75*3.45+1.2*1.8+1.05*1.8+1.7*0.6+2.1*1)+0.75*2.75)*10.764</f>
        <v>394.87734</v>
      </c>
      <c r="D339" s="66">
        <v>0</v>
      </c>
      <c r="E339" s="66">
        <f t="shared" si="4"/>
        <v>592.31601000000001</v>
      </c>
      <c r="F339" s="92" t="s">
        <v>243</v>
      </c>
      <c r="G339" s="92"/>
      <c r="H339" s="92"/>
    </row>
    <row r="340" spans="1:8" s="36" customFormat="1" x14ac:dyDescent="0.35">
      <c r="A340" s="66">
        <v>2</v>
      </c>
      <c r="B340" s="64" t="s">
        <v>228</v>
      </c>
      <c r="C340" s="66">
        <f>((2.75*4.7+2.1*2.4+3.45*2.75+1.2*1.8+1.05*1.8+1.7*0.6+1*0.6))*10.764</f>
        <v>356.53059000000002</v>
      </c>
      <c r="D340" s="66">
        <v>0</v>
      </c>
      <c r="E340" s="66">
        <f t="shared" si="4"/>
        <v>534.795885</v>
      </c>
      <c r="F340" s="92"/>
      <c r="G340" s="92"/>
      <c r="H340" s="92"/>
    </row>
    <row r="341" spans="1:8" s="36" customFormat="1" x14ac:dyDescent="0.35">
      <c r="A341" s="66">
        <v>3</v>
      </c>
      <c r="B341" s="64" t="s">
        <v>228</v>
      </c>
      <c r="C341" s="66">
        <f>(2.75*4.2+1.4*1.2+2.1*2.3+2.75*3.35+1.8*1.1+1.2*1.9+2.1*0.9)*10.764</f>
        <v>359.75978999999995</v>
      </c>
      <c r="D341" s="66">
        <v>0</v>
      </c>
      <c r="E341" s="66">
        <f t="shared" si="4"/>
        <v>539.63968499999987</v>
      </c>
      <c r="F341" s="92"/>
      <c r="G341" s="92"/>
      <c r="H341" s="92"/>
    </row>
    <row r="342" spans="1:8" s="36" customFormat="1" x14ac:dyDescent="0.35">
      <c r="A342" s="66">
        <v>4</v>
      </c>
      <c r="B342" s="64" t="s">
        <v>230</v>
      </c>
      <c r="C342" s="66">
        <f>(5.05*2.9+3*2.1+2.25*2.25+3.35*2.75+2.85*3.33+2.75*3.73+1.2*1.8+1.2*1.75+2.75*0.9+2.5*0.9+0.9*0.6+0.75*2.9)*10.764</f>
        <v>717.61435200000005</v>
      </c>
      <c r="D342" s="66">
        <v>0</v>
      </c>
      <c r="E342" s="66">
        <f t="shared" si="4"/>
        <v>1076.4215280000001</v>
      </c>
      <c r="F342" s="92"/>
      <c r="G342" s="92"/>
      <c r="H342" s="92"/>
    </row>
    <row r="343" spans="1:8" s="36" customFormat="1" x14ac:dyDescent="0.35">
      <c r="A343" s="66">
        <v>5</v>
      </c>
      <c r="B343" s="64" t="s">
        <v>228</v>
      </c>
      <c r="C343" s="66">
        <f>(5.05*2.75+2.45*2.1+3.5*2.75+1.8*1.2+1.05*1.8+0.7*1.7+2.1*0.9+0.75*2.75)*10.764</f>
        <v>407.41739999999993</v>
      </c>
      <c r="D343" s="66">
        <v>0</v>
      </c>
      <c r="E343" s="66">
        <f t="shared" si="4"/>
        <v>611.12609999999995</v>
      </c>
      <c r="F343" s="92"/>
      <c r="G343" s="92"/>
      <c r="H343" s="92"/>
    </row>
    <row r="344" spans="1:8" s="36" customFormat="1" x14ac:dyDescent="0.35">
      <c r="A344" s="66">
        <v>6</v>
      </c>
      <c r="B344" s="64" t="s">
        <v>228</v>
      </c>
      <c r="C344" s="66">
        <f>(5.05*2.75+2.45*2.1+3.5*2.75+1.8*1.2+1.05*1.8+0.7*1.7+2.1*0.9+0.75*2.75)*10.764</f>
        <v>407.41739999999993</v>
      </c>
      <c r="D344" s="66">
        <v>0</v>
      </c>
      <c r="E344" s="66">
        <f t="shared" si="4"/>
        <v>611.12609999999995</v>
      </c>
      <c r="F344" s="92"/>
      <c r="G344" s="92"/>
      <c r="H344" s="92"/>
    </row>
    <row r="345" spans="1:8" s="36" customFormat="1" ht="15" x14ac:dyDescent="0.35">
      <c r="A345" s="93" t="s">
        <v>297</v>
      </c>
      <c r="B345" s="93"/>
      <c r="C345" s="93"/>
      <c r="D345" s="93"/>
      <c r="E345" s="93"/>
      <c r="F345" s="93"/>
      <c r="G345" s="93"/>
      <c r="H345" s="93"/>
    </row>
    <row r="346" spans="1:8" s="36" customFormat="1" ht="15" x14ac:dyDescent="0.35">
      <c r="A346" s="93" t="s">
        <v>224</v>
      </c>
      <c r="B346" s="93"/>
      <c r="C346" s="93"/>
      <c r="D346" s="93"/>
      <c r="E346" s="93"/>
      <c r="F346" s="93"/>
      <c r="G346" s="93"/>
      <c r="H346" s="93"/>
    </row>
    <row r="347" spans="1:8" s="36" customFormat="1" x14ac:dyDescent="0.35">
      <c r="A347" s="66">
        <v>9</v>
      </c>
      <c r="B347" s="64" t="s">
        <v>225</v>
      </c>
      <c r="C347" s="66">
        <f>2.75*5.5*10.764</f>
        <v>162.80549999999999</v>
      </c>
      <c r="D347" s="66">
        <v>0</v>
      </c>
      <c r="E347" s="66">
        <f t="shared" ref="E347:E354" si="5">C347*1.5+D347</f>
        <v>244.20824999999999</v>
      </c>
      <c r="F347" s="92" t="s">
        <v>226</v>
      </c>
      <c r="G347" s="92"/>
      <c r="H347" s="92"/>
    </row>
    <row r="348" spans="1:8" s="36" customFormat="1" x14ac:dyDescent="0.35">
      <c r="A348" s="66">
        <v>10</v>
      </c>
      <c r="B348" s="64" t="s">
        <v>225</v>
      </c>
      <c r="C348" s="66">
        <f>2.1*5.5*10.764</f>
        <v>124.3242</v>
      </c>
      <c r="D348" s="66">
        <v>0</v>
      </c>
      <c r="E348" s="66">
        <f t="shared" si="5"/>
        <v>186.4863</v>
      </c>
      <c r="F348" s="92"/>
      <c r="G348" s="92"/>
      <c r="H348" s="92"/>
    </row>
    <row r="349" spans="1:8" s="36" customFormat="1" x14ac:dyDescent="0.35">
      <c r="A349" s="66">
        <v>11</v>
      </c>
      <c r="B349" s="64" t="s">
        <v>225</v>
      </c>
      <c r="C349" s="66">
        <f>2.75*5.5*10.764</f>
        <v>162.80549999999999</v>
      </c>
      <c r="D349" s="66">
        <v>0</v>
      </c>
      <c r="E349" s="66">
        <f t="shared" si="5"/>
        <v>244.20824999999999</v>
      </c>
      <c r="F349" s="92"/>
      <c r="G349" s="92"/>
      <c r="H349" s="92"/>
    </row>
    <row r="350" spans="1:8" s="36" customFormat="1" x14ac:dyDescent="0.35">
      <c r="A350" s="66">
        <v>12</v>
      </c>
      <c r="B350" s="64" t="s">
        <v>225</v>
      </c>
      <c r="C350" s="66">
        <f>2.75*5.5*10.764</f>
        <v>162.80549999999999</v>
      </c>
      <c r="D350" s="66">
        <v>0</v>
      </c>
      <c r="E350" s="66">
        <f t="shared" si="5"/>
        <v>244.20824999999999</v>
      </c>
      <c r="F350" s="92"/>
      <c r="G350" s="92"/>
      <c r="H350" s="92"/>
    </row>
    <row r="351" spans="1:8" s="36" customFormat="1" x14ac:dyDescent="0.35">
      <c r="A351" s="66">
        <v>13</v>
      </c>
      <c r="B351" s="64" t="s">
        <v>225</v>
      </c>
      <c r="C351" s="66">
        <f>2.1*5.5*10.764</f>
        <v>124.3242</v>
      </c>
      <c r="D351" s="66">
        <v>0</v>
      </c>
      <c r="E351" s="66">
        <f t="shared" si="5"/>
        <v>186.4863</v>
      </c>
      <c r="F351" s="92"/>
      <c r="G351" s="92"/>
      <c r="H351" s="92"/>
    </row>
    <row r="352" spans="1:8" s="36" customFormat="1" x14ac:dyDescent="0.35">
      <c r="A352" s="66">
        <v>14</v>
      </c>
      <c r="B352" s="64" t="s">
        <v>225</v>
      </c>
      <c r="C352" s="66">
        <f>2.75*4.75*10.764</f>
        <v>140.60475</v>
      </c>
      <c r="D352" s="66">
        <v>0</v>
      </c>
      <c r="E352" s="66">
        <f t="shared" si="5"/>
        <v>210.90712500000001</v>
      </c>
      <c r="F352" s="92"/>
      <c r="G352" s="92"/>
      <c r="H352" s="92"/>
    </row>
    <row r="353" spans="1:8" s="36" customFormat="1" x14ac:dyDescent="0.35">
      <c r="A353" s="66">
        <v>15</v>
      </c>
      <c r="B353" s="64" t="s">
        <v>225</v>
      </c>
      <c r="C353" s="66">
        <f>2.75*4.83*10.764</f>
        <v>142.97282999999999</v>
      </c>
      <c r="D353" s="66">
        <v>0</v>
      </c>
      <c r="E353" s="66">
        <f t="shared" si="5"/>
        <v>214.45924499999998</v>
      </c>
      <c r="F353" s="92"/>
      <c r="G353" s="92"/>
      <c r="H353" s="92"/>
    </row>
    <row r="354" spans="1:8" s="36" customFormat="1" x14ac:dyDescent="0.35">
      <c r="A354" s="66">
        <v>16</v>
      </c>
      <c r="B354" s="64" t="s">
        <v>225</v>
      </c>
      <c r="C354" s="66">
        <f>2.85*4.83*10.764</f>
        <v>148.171842</v>
      </c>
      <c r="D354" s="66">
        <v>0</v>
      </c>
      <c r="E354" s="66">
        <f t="shared" si="5"/>
        <v>222.25776300000001</v>
      </c>
      <c r="F354" s="92"/>
      <c r="G354" s="92"/>
      <c r="H354" s="92"/>
    </row>
    <row r="355" spans="1:8" s="36" customFormat="1" ht="15" x14ac:dyDescent="0.35">
      <c r="A355" s="93" t="s">
        <v>227</v>
      </c>
      <c r="B355" s="93"/>
      <c r="C355" s="93"/>
      <c r="D355" s="93"/>
      <c r="E355" s="93"/>
      <c r="F355" s="93"/>
      <c r="G355" s="93"/>
      <c r="H355" s="93"/>
    </row>
    <row r="356" spans="1:8" s="36" customFormat="1" x14ac:dyDescent="0.35">
      <c r="A356" s="66">
        <v>1</v>
      </c>
      <c r="B356" s="90" t="s">
        <v>228</v>
      </c>
      <c r="C356" s="66">
        <f>(2.75*4.7+2.1*2.4+2.75*3.45+1.05*1.8+1.2*1.8+2.1*0.9+1.7*0.6+0.75*2.75)*10.764</f>
        <v>392.61689999999999</v>
      </c>
      <c r="D356" s="66">
        <v>0</v>
      </c>
      <c r="E356" s="66">
        <f t="shared" ref="E356:E368" si="6">C356*1.5+D356</f>
        <v>588.92534999999998</v>
      </c>
      <c r="F356" s="92" t="s">
        <v>229</v>
      </c>
      <c r="G356" s="92"/>
      <c r="H356" s="92"/>
    </row>
    <row r="357" spans="1:8" s="36" customFormat="1" x14ac:dyDescent="0.35">
      <c r="A357" s="66">
        <v>2</v>
      </c>
      <c r="B357" s="90" t="s">
        <v>228</v>
      </c>
      <c r="C357" s="66">
        <f>(2.75*4.7+2.1*2.4+2.75*3.45+1.05*1.8+1.2*1.8+2.1*0.9+1.7*0.6)*10.764</f>
        <v>370.41615000000002</v>
      </c>
      <c r="D357" s="66">
        <f>( 5.5*1.2+2.55*1.8)*10.764</f>
        <v>120.44915999999999</v>
      </c>
      <c r="E357" s="66">
        <f t="shared" si="6"/>
        <v>676.07338500000003</v>
      </c>
      <c r="F357" s="92"/>
      <c r="G357" s="92"/>
      <c r="H357" s="92"/>
    </row>
    <row r="358" spans="1:8" s="36" customFormat="1" x14ac:dyDescent="0.35">
      <c r="A358" s="66">
        <v>3</v>
      </c>
      <c r="B358" s="90" t="s">
        <v>228</v>
      </c>
      <c r="C358" s="66">
        <f>(2.75*4.2+1.4*1.2+2.1*2.3+2.75*3.35+1.8*1.1+1.2*1.9+2.1*0.9)*10.764</f>
        <v>359.75978999999995</v>
      </c>
      <c r="D358" s="66">
        <f>8.05*1.2*10.764</f>
        <v>103.98023999999999</v>
      </c>
      <c r="E358" s="66">
        <f t="shared" si="6"/>
        <v>643.61992499999985</v>
      </c>
      <c r="F358" s="92"/>
      <c r="G358" s="92"/>
      <c r="H358" s="92"/>
    </row>
    <row r="359" spans="1:8" s="36" customFormat="1" x14ac:dyDescent="0.35">
      <c r="A359" s="66">
        <v>4</v>
      </c>
      <c r="B359" s="90" t="s">
        <v>230</v>
      </c>
      <c r="C359" s="66">
        <f>(5.05*2.9+0.95*1.25+2.75*2.1+2.25*2.25+2.75*2.75+2.85*3.33+2.75*3.33+1.8*1.2*2+1.2*1.75+2.75*0.9+2.3*0.9+0.75*2.9)*10.764</f>
        <v>710.64466199999993</v>
      </c>
      <c r="D359" s="66">
        <f>6.05*1.2*10.764</f>
        <v>78.146639999999991</v>
      </c>
      <c r="E359" s="66">
        <f t="shared" si="6"/>
        <v>1144.1136329999999</v>
      </c>
      <c r="F359" s="92"/>
      <c r="G359" s="92"/>
      <c r="H359" s="92"/>
    </row>
    <row r="360" spans="1:8" s="36" customFormat="1" x14ac:dyDescent="0.35">
      <c r="A360" s="66">
        <v>5</v>
      </c>
      <c r="B360" s="90" t="s">
        <v>299</v>
      </c>
      <c r="C360" s="66">
        <f>(5*2.75+2.45*2.25+1.8*1.2+1.05*0.9+2.25*0.9+0.75*2.9)*10.764</f>
        <v>285.97256999999996</v>
      </c>
      <c r="D360" s="66">
        <v>0</v>
      </c>
      <c r="E360" s="66">
        <f t="shared" si="6"/>
        <v>428.95885499999997</v>
      </c>
      <c r="F360" s="92"/>
      <c r="G360" s="92"/>
      <c r="H360" s="92"/>
    </row>
    <row r="361" spans="1:8" s="36" customFormat="1" x14ac:dyDescent="0.35">
      <c r="A361" s="66">
        <v>6</v>
      </c>
      <c r="B361" s="90" t="s">
        <v>299</v>
      </c>
      <c r="C361" s="66">
        <f>(5*2.75+2.45*2.25+1.8*1.2+1.05*0.9+2.25*0.9+0.75*2.9)*10.764</f>
        <v>285.97256999999996</v>
      </c>
      <c r="D361" s="66">
        <v>0</v>
      </c>
      <c r="E361" s="66">
        <f t="shared" si="6"/>
        <v>428.95885499999997</v>
      </c>
      <c r="F361" s="92"/>
      <c r="G361" s="92"/>
      <c r="H361" s="92"/>
    </row>
    <row r="362" spans="1:8" s="36" customFormat="1" ht="15" x14ac:dyDescent="0.35">
      <c r="A362" s="93" t="s">
        <v>242</v>
      </c>
      <c r="B362" s="93"/>
      <c r="C362" s="93"/>
      <c r="D362" s="93"/>
      <c r="E362" s="93"/>
      <c r="F362" s="93"/>
      <c r="G362" s="93"/>
      <c r="H362" s="93"/>
    </row>
    <row r="363" spans="1:8" s="36" customFormat="1" x14ac:dyDescent="0.35">
      <c r="A363" s="66">
        <v>1</v>
      </c>
      <c r="B363" s="90" t="s">
        <v>228</v>
      </c>
      <c r="C363" s="66">
        <f>(2.75*4.7+2.1*2.4+2.75*3.45+1.05*1.8+1.2*1.8+2.1*0.9+1.7*0.6+0.75*2.75)*10.764</f>
        <v>392.61689999999999</v>
      </c>
      <c r="D363" s="66">
        <v>0</v>
      </c>
      <c r="E363" s="66">
        <f t="shared" si="6"/>
        <v>588.92534999999998</v>
      </c>
      <c r="F363" s="92" t="s">
        <v>243</v>
      </c>
      <c r="G363" s="92"/>
      <c r="H363" s="92"/>
    </row>
    <row r="364" spans="1:8" s="36" customFormat="1" x14ac:dyDescent="0.35">
      <c r="A364" s="66">
        <v>2</v>
      </c>
      <c r="B364" s="90" t="s">
        <v>228</v>
      </c>
      <c r="C364" s="66">
        <f>(2.75*4.7+2.1*2.4+2.75*3.45+1.05*1.8+1.2*1.8+2.1*0.9+1.7*0.6+0.75*2.75)*10.764</f>
        <v>392.61689999999999</v>
      </c>
      <c r="D364" s="66">
        <v>0</v>
      </c>
      <c r="E364" s="66">
        <f t="shared" si="6"/>
        <v>588.92534999999998</v>
      </c>
      <c r="F364" s="92"/>
      <c r="G364" s="92"/>
      <c r="H364" s="92"/>
    </row>
    <row r="365" spans="1:8" s="36" customFormat="1" x14ac:dyDescent="0.35">
      <c r="A365" s="66">
        <v>3</v>
      </c>
      <c r="B365" s="90" t="s">
        <v>228</v>
      </c>
      <c r="C365" s="66">
        <f>(2.75*4.2+1.4*1.2+2.1*2.3+2.75*3.35+1.8*1.1+1.2*1.9+2.1*0.9+0.75*2.75)*10.764</f>
        <v>381.96053999999998</v>
      </c>
      <c r="D365" s="66">
        <v>0</v>
      </c>
      <c r="E365" s="66">
        <f t="shared" si="6"/>
        <v>572.94080999999994</v>
      </c>
      <c r="F365" s="92"/>
      <c r="G365" s="92"/>
      <c r="H365" s="92"/>
    </row>
    <row r="366" spans="1:8" s="36" customFormat="1" x14ac:dyDescent="0.35">
      <c r="A366" s="66">
        <v>4</v>
      </c>
      <c r="B366" s="90" t="s">
        <v>230</v>
      </c>
      <c r="C366" s="66">
        <f>(5.05*2.9+0.95*1.25+2.75*2.1+2.25*2.25+2.75*2.75+2.85*3.33+2.75*3.33+1.8*1.2*2+1.2*1.75+2.75*0.9+2.3*0.9+0.75*2.9)*10.764</f>
        <v>710.64466199999993</v>
      </c>
      <c r="D366" s="66">
        <v>0</v>
      </c>
      <c r="E366" s="66">
        <f t="shared" si="6"/>
        <v>1065.966993</v>
      </c>
      <c r="F366" s="92"/>
      <c r="G366" s="92"/>
      <c r="H366" s="92"/>
    </row>
    <row r="367" spans="1:8" s="36" customFormat="1" x14ac:dyDescent="0.35">
      <c r="A367" s="66">
        <v>5</v>
      </c>
      <c r="B367" s="90" t="s">
        <v>228</v>
      </c>
      <c r="C367" s="66">
        <f>(5*2.75+2.45*2.1+1.8*1.2+1.05*1.8+2.65*0.9+0.7*1.7+3.5*2.75)*10.764</f>
        <v>389.06477999999993</v>
      </c>
      <c r="D367" s="66">
        <v>0</v>
      </c>
      <c r="E367" s="66">
        <f t="shared" si="6"/>
        <v>583.59716999999989</v>
      </c>
      <c r="F367" s="92"/>
      <c r="G367" s="92"/>
      <c r="H367" s="92"/>
    </row>
    <row r="368" spans="1:8" s="36" customFormat="1" x14ac:dyDescent="0.35">
      <c r="A368" s="66">
        <v>6</v>
      </c>
      <c r="B368" s="90" t="s">
        <v>228</v>
      </c>
      <c r="C368" s="66">
        <f>(5*2.75+2.45*2.1+1.8*1.2+1.05*1.8+2.65*0.9+0.7*1.7+3.5*2.75)*10.764</f>
        <v>389.06477999999993</v>
      </c>
      <c r="D368" s="66">
        <v>0</v>
      </c>
      <c r="E368" s="66">
        <f t="shared" si="6"/>
        <v>583.59716999999989</v>
      </c>
      <c r="F368" s="92"/>
      <c r="G368" s="92"/>
      <c r="H368" s="92"/>
    </row>
    <row r="369" spans="1:10" s="36" customFormat="1" ht="15" x14ac:dyDescent="0.35">
      <c r="A369" s="93" t="s">
        <v>300</v>
      </c>
      <c r="B369" s="93"/>
      <c r="C369" s="93"/>
      <c r="D369" s="93"/>
      <c r="E369" s="93"/>
      <c r="F369" s="93"/>
      <c r="G369" s="93"/>
      <c r="H369" s="93"/>
    </row>
    <row r="370" spans="1:10" s="36" customFormat="1" ht="15" x14ac:dyDescent="0.35">
      <c r="A370" s="93" t="s">
        <v>301</v>
      </c>
      <c r="B370" s="93"/>
      <c r="C370" s="93"/>
      <c r="D370" s="93"/>
      <c r="E370" s="93"/>
      <c r="F370" s="93"/>
      <c r="G370" s="93"/>
      <c r="H370" s="93"/>
    </row>
    <row r="371" spans="1:10" s="36" customFormat="1" x14ac:dyDescent="0.35">
      <c r="A371" s="66">
        <v>1</v>
      </c>
      <c r="B371" s="99" t="s">
        <v>302</v>
      </c>
      <c r="C371" s="100"/>
      <c r="D371" s="100"/>
      <c r="E371" s="101"/>
      <c r="F371" s="92" t="s">
        <v>226</v>
      </c>
      <c r="G371" s="92"/>
      <c r="H371" s="92"/>
    </row>
    <row r="372" spans="1:10" s="36" customFormat="1" x14ac:dyDescent="0.35">
      <c r="A372" s="66">
        <v>2</v>
      </c>
      <c r="B372" s="64" t="s">
        <v>303</v>
      </c>
      <c r="C372" s="66">
        <f>(2.75*4.7+2.1*2.4+2.75*3.45+1.8*1.1+1.82*1.2+2.1*0.9)*10.764</f>
        <v>360.66396600000002</v>
      </c>
      <c r="D372" s="66">
        <v>0</v>
      </c>
      <c r="E372" s="66">
        <f t="shared" ref="E372:E375" si="7">C372*1.5+D372</f>
        <v>540.995949</v>
      </c>
      <c r="F372" s="92"/>
      <c r="G372" s="92"/>
      <c r="H372" s="92"/>
    </row>
    <row r="373" spans="1:10" s="36" customFormat="1" x14ac:dyDescent="0.35">
      <c r="A373" s="66">
        <v>3</v>
      </c>
      <c r="B373" s="64" t="s">
        <v>303</v>
      </c>
      <c r="C373" s="66">
        <f>(2.75*4.2+2.2*2.3+2.75*3.35+2.2*0.9+1.4*1.2+1.2*1.95+1.8*1.15)*10.764</f>
        <v>364.81886999999995</v>
      </c>
      <c r="D373" s="66">
        <v>0</v>
      </c>
      <c r="E373" s="66">
        <f t="shared" si="7"/>
        <v>547.22830499999986</v>
      </c>
      <c r="F373" s="92"/>
      <c r="G373" s="92"/>
      <c r="H373" s="92"/>
    </row>
    <row r="374" spans="1:10" s="36" customFormat="1" x14ac:dyDescent="0.35">
      <c r="A374" s="66">
        <v>4</v>
      </c>
      <c r="B374" s="64" t="s">
        <v>55</v>
      </c>
      <c r="C374" s="66">
        <f>(5.05*2.9+0.95*1.25+2.25*2+2.75*2.1+2.8*2.75+2.75*2.8+2.75*3.73+1.25*2+1.25*1.85+1.82*1.2+0.9*1.2+1.5*0.9+2.75*0.9)*10.764</f>
        <v>685.30620599999997</v>
      </c>
      <c r="D374" s="66">
        <v>0</v>
      </c>
      <c r="E374" s="66">
        <f t="shared" si="7"/>
        <v>1027.9593089999998</v>
      </c>
      <c r="F374" s="92"/>
      <c r="G374" s="92"/>
      <c r="H374" s="92"/>
    </row>
    <row r="375" spans="1:10" s="36" customFormat="1" x14ac:dyDescent="0.35">
      <c r="A375" s="66">
        <v>5</v>
      </c>
      <c r="B375" s="64" t="s">
        <v>299</v>
      </c>
      <c r="C375" s="66">
        <f>(5.05*2.75+2.45*2.3+1.85*1.2+1.1*0.9+2.3*0.9)*10.764</f>
        <v>266.97410999999994</v>
      </c>
      <c r="D375" s="66">
        <v>0</v>
      </c>
      <c r="E375" s="66">
        <f t="shared" si="7"/>
        <v>400.46116499999994</v>
      </c>
      <c r="F375" s="92"/>
      <c r="G375" s="92"/>
      <c r="H375" s="92"/>
      <c r="I375" s="36">
        <f>1785000/400</f>
        <v>4462.5</v>
      </c>
      <c r="J375" s="36">
        <f>4200*E375</f>
        <v>1681936.8929999997</v>
      </c>
    </row>
    <row r="376" spans="1:10" s="36" customFormat="1" x14ac:dyDescent="0.35">
      <c r="A376" s="66">
        <v>6</v>
      </c>
      <c r="B376" s="99" t="s">
        <v>302</v>
      </c>
      <c r="C376" s="100"/>
      <c r="D376" s="100"/>
      <c r="E376" s="101"/>
      <c r="F376" s="92"/>
      <c r="G376" s="92"/>
      <c r="H376" s="92"/>
      <c r="J376" s="36">
        <v>100000</v>
      </c>
    </row>
    <row r="377" spans="1:10" s="36" customFormat="1" ht="15" x14ac:dyDescent="0.35">
      <c r="A377" s="93" t="s">
        <v>227</v>
      </c>
      <c r="B377" s="93"/>
      <c r="C377" s="93"/>
      <c r="D377" s="93"/>
      <c r="E377" s="93"/>
      <c r="F377" s="93"/>
      <c r="G377" s="93"/>
      <c r="H377" s="93"/>
      <c r="J377" s="36">
        <v>20000</v>
      </c>
    </row>
    <row r="378" spans="1:10" s="36" customFormat="1" x14ac:dyDescent="0.35">
      <c r="A378" s="66">
        <v>1</v>
      </c>
      <c r="B378" s="64" t="s">
        <v>228</v>
      </c>
      <c r="C378" s="66">
        <f>(2.7547+2.1*2.4+2.75*3.45+1.8*1.1+1.82*1.2+2.1*0.9+0.75*2.75+1.7*0.6)*10.764</f>
        <v>284.37088680000005</v>
      </c>
      <c r="D378" s="66">
        <v>0</v>
      </c>
      <c r="E378" s="66">
        <f t="shared" ref="E378:E383" si="8">C378*1.5+D378</f>
        <v>426.55633020000005</v>
      </c>
      <c r="F378" s="92" t="s">
        <v>229</v>
      </c>
      <c r="G378" s="92"/>
      <c r="H378" s="92"/>
    </row>
    <row r="379" spans="1:10" s="36" customFormat="1" x14ac:dyDescent="0.35">
      <c r="A379" s="66">
        <v>2</v>
      </c>
      <c r="B379" s="64" t="s">
        <v>228</v>
      </c>
      <c r="C379" s="66">
        <f>(2.7547+2.1*2.4+2.75*3.45+1.8*1.1+1.82*1.2+2.1*0.9+1.7*0.6)*10.764</f>
        <v>262.17013680000002</v>
      </c>
      <c r="D379" s="66">
        <v>0</v>
      </c>
      <c r="E379" s="66">
        <f t="shared" si="8"/>
        <v>393.25520520000003</v>
      </c>
      <c r="F379" s="92"/>
      <c r="G379" s="92"/>
      <c r="H379" s="92"/>
    </row>
    <row r="380" spans="1:10" s="36" customFormat="1" x14ac:dyDescent="0.35">
      <c r="A380" s="66">
        <v>3</v>
      </c>
      <c r="B380" s="64" t="s">
        <v>228</v>
      </c>
      <c r="C380" s="66">
        <f>(2.75*4.2+2.2*2.3+2.75*3.35+2.2*0.9+1.4*1.2+1.2*1.95+1.8*1.15)*10.764</f>
        <v>364.81886999999995</v>
      </c>
      <c r="D380" s="66">
        <v>0</v>
      </c>
      <c r="E380" s="66">
        <f t="shared" si="8"/>
        <v>547.22830499999986</v>
      </c>
      <c r="F380" s="92"/>
      <c r="G380" s="92"/>
      <c r="H380" s="92"/>
    </row>
    <row r="381" spans="1:10" s="36" customFormat="1" x14ac:dyDescent="0.35">
      <c r="A381" s="66">
        <v>4</v>
      </c>
      <c r="B381" s="64" t="s">
        <v>230</v>
      </c>
      <c r="C381" s="66">
        <f>(5.05*2.9+0.95*1.25+2.25*2+2.75*2.1+2.8*2.75+2.75*2.8+2.75*3.73+1.25*2+1.25*1.85+1.82*1.2+0.9*1.2+1.5*0.9+2.75*0.9+0.75*2.9)*10.764</f>
        <v>708.71790600000008</v>
      </c>
      <c r="D381" s="66">
        <v>0</v>
      </c>
      <c r="E381" s="66">
        <f t="shared" si="8"/>
        <v>1063.0768590000002</v>
      </c>
      <c r="F381" s="92"/>
      <c r="G381" s="92"/>
      <c r="H381" s="92"/>
    </row>
    <row r="382" spans="1:10" s="36" customFormat="1" x14ac:dyDescent="0.35">
      <c r="A382" s="66">
        <v>5</v>
      </c>
      <c r="B382" s="64" t="s">
        <v>299</v>
      </c>
      <c r="C382" s="66">
        <f>(5.05*2.75+2.45*2.3+1.85*1.2+1.1*0.9+2.3*0.9+0.75*2.75)*10.764</f>
        <v>289.17485999999997</v>
      </c>
      <c r="D382" s="66">
        <v>0</v>
      </c>
      <c r="E382" s="66">
        <f t="shared" si="8"/>
        <v>433.76228999999995</v>
      </c>
      <c r="F382" s="92"/>
      <c r="G382" s="92"/>
      <c r="H382" s="92"/>
    </row>
    <row r="383" spans="1:10" s="36" customFormat="1" x14ac:dyDescent="0.35">
      <c r="A383" s="66">
        <v>6</v>
      </c>
      <c r="B383" s="64" t="s">
        <v>299</v>
      </c>
      <c r="C383" s="66">
        <f>(5.05*2.75+2.45*2.3+1.85*1.2+1.1*0.9+2.3*0.9+0.75*2.75)*10.764</f>
        <v>289.17485999999997</v>
      </c>
      <c r="D383" s="66">
        <v>0</v>
      </c>
      <c r="E383" s="66">
        <f t="shared" si="8"/>
        <v>433.76228999999995</v>
      </c>
      <c r="F383" s="92"/>
      <c r="G383" s="92"/>
      <c r="H383" s="92"/>
    </row>
    <row r="384" spans="1:10" s="36" customFormat="1" ht="15" x14ac:dyDescent="0.35">
      <c r="A384" s="93" t="s">
        <v>242</v>
      </c>
      <c r="B384" s="93"/>
      <c r="C384" s="93"/>
      <c r="D384" s="93"/>
      <c r="E384" s="93"/>
      <c r="F384" s="93"/>
      <c r="G384" s="93"/>
      <c r="H384" s="93"/>
    </row>
    <row r="385" spans="1:8" s="36" customFormat="1" x14ac:dyDescent="0.35">
      <c r="A385" s="66">
        <v>1</v>
      </c>
      <c r="B385" s="64" t="s">
        <v>228</v>
      </c>
      <c r="C385" s="66">
        <f>(2.75*4.7+2.1*2.4+2.75*3.45+1.8*1.1+1.82*1.2+2.1*0.9+0.75*2.75+1.7*0.6)*10.764</f>
        <v>393.84399600000006</v>
      </c>
      <c r="D385" s="66">
        <v>0</v>
      </c>
      <c r="E385" s="66">
        <f t="shared" ref="E385:E390" si="9">C385*1.5+D385</f>
        <v>590.76599400000009</v>
      </c>
      <c r="F385" s="92" t="s">
        <v>243</v>
      </c>
      <c r="G385" s="92"/>
      <c r="H385" s="92"/>
    </row>
    <row r="386" spans="1:8" s="36" customFormat="1" x14ac:dyDescent="0.35">
      <c r="A386" s="66">
        <v>2</v>
      </c>
      <c r="B386" s="64" t="s">
        <v>228</v>
      </c>
      <c r="C386" s="66">
        <f>(2.75*4.7+2.1*2.4+2.75*3.45+1.8*1.1+1.82*1.2+2.1*0.9+0.75*2.75+1.7*0.6)*10.764</f>
        <v>393.84399600000006</v>
      </c>
      <c r="D386" s="66">
        <v>0</v>
      </c>
      <c r="E386" s="66">
        <f t="shared" si="9"/>
        <v>590.76599400000009</v>
      </c>
      <c r="F386" s="92"/>
      <c r="G386" s="92"/>
      <c r="H386" s="92"/>
    </row>
    <row r="387" spans="1:8" s="36" customFormat="1" x14ac:dyDescent="0.35">
      <c r="A387" s="66">
        <v>3</v>
      </c>
      <c r="B387" s="64" t="s">
        <v>228</v>
      </c>
      <c r="C387" s="66">
        <f>(2.75*4.2+2.2*2.3+2.75*3.35+2.2*0.9+1.4*1.2+1.2*1.95+1.8*1.15+0.75*2.75)*10.764</f>
        <v>387.01961999999997</v>
      </c>
      <c r="D387" s="66">
        <v>0</v>
      </c>
      <c r="E387" s="66">
        <f t="shared" si="9"/>
        <v>580.52942999999993</v>
      </c>
      <c r="F387" s="92"/>
      <c r="G387" s="92"/>
      <c r="H387" s="92"/>
    </row>
    <row r="388" spans="1:8" s="36" customFormat="1" x14ac:dyDescent="0.35">
      <c r="A388" s="66">
        <v>4</v>
      </c>
      <c r="B388" s="64" t="s">
        <v>230</v>
      </c>
      <c r="C388" s="66">
        <f>(5.05*2.9+0.95*1.25+2.25*2+2.75*2.1+2.8*2.75+2.75*2.8+2.75*3.73+1.25*2+1.25*1.85+1.82*1.2+0.9*1.2+1.5*0.9+2.75*0.9+0.75*2.9)*10.764</f>
        <v>708.71790600000008</v>
      </c>
      <c r="D388" s="66">
        <v>0</v>
      </c>
      <c r="E388" s="66">
        <f t="shared" si="9"/>
        <v>1063.0768590000002</v>
      </c>
      <c r="F388" s="92"/>
      <c r="G388" s="92"/>
      <c r="H388" s="92"/>
    </row>
    <row r="389" spans="1:8" s="36" customFormat="1" x14ac:dyDescent="0.35">
      <c r="A389" s="66">
        <v>5</v>
      </c>
      <c r="B389" s="64" t="s">
        <v>299</v>
      </c>
      <c r="C389" s="66">
        <f>(5.05*2.75+2.45*2.3+1.85*1.2+1.1*0.9+2.3*0.9+0.75*2.75)*10.764</f>
        <v>289.17485999999997</v>
      </c>
      <c r="D389" s="66">
        <v>0</v>
      </c>
      <c r="E389" s="66">
        <f t="shared" si="9"/>
        <v>433.76228999999995</v>
      </c>
      <c r="F389" s="92"/>
      <c r="G389" s="92"/>
      <c r="H389" s="92"/>
    </row>
    <row r="390" spans="1:8" s="36" customFormat="1" x14ac:dyDescent="0.35">
      <c r="A390" s="66">
        <v>6</v>
      </c>
      <c r="B390" s="64" t="s">
        <v>299</v>
      </c>
      <c r="C390" s="66">
        <f>(5.05*2.75+2.45*2.3+1.85*1.2+1.1*0.9+2.3*0.9+0.75*2.75)*10.764</f>
        <v>289.17485999999997</v>
      </c>
      <c r="D390" s="66">
        <v>0</v>
      </c>
      <c r="E390" s="66">
        <f t="shared" si="9"/>
        <v>433.76228999999995</v>
      </c>
      <c r="F390" s="92"/>
      <c r="G390" s="92"/>
      <c r="H390" s="92"/>
    </row>
    <row r="391" spans="1:8" s="36" customFormat="1" ht="15" x14ac:dyDescent="0.35">
      <c r="A391" s="93" t="s">
        <v>304</v>
      </c>
      <c r="B391" s="93"/>
      <c r="C391" s="93"/>
      <c r="D391" s="93"/>
      <c r="E391" s="93"/>
      <c r="F391" s="93"/>
      <c r="G391" s="93"/>
      <c r="H391" s="93"/>
    </row>
    <row r="392" spans="1:8" s="36" customFormat="1" ht="15" x14ac:dyDescent="0.35">
      <c r="A392" s="93" t="s">
        <v>301</v>
      </c>
      <c r="B392" s="93"/>
      <c r="C392" s="93"/>
      <c r="D392" s="93"/>
      <c r="E392" s="93"/>
      <c r="F392" s="93"/>
      <c r="G392" s="93"/>
      <c r="H392" s="93"/>
    </row>
    <row r="393" spans="1:8" s="36" customFormat="1" x14ac:dyDescent="0.35">
      <c r="A393" s="66">
        <v>1</v>
      </c>
      <c r="B393" s="99" t="s">
        <v>302</v>
      </c>
      <c r="C393" s="100"/>
      <c r="D393" s="100"/>
      <c r="E393" s="101"/>
      <c r="F393" s="92" t="s">
        <v>226</v>
      </c>
      <c r="G393" s="92"/>
      <c r="H393" s="92"/>
    </row>
    <row r="394" spans="1:8" s="36" customFormat="1" x14ac:dyDescent="0.35">
      <c r="A394" s="66">
        <v>2</v>
      </c>
      <c r="B394" s="64" t="s">
        <v>303</v>
      </c>
      <c r="C394" s="66">
        <f>(2.75*4.7+2.1*2.4+2.75*3.45+1.8*1.1+1.82*1.2+2.1*0.9)*10.764</f>
        <v>360.66396600000002</v>
      </c>
      <c r="D394" s="66">
        <v>0</v>
      </c>
      <c r="E394" s="66">
        <f t="shared" ref="E394:E397" si="10">C394*1.5+D394</f>
        <v>540.995949</v>
      </c>
      <c r="F394" s="92"/>
      <c r="G394" s="92"/>
      <c r="H394" s="92"/>
    </row>
    <row r="395" spans="1:8" s="36" customFormat="1" x14ac:dyDescent="0.35">
      <c r="A395" s="66">
        <v>3</v>
      </c>
      <c r="B395" s="64" t="s">
        <v>303</v>
      </c>
      <c r="C395" s="66">
        <f>(2.75*4.2+2.2*2.3+2.75*3.35+2.2*0.9+1.4*1.2+1.2*1.95+1.8*1.15)*10.764</f>
        <v>364.81886999999995</v>
      </c>
      <c r="D395" s="66">
        <v>0</v>
      </c>
      <c r="E395" s="66">
        <f t="shared" si="10"/>
        <v>547.22830499999986</v>
      </c>
      <c r="F395" s="92"/>
      <c r="G395" s="92"/>
      <c r="H395" s="92"/>
    </row>
    <row r="396" spans="1:8" s="36" customFormat="1" x14ac:dyDescent="0.35">
      <c r="A396" s="66">
        <v>4</v>
      </c>
      <c r="B396" s="64" t="s">
        <v>55</v>
      </c>
      <c r="C396" s="66">
        <f>(5.05*2.9+0.95*1.25+2.25*2+2.75*2.1+2.8*2.75+2.85*3.33+2.75*3.73+1.25*2+1.25*1.85+1.82*1.2+0.9*1.2+1.5*0.9+2.75*0.9)*10.764</f>
        <v>704.57914799999992</v>
      </c>
      <c r="D396" s="66">
        <v>0</v>
      </c>
      <c r="E396" s="66">
        <f t="shared" si="10"/>
        <v>1056.8687219999999</v>
      </c>
      <c r="F396" s="92"/>
      <c r="G396" s="92"/>
      <c r="H396" s="92"/>
    </row>
    <row r="397" spans="1:8" s="36" customFormat="1" x14ac:dyDescent="0.35">
      <c r="A397" s="66">
        <v>5</v>
      </c>
      <c r="B397" s="64" t="s">
        <v>303</v>
      </c>
      <c r="C397" s="66">
        <f>(5.05*2.75+2.45*2.3+3.5*2.75+1.85*1.2+1.1*0.9+2.3*0.9)*10.764</f>
        <v>370.57760999999999</v>
      </c>
      <c r="D397" s="66">
        <v>0</v>
      </c>
      <c r="E397" s="66">
        <f t="shared" si="10"/>
        <v>555.86641499999996</v>
      </c>
      <c r="F397" s="92"/>
      <c r="G397" s="92"/>
      <c r="H397" s="92"/>
    </row>
    <row r="398" spans="1:8" s="36" customFormat="1" x14ac:dyDescent="0.35">
      <c r="A398" s="66">
        <v>6</v>
      </c>
      <c r="B398" s="99" t="s">
        <v>302</v>
      </c>
      <c r="C398" s="100"/>
      <c r="D398" s="100"/>
      <c r="E398" s="101"/>
      <c r="F398" s="92"/>
      <c r="G398" s="92"/>
      <c r="H398" s="92"/>
    </row>
    <row r="399" spans="1:8" s="36" customFormat="1" ht="15" x14ac:dyDescent="0.35">
      <c r="A399" s="93" t="s">
        <v>305</v>
      </c>
      <c r="B399" s="93"/>
      <c r="C399" s="93"/>
      <c r="D399" s="93"/>
      <c r="E399" s="93"/>
      <c r="F399" s="93"/>
      <c r="G399" s="93"/>
      <c r="H399" s="93"/>
    </row>
    <row r="400" spans="1:8" s="36" customFormat="1" x14ac:dyDescent="0.35">
      <c r="A400" s="66">
        <v>1</v>
      </c>
      <c r="B400" s="90" t="s">
        <v>228</v>
      </c>
      <c r="C400" s="66">
        <f>(2.75*4.7+2.1*2.4+2.75*3.45+1.8*1.1+1.82*1.2+2.1*0.9+0.75*2.75+1.7*0.6+0.75*2.75)*10.764</f>
        <v>416.04474600000003</v>
      </c>
      <c r="D400" s="66">
        <v>0</v>
      </c>
      <c r="E400" s="66">
        <f t="shared" ref="E400:E405" si="11">C400*1.5+D400</f>
        <v>624.06711900000005</v>
      </c>
      <c r="F400" s="92" t="s">
        <v>229</v>
      </c>
      <c r="G400" s="92"/>
      <c r="H400" s="92"/>
    </row>
    <row r="401" spans="1:8" s="36" customFormat="1" x14ac:dyDescent="0.35">
      <c r="A401" s="66">
        <v>2</v>
      </c>
      <c r="B401" s="90" t="s">
        <v>303</v>
      </c>
      <c r="C401" s="66">
        <f>(2.75*4.7+2.1*2.4+2.75*3.45+1.8*1.1+1.82*1.2+2.1*0.9+0.75*2.75+1.7*0.6+0.75*2.75)*10.764</f>
        <v>416.04474600000003</v>
      </c>
      <c r="D401" s="66">
        <v>0</v>
      </c>
      <c r="E401" s="66">
        <f t="shared" si="11"/>
        <v>624.06711900000005</v>
      </c>
      <c r="F401" s="92"/>
      <c r="G401" s="92"/>
      <c r="H401" s="92"/>
    </row>
    <row r="402" spans="1:8" s="36" customFormat="1" x14ac:dyDescent="0.35">
      <c r="A402" s="66">
        <v>3</v>
      </c>
      <c r="B402" s="90" t="s">
        <v>303</v>
      </c>
      <c r="C402" s="66">
        <f>(2.75*4.2+2.2*2.3+2.75*3.35+2.2*0.9+1.4*1.2+1.2*1.95+1.8*1.15+0.75*2.75)*10.764</f>
        <v>387.01961999999997</v>
      </c>
      <c r="D402" s="66">
        <v>0</v>
      </c>
      <c r="E402" s="66">
        <f t="shared" si="11"/>
        <v>580.52942999999993</v>
      </c>
      <c r="F402" s="92"/>
      <c r="G402" s="92"/>
      <c r="H402" s="92"/>
    </row>
    <row r="403" spans="1:8" s="36" customFormat="1" x14ac:dyDescent="0.35">
      <c r="A403" s="66">
        <v>4</v>
      </c>
      <c r="B403" s="90" t="s">
        <v>55</v>
      </c>
      <c r="C403" s="66">
        <f>(5.05*2.9+0.95*1.25+2.25*2+2.75*2.1+2.8*2.75+2.75*2.8+2.75*3.73+1.25*2+1.25*1.85+1.82*1.2+0.9*1.2+1.5*0.9+2.75*0.9+0.75*2.9)*10.764</f>
        <v>708.71790600000008</v>
      </c>
      <c r="D403" s="66">
        <v>0</v>
      </c>
      <c r="E403" s="66">
        <f t="shared" si="11"/>
        <v>1063.0768590000002</v>
      </c>
      <c r="F403" s="92"/>
      <c r="G403" s="92"/>
      <c r="H403" s="92"/>
    </row>
    <row r="404" spans="1:8" s="36" customFormat="1" x14ac:dyDescent="0.35">
      <c r="A404" s="66">
        <v>5</v>
      </c>
      <c r="B404" s="90" t="s">
        <v>303</v>
      </c>
      <c r="C404" s="66">
        <f>(5*2.75+2.45*2.1+1.8*1.2+1.05*1.8+2.65*0.9+0.7*1.7+3.5*2.75)*10.764</f>
        <v>389.06477999999993</v>
      </c>
      <c r="D404" s="66">
        <v>0</v>
      </c>
      <c r="E404" s="66">
        <f t="shared" si="11"/>
        <v>583.59716999999989</v>
      </c>
      <c r="F404" s="92"/>
      <c r="G404" s="92"/>
      <c r="H404" s="92"/>
    </row>
    <row r="405" spans="1:8" s="36" customFormat="1" x14ac:dyDescent="0.35">
      <c r="A405" s="66">
        <v>6</v>
      </c>
      <c r="B405" s="90" t="s">
        <v>303</v>
      </c>
      <c r="C405" s="66">
        <f>(5*2.75+2.45*2.1+1.8*1.2+1.05*1.8+2.65*0.9+0.7*1.7+3.5*2.75)*10.764</f>
        <v>389.06477999999993</v>
      </c>
      <c r="D405" s="66">
        <v>0</v>
      </c>
      <c r="E405" s="66">
        <f t="shared" si="11"/>
        <v>583.59716999999989</v>
      </c>
      <c r="F405" s="92"/>
      <c r="G405" s="92"/>
      <c r="H405" s="92"/>
    </row>
    <row r="406" spans="1:8" s="36" customFormat="1" ht="15" x14ac:dyDescent="0.35">
      <c r="A406" s="93" t="s">
        <v>247</v>
      </c>
      <c r="B406" s="93"/>
      <c r="C406" s="93"/>
      <c r="D406" s="93"/>
      <c r="E406" s="93"/>
      <c r="F406" s="93"/>
      <c r="G406" s="93"/>
      <c r="H406" s="93"/>
    </row>
    <row r="407" spans="1:8" s="36" customFormat="1" ht="15" x14ac:dyDescent="0.35">
      <c r="A407" s="93" t="s">
        <v>241</v>
      </c>
      <c r="B407" s="93"/>
      <c r="C407" s="93"/>
      <c r="D407" s="93"/>
      <c r="E407" s="93"/>
      <c r="F407" s="93"/>
      <c r="G407" s="93"/>
      <c r="H407" s="93"/>
    </row>
    <row r="408" spans="1:8" s="36" customFormat="1" ht="15" x14ac:dyDescent="0.35">
      <c r="A408" s="93" t="s">
        <v>224</v>
      </c>
      <c r="B408" s="93"/>
      <c r="C408" s="93"/>
      <c r="D408" s="93"/>
      <c r="E408" s="93"/>
      <c r="F408" s="93"/>
      <c r="G408" s="93"/>
      <c r="H408" s="93"/>
    </row>
    <row r="409" spans="1:8" s="36" customFormat="1" x14ac:dyDescent="0.35">
      <c r="A409" s="51">
        <v>1</v>
      </c>
      <c r="B409" s="90" t="s">
        <v>225</v>
      </c>
      <c r="C409" s="51">
        <v>163</v>
      </c>
      <c r="D409" s="51">
        <v>0</v>
      </c>
      <c r="E409" s="56">
        <v>244</v>
      </c>
      <c r="F409" s="92" t="s">
        <v>226</v>
      </c>
      <c r="G409" s="92"/>
      <c r="H409" s="92"/>
    </row>
    <row r="410" spans="1:8" s="36" customFormat="1" x14ac:dyDescent="0.35">
      <c r="A410" s="51">
        <v>2</v>
      </c>
      <c r="B410" s="90" t="s">
        <v>225</v>
      </c>
      <c r="C410" s="51">
        <v>124</v>
      </c>
      <c r="D410" s="51">
        <v>0</v>
      </c>
      <c r="E410" s="56">
        <v>186</v>
      </c>
      <c r="F410" s="92"/>
      <c r="G410" s="92"/>
      <c r="H410" s="92"/>
    </row>
    <row r="411" spans="1:8" s="36" customFormat="1" x14ac:dyDescent="0.35">
      <c r="A411" s="51">
        <v>3</v>
      </c>
      <c r="B411" s="90" t="s">
        <v>225</v>
      </c>
      <c r="C411" s="51">
        <v>163</v>
      </c>
      <c r="D411" s="51">
        <v>0</v>
      </c>
      <c r="E411" s="56">
        <v>244</v>
      </c>
      <c r="F411" s="92"/>
      <c r="G411" s="92"/>
      <c r="H411" s="92"/>
    </row>
    <row r="412" spans="1:8" s="36" customFormat="1" x14ac:dyDescent="0.35">
      <c r="A412" s="51">
        <v>4</v>
      </c>
      <c r="B412" s="90" t="s">
        <v>225</v>
      </c>
      <c r="C412" s="51">
        <v>163</v>
      </c>
      <c r="D412" s="51">
        <v>0</v>
      </c>
      <c r="E412" s="56">
        <v>244</v>
      </c>
      <c r="F412" s="92"/>
      <c r="G412" s="92"/>
      <c r="H412" s="92"/>
    </row>
    <row r="413" spans="1:8" s="36" customFormat="1" x14ac:dyDescent="0.35">
      <c r="A413" s="51">
        <v>5</v>
      </c>
      <c r="B413" s="90" t="s">
        <v>225</v>
      </c>
      <c r="C413" s="51">
        <v>124</v>
      </c>
      <c r="D413" s="51">
        <v>0</v>
      </c>
      <c r="E413" s="56">
        <v>186</v>
      </c>
      <c r="F413" s="92"/>
      <c r="G413" s="92"/>
      <c r="H413" s="92"/>
    </row>
    <row r="414" spans="1:8" s="36" customFormat="1" x14ac:dyDescent="0.35">
      <c r="A414" s="51">
        <v>6</v>
      </c>
      <c r="B414" s="90" t="s">
        <v>225</v>
      </c>
      <c r="C414" s="51">
        <v>141</v>
      </c>
      <c r="D414" s="51">
        <v>0</v>
      </c>
      <c r="E414" s="56">
        <v>211</v>
      </c>
      <c r="F414" s="92"/>
      <c r="G414" s="92"/>
      <c r="H414" s="92"/>
    </row>
    <row r="415" spans="1:8" s="36" customFormat="1" x14ac:dyDescent="0.35">
      <c r="A415" s="51">
        <v>7</v>
      </c>
      <c r="B415" s="90" t="s">
        <v>225</v>
      </c>
      <c r="C415" s="51">
        <v>145</v>
      </c>
      <c r="D415" s="51">
        <v>0</v>
      </c>
      <c r="E415" s="56">
        <v>218</v>
      </c>
      <c r="F415" s="92"/>
      <c r="G415" s="92"/>
      <c r="H415" s="92"/>
    </row>
    <row r="416" spans="1:8" s="36" customFormat="1" x14ac:dyDescent="0.35">
      <c r="A416" s="51">
        <v>8</v>
      </c>
      <c r="B416" s="90" t="s">
        <v>225</v>
      </c>
      <c r="C416" s="51">
        <v>149</v>
      </c>
      <c r="D416" s="51">
        <v>0</v>
      </c>
      <c r="E416" s="56">
        <v>223</v>
      </c>
      <c r="F416" s="92"/>
      <c r="G416" s="92"/>
      <c r="H416" s="92"/>
    </row>
    <row r="417" spans="1:8" s="36" customFormat="1" ht="15" x14ac:dyDescent="0.35">
      <c r="A417" s="93" t="s">
        <v>227</v>
      </c>
      <c r="B417" s="93"/>
      <c r="C417" s="93"/>
      <c r="D417" s="93"/>
      <c r="E417" s="93"/>
      <c r="F417" s="93"/>
      <c r="G417" s="93"/>
      <c r="H417" s="93"/>
    </row>
    <row r="418" spans="1:8" s="36" customFormat="1" x14ac:dyDescent="0.35">
      <c r="A418" s="51">
        <v>1</v>
      </c>
      <c r="B418" s="64" t="s">
        <v>228</v>
      </c>
      <c r="C418" s="51">
        <v>394</v>
      </c>
      <c r="D418" s="51">
        <v>0</v>
      </c>
      <c r="E418" s="56">
        <v>591</v>
      </c>
      <c r="F418" s="92" t="s">
        <v>229</v>
      </c>
      <c r="G418" s="92"/>
      <c r="H418" s="92"/>
    </row>
    <row r="419" spans="1:8" s="36" customFormat="1" x14ac:dyDescent="0.35">
      <c r="A419" s="51">
        <v>2</v>
      </c>
      <c r="B419" s="64" t="s">
        <v>228</v>
      </c>
      <c r="C419" s="51">
        <v>372</v>
      </c>
      <c r="D419" s="51">
        <v>156</v>
      </c>
      <c r="E419" s="56">
        <v>635</v>
      </c>
      <c r="F419" s="92"/>
      <c r="G419" s="92"/>
      <c r="H419" s="92"/>
    </row>
    <row r="420" spans="1:8" s="36" customFormat="1" x14ac:dyDescent="0.35">
      <c r="A420" s="51">
        <v>3</v>
      </c>
      <c r="B420" s="64" t="s">
        <v>228</v>
      </c>
      <c r="C420" s="51">
        <v>355</v>
      </c>
      <c r="D420" s="51">
        <v>101</v>
      </c>
      <c r="E420" s="56">
        <v>583</v>
      </c>
      <c r="F420" s="92"/>
      <c r="G420" s="92"/>
      <c r="H420" s="92"/>
    </row>
    <row r="421" spans="1:8" s="36" customFormat="1" x14ac:dyDescent="0.35">
      <c r="A421" s="51">
        <v>4</v>
      </c>
      <c r="B421" s="64" t="s">
        <v>230</v>
      </c>
      <c r="C421" s="51">
        <v>723</v>
      </c>
      <c r="D421" s="51">
        <v>74</v>
      </c>
      <c r="E421" s="55">
        <v>1158</v>
      </c>
      <c r="F421" s="92"/>
      <c r="G421" s="92"/>
      <c r="H421" s="92"/>
    </row>
    <row r="422" spans="1:8" s="36" customFormat="1" x14ac:dyDescent="0.35">
      <c r="A422" s="51">
        <v>5</v>
      </c>
      <c r="B422" s="64" t="s">
        <v>234</v>
      </c>
      <c r="C422" s="51">
        <v>263</v>
      </c>
      <c r="D422" s="51">
        <v>0</v>
      </c>
      <c r="E422" s="56">
        <v>394</v>
      </c>
      <c r="F422" s="92"/>
      <c r="G422" s="92"/>
      <c r="H422" s="92"/>
    </row>
    <row r="423" spans="1:8" s="36" customFormat="1" x14ac:dyDescent="0.35">
      <c r="A423" s="51">
        <v>6</v>
      </c>
      <c r="B423" s="64" t="s">
        <v>234</v>
      </c>
      <c r="C423" s="51">
        <v>263</v>
      </c>
      <c r="D423" s="51">
        <v>0</v>
      </c>
      <c r="E423" s="56">
        <v>394</v>
      </c>
      <c r="F423" s="92"/>
      <c r="G423" s="92"/>
      <c r="H423" s="92"/>
    </row>
    <row r="424" spans="1:8" s="36" customFormat="1" ht="15" x14ac:dyDescent="0.35">
      <c r="A424" s="93" t="s">
        <v>242</v>
      </c>
      <c r="B424" s="93"/>
      <c r="C424" s="93"/>
      <c r="D424" s="93"/>
      <c r="E424" s="93"/>
      <c r="F424" s="93"/>
      <c r="G424" s="93"/>
      <c r="H424" s="93"/>
    </row>
    <row r="425" spans="1:8" s="36" customFormat="1" x14ac:dyDescent="0.35">
      <c r="A425" s="51">
        <v>1</v>
      </c>
      <c r="B425" s="64" t="s">
        <v>228</v>
      </c>
      <c r="C425" s="51">
        <v>394</v>
      </c>
      <c r="D425" s="51">
        <v>0</v>
      </c>
      <c r="E425" s="56">
        <v>591</v>
      </c>
      <c r="F425" s="92" t="s">
        <v>243</v>
      </c>
      <c r="G425" s="92"/>
      <c r="H425" s="92"/>
    </row>
    <row r="426" spans="1:8" s="36" customFormat="1" x14ac:dyDescent="0.35">
      <c r="A426" s="51">
        <v>2</v>
      </c>
      <c r="B426" s="64" t="s">
        <v>228</v>
      </c>
      <c r="C426" s="51">
        <v>394</v>
      </c>
      <c r="D426" s="51">
        <v>0</v>
      </c>
      <c r="E426" s="56">
        <v>591</v>
      </c>
      <c r="F426" s="92"/>
      <c r="G426" s="92"/>
      <c r="H426" s="92"/>
    </row>
    <row r="427" spans="1:8" s="36" customFormat="1" x14ac:dyDescent="0.35">
      <c r="A427" s="51">
        <v>3</v>
      </c>
      <c r="B427" s="64" t="s">
        <v>228</v>
      </c>
      <c r="C427" s="51">
        <v>377</v>
      </c>
      <c r="D427" s="51">
        <v>0</v>
      </c>
      <c r="E427" s="56">
        <v>566</v>
      </c>
      <c r="F427" s="92"/>
      <c r="G427" s="92"/>
      <c r="H427" s="92"/>
    </row>
    <row r="428" spans="1:8" s="36" customFormat="1" x14ac:dyDescent="0.35">
      <c r="A428" s="51">
        <v>4</v>
      </c>
      <c r="B428" s="64" t="s">
        <v>230</v>
      </c>
      <c r="C428" s="51">
        <v>723</v>
      </c>
      <c r="D428" s="51">
        <v>0</v>
      </c>
      <c r="E428" s="56">
        <v>1085</v>
      </c>
      <c r="F428" s="92"/>
      <c r="G428" s="92"/>
      <c r="H428" s="92"/>
    </row>
    <row r="429" spans="1:8" s="36" customFormat="1" x14ac:dyDescent="0.35">
      <c r="A429" s="51">
        <v>5</v>
      </c>
      <c r="B429" s="64" t="s">
        <v>228</v>
      </c>
      <c r="C429" s="51">
        <v>386</v>
      </c>
      <c r="D429" s="51">
        <v>0</v>
      </c>
      <c r="E429" s="56">
        <v>579</v>
      </c>
      <c r="F429" s="92"/>
      <c r="G429" s="92"/>
      <c r="H429" s="92"/>
    </row>
    <row r="430" spans="1:8" s="36" customFormat="1" x14ac:dyDescent="0.35">
      <c r="A430" s="51">
        <v>6</v>
      </c>
      <c r="B430" s="64" t="s">
        <v>228</v>
      </c>
      <c r="C430" s="51">
        <v>386</v>
      </c>
      <c r="D430" s="51">
        <v>0</v>
      </c>
      <c r="E430" s="56">
        <v>579</v>
      </c>
      <c r="F430" s="92"/>
      <c r="G430" s="92"/>
      <c r="H430" s="92"/>
    </row>
    <row r="431" spans="1:8" s="36" customFormat="1" ht="15" x14ac:dyDescent="0.35">
      <c r="A431" s="93" t="s">
        <v>244</v>
      </c>
      <c r="B431" s="93"/>
      <c r="C431" s="93"/>
      <c r="D431" s="93"/>
      <c r="E431" s="93"/>
      <c r="F431" s="93"/>
      <c r="G431" s="93"/>
      <c r="H431" s="93"/>
    </row>
    <row r="432" spans="1:8" s="36" customFormat="1" ht="15" x14ac:dyDescent="0.35">
      <c r="A432" s="93" t="s">
        <v>224</v>
      </c>
      <c r="B432" s="93"/>
      <c r="C432" s="93"/>
      <c r="D432" s="93"/>
      <c r="E432" s="93"/>
      <c r="F432" s="93"/>
      <c r="G432" s="93"/>
      <c r="H432" s="93"/>
    </row>
    <row r="433" spans="1:8" s="36" customFormat="1" x14ac:dyDescent="0.35">
      <c r="A433" s="51">
        <v>9</v>
      </c>
      <c r="B433" s="64" t="s">
        <v>225</v>
      </c>
      <c r="C433" s="51">
        <v>128</v>
      </c>
      <c r="D433" s="51">
        <v>0</v>
      </c>
      <c r="E433" s="56">
        <v>192</v>
      </c>
      <c r="F433" s="92" t="s">
        <v>248</v>
      </c>
      <c r="G433" s="92"/>
      <c r="H433" s="92"/>
    </row>
    <row r="434" spans="1:8" s="36" customFormat="1" x14ac:dyDescent="0.35">
      <c r="A434" s="51">
        <v>10</v>
      </c>
      <c r="B434" s="64" t="s">
        <v>225</v>
      </c>
      <c r="C434" s="51">
        <v>143</v>
      </c>
      <c r="D434" s="51">
        <v>0</v>
      </c>
      <c r="E434" s="56">
        <v>214</v>
      </c>
      <c r="F434" s="92"/>
      <c r="G434" s="92"/>
      <c r="H434" s="92"/>
    </row>
    <row r="435" spans="1:8" s="36" customFormat="1" x14ac:dyDescent="0.35">
      <c r="A435" s="51">
        <v>11</v>
      </c>
      <c r="B435" s="64" t="s">
        <v>225</v>
      </c>
      <c r="C435" s="51">
        <v>141</v>
      </c>
      <c r="D435" s="51">
        <v>0</v>
      </c>
      <c r="E435" s="56">
        <v>211</v>
      </c>
      <c r="F435" s="92"/>
      <c r="G435" s="92"/>
      <c r="H435" s="92"/>
    </row>
    <row r="436" spans="1:8" s="36" customFormat="1" x14ac:dyDescent="0.35">
      <c r="A436" s="51">
        <v>12</v>
      </c>
      <c r="B436" s="64" t="s">
        <v>225</v>
      </c>
      <c r="C436" s="51">
        <v>124</v>
      </c>
      <c r="D436" s="51">
        <v>0</v>
      </c>
      <c r="E436" s="56">
        <v>186</v>
      </c>
      <c r="F436" s="92"/>
      <c r="G436" s="92"/>
      <c r="H436" s="92"/>
    </row>
    <row r="437" spans="1:8" s="36" customFormat="1" x14ac:dyDescent="0.35">
      <c r="A437" s="51">
        <v>13</v>
      </c>
      <c r="B437" s="64" t="s">
        <v>225</v>
      </c>
      <c r="C437" s="51">
        <v>163</v>
      </c>
      <c r="D437" s="51">
        <v>0</v>
      </c>
      <c r="E437" s="56">
        <v>244</v>
      </c>
      <c r="F437" s="92"/>
      <c r="G437" s="92"/>
      <c r="H437" s="92"/>
    </row>
    <row r="438" spans="1:8" s="36" customFormat="1" x14ac:dyDescent="0.35">
      <c r="A438" s="51">
        <v>14</v>
      </c>
      <c r="B438" s="64" t="s">
        <v>225</v>
      </c>
      <c r="C438" s="51">
        <v>163</v>
      </c>
      <c r="D438" s="51">
        <v>0</v>
      </c>
      <c r="E438" s="56">
        <v>244</v>
      </c>
      <c r="F438" s="92"/>
      <c r="G438" s="92"/>
      <c r="H438" s="92"/>
    </row>
    <row r="439" spans="1:8" s="36" customFormat="1" x14ac:dyDescent="0.35">
      <c r="A439" s="51">
        <v>15</v>
      </c>
      <c r="B439" s="64" t="s">
        <v>225</v>
      </c>
      <c r="C439" s="51">
        <v>124</v>
      </c>
      <c r="D439" s="51">
        <v>0</v>
      </c>
      <c r="E439" s="56">
        <v>186</v>
      </c>
      <c r="F439" s="92"/>
      <c r="G439" s="92"/>
      <c r="H439" s="92"/>
    </row>
    <row r="440" spans="1:8" s="36" customFormat="1" x14ac:dyDescent="0.35">
      <c r="A440" s="51">
        <v>16</v>
      </c>
      <c r="B440" s="64" t="s">
        <v>225</v>
      </c>
      <c r="C440" s="51">
        <v>163</v>
      </c>
      <c r="D440" s="51">
        <v>0</v>
      </c>
      <c r="E440" s="56">
        <v>244</v>
      </c>
      <c r="F440" s="92"/>
      <c r="G440" s="92"/>
      <c r="H440" s="92"/>
    </row>
    <row r="441" spans="1:8" s="36" customFormat="1" ht="15" x14ac:dyDescent="0.35">
      <c r="A441" s="93" t="s">
        <v>227</v>
      </c>
      <c r="B441" s="93"/>
      <c r="C441" s="93"/>
      <c r="D441" s="93"/>
      <c r="E441" s="93"/>
      <c r="F441" s="93"/>
      <c r="G441" s="93"/>
      <c r="H441" s="93"/>
    </row>
    <row r="442" spans="1:8" s="36" customFormat="1" x14ac:dyDescent="0.35">
      <c r="A442" s="51">
        <v>1</v>
      </c>
      <c r="B442" s="90" t="s">
        <v>228</v>
      </c>
      <c r="C442" s="51">
        <v>394</v>
      </c>
      <c r="D442" s="51">
        <v>0</v>
      </c>
      <c r="E442" s="56">
        <v>591</v>
      </c>
      <c r="F442" s="92" t="s">
        <v>229</v>
      </c>
      <c r="G442" s="92"/>
      <c r="H442" s="92"/>
    </row>
    <row r="443" spans="1:8" s="36" customFormat="1" x14ac:dyDescent="0.35">
      <c r="A443" s="51">
        <v>2</v>
      </c>
      <c r="B443" s="90" t="s">
        <v>228</v>
      </c>
      <c r="C443" s="51">
        <v>372</v>
      </c>
      <c r="D443" s="51">
        <v>156</v>
      </c>
      <c r="E443" s="56">
        <v>635</v>
      </c>
      <c r="F443" s="92"/>
      <c r="G443" s="92"/>
      <c r="H443" s="92"/>
    </row>
    <row r="444" spans="1:8" s="36" customFormat="1" x14ac:dyDescent="0.35">
      <c r="A444" s="51">
        <v>3</v>
      </c>
      <c r="B444" s="90" t="s">
        <v>228</v>
      </c>
      <c r="C444" s="51">
        <v>355</v>
      </c>
      <c r="D444" s="51">
        <v>101</v>
      </c>
      <c r="E444" s="56">
        <v>583</v>
      </c>
      <c r="F444" s="92"/>
      <c r="G444" s="92"/>
      <c r="H444" s="92"/>
    </row>
    <row r="445" spans="1:8" s="36" customFormat="1" x14ac:dyDescent="0.35">
      <c r="A445" s="51">
        <v>4</v>
      </c>
      <c r="B445" s="90" t="s">
        <v>230</v>
      </c>
      <c r="C445" s="51">
        <v>746</v>
      </c>
      <c r="D445" s="51">
        <v>74</v>
      </c>
      <c r="E445" s="55">
        <v>1192</v>
      </c>
      <c r="F445" s="92"/>
      <c r="G445" s="92"/>
      <c r="H445" s="92"/>
    </row>
    <row r="446" spans="1:8" s="36" customFormat="1" x14ac:dyDescent="0.35">
      <c r="A446" s="51">
        <v>5</v>
      </c>
      <c r="B446" s="90" t="s">
        <v>228</v>
      </c>
      <c r="C446" s="51">
        <v>404</v>
      </c>
      <c r="D446" s="51">
        <v>0</v>
      </c>
      <c r="E446" s="56">
        <v>607</v>
      </c>
      <c r="F446" s="92"/>
      <c r="G446" s="92"/>
      <c r="H446" s="92"/>
    </row>
    <row r="447" spans="1:8" s="36" customFormat="1" x14ac:dyDescent="0.35">
      <c r="A447" s="51">
        <v>6</v>
      </c>
      <c r="B447" s="90" t="s">
        <v>228</v>
      </c>
      <c r="C447" s="51">
        <v>404</v>
      </c>
      <c r="D447" s="51">
        <v>0</v>
      </c>
      <c r="E447" s="56">
        <v>607</v>
      </c>
      <c r="F447" s="92"/>
      <c r="G447" s="92"/>
      <c r="H447" s="92"/>
    </row>
    <row r="448" spans="1:8" s="36" customFormat="1" ht="15" x14ac:dyDescent="0.35">
      <c r="A448" s="93" t="s">
        <v>242</v>
      </c>
      <c r="B448" s="93"/>
      <c r="C448" s="93"/>
      <c r="D448" s="93"/>
      <c r="E448" s="93"/>
      <c r="F448" s="93"/>
      <c r="G448" s="93"/>
      <c r="H448" s="93"/>
    </row>
    <row r="449" spans="1:8" s="36" customFormat="1" x14ac:dyDescent="0.35">
      <c r="A449" s="51">
        <v>1</v>
      </c>
      <c r="B449" s="90" t="s">
        <v>228</v>
      </c>
      <c r="C449" s="51">
        <v>394</v>
      </c>
      <c r="D449" s="51">
        <v>0</v>
      </c>
      <c r="E449" s="56">
        <v>591</v>
      </c>
      <c r="F449" s="92" t="s">
        <v>243</v>
      </c>
      <c r="G449" s="92"/>
      <c r="H449" s="92"/>
    </row>
    <row r="450" spans="1:8" s="36" customFormat="1" x14ac:dyDescent="0.35">
      <c r="A450" s="51">
        <v>2</v>
      </c>
      <c r="B450" s="90" t="s">
        <v>228</v>
      </c>
      <c r="C450" s="51">
        <v>394</v>
      </c>
      <c r="D450" s="51">
        <v>0</v>
      </c>
      <c r="E450" s="56">
        <v>591</v>
      </c>
      <c r="F450" s="92"/>
      <c r="G450" s="92"/>
      <c r="H450" s="92"/>
    </row>
    <row r="451" spans="1:8" s="36" customFormat="1" x14ac:dyDescent="0.35">
      <c r="A451" s="51">
        <v>3</v>
      </c>
      <c r="B451" s="90" t="s">
        <v>228</v>
      </c>
      <c r="C451" s="51">
        <v>402</v>
      </c>
      <c r="D451" s="51">
        <v>0</v>
      </c>
      <c r="E451" s="56">
        <v>604</v>
      </c>
      <c r="F451" s="92"/>
      <c r="G451" s="92"/>
      <c r="H451" s="92"/>
    </row>
    <row r="452" spans="1:8" s="36" customFormat="1" x14ac:dyDescent="0.35">
      <c r="A452" s="51">
        <v>4</v>
      </c>
      <c r="B452" s="90" t="s">
        <v>230</v>
      </c>
      <c r="C452" s="51">
        <v>746</v>
      </c>
      <c r="D452" s="51">
        <v>0</v>
      </c>
      <c r="E452" s="55">
        <v>1118</v>
      </c>
      <c r="F452" s="92"/>
      <c r="G452" s="92"/>
      <c r="H452" s="92"/>
    </row>
    <row r="453" spans="1:8" s="36" customFormat="1" x14ac:dyDescent="0.35">
      <c r="A453" s="51">
        <v>5</v>
      </c>
      <c r="B453" s="90" t="s">
        <v>228</v>
      </c>
      <c r="C453" s="51">
        <v>404</v>
      </c>
      <c r="D453" s="51">
        <v>0</v>
      </c>
      <c r="E453" s="56">
        <v>607</v>
      </c>
      <c r="F453" s="92"/>
      <c r="G453" s="92"/>
      <c r="H453" s="92"/>
    </row>
    <row r="454" spans="1:8" s="36" customFormat="1" x14ac:dyDescent="0.35">
      <c r="A454" s="51">
        <v>6</v>
      </c>
      <c r="B454" s="90" t="s">
        <v>228</v>
      </c>
      <c r="C454" s="51">
        <v>404</v>
      </c>
      <c r="D454" s="51">
        <v>0</v>
      </c>
      <c r="E454" s="56">
        <v>607</v>
      </c>
      <c r="F454" s="92"/>
      <c r="G454" s="92"/>
      <c r="H454" s="92"/>
    </row>
    <row r="455" spans="1:8" s="36" customFormat="1" ht="15" x14ac:dyDescent="0.35">
      <c r="A455" s="93" t="s">
        <v>249</v>
      </c>
      <c r="B455" s="93"/>
      <c r="C455" s="93"/>
      <c r="D455" s="93"/>
      <c r="E455" s="93"/>
      <c r="F455" s="93"/>
      <c r="G455" s="93"/>
      <c r="H455" s="93"/>
    </row>
    <row r="456" spans="1:8" s="36" customFormat="1" ht="15" x14ac:dyDescent="0.35">
      <c r="A456" s="93" t="s">
        <v>250</v>
      </c>
      <c r="B456" s="93"/>
      <c r="C456" s="93"/>
      <c r="D456" s="93"/>
      <c r="E456" s="93"/>
      <c r="F456" s="93"/>
      <c r="G456" s="93"/>
      <c r="H456" s="93"/>
    </row>
    <row r="457" spans="1:8" s="36" customFormat="1" x14ac:dyDescent="0.35">
      <c r="A457" s="51">
        <v>2</v>
      </c>
      <c r="B457" s="64" t="s">
        <v>228</v>
      </c>
      <c r="C457" s="51">
        <v>372</v>
      </c>
      <c r="D457" s="51">
        <v>0</v>
      </c>
      <c r="E457" s="56">
        <v>557</v>
      </c>
      <c r="F457" s="92" t="s">
        <v>251</v>
      </c>
      <c r="G457" s="92"/>
      <c r="H457" s="92"/>
    </row>
    <row r="458" spans="1:8" s="36" customFormat="1" x14ac:dyDescent="0.35">
      <c r="A458" s="51">
        <v>3</v>
      </c>
      <c r="B458" s="64" t="s">
        <v>228</v>
      </c>
      <c r="C458" s="51">
        <v>346</v>
      </c>
      <c r="D458" s="51">
        <v>0</v>
      </c>
      <c r="E458" s="56">
        <v>519</v>
      </c>
      <c r="F458" s="92"/>
      <c r="G458" s="92"/>
      <c r="H458" s="92"/>
    </row>
    <row r="459" spans="1:8" s="36" customFormat="1" x14ac:dyDescent="0.35">
      <c r="A459" s="51">
        <v>4</v>
      </c>
      <c r="B459" s="64" t="s">
        <v>230</v>
      </c>
      <c r="C459" s="51">
        <v>685</v>
      </c>
      <c r="D459" s="51">
        <v>0</v>
      </c>
      <c r="E459" s="55">
        <v>1028</v>
      </c>
      <c r="F459" s="92"/>
      <c r="G459" s="92"/>
      <c r="H459" s="92"/>
    </row>
    <row r="460" spans="1:8" s="36" customFormat="1" x14ac:dyDescent="0.35">
      <c r="A460" s="51">
        <v>5</v>
      </c>
      <c r="B460" s="64" t="s">
        <v>228</v>
      </c>
      <c r="C460" s="51">
        <v>364</v>
      </c>
      <c r="D460" s="51">
        <v>0</v>
      </c>
      <c r="E460" s="56">
        <v>545</v>
      </c>
      <c r="F460" s="92"/>
      <c r="G460" s="92"/>
      <c r="H460" s="92"/>
    </row>
    <row r="461" spans="1:8" s="36" customFormat="1" ht="15" x14ac:dyDescent="0.35">
      <c r="A461" s="93" t="s">
        <v>252</v>
      </c>
      <c r="B461" s="93"/>
      <c r="C461" s="93"/>
      <c r="D461" s="93"/>
      <c r="E461" s="93"/>
      <c r="F461" s="93"/>
      <c r="G461" s="93"/>
      <c r="H461" s="93"/>
    </row>
    <row r="462" spans="1:8" s="36" customFormat="1" x14ac:dyDescent="0.35">
      <c r="A462" s="51">
        <v>1</v>
      </c>
      <c r="B462" s="64" t="s">
        <v>228</v>
      </c>
      <c r="C462" s="51">
        <v>394</v>
      </c>
      <c r="D462" s="51">
        <v>0</v>
      </c>
      <c r="E462" s="56">
        <v>591</v>
      </c>
      <c r="F462" s="92" t="s">
        <v>253</v>
      </c>
      <c r="G462" s="92"/>
      <c r="H462" s="92"/>
    </row>
    <row r="463" spans="1:8" s="36" customFormat="1" x14ac:dyDescent="0.35">
      <c r="A463" s="51">
        <v>2</v>
      </c>
      <c r="B463" s="64" t="s">
        <v>228</v>
      </c>
      <c r="C463" s="51">
        <v>394</v>
      </c>
      <c r="D463" s="51">
        <v>0</v>
      </c>
      <c r="E463" s="56">
        <v>591</v>
      </c>
      <c r="F463" s="92"/>
      <c r="G463" s="92"/>
      <c r="H463" s="92"/>
    </row>
    <row r="464" spans="1:8" s="36" customFormat="1" x14ac:dyDescent="0.35">
      <c r="A464" s="51">
        <v>3</v>
      </c>
      <c r="B464" s="64" t="s">
        <v>228</v>
      </c>
      <c r="C464" s="51">
        <v>346</v>
      </c>
      <c r="D464" s="51">
        <v>0</v>
      </c>
      <c r="E464" s="56">
        <v>519</v>
      </c>
      <c r="F464" s="92"/>
      <c r="G464" s="92"/>
      <c r="H464" s="92"/>
    </row>
    <row r="465" spans="1:8" s="36" customFormat="1" x14ac:dyDescent="0.35">
      <c r="A465" s="51">
        <v>4</v>
      </c>
      <c r="B465" s="64" t="s">
        <v>230</v>
      </c>
      <c r="C465" s="51">
        <v>685</v>
      </c>
      <c r="D465" s="51">
        <v>0</v>
      </c>
      <c r="E465" s="55">
        <v>1028</v>
      </c>
      <c r="F465" s="92"/>
      <c r="G465" s="92"/>
      <c r="H465" s="92"/>
    </row>
    <row r="466" spans="1:8" s="36" customFormat="1" x14ac:dyDescent="0.35">
      <c r="A466" s="51">
        <v>5</v>
      </c>
      <c r="B466" s="64" t="s">
        <v>228</v>
      </c>
      <c r="C466" s="51">
        <v>386</v>
      </c>
      <c r="D466" s="51">
        <v>0</v>
      </c>
      <c r="E466" s="56">
        <v>579</v>
      </c>
      <c r="F466" s="92"/>
      <c r="G466" s="92"/>
      <c r="H466" s="92"/>
    </row>
    <row r="467" spans="1:8" s="36" customFormat="1" x14ac:dyDescent="0.35">
      <c r="A467" s="51">
        <v>6</v>
      </c>
      <c r="B467" s="64" t="s">
        <v>228</v>
      </c>
      <c r="C467" s="51">
        <v>386</v>
      </c>
      <c r="D467" s="51">
        <v>0</v>
      </c>
      <c r="E467" s="56">
        <v>579</v>
      </c>
      <c r="F467" s="92"/>
      <c r="G467" s="92"/>
      <c r="H467" s="92"/>
    </row>
    <row r="468" spans="1:8" s="36" customFormat="1" ht="15" x14ac:dyDescent="0.35">
      <c r="A468" s="93" t="s">
        <v>276</v>
      </c>
      <c r="B468" s="93"/>
      <c r="C468" s="93"/>
      <c r="D468" s="93"/>
      <c r="E468" s="93"/>
      <c r="F468" s="93"/>
      <c r="G468" s="93"/>
      <c r="H468" s="93"/>
    </row>
    <row r="469" spans="1:8" s="36" customFormat="1" ht="15" x14ac:dyDescent="0.35">
      <c r="A469" s="93" t="s">
        <v>235</v>
      </c>
      <c r="B469" s="93"/>
      <c r="C469" s="93"/>
      <c r="D469" s="93"/>
      <c r="E469" s="93"/>
      <c r="F469" s="93"/>
      <c r="G469" s="93"/>
      <c r="H469" s="93"/>
    </row>
    <row r="470" spans="1:8" s="36" customFormat="1" x14ac:dyDescent="0.35">
      <c r="A470" s="51">
        <v>1</v>
      </c>
      <c r="B470" s="64" t="s">
        <v>228</v>
      </c>
      <c r="C470" s="51">
        <v>372</v>
      </c>
      <c r="D470" s="51">
        <v>0</v>
      </c>
      <c r="E470" s="56">
        <v>557</v>
      </c>
      <c r="F470" s="92" t="s">
        <v>236</v>
      </c>
      <c r="G470" s="92"/>
      <c r="H470" s="92"/>
    </row>
    <row r="471" spans="1:8" s="36" customFormat="1" x14ac:dyDescent="0.35">
      <c r="A471" s="51">
        <v>3</v>
      </c>
      <c r="B471" s="64" t="s">
        <v>228</v>
      </c>
      <c r="C471" s="51">
        <v>355</v>
      </c>
      <c r="D471" s="51">
        <v>0</v>
      </c>
      <c r="E471" s="56">
        <v>532</v>
      </c>
      <c r="F471" s="92"/>
      <c r="G471" s="92"/>
      <c r="H471" s="92"/>
    </row>
    <row r="472" spans="1:8" s="36" customFormat="1" x14ac:dyDescent="0.35">
      <c r="A472" s="51">
        <v>4</v>
      </c>
      <c r="B472" s="64" t="s">
        <v>230</v>
      </c>
      <c r="C472" s="51">
        <v>700</v>
      </c>
      <c r="D472" s="51">
        <v>0</v>
      </c>
      <c r="E472" s="55">
        <v>1049</v>
      </c>
      <c r="F472" s="92"/>
      <c r="G472" s="92"/>
      <c r="H472" s="92"/>
    </row>
    <row r="473" spans="1:8" s="36" customFormat="1" x14ac:dyDescent="0.35">
      <c r="A473" s="51">
        <v>5</v>
      </c>
      <c r="B473" s="64" t="s">
        <v>234</v>
      </c>
      <c r="C473" s="51">
        <v>242</v>
      </c>
      <c r="D473" s="51">
        <v>0</v>
      </c>
      <c r="E473" s="56">
        <v>363</v>
      </c>
      <c r="F473" s="92"/>
      <c r="G473" s="92"/>
      <c r="H473" s="92"/>
    </row>
    <row r="474" spans="1:8" s="36" customFormat="1" ht="15" x14ac:dyDescent="0.35">
      <c r="A474" s="93" t="s">
        <v>227</v>
      </c>
      <c r="B474" s="93"/>
      <c r="C474" s="93"/>
      <c r="D474" s="93"/>
      <c r="E474" s="93"/>
      <c r="F474" s="93"/>
      <c r="G474" s="93"/>
      <c r="H474" s="93"/>
    </row>
    <row r="475" spans="1:8" s="36" customFormat="1" x14ac:dyDescent="0.35">
      <c r="A475" s="51">
        <v>1</v>
      </c>
      <c r="B475" s="64" t="s">
        <v>228</v>
      </c>
      <c r="C475" s="51">
        <v>372</v>
      </c>
      <c r="D475" s="51">
        <v>0</v>
      </c>
      <c r="E475" s="56">
        <v>557</v>
      </c>
      <c r="F475" s="92" t="s">
        <v>229</v>
      </c>
      <c r="G475" s="92"/>
      <c r="H475" s="92"/>
    </row>
    <row r="476" spans="1:8" s="36" customFormat="1" x14ac:dyDescent="0.35">
      <c r="A476" s="51">
        <v>2</v>
      </c>
      <c r="B476" s="64" t="s">
        <v>228</v>
      </c>
      <c r="C476" s="51">
        <v>394</v>
      </c>
      <c r="D476" s="51">
        <v>0</v>
      </c>
      <c r="E476" s="56">
        <v>591</v>
      </c>
      <c r="F476" s="92"/>
      <c r="G476" s="92"/>
      <c r="H476" s="92"/>
    </row>
    <row r="477" spans="1:8" s="36" customFormat="1" x14ac:dyDescent="0.35">
      <c r="A477" s="51">
        <v>3</v>
      </c>
      <c r="B477" s="64" t="s">
        <v>228</v>
      </c>
      <c r="C477" s="51">
        <v>355</v>
      </c>
      <c r="D477" s="51">
        <v>0</v>
      </c>
      <c r="E477" s="56">
        <v>532</v>
      </c>
      <c r="F477" s="92"/>
      <c r="G477" s="92"/>
      <c r="H477" s="92"/>
    </row>
    <row r="478" spans="1:8" s="36" customFormat="1" x14ac:dyDescent="0.35">
      <c r="A478" s="51">
        <v>4</v>
      </c>
      <c r="B478" s="64" t="s">
        <v>230</v>
      </c>
      <c r="C478" s="51">
        <v>723</v>
      </c>
      <c r="D478" s="51">
        <v>0</v>
      </c>
      <c r="E478" s="55">
        <v>1085</v>
      </c>
      <c r="F478" s="92"/>
      <c r="G478" s="92"/>
      <c r="H478" s="92"/>
    </row>
    <row r="479" spans="1:8" s="36" customFormat="1" x14ac:dyDescent="0.35">
      <c r="A479" s="51">
        <v>5</v>
      </c>
      <c r="B479" s="64" t="s">
        <v>228</v>
      </c>
      <c r="C479" s="51">
        <v>264</v>
      </c>
      <c r="D479" s="51">
        <v>0</v>
      </c>
      <c r="E479" s="56">
        <v>397</v>
      </c>
      <c r="F479" s="92"/>
      <c r="G479" s="92"/>
      <c r="H479" s="92"/>
    </row>
    <row r="480" spans="1:8" s="36" customFormat="1" x14ac:dyDescent="0.35">
      <c r="A480" s="51">
        <v>6</v>
      </c>
      <c r="B480" s="64" t="s">
        <v>228</v>
      </c>
      <c r="C480" s="51">
        <v>264</v>
      </c>
      <c r="D480" s="51">
        <v>0</v>
      </c>
      <c r="E480" s="56">
        <v>397</v>
      </c>
      <c r="F480" s="92"/>
      <c r="G480" s="92"/>
      <c r="H480" s="92"/>
    </row>
    <row r="481" spans="1:8" s="36" customFormat="1" ht="15" x14ac:dyDescent="0.35">
      <c r="A481" s="93" t="s">
        <v>242</v>
      </c>
      <c r="B481" s="93"/>
      <c r="C481" s="93"/>
      <c r="D481" s="93"/>
      <c r="E481" s="93"/>
      <c r="F481" s="93"/>
      <c r="G481" s="93"/>
      <c r="H481" s="93"/>
    </row>
    <row r="482" spans="1:8" s="36" customFormat="1" x14ac:dyDescent="0.35">
      <c r="A482" s="51">
        <v>1</v>
      </c>
      <c r="B482" s="64" t="s">
        <v>228</v>
      </c>
      <c r="C482" s="51">
        <v>394</v>
      </c>
      <c r="D482" s="51">
        <v>0</v>
      </c>
      <c r="E482" s="56">
        <v>591</v>
      </c>
      <c r="F482" s="92" t="s">
        <v>243</v>
      </c>
      <c r="G482" s="92"/>
      <c r="H482" s="92"/>
    </row>
    <row r="483" spans="1:8" s="36" customFormat="1" x14ac:dyDescent="0.35">
      <c r="A483" s="51">
        <v>2</v>
      </c>
      <c r="B483" s="64" t="s">
        <v>228</v>
      </c>
      <c r="C483" s="51">
        <v>394</v>
      </c>
      <c r="D483" s="51">
        <v>0</v>
      </c>
      <c r="E483" s="56">
        <v>591</v>
      </c>
      <c r="F483" s="92"/>
      <c r="G483" s="92"/>
      <c r="H483" s="92"/>
    </row>
    <row r="484" spans="1:8" s="36" customFormat="1" x14ac:dyDescent="0.35">
      <c r="A484" s="51">
        <v>3</v>
      </c>
      <c r="B484" s="64" t="s">
        <v>228</v>
      </c>
      <c r="C484" s="51">
        <v>377</v>
      </c>
      <c r="D484" s="51">
        <v>0</v>
      </c>
      <c r="E484" s="56">
        <v>566</v>
      </c>
      <c r="F484" s="92"/>
      <c r="G484" s="92"/>
      <c r="H484" s="92"/>
    </row>
    <row r="485" spans="1:8" s="36" customFormat="1" x14ac:dyDescent="0.35">
      <c r="A485" s="51">
        <v>4</v>
      </c>
      <c r="B485" s="64" t="s">
        <v>230</v>
      </c>
      <c r="C485" s="51">
        <v>723</v>
      </c>
      <c r="D485" s="51">
        <v>0</v>
      </c>
      <c r="E485" s="55">
        <v>1085</v>
      </c>
      <c r="F485" s="92"/>
      <c r="G485" s="92"/>
      <c r="H485" s="92"/>
    </row>
    <row r="486" spans="1:8" s="36" customFormat="1" x14ac:dyDescent="0.35">
      <c r="A486" s="51">
        <v>5</v>
      </c>
      <c r="B486" s="64" t="s">
        <v>228</v>
      </c>
      <c r="C486" s="51">
        <v>391</v>
      </c>
      <c r="D486" s="51">
        <v>0</v>
      </c>
      <c r="E486" s="56">
        <v>587</v>
      </c>
      <c r="F486" s="92"/>
      <c r="G486" s="92"/>
      <c r="H486" s="92"/>
    </row>
    <row r="487" spans="1:8" s="36" customFormat="1" x14ac:dyDescent="0.35">
      <c r="A487" s="51">
        <v>6</v>
      </c>
      <c r="B487" s="64" t="s">
        <v>228</v>
      </c>
      <c r="C487" s="51">
        <v>391</v>
      </c>
      <c r="D487" s="51">
        <v>0</v>
      </c>
      <c r="E487" s="56">
        <v>587</v>
      </c>
      <c r="F487" s="92"/>
      <c r="G487" s="92"/>
      <c r="H487" s="92"/>
    </row>
    <row r="488" spans="1:8" s="36" customFormat="1" ht="15" x14ac:dyDescent="0.35">
      <c r="A488" s="93" t="s">
        <v>254</v>
      </c>
      <c r="B488" s="93"/>
      <c r="C488" s="93"/>
      <c r="D488" s="93"/>
      <c r="E488" s="93"/>
      <c r="F488" s="93"/>
      <c r="G488" s="93"/>
      <c r="H488" s="93"/>
    </row>
    <row r="489" spans="1:8" s="36" customFormat="1" ht="15" x14ac:dyDescent="0.35">
      <c r="A489" s="93" t="s">
        <v>255</v>
      </c>
      <c r="B489" s="93"/>
      <c r="C489" s="93"/>
      <c r="D489" s="93"/>
      <c r="E489" s="93"/>
      <c r="F489" s="93"/>
      <c r="G489" s="93"/>
      <c r="H489" s="93"/>
    </row>
    <row r="490" spans="1:8" s="36" customFormat="1" ht="15" x14ac:dyDescent="0.35">
      <c r="A490" s="93" t="s">
        <v>224</v>
      </c>
      <c r="B490" s="93"/>
      <c r="C490" s="93"/>
      <c r="D490" s="93"/>
      <c r="E490" s="93"/>
      <c r="F490" s="93"/>
      <c r="G490" s="93"/>
      <c r="H490" s="93"/>
    </row>
    <row r="491" spans="1:8" s="36" customFormat="1" x14ac:dyDescent="0.35">
      <c r="A491" s="51">
        <v>1</v>
      </c>
      <c r="B491" s="90" t="s">
        <v>225</v>
      </c>
      <c r="C491" s="51">
        <v>125</v>
      </c>
      <c r="D491" s="51">
        <v>0</v>
      </c>
      <c r="E491" s="56">
        <v>188</v>
      </c>
      <c r="F491" s="92" t="s">
        <v>226</v>
      </c>
      <c r="G491" s="92"/>
      <c r="H491" s="92"/>
    </row>
    <row r="492" spans="1:8" s="36" customFormat="1" x14ac:dyDescent="0.35">
      <c r="A492" s="51">
        <v>2</v>
      </c>
      <c r="B492" s="90" t="s">
        <v>225</v>
      </c>
      <c r="C492" s="51">
        <v>127</v>
      </c>
      <c r="D492" s="51">
        <v>0</v>
      </c>
      <c r="E492" s="56">
        <v>191</v>
      </c>
      <c r="F492" s="92"/>
      <c r="G492" s="92"/>
      <c r="H492" s="92"/>
    </row>
    <row r="493" spans="1:8" s="36" customFormat="1" x14ac:dyDescent="0.35">
      <c r="A493" s="51">
        <v>3</v>
      </c>
      <c r="B493" s="90" t="s">
        <v>225</v>
      </c>
      <c r="C493" s="51">
        <v>133</v>
      </c>
      <c r="D493" s="51">
        <v>0</v>
      </c>
      <c r="E493" s="56">
        <v>200</v>
      </c>
      <c r="F493" s="92"/>
      <c r="G493" s="92"/>
      <c r="H493" s="92"/>
    </row>
    <row r="494" spans="1:8" s="36" customFormat="1" x14ac:dyDescent="0.35">
      <c r="A494" s="51">
        <v>4</v>
      </c>
      <c r="B494" s="90" t="s">
        <v>225</v>
      </c>
      <c r="C494" s="51">
        <v>111</v>
      </c>
      <c r="D494" s="51">
        <v>0</v>
      </c>
      <c r="E494" s="56">
        <v>167</v>
      </c>
      <c r="F494" s="92"/>
      <c r="G494" s="92"/>
      <c r="H494" s="92"/>
    </row>
    <row r="495" spans="1:8" s="36" customFormat="1" x14ac:dyDescent="0.35">
      <c r="A495" s="51">
        <v>5</v>
      </c>
      <c r="B495" s="90" t="s">
        <v>225</v>
      </c>
      <c r="C495" s="51">
        <v>163</v>
      </c>
      <c r="D495" s="51">
        <v>0</v>
      </c>
      <c r="E495" s="56">
        <v>244</v>
      </c>
      <c r="F495" s="92"/>
      <c r="G495" s="92"/>
      <c r="H495" s="92"/>
    </row>
    <row r="496" spans="1:8" s="36" customFormat="1" x14ac:dyDescent="0.35">
      <c r="A496" s="51">
        <v>6</v>
      </c>
      <c r="B496" s="90" t="s">
        <v>225</v>
      </c>
      <c r="C496" s="51">
        <v>160</v>
      </c>
      <c r="D496" s="51">
        <v>0</v>
      </c>
      <c r="E496" s="56">
        <v>240</v>
      </c>
      <c r="F496" s="92"/>
      <c r="G496" s="92"/>
      <c r="H496" s="92"/>
    </row>
    <row r="497" spans="1:8" s="36" customFormat="1" x14ac:dyDescent="0.35">
      <c r="A497" s="51">
        <v>7</v>
      </c>
      <c r="B497" s="90" t="s">
        <v>225</v>
      </c>
      <c r="C497" s="51">
        <v>106</v>
      </c>
      <c r="D497" s="51">
        <v>0</v>
      </c>
      <c r="E497" s="56">
        <v>159</v>
      </c>
      <c r="F497" s="92"/>
      <c r="G497" s="92"/>
      <c r="H497" s="92"/>
    </row>
    <row r="498" spans="1:8" s="36" customFormat="1" x14ac:dyDescent="0.35">
      <c r="A498" s="51">
        <v>8</v>
      </c>
      <c r="B498" s="90" t="s">
        <v>225</v>
      </c>
      <c r="C498" s="51">
        <v>139</v>
      </c>
      <c r="D498" s="51">
        <v>0</v>
      </c>
      <c r="E498" s="56">
        <v>209</v>
      </c>
      <c r="F498" s="92"/>
      <c r="G498" s="92"/>
      <c r="H498" s="92"/>
    </row>
    <row r="499" spans="1:8" s="36" customFormat="1" ht="15" x14ac:dyDescent="0.35">
      <c r="A499" s="93" t="s">
        <v>227</v>
      </c>
      <c r="B499" s="93"/>
      <c r="C499" s="93"/>
      <c r="D499" s="93"/>
      <c r="E499" s="93"/>
      <c r="F499" s="93"/>
      <c r="G499" s="93"/>
      <c r="H499" s="93"/>
    </row>
    <row r="500" spans="1:8" s="36" customFormat="1" x14ac:dyDescent="0.35">
      <c r="A500" s="51">
        <v>1</v>
      </c>
      <c r="B500" s="90" t="s">
        <v>228</v>
      </c>
      <c r="C500" s="51">
        <v>385</v>
      </c>
      <c r="D500" s="51">
        <v>0</v>
      </c>
      <c r="E500" s="56">
        <v>578</v>
      </c>
      <c r="F500" s="94" t="s">
        <v>229</v>
      </c>
      <c r="G500" s="94"/>
      <c r="H500" s="94"/>
    </row>
    <row r="501" spans="1:8" s="36" customFormat="1" x14ac:dyDescent="0.35">
      <c r="A501" s="51">
        <v>2</v>
      </c>
      <c r="B501" s="90" t="s">
        <v>228</v>
      </c>
      <c r="C501" s="51">
        <v>363</v>
      </c>
      <c r="D501" s="51">
        <v>121</v>
      </c>
      <c r="E501" s="56">
        <v>605</v>
      </c>
      <c r="F501" s="94"/>
      <c r="G501" s="94"/>
      <c r="H501" s="94"/>
    </row>
    <row r="502" spans="1:8" s="36" customFormat="1" x14ac:dyDescent="0.35">
      <c r="A502" s="51">
        <v>3</v>
      </c>
      <c r="B502" s="90" t="s">
        <v>228</v>
      </c>
      <c r="C502" s="51">
        <v>345</v>
      </c>
      <c r="D502" s="51">
        <v>101</v>
      </c>
      <c r="E502" s="56">
        <v>567</v>
      </c>
      <c r="F502" s="94"/>
      <c r="G502" s="94"/>
      <c r="H502" s="94"/>
    </row>
    <row r="503" spans="1:8" s="36" customFormat="1" x14ac:dyDescent="0.35">
      <c r="A503" s="51">
        <v>4</v>
      </c>
      <c r="B503" s="90" t="s">
        <v>230</v>
      </c>
      <c r="C503" s="51">
        <v>648</v>
      </c>
      <c r="D503" s="51">
        <v>74</v>
      </c>
      <c r="E503" s="55">
        <v>1046</v>
      </c>
      <c r="F503" s="94"/>
      <c r="G503" s="94"/>
      <c r="H503" s="94"/>
    </row>
    <row r="504" spans="1:8" s="36" customFormat="1" ht="15" x14ac:dyDescent="0.35">
      <c r="A504" s="145" t="s">
        <v>242</v>
      </c>
      <c r="B504" s="149"/>
      <c r="C504" s="149"/>
      <c r="D504" s="149"/>
      <c r="E504" s="149"/>
      <c r="F504" s="149"/>
      <c r="G504" s="149"/>
      <c r="H504" s="150"/>
    </row>
    <row r="505" spans="1:8" s="36" customFormat="1" x14ac:dyDescent="0.35">
      <c r="A505" s="51">
        <v>1</v>
      </c>
      <c r="B505" s="64" t="s">
        <v>228</v>
      </c>
      <c r="C505" s="51">
        <v>385</v>
      </c>
      <c r="D505" s="51">
        <v>0</v>
      </c>
      <c r="E505" s="56">
        <v>578</v>
      </c>
      <c r="F505" s="92" t="s">
        <v>243</v>
      </c>
      <c r="G505" s="92"/>
      <c r="H505" s="92"/>
    </row>
    <row r="506" spans="1:8" s="36" customFormat="1" x14ac:dyDescent="0.35">
      <c r="A506" s="51">
        <v>2</v>
      </c>
      <c r="B506" s="64" t="s">
        <v>228</v>
      </c>
      <c r="C506" s="51">
        <v>385</v>
      </c>
      <c r="D506" s="51">
        <v>0</v>
      </c>
      <c r="E506" s="56">
        <v>578</v>
      </c>
      <c r="F506" s="92"/>
      <c r="G506" s="92"/>
      <c r="H506" s="92"/>
    </row>
    <row r="507" spans="1:8" s="36" customFormat="1" x14ac:dyDescent="0.35">
      <c r="A507" s="51">
        <v>3</v>
      </c>
      <c r="B507" s="64" t="s">
        <v>228</v>
      </c>
      <c r="C507" s="51">
        <v>368</v>
      </c>
      <c r="D507" s="51">
        <v>0</v>
      </c>
      <c r="E507" s="56">
        <v>553</v>
      </c>
      <c r="F507" s="92"/>
      <c r="G507" s="92"/>
      <c r="H507" s="92"/>
    </row>
    <row r="508" spans="1:8" s="36" customFormat="1" x14ac:dyDescent="0.35">
      <c r="A508" s="51">
        <v>4</v>
      </c>
      <c r="B508" s="64" t="s">
        <v>230</v>
      </c>
      <c r="C508" s="51">
        <v>648</v>
      </c>
      <c r="D508" s="51">
        <v>0</v>
      </c>
      <c r="E508" s="56">
        <v>972</v>
      </c>
      <c r="F508" s="92"/>
      <c r="G508" s="92"/>
      <c r="H508" s="92"/>
    </row>
    <row r="509" spans="1:8" s="36" customFormat="1" x14ac:dyDescent="0.35">
      <c r="A509" s="51">
        <v>5</v>
      </c>
      <c r="B509" s="64" t="s">
        <v>234</v>
      </c>
      <c r="C509" s="51">
        <v>279</v>
      </c>
      <c r="D509" s="51">
        <v>0</v>
      </c>
      <c r="E509" s="56">
        <v>419</v>
      </c>
      <c r="F509" s="92"/>
      <c r="G509" s="92"/>
      <c r="H509" s="92"/>
    </row>
    <row r="510" spans="1:8" s="36" customFormat="1" x14ac:dyDescent="0.35">
      <c r="A510" s="51">
        <v>6</v>
      </c>
      <c r="B510" s="64" t="s">
        <v>234</v>
      </c>
      <c r="C510" s="51">
        <v>279</v>
      </c>
      <c r="D510" s="51">
        <v>0</v>
      </c>
      <c r="E510" s="56">
        <v>419</v>
      </c>
      <c r="F510" s="92"/>
      <c r="G510" s="92"/>
      <c r="H510" s="92"/>
    </row>
    <row r="511" spans="1:8" s="36" customFormat="1" ht="15" x14ac:dyDescent="0.35">
      <c r="A511" s="93" t="s">
        <v>256</v>
      </c>
      <c r="B511" s="93"/>
      <c r="C511" s="93"/>
      <c r="D511" s="93"/>
      <c r="E511" s="93"/>
      <c r="F511" s="93"/>
      <c r="G511" s="93"/>
      <c r="H511" s="93"/>
    </row>
    <row r="512" spans="1:8" s="36" customFormat="1" ht="15" x14ac:dyDescent="0.35">
      <c r="A512" s="93" t="s">
        <v>224</v>
      </c>
      <c r="B512" s="93"/>
      <c r="C512" s="93"/>
      <c r="D512" s="93"/>
      <c r="E512" s="93"/>
      <c r="F512" s="93"/>
      <c r="G512" s="93"/>
      <c r="H512" s="93"/>
    </row>
    <row r="513" spans="1:8" s="36" customFormat="1" x14ac:dyDescent="0.35">
      <c r="A513" s="51">
        <v>9</v>
      </c>
      <c r="B513" s="64" t="s">
        <v>225</v>
      </c>
      <c r="C513" s="51">
        <v>139</v>
      </c>
      <c r="D513" s="51">
        <v>0</v>
      </c>
      <c r="E513" s="56">
        <v>209</v>
      </c>
      <c r="F513" s="92" t="s">
        <v>226</v>
      </c>
      <c r="G513" s="92"/>
      <c r="H513" s="92"/>
    </row>
    <row r="514" spans="1:8" s="36" customFormat="1" x14ac:dyDescent="0.35">
      <c r="A514" s="51">
        <v>10</v>
      </c>
      <c r="B514" s="64" t="s">
        <v>225</v>
      </c>
      <c r="C514" s="51">
        <v>106</v>
      </c>
      <c r="D514" s="51">
        <v>0</v>
      </c>
      <c r="E514" s="56">
        <v>159</v>
      </c>
      <c r="F514" s="92"/>
      <c r="G514" s="92"/>
      <c r="H514" s="92"/>
    </row>
    <row r="515" spans="1:8" s="36" customFormat="1" x14ac:dyDescent="0.35">
      <c r="A515" s="51">
        <v>11</v>
      </c>
      <c r="B515" s="64" t="s">
        <v>225</v>
      </c>
      <c r="C515" s="51">
        <v>160</v>
      </c>
      <c r="D515" s="51">
        <v>0</v>
      </c>
      <c r="E515" s="56">
        <v>240</v>
      </c>
      <c r="F515" s="92"/>
      <c r="G515" s="92"/>
      <c r="H515" s="92"/>
    </row>
    <row r="516" spans="1:8" s="36" customFormat="1" x14ac:dyDescent="0.35">
      <c r="A516" s="51">
        <v>12</v>
      </c>
      <c r="B516" s="64" t="s">
        <v>225</v>
      </c>
      <c r="C516" s="51">
        <v>159</v>
      </c>
      <c r="D516" s="51">
        <v>0</v>
      </c>
      <c r="E516" s="56">
        <v>239</v>
      </c>
      <c r="F516" s="92"/>
      <c r="G516" s="92"/>
      <c r="H516" s="92"/>
    </row>
    <row r="517" spans="1:8" s="36" customFormat="1" x14ac:dyDescent="0.35">
      <c r="A517" s="51">
        <v>13</v>
      </c>
      <c r="B517" s="64" t="s">
        <v>225</v>
      </c>
      <c r="C517" s="51">
        <v>115</v>
      </c>
      <c r="D517" s="51">
        <v>0</v>
      </c>
      <c r="E517" s="56">
        <v>173</v>
      </c>
      <c r="F517" s="92"/>
      <c r="G517" s="92"/>
      <c r="H517" s="92"/>
    </row>
    <row r="518" spans="1:8" s="36" customFormat="1" x14ac:dyDescent="0.35">
      <c r="A518" s="51">
        <v>14</v>
      </c>
      <c r="B518" s="64" t="s">
        <v>225</v>
      </c>
      <c r="C518" s="51">
        <v>133</v>
      </c>
      <c r="D518" s="51">
        <v>0</v>
      </c>
      <c r="E518" s="56">
        <v>200</v>
      </c>
      <c r="F518" s="92"/>
      <c r="G518" s="92"/>
      <c r="H518" s="92"/>
    </row>
    <row r="519" spans="1:8" s="36" customFormat="1" x14ac:dyDescent="0.35">
      <c r="A519" s="51">
        <v>15</v>
      </c>
      <c r="B519" s="64" t="s">
        <v>225</v>
      </c>
      <c r="C519" s="51">
        <v>127</v>
      </c>
      <c r="D519" s="51">
        <v>0</v>
      </c>
      <c r="E519" s="56">
        <v>191</v>
      </c>
      <c r="F519" s="92"/>
      <c r="G519" s="92"/>
      <c r="H519" s="92"/>
    </row>
    <row r="520" spans="1:8" s="36" customFormat="1" x14ac:dyDescent="0.35">
      <c r="A520" s="51">
        <v>16</v>
      </c>
      <c r="B520" s="64" t="s">
        <v>225</v>
      </c>
      <c r="C520" s="51">
        <v>123</v>
      </c>
      <c r="D520" s="51">
        <v>0</v>
      </c>
      <c r="E520" s="56">
        <v>184</v>
      </c>
      <c r="F520" s="92"/>
      <c r="G520" s="92"/>
      <c r="H520" s="92"/>
    </row>
    <row r="521" spans="1:8" s="36" customFormat="1" x14ac:dyDescent="0.35">
      <c r="A521" s="51">
        <v>17</v>
      </c>
      <c r="B521" s="64" t="s">
        <v>225</v>
      </c>
      <c r="C521" s="51">
        <v>175</v>
      </c>
      <c r="D521" s="51">
        <v>0</v>
      </c>
      <c r="E521" s="56">
        <v>262</v>
      </c>
      <c r="F521" s="92"/>
      <c r="G521" s="92"/>
      <c r="H521" s="92"/>
    </row>
    <row r="522" spans="1:8" s="36" customFormat="1" x14ac:dyDescent="0.35">
      <c r="A522" s="51">
        <v>18</v>
      </c>
      <c r="B522" s="64" t="s">
        <v>225</v>
      </c>
      <c r="C522" s="51">
        <v>184</v>
      </c>
      <c r="D522" s="51">
        <v>0</v>
      </c>
      <c r="E522" s="56">
        <v>276</v>
      </c>
      <c r="F522" s="92"/>
      <c r="G522" s="92"/>
      <c r="H522" s="92"/>
    </row>
    <row r="523" spans="1:8" s="36" customFormat="1" x14ac:dyDescent="0.35">
      <c r="A523" s="51">
        <v>19</v>
      </c>
      <c r="B523" s="64" t="s">
        <v>225</v>
      </c>
      <c r="C523" s="51">
        <v>137</v>
      </c>
      <c r="D523" s="51">
        <v>0</v>
      </c>
      <c r="E523" s="56">
        <v>205</v>
      </c>
      <c r="F523" s="92"/>
      <c r="G523" s="92"/>
      <c r="H523" s="92"/>
    </row>
    <row r="524" spans="1:8" s="36" customFormat="1" x14ac:dyDescent="0.35">
      <c r="A524" s="51">
        <v>20</v>
      </c>
      <c r="B524" s="64" t="s">
        <v>225</v>
      </c>
      <c r="C524" s="51">
        <v>184</v>
      </c>
      <c r="D524" s="51">
        <v>0</v>
      </c>
      <c r="E524" s="56">
        <v>275</v>
      </c>
      <c r="F524" s="92"/>
      <c r="G524" s="92"/>
      <c r="H524" s="92"/>
    </row>
    <row r="525" spans="1:8" s="36" customFormat="1" x14ac:dyDescent="0.35">
      <c r="A525" s="51">
        <v>21</v>
      </c>
      <c r="B525" s="64" t="s">
        <v>225</v>
      </c>
      <c r="C525" s="51">
        <v>181</v>
      </c>
      <c r="D525" s="51">
        <v>0</v>
      </c>
      <c r="E525" s="56">
        <v>271</v>
      </c>
      <c r="F525" s="92"/>
      <c r="G525" s="92"/>
      <c r="H525" s="92"/>
    </row>
    <row r="526" spans="1:8" s="36" customFormat="1" ht="15" x14ac:dyDescent="0.35">
      <c r="A526" s="145" t="s">
        <v>227</v>
      </c>
      <c r="B526" s="149"/>
      <c r="C526" s="149"/>
      <c r="D526" s="149"/>
      <c r="E526" s="149"/>
      <c r="F526" s="149"/>
      <c r="G526" s="149"/>
      <c r="H526" s="150"/>
    </row>
    <row r="527" spans="1:8" s="36" customFormat="1" x14ac:dyDescent="0.35">
      <c r="A527" s="51">
        <v>1</v>
      </c>
      <c r="B527" s="64" t="s">
        <v>228</v>
      </c>
      <c r="C527" s="51">
        <v>376</v>
      </c>
      <c r="D527" s="51">
        <v>0</v>
      </c>
      <c r="E527" s="51">
        <v>564</v>
      </c>
      <c r="F527" s="104" t="s">
        <v>229</v>
      </c>
      <c r="G527" s="146"/>
      <c r="H527" s="105"/>
    </row>
    <row r="528" spans="1:8" s="36" customFormat="1" x14ac:dyDescent="0.35">
      <c r="A528" s="51">
        <v>2</v>
      </c>
      <c r="B528" s="64" t="s">
        <v>228</v>
      </c>
      <c r="C528" s="51">
        <v>354</v>
      </c>
      <c r="D528" s="51">
        <v>121</v>
      </c>
      <c r="E528" s="51">
        <v>592</v>
      </c>
      <c r="F528" s="106"/>
      <c r="G528" s="147"/>
      <c r="H528" s="107"/>
    </row>
    <row r="529" spans="1:8" s="36" customFormat="1" x14ac:dyDescent="0.35">
      <c r="A529" s="51">
        <v>3</v>
      </c>
      <c r="B529" s="64" t="s">
        <v>228</v>
      </c>
      <c r="C529" s="51">
        <v>344</v>
      </c>
      <c r="D529" s="51">
        <v>101</v>
      </c>
      <c r="E529" s="51">
        <v>566</v>
      </c>
      <c r="F529" s="106"/>
      <c r="G529" s="147"/>
      <c r="H529" s="107"/>
    </row>
    <row r="530" spans="1:8" s="36" customFormat="1" x14ac:dyDescent="0.35">
      <c r="A530" s="51">
        <v>4</v>
      </c>
      <c r="B530" s="64" t="s">
        <v>230</v>
      </c>
      <c r="C530" s="51">
        <v>644</v>
      </c>
      <c r="D530" s="51">
        <v>285</v>
      </c>
      <c r="E530" s="51">
        <v>1061</v>
      </c>
      <c r="F530" s="106"/>
      <c r="G530" s="147"/>
      <c r="H530" s="107"/>
    </row>
    <row r="531" spans="1:8" s="36" customFormat="1" x14ac:dyDescent="0.35">
      <c r="A531" s="51">
        <v>5</v>
      </c>
      <c r="B531" s="64" t="s">
        <v>234</v>
      </c>
      <c r="C531" s="51">
        <v>261</v>
      </c>
      <c r="D531" s="51">
        <v>131</v>
      </c>
      <c r="E531" s="51">
        <v>457</v>
      </c>
      <c r="F531" s="106"/>
      <c r="G531" s="147"/>
      <c r="H531" s="107"/>
    </row>
    <row r="532" spans="1:8" s="36" customFormat="1" x14ac:dyDescent="0.35">
      <c r="A532" s="51">
        <v>6</v>
      </c>
      <c r="B532" s="64" t="s">
        <v>234</v>
      </c>
      <c r="C532" s="51">
        <v>283</v>
      </c>
      <c r="D532" s="51">
        <v>0</v>
      </c>
      <c r="E532" s="51">
        <v>425</v>
      </c>
      <c r="F532" s="108"/>
      <c r="G532" s="148"/>
      <c r="H532" s="109"/>
    </row>
    <row r="533" spans="1:8" s="36" customFormat="1" ht="15" x14ac:dyDescent="0.35">
      <c r="A533" s="93" t="s">
        <v>242</v>
      </c>
      <c r="B533" s="93"/>
      <c r="C533" s="93"/>
      <c r="D533" s="93"/>
      <c r="E533" s="93"/>
      <c r="F533" s="93"/>
      <c r="G533" s="93"/>
      <c r="H533" s="93"/>
    </row>
    <row r="534" spans="1:8" s="36" customFormat="1" x14ac:dyDescent="0.35">
      <c r="A534" s="51">
        <v>1</v>
      </c>
      <c r="B534" s="53" t="s">
        <v>228</v>
      </c>
      <c r="C534" s="51">
        <v>376</v>
      </c>
      <c r="D534" s="51">
        <v>0</v>
      </c>
      <c r="E534" s="51">
        <v>564</v>
      </c>
      <c r="F534" s="92" t="s">
        <v>243</v>
      </c>
      <c r="G534" s="92"/>
      <c r="H534" s="92"/>
    </row>
    <row r="535" spans="1:8" s="36" customFormat="1" x14ac:dyDescent="0.35">
      <c r="A535" s="51">
        <v>2</v>
      </c>
      <c r="B535" s="53" t="s">
        <v>228</v>
      </c>
      <c r="C535" s="51">
        <v>376</v>
      </c>
      <c r="D535" s="51">
        <v>0</v>
      </c>
      <c r="E535" s="51">
        <v>564</v>
      </c>
      <c r="F535" s="92"/>
      <c r="G535" s="92"/>
      <c r="H535" s="92"/>
    </row>
    <row r="536" spans="1:8" s="36" customFormat="1" x14ac:dyDescent="0.35">
      <c r="A536" s="51">
        <v>3</v>
      </c>
      <c r="B536" s="53" t="s">
        <v>228</v>
      </c>
      <c r="C536" s="51">
        <v>367</v>
      </c>
      <c r="D536" s="51">
        <v>0</v>
      </c>
      <c r="E536" s="51">
        <v>551</v>
      </c>
      <c r="F536" s="92"/>
      <c r="G536" s="92"/>
      <c r="H536" s="92"/>
    </row>
    <row r="537" spans="1:8" s="36" customFormat="1" x14ac:dyDescent="0.35">
      <c r="A537" s="51">
        <v>4</v>
      </c>
      <c r="B537" s="53" t="s">
        <v>230</v>
      </c>
      <c r="C537" s="51">
        <v>668</v>
      </c>
      <c r="D537" s="51">
        <v>0</v>
      </c>
      <c r="E537" s="51">
        <v>1001</v>
      </c>
      <c r="F537" s="92"/>
      <c r="G537" s="92"/>
      <c r="H537" s="92"/>
    </row>
    <row r="538" spans="1:8" s="36" customFormat="1" x14ac:dyDescent="0.35">
      <c r="A538" s="51">
        <v>5</v>
      </c>
      <c r="B538" s="54" t="s">
        <v>234</v>
      </c>
      <c r="C538" s="51">
        <v>283</v>
      </c>
      <c r="D538" s="51">
        <v>0</v>
      </c>
      <c r="E538" s="51">
        <v>425</v>
      </c>
      <c r="F538" s="92"/>
      <c r="G538" s="92"/>
      <c r="H538" s="92"/>
    </row>
    <row r="539" spans="1:8" s="36" customFormat="1" x14ac:dyDescent="0.35">
      <c r="A539" s="51">
        <v>6</v>
      </c>
      <c r="B539" s="54" t="s">
        <v>234</v>
      </c>
      <c r="C539" s="51">
        <v>283</v>
      </c>
      <c r="D539" s="51">
        <v>0</v>
      </c>
      <c r="E539" s="51">
        <v>425</v>
      </c>
      <c r="F539" s="92"/>
      <c r="G539" s="92"/>
      <c r="H539" s="92"/>
    </row>
    <row r="540" spans="1:8" s="36" customFormat="1" ht="15" x14ac:dyDescent="0.35">
      <c r="A540" s="93" t="s">
        <v>257</v>
      </c>
      <c r="B540" s="93"/>
      <c r="C540" s="93"/>
      <c r="D540" s="93"/>
      <c r="E540" s="93"/>
      <c r="F540" s="93"/>
      <c r="G540" s="93"/>
      <c r="H540" s="93"/>
    </row>
    <row r="541" spans="1:8" s="36" customFormat="1" ht="15" x14ac:dyDescent="0.35">
      <c r="A541" s="93" t="s">
        <v>224</v>
      </c>
      <c r="B541" s="93"/>
      <c r="C541" s="93"/>
      <c r="D541" s="93"/>
      <c r="E541" s="93"/>
      <c r="F541" s="93"/>
      <c r="G541" s="93"/>
      <c r="H541" s="93"/>
    </row>
    <row r="542" spans="1:8" s="36" customFormat="1" x14ac:dyDescent="0.35">
      <c r="A542" s="51">
        <v>22</v>
      </c>
      <c r="B542" s="90" t="s">
        <v>225</v>
      </c>
      <c r="C542" s="51">
        <v>154</v>
      </c>
      <c r="D542" s="51">
        <v>0</v>
      </c>
      <c r="E542" s="51">
        <v>231</v>
      </c>
      <c r="F542" s="92" t="s">
        <v>226</v>
      </c>
      <c r="G542" s="92"/>
      <c r="H542" s="92"/>
    </row>
    <row r="543" spans="1:8" s="36" customFormat="1" x14ac:dyDescent="0.35">
      <c r="A543" s="51">
        <v>23</v>
      </c>
      <c r="B543" s="90" t="s">
        <v>225</v>
      </c>
      <c r="C543" s="51">
        <v>179</v>
      </c>
      <c r="D543" s="51">
        <v>0</v>
      </c>
      <c r="E543" s="51">
        <v>269</v>
      </c>
      <c r="F543" s="92"/>
      <c r="G543" s="92"/>
      <c r="H543" s="92"/>
    </row>
    <row r="544" spans="1:8" s="36" customFormat="1" x14ac:dyDescent="0.35">
      <c r="A544" s="51">
        <v>24</v>
      </c>
      <c r="B544" s="90" t="s">
        <v>225</v>
      </c>
      <c r="C544" s="51">
        <v>137</v>
      </c>
      <c r="D544" s="51">
        <v>0</v>
      </c>
      <c r="E544" s="51">
        <v>205</v>
      </c>
      <c r="F544" s="92"/>
      <c r="G544" s="92"/>
      <c r="H544" s="92"/>
    </row>
    <row r="545" spans="1:8" s="36" customFormat="1" x14ac:dyDescent="0.35">
      <c r="A545" s="51">
        <v>25</v>
      </c>
      <c r="B545" s="90" t="s">
        <v>225</v>
      </c>
      <c r="C545" s="51">
        <v>184</v>
      </c>
      <c r="D545" s="51">
        <v>0</v>
      </c>
      <c r="E545" s="51">
        <v>276</v>
      </c>
      <c r="F545" s="92"/>
      <c r="G545" s="92"/>
      <c r="H545" s="92"/>
    </row>
    <row r="546" spans="1:8" s="36" customFormat="1" x14ac:dyDescent="0.35">
      <c r="A546" s="51">
        <v>26</v>
      </c>
      <c r="B546" s="90" t="s">
        <v>225</v>
      </c>
      <c r="C546" s="51">
        <v>175</v>
      </c>
      <c r="D546" s="51">
        <v>0</v>
      </c>
      <c r="E546" s="51">
        <v>262</v>
      </c>
      <c r="F546" s="92"/>
      <c r="G546" s="92"/>
      <c r="H546" s="92"/>
    </row>
    <row r="547" spans="1:8" s="36" customFormat="1" x14ac:dyDescent="0.35">
      <c r="A547" s="51">
        <v>27</v>
      </c>
      <c r="B547" s="90" t="s">
        <v>225</v>
      </c>
      <c r="C547" s="51">
        <v>254</v>
      </c>
      <c r="D547" s="51">
        <v>0</v>
      </c>
      <c r="E547" s="51">
        <v>381</v>
      </c>
      <c r="F547" s="92"/>
      <c r="G547" s="92"/>
      <c r="H547" s="92"/>
    </row>
    <row r="548" spans="1:8" s="36" customFormat="1" ht="15" x14ac:dyDescent="0.35">
      <c r="A548" s="93" t="s">
        <v>227</v>
      </c>
      <c r="B548" s="93"/>
      <c r="C548" s="93"/>
      <c r="D548" s="93"/>
      <c r="E548" s="93"/>
      <c r="F548" s="93"/>
      <c r="G548" s="93"/>
      <c r="H548" s="93"/>
    </row>
    <row r="549" spans="1:8" s="36" customFormat="1" x14ac:dyDescent="0.35">
      <c r="A549" s="51">
        <v>1</v>
      </c>
      <c r="B549" s="64" t="s">
        <v>228</v>
      </c>
      <c r="C549" s="51">
        <v>376</v>
      </c>
      <c r="D549" s="51">
        <v>0</v>
      </c>
      <c r="E549" s="51">
        <v>564</v>
      </c>
      <c r="F549" s="92" t="s">
        <v>229</v>
      </c>
      <c r="G549" s="92"/>
      <c r="H549" s="92"/>
    </row>
    <row r="550" spans="1:8" s="36" customFormat="1" x14ac:dyDescent="0.35">
      <c r="A550" s="51">
        <v>2</v>
      </c>
      <c r="B550" s="64" t="s">
        <v>228</v>
      </c>
      <c r="C550" s="51">
        <v>376</v>
      </c>
      <c r="D550" s="51">
        <v>0</v>
      </c>
      <c r="E550" s="51">
        <v>564</v>
      </c>
      <c r="F550" s="92"/>
      <c r="G550" s="92"/>
      <c r="H550" s="92"/>
    </row>
    <row r="551" spans="1:8" s="36" customFormat="1" x14ac:dyDescent="0.35">
      <c r="A551" s="51">
        <v>3</v>
      </c>
      <c r="B551" s="64" t="s">
        <v>228</v>
      </c>
      <c r="C551" s="51">
        <v>384</v>
      </c>
      <c r="D551" s="51">
        <v>0</v>
      </c>
      <c r="E551" s="51">
        <v>576</v>
      </c>
      <c r="F551" s="92"/>
      <c r="G551" s="92"/>
      <c r="H551" s="92"/>
    </row>
    <row r="552" spans="1:8" s="36" customFormat="1" x14ac:dyDescent="0.35">
      <c r="A552" s="51">
        <v>4</v>
      </c>
      <c r="B552" s="64" t="s">
        <v>230</v>
      </c>
      <c r="C552" s="51">
        <v>642</v>
      </c>
      <c r="D552" s="51">
        <v>285</v>
      </c>
      <c r="E552" s="51">
        <v>1059</v>
      </c>
      <c r="F552" s="92"/>
      <c r="G552" s="92"/>
      <c r="H552" s="92"/>
    </row>
    <row r="553" spans="1:8" s="36" customFormat="1" x14ac:dyDescent="0.35">
      <c r="A553" s="51">
        <v>5</v>
      </c>
      <c r="B553" s="64" t="s">
        <v>234</v>
      </c>
      <c r="C553" s="51">
        <v>261</v>
      </c>
      <c r="D553" s="51">
        <v>131</v>
      </c>
      <c r="E553" s="51">
        <v>457</v>
      </c>
      <c r="F553" s="92"/>
      <c r="G553" s="92"/>
      <c r="H553" s="92"/>
    </row>
    <row r="554" spans="1:8" s="36" customFormat="1" x14ac:dyDescent="0.35">
      <c r="A554" s="51">
        <v>6</v>
      </c>
      <c r="B554" s="64" t="s">
        <v>234</v>
      </c>
      <c r="C554" s="51">
        <v>283</v>
      </c>
      <c r="D554" s="51">
        <v>0</v>
      </c>
      <c r="E554" s="51">
        <v>425</v>
      </c>
      <c r="F554" s="92"/>
      <c r="G554" s="92"/>
      <c r="H554" s="92"/>
    </row>
    <row r="555" spans="1:8" s="36" customFormat="1" ht="15" x14ac:dyDescent="0.35">
      <c r="A555" s="93" t="s">
        <v>242</v>
      </c>
      <c r="B555" s="93"/>
      <c r="C555" s="93"/>
      <c r="D555" s="93"/>
      <c r="E555" s="93"/>
      <c r="F555" s="93"/>
      <c r="G555" s="93"/>
      <c r="H555" s="93"/>
    </row>
    <row r="556" spans="1:8" s="36" customFormat="1" x14ac:dyDescent="0.35">
      <c r="A556" s="51">
        <v>1</v>
      </c>
      <c r="B556" s="64" t="s">
        <v>228</v>
      </c>
      <c r="C556" s="51">
        <v>376</v>
      </c>
      <c r="D556" s="51">
        <v>0</v>
      </c>
      <c r="E556" s="51">
        <v>564</v>
      </c>
      <c r="F556" s="92" t="s">
        <v>243</v>
      </c>
      <c r="G556" s="92"/>
      <c r="H556" s="92"/>
    </row>
    <row r="557" spans="1:8" s="36" customFormat="1" x14ac:dyDescent="0.35">
      <c r="A557" s="51">
        <v>2</v>
      </c>
      <c r="B557" s="64" t="s">
        <v>228</v>
      </c>
      <c r="C557" s="51">
        <v>376</v>
      </c>
      <c r="D557" s="51">
        <v>0</v>
      </c>
      <c r="E557" s="51">
        <v>564</v>
      </c>
      <c r="F557" s="92"/>
      <c r="G557" s="92"/>
      <c r="H557" s="92"/>
    </row>
    <row r="558" spans="1:8" s="36" customFormat="1" x14ac:dyDescent="0.35">
      <c r="A558" s="51">
        <v>3</v>
      </c>
      <c r="B558" s="64" t="s">
        <v>228</v>
      </c>
      <c r="C558" s="51">
        <v>384</v>
      </c>
      <c r="D558" s="51">
        <v>0</v>
      </c>
      <c r="E558" s="51">
        <v>576</v>
      </c>
      <c r="F558" s="92"/>
      <c r="G558" s="92"/>
      <c r="H558" s="92"/>
    </row>
    <row r="559" spans="1:8" s="36" customFormat="1" x14ac:dyDescent="0.35">
      <c r="A559" s="51">
        <v>4</v>
      </c>
      <c r="B559" s="64" t="s">
        <v>230</v>
      </c>
      <c r="C559" s="51">
        <v>665</v>
      </c>
      <c r="D559" s="51">
        <v>0</v>
      </c>
      <c r="E559" s="51">
        <v>997</v>
      </c>
      <c r="F559" s="92"/>
      <c r="G559" s="92"/>
      <c r="H559" s="92"/>
    </row>
    <row r="560" spans="1:8" s="36" customFormat="1" x14ac:dyDescent="0.35">
      <c r="A560" s="51">
        <v>5</v>
      </c>
      <c r="B560" s="64" t="s">
        <v>234</v>
      </c>
      <c r="C560" s="51">
        <v>283</v>
      </c>
      <c r="D560" s="51">
        <v>0</v>
      </c>
      <c r="E560" s="51">
        <v>425</v>
      </c>
      <c r="F560" s="92"/>
      <c r="G560" s="92"/>
      <c r="H560" s="92"/>
    </row>
    <row r="561" spans="1:8" s="36" customFormat="1" x14ac:dyDescent="0.35">
      <c r="A561" s="51">
        <v>6</v>
      </c>
      <c r="B561" s="64" t="s">
        <v>234</v>
      </c>
      <c r="C561" s="51">
        <v>283</v>
      </c>
      <c r="D561" s="51">
        <v>0</v>
      </c>
      <c r="E561" s="51">
        <v>425</v>
      </c>
      <c r="F561" s="92"/>
      <c r="G561" s="92"/>
      <c r="H561" s="92"/>
    </row>
    <row r="562" spans="1:8" s="36" customFormat="1" ht="15" x14ac:dyDescent="0.35">
      <c r="A562" s="93" t="s">
        <v>258</v>
      </c>
      <c r="B562" s="93"/>
      <c r="C562" s="93"/>
      <c r="D562" s="93"/>
      <c r="E562" s="93"/>
      <c r="F562" s="93"/>
      <c r="G562" s="93"/>
      <c r="H562" s="93"/>
    </row>
    <row r="563" spans="1:8" s="36" customFormat="1" ht="15" x14ac:dyDescent="0.35">
      <c r="A563" s="93" t="s">
        <v>250</v>
      </c>
      <c r="B563" s="93"/>
      <c r="C563" s="93"/>
      <c r="D563" s="93"/>
      <c r="E563" s="93"/>
      <c r="F563" s="93"/>
      <c r="G563" s="93"/>
      <c r="H563" s="93"/>
    </row>
    <row r="564" spans="1:8" s="36" customFormat="1" x14ac:dyDescent="0.35">
      <c r="A564" s="51">
        <v>2</v>
      </c>
      <c r="B564" s="64" t="s">
        <v>228</v>
      </c>
      <c r="C564" s="51">
        <v>364</v>
      </c>
      <c r="D564" s="51">
        <v>0</v>
      </c>
      <c r="E564" s="51">
        <v>546</v>
      </c>
      <c r="F564" s="92" t="s">
        <v>251</v>
      </c>
      <c r="G564" s="92"/>
      <c r="H564" s="92"/>
    </row>
    <row r="565" spans="1:8" s="36" customFormat="1" x14ac:dyDescent="0.35">
      <c r="A565" s="51">
        <v>3</v>
      </c>
      <c r="B565" s="64" t="s">
        <v>228</v>
      </c>
      <c r="C565" s="51">
        <v>361</v>
      </c>
      <c r="D565" s="51">
        <v>0</v>
      </c>
      <c r="E565" s="51">
        <v>542</v>
      </c>
      <c r="F565" s="92"/>
      <c r="G565" s="92"/>
      <c r="H565" s="92"/>
    </row>
    <row r="566" spans="1:8" s="36" customFormat="1" x14ac:dyDescent="0.35">
      <c r="A566" s="51">
        <v>4</v>
      </c>
      <c r="B566" s="64" t="s">
        <v>230</v>
      </c>
      <c r="C566" s="51">
        <v>644</v>
      </c>
      <c r="D566" s="51">
        <v>0</v>
      </c>
      <c r="E566" s="51">
        <v>966</v>
      </c>
      <c r="F566" s="92"/>
      <c r="G566" s="92"/>
      <c r="H566" s="92"/>
    </row>
    <row r="567" spans="1:8" s="36" customFormat="1" x14ac:dyDescent="0.35">
      <c r="A567" s="51">
        <v>5</v>
      </c>
      <c r="B567" s="64" t="s">
        <v>228</v>
      </c>
      <c r="C567" s="51">
        <v>261</v>
      </c>
      <c r="D567" s="51">
        <v>0</v>
      </c>
      <c r="E567" s="51">
        <v>391</v>
      </c>
      <c r="F567" s="92"/>
      <c r="G567" s="92"/>
      <c r="H567" s="92"/>
    </row>
    <row r="568" spans="1:8" s="36" customFormat="1" ht="15" x14ac:dyDescent="0.35">
      <c r="A568" s="93" t="s">
        <v>227</v>
      </c>
      <c r="B568" s="93"/>
      <c r="C568" s="93"/>
      <c r="D568" s="93"/>
      <c r="E568" s="93"/>
      <c r="F568" s="93"/>
      <c r="G568" s="93"/>
      <c r="H568" s="93"/>
    </row>
    <row r="569" spans="1:8" s="36" customFormat="1" x14ac:dyDescent="0.35">
      <c r="A569" s="51">
        <v>1</v>
      </c>
      <c r="B569" s="64" t="s">
        <v>228</v>
      </c>
      <c r="C569" s="51">
        <v>395</v>
      </c>
      <c r="D569" s="51">
        <v>0</v>
      </c>
      <c r="E569" s="51">
        <v>592</v>
      </c>
      <c r="F569" s="92" t="s">
        <v>229</v>
      </c>
      <c r="G569" s="92"/>
      <c r="H569" s="92"/>
    </row>
    <row r="570" spans="1:8" s="36" customFormat="1" x14ac:dyDescent="0.35">
      <c r="A570" s="51">
        <v>2</v>
      </c>
      <c r="B570" s="64" t="s">
        <v>228</v>
      </c>
      <c r="C570" s="51">
        <v>395</v>
      </c>
      <c r="D570" s="51">
        <v>0</v>
      </c>
      <c r="E570" s="51">
        <v>592</v>
      </c>
      <c r="F570" s="92"/>
      <c r="G570" s="92"/>
      <c r="H570" s="92"/>
    </row>
    <row r="571" spans="1:8" s="36" customFormat="1" x14ac:dyDescent="0.35">
      <c r="A571" s="51">
        <v>3</v>
      </c>
      <c r="B571" s="64" t="s">
        <v>228</v>
      </c>
      <c r="C571" s="51">
        <v>385</v>
      </c>
      <c r="D571" s="51">
        <v>0</v>
      </c>
      <c r="E571" s="51">
        <v>577</v>
      </c>
      <c r="F571" s="92"/>
      <c r="G571" s="92"/>
      <c r="H571" s="92"/>
    </row>
    <row r="572" spans="1:8" s="36" customFormat="1" x14ac:dyDescent="0.35">
      <c r="A572" s="51">
        <v>4</v>
      </c>
      <c r="B572" s="64" t="s">
        <v>230</v>
      </c>
      <c r="C572" s="51">
        <v>668</v>
      </c>
      <c r="D572" s="51">
        <v>285</v>
      </c>
      <c r="E572" s="51">
        <v>1096</v>
      </c>
      <c r="F572" s="92"/>
      <c r="G572" s="92"/>
      <c r="H572" s="92"/>
    </row>
    <row r="573" spans="1:8" s="36" customFormat="1" x14ac:dyDescent="0.35">
      <c r="A573" s="51">
        <v>5</v>
      </c>
      <c r="B573" s="64" t="s">
        <v>234</v>
      </c>
      <c r="C573" s="51">
        <v>283</v>
      </c>
      <c r="D573" s="51">
        <v>131</v>
      </c>
      <c r="E573" s="51">
        <v>490</v>
      </c>
      <c r="F573" s="92"/>
      <c r="G573" s="92"/>
      <c r="H573" s="92"/>
    </row>
    <row r="574" spans="1:8" s="36" customFormat="1" x14ac:dyDescent="0.35">
      <c r="A574" s="51">
        <v>6</v>
      </c>
      <c r="B574" s="64" t="s">
        <v>234</v>
      </c>
      <c r="C574" s="51">
        <v>283</v>
      </c>
      <c r="D574" s="51">
        <v>0</v>
      </c>
      <c r="E574" s="51">
        <v>425</v>
      </c>
      <c r="F574" s="92"/>
      <c r="G574" s="92"/>
      <c r="H574" s="92"/>
    </row>
    <row r="575" spans="1:8" s="36" customFormat="1" ht="15" x14ac:dyDescent="0.35">
      <c r="A575" s="93" t="s">
        <v>242</v>
      </c>
      <c r="B575" s="93"/>
      <c r="C575" s="93"/>
      <c r="D575" s="93"/>
      <c r="E575" s="93"/>
      <c r="F575" s="93"/>
      <c r="G575" s="93"/>
      <c r="H575" s="93"/>
    </row>
    <row r="576" spans="1:8" s="36" customFormat="1" x14ac:dyDescent="0.35">
      <c r="A576" s="51">
        <v>1</v>
      </c>
      <c r="B576" s="64" t="s">
        <v>228</v>
      </c>
      <c r="C576" s="51">
        <v>395</v>
      </c>
      <c r="D576" s="51">
        <v>0</v>
      </c>
      <c r="E576" s="51">
        <v>592</v>
      </c>
      <c r="F576" s="92" t="s">
        <v>243</v>
      </c>
      <c r="G576" s="92"/>
      <c r="H576" s="92"/>
    </row>
    <row r="577" spans="1:8" s="36" customFormat="1" x14ac:dyDescent="0.35">
      <c r="A577" s="51">
        <v>2</v>
      </c>
      <c r="B577" s="64" t="s">
        <v>228</v>
      </c>
      <c r="C577" s="51">
        <v>395</v>
      </c>
      <c r="D577" s="51">
        <v>0</v>
      </c>
      <c r="E577" s="51">
        <v>592</v>
      </c>
      <c r="F577" s="92"/>
      <c r="G577" s="92"/>
      <c r="H577" s="92"/>
    </row>
    <row r="578" spans="1:8" s="36" customFormat="1" x14ac:dyDescent="0.35">
      <c r="A578" s="51">
        <v>3</v>
      </c>
      <c r="B578" s="64" t="s">
        <v>228</v>
      </c>
      <c r="C578" s="51">
        <v>385</v>
      </c>
      <c r="D578" s="51">
        <v>0</v>
      </c>
      <c r="E578" s="51">
        <v>577</v>
      </c>
      <c r="F578" s="92"/>
      <c r="G578" s="92"/>
      <c r="H578" s="92"/>
    </row>
    <row r="579" spans="1:8" s="36" customFormat="1" x14ac:dyDescent="0.35">
      <c r="A579" s="51">
        <v>4</v>
      </c>
      <c r="B579" s="64" t="s">
        <v>230</v>
      </c>
      <c r="C579" s="51">
        <v>668</v>
      </c>
      <c r="D579" s="51">
        <v>0</v>
      </c>
      <c r="E579" s="51">
        <v>1001</v>
      </c>
      <c r="F579" s="92"/>
      <c r="G579" s="92"/>
      <c r="H579" s="92"/>
    </row>
    <row r="580" spans="1:8" s="36" customFormat="1" x14ac:dyDescent="0.35">
      <c r="A580" s="51">
        <v>5</v>
      </c>
      <c r="B580" s="64" t="s">
        <v>234</v>
      </c>
      <c r="C580" s="51">
        <v>283</v>
      </c>
      <c r="D580" s="51">
        <v>0</v>
      </c>
      <c r="E580" s="51">
        <v>425</v>
      </c>
      <c r="F580" s="92"/>
      <c r="G580" s="92"/>
      <c r="H580" s="92"/>
    </row>
    <row r="581" spans="1:8" s="36" customFormat="1" x14ac:dyDescent="0.35">
      <c r="A581" s="51">
        <v>6</v>
      </c>
      <c r="B581" s="64" t="s">
        <v>234</v>
      </c>
      <c r="C581" s="51">
        <v>283</v>
      </c>
      <c r="D581" s="51">
        <v>0</v>
      </c>
      <c r="E581" s="51">
        <v>425</v>
      </c>
      <c r="F581" s="92"/>
      <c r="G581" s="92"/>
      <c r="H581" s="92"/>
    </row>
    <row r="582" spans="1:8" s="36" customFormat="1" ht="15" x14ac:dyDescent="0.35">
      <c r="A582" s="93" t="s">
        <v>259</v>
      </c>
      <c r="B582" s="93"/>
      <c r="C582" s="93"/>
      <c r="D582" s="93"/>
      <c r="E582" s="93"/>
      <c r="F582" s="93"/>
      <c r="G582" s="93"/>
      <c r="H582" s="93"/>
    </row>
    <row r="583" spans="1:8" s="36" customFormat="1" ht="15" x14ac:dyDescent="0.35">
      <c r="A583" s="93" t="s">
        <v>260</v>
      </c>
      <c r="B583" s="93"/>
      <c r="C583" s="93"/>
      <c r="D583" s="93"/>
      <c r="E583" s="93"/>
      <c r="F583" s="93"/>
      <c r="G583" s="93"/>
      <c r="H583" s="93"/>
    </row>
    <row r="584" spans="1:8" s="36" customFormat="1" ht="15" x14ac:dyDescent="0.35">
      <c r="A584" s="93" t="s">
        <v>224</v>
      </c>
      <c r="B584" s="93"/>
      <c r="C584" s="93"/>
      <c r="D584" s="93"/>
      <c r="E584" s="93"/>
      <c r="F584" s="93"/>
      <c r="G584" s="93"/>
      <c r="H584" s="93"/>
    </row>
    <row r="585" spans="1:8" s="36" customFormat="1" x14ac:dyDescent="0.35">
      <c r="A585" s="51">
        <v>9</v>
      </c>
      <c r="B585" s="90" t="s">
        <v>225</v>
      </c>
      <c r="C585" s="51">
        <v>139</v>
      </c>
      <c r="D585" s="51">
        <v>0</v>
      </c>
      <c r="E585" s="51">
        <v>209</v>
      </c>
      <c r="F585" s="92" t="s">
        <v>226</v>
      </c>
      <c r="G585" s="92"/>
      <c r="H585" s="92"/>
    </row>
    <row r="586" spans="1:8" s="36" customFormat="1" x14ac:dyDescent="0.35">
      <c r="A586" s="51">
        <v>10</v>
      </c>
      <c r="B586" s="90" t="s">
        <v>225</v>
      </c>
      <c r="C586" s="51">
        <v>106</v>
      </c>
      <c r="D586" s="51">
        <v>0</v>
      </c>
      <c r="E586" s="51">
        <v>159</v>
      </c>
      <c r="F586" s="92"/>
      <c r="G586" s="92"/>
      <c r="H586" s="92"/>
    </row>
    <row r="587" spans="1:8" s="36" customFormat="1" x14ac:dyDescent="0.35">
      <c r="A587" s="51">
        <v>11</v>
      </c>
      <c r="B587" s="90" t="s">
        <v>225</v>
      </c>
      <c r="C587" s="51">
        <v>160</v>
      </c>
      <c r="D587" s="51">
        <v>0</v>
      </c>
      <c r="E587" s="51">
        <v>240</v>
      </c>
      <c r="F587" s="92"/>
      <c r="G587" s="92"/>
      <c r="H587" s="92"/>
    </row>
    <row r="588" spans="1:8" s="36" customFormat="1" x14ac:dyDescent="0.35">
      <c r="A588" s="51">
        <v>12</v>
      </c>
      <c r="B588" s="90" t="s">
        <v>225</v>
      </c>
      <c r="C588" s="51">
        <v>159</v>
      </c>
      <c r="D588" s="51">
        <v>0</v>
      </c>
      <c r="E588" s="51">
        <v>239</v>
      </c>
      <c r="F588" s="92"/>
      <c r="G588" s="92"/>
      <c r="H588" s="92"/>
    </row>
    <row r="589" spans="1:8" s="36" customFormat="1" x14ac:dyDescent="0.35">
      <c r="A589" s="51">
        <v>13</v>
      </c>
      <c r="B589" s="90" t="s">
        <v>225</v>
      </c>
      <c r="C589" s="51">
        <v>115</v>
      </c>
      <c r="D589" s="51">
        <v>0</v>
      </c>
      <c r="E589" s="51">
        <v>173</v>
      </c>
      <c r="F589" s="92"/>
      <c r="G589" s="92"/>
      <c r="H589" s="92"/>
    </row>
    <row r="590" spans="1:8" s="36" customFormat="1" x14ac:dyDescent="0.35">
      <c r="A590" s="51">
        <v>14</v>
      </c>
      <c r="B590" s="90" t="s">
        <v>225</v>
      </c>
      <c r="C590" s="51">
        <v>133</v>
      </c>
      <c r="D590" s="51">
        <v>0</v>
      </c>
      <c r="E590" s="51">
        <v>200</v>
      </c>
      <c r="F590" s="92"/>
      <c r="G590" s="92"/>
      <c r="H590" s="92"/>
    </row>
    <row r="591" spans="1:8" s="36" customFormat="1" x14ac:dyDescent="0.35">
      <c r="A591" s="51">
        <v>15</v>
      </c>
      <c r="B591" s="90" t="s">
        <v>225</v>
      </c>
      <c r="C591" s="51">
        <v>127</v>
      </c>
      <c r="D591" s="51">
        <v>0</v>
      </c>
      <c r="E591" s="51">
        <v>191</v>
      </c>
      <c r="F591" s="92"/>
      <c r="G591" s="92"/>
      <c r="H591" s="92"/>
    </row>
    <row r="592" spans="1:8" s="36" customFormat="1" x14ac:dyDescent="0.35">
      <c r="A592" s="51">
        <v>16</v>
      </c>
      <c r="B592" s="90" t="s">
        <v>225</v>
      </c>
      <c r="C592" s="51">
        <v>123</v>
      </c>
      <c r="D592" s="51">
        <v>0</v>
      </c>
      <c r="E592" s="51">
        <v>184</v>
      </c>
      <c r="F592" s="92"/>
      <c r="G592" s="92"/>
      <c r="H592" s="92"/>
    </row>
    <row r="593" spans="1:8" s="36" customFormat="1" x14ac:dyDescent="0.35">
      <c r="A593" s="51">
        <v>17</v>
      </c>
      <c r="B593" s="90" t="s">
        <v>225</v>
      </c>
      <c r="C593" s="51">
        <v>175</v>
      </c>
      <c r="D593" s="51">
        <v>0</v>
      </c>
      <c r="E593" s="51">
        <v>262</v>
      </c>
      <c r="F593" s="92"/>
      <c r="G593" s="92"/>
      <c r="H593" s="92"/>
    </row>
    <row r="594" spans="1:8" s="36" customFormat="1" x14ac:dyDescent="0.35">
      <c r="A594" s="51">
        <v>18</v>
      </c>
      <c r="B594" s="90" t="s">
        <v>225</v>
      </c>
      <c r="C594" s="51">
        <v>184</v>
      </c>
      <c r="D594" s="51">
        <v>0</v>
      </c>
      <c r="E594" s="51">
        <v>276</v>
      </c>
      <c r="F594" s="92"/>
      <c r="G594" s="92"/>
      <c r="H594" s="92"/>
    </row>
    <row r="595" spans="1:8" s="36" customFormat="1" x14ac:dyDescent="0.35">
      <c r="A595" s="51">
        <v>19</v>
      </c>
      <c r="B595" s="90" t="s">
        <v>225</v>
      </c>
      <c r="C595" s="51">
        <v>137</v>
      </c>
      <c r="D595" s="51">
        <v>0</v>
      </c>
      <c r="E595" s="51">
        <v>205</v>
      </c>
      <c r="F595" s="92"/>
      <c r="G595" s="92"/>
      <c r="H595" s="92"/>
    </row>
    <row r="596" spans="1:8" s="36" customFormat="1" x14ac:dyDescent="0.35">
      <c r="A596" s="51">
        <v>20</v>
      </c>
      <c r="B596" s="90" t="s">
        <v>225</v>
      </c>
      <c r="C596" s="51">
        <v>184</v>
      </c>
      <c r="D596" s="51">
        <v>0</v>
      </c>
      <c r="E596" s="51">
        <v>275</v>
      </c>
      <c r="F596" s="92"/>
      <c r="G596" s="92"/>
      <c r="H596" s="92"/>
    </row>
    <row r="597" spans="1:8" s="36" customFormat="1" x14ac:dyDescent="0.35">
      <c r="A597" s="51">
        <v>21</v>
      </c>
      <c r="B597" s="90" t="s">
        <v>225</v>
      </c>
      <c r="C597" s="51">
        <v>181</v>
      </c>
      <c r="D597" s="51">
        <v>0</v>
      </c>
      <c r="E597" s="51">
        <v>271</v>
      </c>
      <c r="F597" s="92"/>
      <c r="G597" s="92"/>
      <c r="H597" s="92"/>
    </row>
    <row r="598" spans="1:8" s="36" customFormat="1" ht="15" x14ac:dyDescent="0.35">
      <c r="A598" s="93" t="s">
        <v>227</v>
      </c>
      <c r="B598" s="93"/>
      <c r="C598" s="93"/>
      <c r="D598" s="93"/>
      <c r="E598" s="93"/>
      <c r="F598" s="93"/>
      <c r="G598" s="93"/>
      <c r="H598" s="93"/>
    </row>
    <row r="599" spans="1:8" s="36" customFormat="1" x14ac:dyDescent="0.35">
      <c r="A599" s="51">
        <v>1</v>
      </c>
      <c r="B599" s="64" t="s">
        <v>228</v>
      </c>
      <c r="C599" s="51">
        <v>376</v>
      </c>
      <c r="D599" s="51">
        <v>0</v>
      </c>
      <c r="E599" s="51">
        <v>564</v>
      </c>
      <c r="F599" s="92" t="s">
        <v>229</v>
      </c>
      <c r="G599" s="92"/>
      <c r="H599" s="92"/>
    </row>
    <row r="600" spans="1:8" s="36" customFormat="1" x14ac:dyDescent="0.35">
      <c r="A600" s="51">
        <v>2</v>
      </c>
      <c r="B600" s="64" t="s">
        <v>228</v>
      </c>
      <c r="C600" s="51">
        <v>354</v>
      </c>
      <c r="D600" s="51">
        <v>121</v>
      </c>
      <c r="E600" s="51">
        <v>592</v>
      </c>
      <c r="F600" s="92"/>
      <c r="G600" s="92"/>
      <c r="H600" s="92"/>
    </row>
    <row r="601" spans="1:8" s="36" customFormat="1" x14ac:dyDescent="0.35">
      <c r="A601" s="51">
        <v>3</v>
      </c>
      <c r="B601" s="64" t="s">
        <v>228</v>
      </c>
      <c r="C601" s="51">
        <v>344</v>
      </c>
      <c r="D601" s="51">
        <v>101</v>
      </c>
      <c r="E601" s="51">
        <v>566</v>
      </c>
      <c r="F601" s="92"/>
      <c r="G601" s="92"/>
      <c r="H601" s="92"/>
    </row>
    <row r="602" spans="1:8" s="36" customFormat="1" x14ac:dyDescent="0.35">
      <c r="A602" s="51">
        <v>4</v>
      </c>
      <c r="B602" s="64" t="s">
        <v>230</v>
      </c>
      <c r="C602" s="51">
        <v>644</v>
      </c>
      <c r="D602" s="51">
        <v>285</v>
      </c>
      <c r="E602" s="51">
        <v>1061</v>
      </c>
      <c r="F602" s="92"/>
      <c r="G602" s="92"/>
      <c r="H602" s="92"/>
    </row>
    <row r="603" spans="1:8" s="36" customFormat="1" x14ac:dyDescent="0.35">
      <c r="A603" s="51">
        <v>5</v>
      </c>
      <c r="B603" s="64" t="s">
        <v>234</v>
      </c>
      <c r="C603" s="51">
        <v>261</v>
      </c>
      <c r="D603" s="51">
        <v>131</v>
      </c>
      <c r="E603" s="51">
        <v>457</v>
      </c>
      <c r="F603" s="92"/>
      <c r="G603" s="92"/>
      <c r="H603" s="92"/>
    </row>
    <row r="604" spans="1:8" s="36" customFormat="1" x14ac:dyDescent="0.35">
      <c r="A604" s="51">
        <v>6</v>
      </c>
      <c r="B604" s="64" t="s">
        <v>234</v>
      </c>
      <c r="C604" s="51">
        <v>283</v>
      </c>
      <c r="D604" s="51">
        <v>0</v>
      </c>
      <c r="E604" s="51">
        <v>425</v>
      </c>
      <c r="F604" s="92"/>
      <c r="G604" s="92"/>
      <c r="H604" s="92"/>
    </row>
    <row r="605" spans="1:8" s="36" customFormat="1" ht="15" x14ac:dyDescent="0.35">
      <c r="A605" s="93" t="s">
        <v>242</v>
      </c>
      <c r="B605" s="93"/>
      <c r="C605" s="93"/>
      <c r="D605" s="93"/>
      <c r="E605" s="93"/>
      <c r="F605" s="93"/>
      <c r="G605" s="93"/>
      <c r="H605" s="93"/>
    </row>
    <row r="606" spans="1:8" s="36" customFormat="1" x14ac:dyDescent="0.35">
      <c r="A606" s="51">
        <v>1</v>
      </c>
      <c r="B606" s="64" t="s">
        <v>228</v>
      </c>
      <c r="C606" s="51">
        <v>376</v>
      </c>
      <c r="D606" s="51">
        <v>0</v>
      </c>
      <c r="E606" s="51">
        <v>564</v>
      </c>
      <c r="F606" s="92" t="s">
        <v>243</v>
      </c>
      <c r="G606" s="92"/>
      <c r="H606" s="92"/>
    </row>
    <row r="607" spans="1:8" s="36" customFormat="1" x14ac:dyDescent="0.35">
      <c r="A607" s="51">
        <v>2</v>
      </c>
      <c r="B607" s="64" t="s">
        <v>228</v>
      </c>
      <c r="C607" s="51">
        <v>376</v>
      </c>
      <c r="D607" s="51">
        <v>0</v>
      </c>
      <c r="E607" s="51">
        <v>564</v>
      </c>
      <c r="F607" s="92"/>
      <c r="G607" s="92"/>
      <c r="H607" s="92"/>
    </row>
    <row r="608" spans="1:8" s="36" customFormat="1" x14ac:dyDescent="0.35">
      <c r="A608" s="51">
        <v>3</v>
      </c>
      <c r="B608" s="64" t="s">
        <v>228</v>
      </c>
      <c r="C608" s="51">
        <v>367</v>
      </c>
      <c r="D608" s="51">
        <v>0</v>
      </c>
      <c r="E608" s="51">
        <v>551</v>
      </c>
      <c r="F608" s="92"/>
      <c r="G608" s="92"/>
      <c r="H608" s="92"/>
    </row>
    <row r="609" spans="1:11" s="36" customFormat="1" x14ac:dyDescent="0.35">
      <c r="A609" s="51">
        <v>4</v>
      </c>
      <c r="B609" s="64" t="s">
        <v>230</v>
      </c>
      <c r="C609" s="51">
        <v>668</v>
      </c>
      <c r="D609" s="51">
        <v>0</v>
      </c>
      <c r="E609" s="51">
        <v>1001</v>
      </c>
      <c r="F609" s="92"/>
      <c r="G609" s="92"/>
      <c r="H609" s="92"/>
    </row>
    <row r="610" spans="1:11" s="36" customFormat="1" x14ac:dyDescent="0.35">
      <c r="A610" s="51">
        <v>5</v>
      </c>
      <c r="B610" s="64" t="s">
        <v>234</v>
      </c>
      <c r="C610" s="51">
        <v>283</v>
      </c>
      <c r="D610" s="51">
        <v>0</v>
      </c>
      <c r="E610" s="51">
        <v>425</v>
      </c>
      <c r="F610" s="92"/>
      <c r="G610" s="92"/>
      <c r="H610" s="92"/>
    </row>
    <row r="611" spans="1:11" s="36" customFormat="1" x14ac:dyDescent="0.35">
      <c r="A611" s="51">
        <v>6</v>
      </c>
      <c r="B611" s="64" t="s">
        <v>234</v>
      </c>
      <c r="C611" s="51">
        <v>283</v>
      </c>
      <c r="D611" s="51">
        <v>0</v>
      </c>
      <c r="E611" s="51">
        <v>425</v>
      </c>
      <c r="F611" s="92"/>
      <c r="G611" s="92"/>
      <c r="H611" s="92"/>
    </row>
    <row r="612" spans="1:11" s="36" customFormat="1" ht="15" x14ac:dyDescent="0.35">
      <c r="A612" s="93" t="s">
        <v>261</v>
      </c>
      <c r="B612" s="93"/>
      <c r="C612" s="93"/>
      <c r="D612" s="93"/>
      <c r="E612" s="93"/>
      <c r="F612" s="93"/>
      <c r="G612" s="93"/>
      <c r="H612" s="93"/>
    </row>
    <row r="613" spans="1:11" s="36" customFormat="1" ht="15" x14ac:dyDescent="0.35">
      <c r="A613" s="93" t="s">
        <v>224</v>
      </c>
      <c r="B613" s="93"/>
      <c r="C613" s="93"/>
      <c r="D613" s="93"/>
      <c r="E613" s="93"/>
      <c r="F613" s="93"/>
      <c r="G613" s="93"/>
      <c r="H613" s="93"/>
    </row>
    <row r="614" spans="1:11" s="36" customFormat="1" x14ac:dyDescent="0.35">
      <c r="A614" s="51">
        <v>1</v>
      </c>
      <c r="B614" s="64" t="s">
        <v>225</v>
      </c>
      <c r="C614" s="51">
        <v>125</v>
      </c>
      <c r="D614" s="51">
        <v>0</v>
      </c>
      <c r="E614" s="51">
        <v>188</v>
      </c>
      <c r="F614" s="92" t="s">
        <v>226</v>
      </c>
      <c r="G614" s="92"/>
      <c r="H614" s="92"/>
    </row>
    <row r="615" spans="1:11" s="36" customFormat="1" x14ac:dyDescent="0.35">
      <c r="A615" s="51">
        <v>2</v>
      </c>
      <c r="B615" s="64" t="s">
        <v>225</v>
      </c>
      <c r="C615" s="51">
        <v>127</v>
      </c>
      <c r="D615" s="51">
        <v>0</v>
      </c>
      <c r="E615" s="51">
        <v>191</v>
      </c>
      <c r="F615" s="92"/>
      <c r="G615" s="92"/>
      <c r="H615" s="92"/>
    </row>
    <row r="616" spans="1:11" s="36" customFormat="1" x14ac:dyDescent="0.35">
      <c r="A616" s="51">
        <v>3</v>
      </c>
      <c r="B616" s="64" t="s">
        <v>225</v>
      </c>
      <c r="C616" s="51">
        <v>133</v>
      </c>
      <c r="D616" s="51">
        <v>0</v>
      </c>
      <c r="E616" s="51">
        <v>200</v>
      </c>
      <c r="F616" s="92"/>
      <c r="G616" s="92"/>
      <c r="H616" s="92"/>
    </row>
    <row r="617" spans="1:11" s="36" customFormat="1" x14ac:dyDescent="0.35">
      <c r="A617" s="51">
        <v>4</v>
      </c>
      <c r="B617" s="64" t="s">
        <v>225</v>
      </c>
      <c r="C617" s="51">
        <v>111</v>
      </c>
      <c r="D617" s="51">
        <v>0</v>
      </c>
      <c r="E617" s="51">
        <v>167</v>
      </c>
      <c r="F617" s="92"/>
      <c r="G617" s="92"/>
      <c r="H617" s="92"/>
    </row>
    <row r="618" spans="1:11" s="36" customFormat="1" x14ac:dyDescent="0.35">
      <c r="A618" s="51">
        <v>5</v>
      </c>
      <c r="B618" s="64" t="s">
        <v>225</v>
      </c>
      <c r="C618" s="51">
        <v>163</v>
      </c>
      <c r="D618" s="51">
        <v>0</v>
      </c>
      <c r="E618" s="51">
        <v>244</v>
      </c>
      <c r="F618" s="92"/>
      <c r="G618" s="92"/>
      <c r="H618" s="92"/>
    </row>
    <row r="619" spans="1:11" s="36" customFormat="1" x14ac:dyDescent="0.35">
      <c r="A619" s="51">
        <v>6</v>
      </c>
      <c r="B619" s="64" t="s">
        <v>225</v>
      </c>
      <c r="C619" s="51">
        <v>160</v>
      </c>
      <c r="D619" s="51">
        <v>0</v>
      </c>
      <c r="E619" s="51">
        <v>240</v>
      </c>
      <c r="F619" s="92"/>
      <c r="G619" s="92"/>
      <c r="H619" s="92"/>
    </row>
    <row r="620" spans="1:11" s="36" customFormat="1" x14ac:dyDescent="0.35">
      <c r="A620" s="51">
        <v>7</v>
      </c>
      <c r="B620" s="64" t="s">
        <v>225</v>
      </c>
      <c r="C620" s="51">
        <v>106</v>
      </c>
      <c r="D620" s="51">
        <v>0</v>
      </c>
      <c r="E620" s="51">
        <v>159</v>
      </c>
      <c r="F620" s="92"/>
      <c r="G620" s="92"/>
      <c r="H620" s="144"/>
    </row>
    <row r="621" spans="1:11" s="36" customFormat="1" x14ac:dyDescent="0.35">
      <c r="A621" s="51">
        <v>8</v>
      </c>
      <c r="B621" s="64" t="s">
        <v>225</v>
      </c>
      <c r="C621" s="51">
        <v>139</v>
      </c>
      <c r="D621" s="51">
        <v>0</v>
      </c>
      <c r="E621" s="51">
        <v>209</v>
      </c>
      <c r="F621" s="92"/>
      <c r="G621" s="92"/>
      <c r="H621" s="144"/>
      <c r="J621" s="71"/>
      <c r="K621" s="71"/>
    </row>
    <row r="622" spans="1:11" s="36" customFormat="1" x14ac:dyDescent="0.35">
      <c r="A622" s="93" t="s">
        <v>227</v>
      </c>
      <c r="B622" s="93"/>
      <c r="C622" s="93"/>
      <c r="D622" s="93"/>
      <c r="E622" s="93"/>
      <c r="F622" s="93"/>
      <c r="G622" s="93"/>
      <c r="H622" s="145"/>
      <c r="J622" s="71"/>
      <c r="K622" s="71"/>
    </row>
    <row r="623" spans="1:11" s="36" customFormat="1" x14ac:dyDescent="0.35">
      <c r="A623" s="51">
        <v>1</v>
      </c>
      <c r="B623" s="64" t="s">
        <v>228</v>
      </c>
      <c r="C623" s="51">
        <v>385</v>
      </c>
      <c r="D623" s="51">
        <v>0</v>
      </c>
      <c r="E623" s="51">
        <v>578</v>
      </c>
      <c r="F623" s="92" t="s">
        <v>229</v>
      </c>
      <c r="G623" s="92"/>
      <c r="H623" s="144"/>
      <c r="J623" s="71"/>
      <c r="K623" s="71"/>
    </row>
    <row r="624" spans="1:11" s="36" customFormat="1" x14ac:dyDescent="0.35">
      <c r="A624" s="51">
        <v>2</v>
      </c>
      <c r="B624" s="64" t="s">
        <v>228</v>
      </c>
      <c r="C624" s="51">
        <v>363</v>
      </c>
      <c r="D624" s="51">
        <v>121</v>
      </c>
      <c r="E624" s="51">
        <v>605</v>
      </c>
      <c r="F624" s="92"/>
      <c r="G624" s="92"/>
      <c r="H624" s="144"/>
      <c r="J624" s="71"/>
      <c r="K624" s="71"/>
    </row>
    <row r="625" spans="1:11" s="36" customFormat="1" x14ac:dyDescent="0.35">
      <c r="A625" s="51">
        <v>3</v>
      </c>
      <c r="B625" s="64" t="s">
        <v>228</v>
      </c>
      <c r="C625" s="51">
        <v>345</v>
      </c>
      <c r="D625" s="51">
        <v>101</v>
      </c>
      <c r="E625" s="51">
        <v>567</v>
      </c>
      <c r="F625" s="92"/>
      <c r="G625" s="92"/>
      <c r="H625" s="144"/>
      <c r="J625" s="71"/>
      <c r="K625" s="71"/>
    </row>
    <row r="626" spans="1:11" s="36" customFormat="1" x14ac:dyDescent="0.35">
      <c r="A626" s="51">
        <v>4</v>
      </c>
      <c r="B626" s="64" t="s">
        <v>230</v>
      </c>
      <c r="C626" s="51">
        <v>648</v>
      </c>
      <c r="D626" s="51">
        <v>74</v>
      </c>
      <c r="E626" s="51">
        <v>1046</v>
      </c>
      <c r="F626" s="92"/>
      <c r="G626" s="92"/>
      <c r="H626" s="144"/>
      <c r="J626" s="71"/>
      <c r="K626" s="71"/>
    </row>
    <row r="627" spans="1:11" s="36" customFormat="1" x14ac:dyDescent="0.35">
      <c r="A627" s="93" t="s">
        <v>242</v>
      </c>
      <c r="B627" s="93"/>
      <c r="C627" s="93"/>
      <c r="D627" s="93"/>
      <c r="E627" s="93"/>
      <c r="F627" s="93"/>
      <c r="G627" s="93"/>
      <c r="H627" s="93"/>
      <c r="J627" s="71"/>
      <c r="K627" s="71"/>
    </row>
    <row r="628" spans="1:11" s="36" customFormat="1" x14ac:dyDescent="0.35">
      <c r="A628" s="51">
        <v>1</v>
      </c>
      <c r="B628" s="53" t="s">
        <v>228</v>
      </c>
      <c r="C628" s="51">
        <v>385</v>
      </c>
      <c r="D628" s="51">
        <v>0</v>
      </c>
      <c r="E628" s="51">
        <v>578</v>
      </c>
      <c r="F628" s="92" t="s">
        <v>243</v>
      </c>
      <c r="G628" s="92"/>
      <c r="H628" s="92"/>
      <c r="J628" s="71"/>
      <c r="K628" s="71"/>
    </row>
    <row r="629" spans="1:11" s="36" customFormat="1" x14ac:dyDescent="0.35">
      <c r="A629" s="51">
        <v>2</v>
      </c>
      <c r="B629" s="53" t="s">
        <v>228</v>
      </c>
      <c r="C629" s="51">
        <v>385</v>
      </c>
      <c r="D629" s="51">
        <v>0</v>
      </c>
      <c r="E629" s="51">
        <v>578</v>
      </c>
      <c r="F629" s="92"/>
      <c r="G629" s="92"/>
      <c r="H629" s="92"/>
      <c r="J629" s="71"/>
      <c r="K629" s="71"/>
    </row>
    <row r="630" spans="1:11" s="36" customFormat="1" x14ac:dyDescent="0.35">
      <c r="A630" s="51">
        <v>3</v>
      </c>
      <c r="B630" s="53" t="s">
        <v>228</v>
      </c>
      <c r="C630" s="51">
        <v>368</v>
      </c>
      <c r="D630" s="51">
        <v>0</v>
      </c>
      <c r="E630" s="51">
        <v>553</v>
      </c>
      <c r="F630" s="92"/>
      <c r="G630" s="92"/>
      <c r="H630" s="92"/>
      <c r="J630" s="71"/>
      <c r="K630" s="71"/>
    </row>
    <row r="631" spans="1:11" s="36" customFormat="1" x14ac:dyDescent="0.35">
      <c r="A631" s="51">
        <v>4</v>
      </c>
      <c r="B631" s="53" t="s">
        <v>230</v>
      </c>
      <c r="C631" s="51">
        <v>648</v>
      </c>
      <c r="D631" s="51">
        <v>0</v>
      </c>
      <c r="E631" s="51">
        <v>972</v>
      </c>
      <c r="F631" s="92"/>
      <c r="G631" s="92"/>
      <c r="H631" s="92"/>
      <c r="J631" s="71"/>
      <c r="K631" s="71"/>
    </row>
    <row r="632" spans="1:11" s="36" customFormat="1" x14ac:dyDescent="0.35">
      <c r="A632" s="51">
        <v>5</v>
      </c>
      <c r="B632" s="54" t="s">
        <v>234</v>
      </c>
      <c r="C632" s="51">
        <v>279</v>
      </c>
      <c r="D632" s="51">
        <v>0</v>
      </c>
      <c r="E632" s="51">
        <v>419</v>
      </c>
      <c r="F632" s="92"/>
      <c r="G632" s="92"/>
      <c r="H632" s="92"/>
      <c r="J632" s="71"/>
      <c r="K632" s="71"/>
    </row>
    <row r="633" spans="1:11" s="36" customFormat="1" x14ac:dyDescent="0.35">
      <c r="A633" s="51">
        <v>6</v>
      </c>
      <c r="B633" s="54" t="s">
        <v>234</v>
      </c>
      <c r="C633" s="51">
        <v>279</v>
      </c>
      <c r="D633" s="51">
        <v>0</v>
      </c>
      <c r="E633" s="51">
        <v>419</v>
      </c>
      <c r="F633" s="92"/>
      <c r="G633" s="92"/>
      <c r="H633" s="92"/>
      <c r="J633" s="71"/>
      <c r="K633" s="71"/>
    </row>
    <row r="634" spans="1:11" s="36" customFormat="1" x14ac:dyDescent="0.35">
      <c r="A634" s="93" t="s">
        <v>262</v>
      </c>
      <c r="B634" s="93"/>
      <c r="C634" s="93"/>
      <c r="D634" s="93"/>
      <c r="E634" s="93"/>
      <c r="F634" s="93"/>
      <c r="G634" s="93"/>
      <c r="H634" s="93"/>
      <c r="J634" s="71"/>
      <c r="K634" s="71"/>
    </row>
    <row r="635" spans="1:11" s="36" customFormat="1" x14ac:dyDescent="0.35">
      <c r="A635" s="93" t="s">
        <v>250</v>
      </c>
      <c r="B635" s="93"/>
      <c r="C635" s="93"/>
      <c r="D635" s="93"/>
      <c r="E635" s="93"/>
      <c r="F635" s="93"/>
      <c r="G635" s="93"/>
      <c r="H635" s="93"/>
      <c r="J635" s="71"/>
      <c r="K635" s="71"/>
    </row>
    <row r="636" spans="1:11" s="36" customFormat="1" x14ac:dyDescent="0.35">
      <c r="A636" s="51">
        <v>2</v>
      </c>
      <c r="B636" s="53" t="s">
        <v>228</v>
      </c>
      <c r="C636" s="51">
        <v>364</v>
      </c>
      <c r="D636" s="51">
        <v>0</v>
      </c>
      <c r="E636" s="51">
        <v>546</v>
      </c>
      <c r="F636" s="92" t="s">
        <v>251</v>
      </c>
      <c r="G636" s="92"/>
      <c r="H636" s="92"/>
    </row>
    <row r="637" spans="1:11" s="36" customFormat="1" x14ac:dyDescent="0.35">
      <c r="A637" s="51">
        <v>3</v>
      </c>
      <c r="B637" s="53" t="s">
        <v>228</v>
      </c>
      <c r="C637" s="51">
        <v>361</v>
      </c>
      <c r="D637" s="51">
        <v>0</v>
      </c>
      <c r="E637" s="51">
        <v>542</v>
      </c>
      <c r="F637" s="92"/>
      <c r="G637" s="92"/>
      <c r="H637" s="92"/>
    </row>
    <row r="638" spans="1:11" s="36" customFormat="1" x14ac:dyDescent="0.35">
      <c r="A638" s="51">
        <v>4</v>
      </c>
      <c r="B638" s="53" t="s">
        <v>230</v>
      </c>
      <c r="C638" s="51">
        <v>644</v>
      </c>
      <c r="D638" s="51">
        <v>0</v>
      </c>
      <c r="E638" s="51">
        <v>966</v>
      </c>
      <c r="F638" s="92"/>
      <c r="G638" s="92"/>
      <c r="H638" s="92"/>
    </row>
    <row r="639" spans="1:11" s="36" customFormat="1" x14ac:dyDescent="0.35">
      <c r="A639" s="51">
        <v>5</v>
      </c>
      <c r="B639" s="53" t="s">
        <v>228</v>
      </c>
      <c r="C639" s="51">
        <v>261</v>
      </c>
      <c r="D639" s="51">
        <v>0</v>
      </c>
      <c r="E639" s="51">
        <v>391</v>
      </c>
      <c r="F639" s="92"/>
      <c r="G639" s="92"/>
      <c r="H639" s="92"/>
    </row>
    <row r="640" spans="1:11" s="36" customFormat="1" ht="15" x14ac:dyDescent="0.35">
      <c r="A640" s="93" t="s">
        <v>227</v>
      </c>
      <c r="B640" s="93"/>
      <c r="C640" s="93"/>
      <c r="D640" s="93"/>
      <c r="E640" s="93"/>
      <c r="F640" s="93"/>
      <c r="G640" s="93"/>
      <c r="H640" s="93"/>
    </row>
    <row r="641" spans="1:10" s="36" customFormat="1" x14ac:dyDescent="0.35">
      <c r="A641" s="51">
        <v>1</v>
      </c>
      <c r="B641" s="53" t="s">
        <v>228</v>
      </c>
      <c r="C641" s="51">
        <v>395</v>
      </c>
      <c r="D641" s="51">
        <v>0</v>
      </c>
      <c r="E641" s="51">
        <v>592</v>
      </c>
      <c r="F641" s="92" t="s">
        <v>229</v>
      </c>
      <c r="G641" s="92"/>
      <c r="H641" s="92"/>
    </row>
    <row r="642" spans="1:10" s="36" customFormat="1" x14ac:dyDescent="0.35">
      <c r="A642" s="51">
        <v>2</v>
      </c>
      <c r="B642" s="53" t="s">
        <v>228</v>
      </c>
      <c r="C642" s="51">
        <v>395</v>
      </c>
      <c r="D642" s="51">
        <v>0</v>
      </c>
      <c r="E642" s="51">
        <v>592</v>
      </c>
      <c r="F642" s="92"/>
      <c r="G642" s="92"/>
      <c r="H642" s="92"/>
    </row>
    <row r="643" spans="1:10" s="36" customFormat="1" x14ac:dyDescent="0.35">
      <c r="A643" s="51">
        <v>3</v>
      </c>
      <c r="B643" s="53" t="s">
        <v>228</v>
      </c>
      <c r="C643" s="51">
        <v>385</v>
      </c>
      <c r="D643" s="51">
        <v>0</v>
      </c>
      <c r="E643" s="51">
        <v>577</v>
      </c>
      <c r="F643" s="92"/>
      <c r="G643" s="92"/>
      <c r="H643" s="92"/>
    </row>
    <row r="644" spans="1:10" s="36" customFormat="1" x14ac:dyDescent="0.35">
      <c r="A644" s="51">
        <v>4</v>
      </c>
      <c r="B644" s="53" t="s">
        <v>230</v>
      </c>
      <c r="C644" s="51">
        <v>668</v>
      </c>
      <c r="D644" s="51">
        <v>285</v>
      </c>
      <c r="E644" s="51">
        <v>1096</v>
      </c>
      <c r="F644" s="92"/>
      <c r="G644" s="92"/>
      <c r="H644" s="92"/>
    </row>
    <row r="645" spans="1:10" s="36" customFormat="1" x14ac:dyDescent="0.35">
      <c r="A645" s="51">
        <v>5</v>
      </c>
      <c r="B645" s="54" t="s">
        <v>234</v>
      </c>
      <c r="C645" s="51">
        <v>283</v>
      </c>
      <c r="D645" s="51">
        <v>131</v>
      </c>
      <c r="E645" s="51">
        <v>490</v>
      </c>
      <c r="F645" s="92"/>
      <c r="G645" s="92"/>
      <c r="H645" s="92"/>
    </row>
    <row r="646" spans="1:10" s="36" customFormat="1" x14ac:dyDescent="0.35">
      <c r="A646" s="51">
        <v>6</v>
      </c>
      <c r="B646" s="54" t="s">
        <v>234</v>
      </c>
      <c r="C646" s="51">
        <v>283</v>
      </c>
      <c r="D646" s="51">
        <v>0</v>
      </c>
      <c r="E646" s="51">
        <v>425</v>
      </c>
      <c r="F646" s="92"/>
      <c r="G646" s="92"/>
      <c r="H646" s="92"/>
    </row>
    <row r="647" spans="1:10" s="36" customFormat="1" ht="15" x14ac:dyDescent="0.35">
      <c r="A647" s="93" t="s">
        <v>242</v>
      </c>
      <c r="B647" s="93"/>
      <c r="C647" s="93"/>
      <c r="D647" s="93"/>
      <c r="E647" s="93"/>
      <c r="F647" s="93"/>
      <c r="G647" s="93"/>
      <c r="H647" s="93"/>
    </row>
    <row r="648" spans="1:10" s="36" customFormat="1" x14ac:dyDescent="0.35">
      <c r="A648" s="51">
        <v>1</v>
      </c>
      <c r="B648" s="53" t="s">
        <v>228</v>
      </c>
      <c r="C648" s="51">
        <v>395</v>
      </c>
      <c r="D648" s="51">
        <v>0</v>
      </c>
      <c r="E648" s="51">
        <v>592</v>
      </c>
      <c r="F648" s="92" t="s">
        <v>243</v>
      </c>
      <c r="G648" s="92"/>
      <c r="H648" s="92"/>
    </row>
    <row r="649" spans="1:10" s="36" customFormat="1" x14ac:dyDescent="0.35">
      <c r="A649" s="51">
        <v>2</v>
      </c>
      <c r="B649" s="53" t="s">
        <v>228</v>
      </c>
      <c r="C649" s="51">
        <v>395</v>
      </c>
      <c r="D649" s="51">
        <v>0</v>
      </c>
      <c r="E649" s="51">
        <v>592</v>
      </c>
      <c r="F649" s="92"/>
      <c r="G649" s="92"/>
      <c r="H649" s="92"/>
    </row>
    <row r="650" spans="1:10" s="36" customFormat="1" x14ac:dyDescent="0.35">
      <c r="A650" s="51">
        <v>3</v>
      </c>
      <c r="B650" s="53" t="s">
        <v>228</v>
      </c>
      <c r="C650" s="51">
        <v>385</v>
      </c>
      <c r="D650" s="51">
        <v>0</v>
      </c>
      <c r="E650" s="51">
        <v>577</v>
      </c>
      <c r="F650" s="92"/>
      <c r="G650" s="92"/>
      <c r="H650" s="92"/>
    </row>
    <row r="651" spans="1:10" s="36" customFormat="1" x14ac:dyDescent="0.35">
      <c r="A651" s="51">
        <v>4</v>
      </c>
      <c r="B651" s="53" t="s">
        <v>230</v>
      </c>
      <c r="C651" s="51">
        <v>668</v>
      </c>
      <c r="D651" s="51">
        <v>0</v>
      </c>
      <c r="E651" s="51">
        <v>1001</v>
      </c>
      <c r="F651" s="92"/>
      <c r="G651" s="92"/>
      <c r="H651" s="92"/>
    </row>
    <row r="652" spans="1:10" s="36" customFormat="1" x14ac:dyDescent="0.35">
      <c r="A652" s="51">
        <v>5</v>
      </c>
      <c r="B652" s="54" t="s">
        <v>234</v>
      </c>
      <c r="C652" s="51">
        <v>283</v>
      </c>
      <c r="D652" s="51">
        <v>0</v>
      </c>
      <c r="E652" s="51">
        <v>425</v>
      </c>
      <c r="F652" s="92"/>
      <c r="G652" s="92"/>
      <c r="H652" s="92"/>
    </row>
    <row r="653" spans="1:10" s="36" customFormat="1" x14ac:dyDescent="0.35">
      <c r="A653" s="51">
        <v>6</v>
      </c>
      <c r="B653" s="54" t="s">
        <v>234</v>
      </c>
      <c r="C653" s="51">
        <v>283</v>
      </c>
      <c r="D653" s="51">
        <v>0</v>
      </c>
      <c r="E653" s="51">
        <v>425</v>
      </c>
      <c r="F653" s="92"/>
      <c r="G653" s="92"/>
      <c r="H653" s="92"/>
    </row>
    <row r="654" spans="1:10" s="36" customFormat="1" ht="15" x14ac:dyDescent="0.35">
      <c r="A654" s="93" t="s">
        <v>263</v>
      </c>
      <c r="B654" s="93"/>
      <c r="C654" s="93"/>
      <c r="D654" s="93"/>
      <c r="E654" s="93"/>
      <c r="F654" s="93"/>
      <c r="G654" s="93"/>
      <c r="H654" s="93"/>
    </row>
    <row r="655" spans="1:10" s="36" customFormat="1" ht="15" x14ac:dyDescent="0.35">
      <c r="A655" s="93" t="s">
        <v>224</v>
      </c>
      <c r="B655" s="93"/>
      <c r="C655" s="93"/>
      <c r="D655" s="93"/>
      <c r="E655" s="93"/>
      <c r="F655" s="93"/>
      <c r="G655" s="93"/>
      <c r="H655" s="93"/>
    </row>
    <row r="656" spans="1:10" s="36" customFormat="1" x14ac:dyDescent="0.35">
      <c r="A656" s="51">
        <v>22</v>
      </c>
      <c r="B656" s="54" t="s">
        <v>225</v>
      </c>
      <c r="C656" s="51">
        <v>154</v>
      </c>
      <c r="D656" s="51">
        <v>0</v>
      </c>
      <c r="E656" s="51">
        <v>231</v>
      </c>
      <c r="F656" s="92" t="s">
        <v>226</v>
      </c>
      <c r="G656" s="92"/>
      <c r="H656" s="92"/>
      <c r="J656" s="36">
        <f>E656/C656</f>
        <v>1.5</v>
      </c>
    </row>
    <row r="657" spans="1:10" s="36" customFormat="1" x14ac:dyDescent="0.35">
      <c r="A657" s="51">
        <v>23</v>
      </c>
      <c r="B657" s="54" t="s">
        <v>225</v>
      </c>
      <c r="C657" s="51">
        <v>179</v>
      </c>
      <c r="D657" s="51">
        <v>0</v>
      </c>
      <c r="E657" s="51">
        <v>269</v>
      </c>
      <c r="F657" s="92"/>
      <c r="G657" s="92"/>
      <c r="H657" s="92"/>
      <c r="J657" s="36">
        <f t="shared" ref="J657:J661" si="12">E657/C657</f>
        <v>1.5027932960893855</v>
      </c>
    </row>
    <row r="658" spans="1:10" s="36" customFormat="1" x14ac:dyDescent="0.35">
      <c r="A658" s="51">
        <v>24</v>
      </c>
      <c r="B658" s="54" t="s">
        <v>225</v>
      </c>
      <c r="C658" s="51">
        <v>137</v>
      </c>
      <c r="D658" s="51">
        <v>0</v>
      </c>
      <c r="E658" s="51">
        <v>205</v>
      </c>
      <c r="F658" s="92"/>
      <c r="G658" s="92"/>
      <c r="H658" s="92"/>
      <c r="J658" s="36">
        <f t="shared" si="12"/>
        <v>1.4963503649635037</v>
      </c>
    </row>
    <row r="659" spans="1:10" s="36" customFormat="1" x14ac:dyDescent="0.35">
      <c r="A659" s="51">
        <v>25</v>
      </c>
      <c r="B659" s="54" t="s">
        <v>225</v>
      </c>
      <c r="C659" s="51">
        <v>184</v>
      </c>
      <c r="D659" s="51">
        <v>0</v>
      </c>
      <c r="E659" s="51">
        <v>276</v>
      </c>
      <c r="F659" s="92"/>
      <c r="G659" s="92"/>
      <c r="H659" s="92"/>
      <c r="J659" s="36">
        <f t="shared" si="12"/>
        <v>1.5</v>
      </c>
    </row>
    <row r="660" spans="1:10" s="36" customFormat="1" x14ac:dyDescent="0.35">
      <c r="A660" s="51">
        <v>26</v>
      </c>
      <c r="B660" s="54" t="s">
        <v>225</v>
      </c>
      <c r="C660" s="51">
        <v>175</v>
      </c>
      <c r="D660" s="51">
        <v>0</v>
      </c>
      <c r="E660" s="51">
        <v>262</v>
      </c>
      <c r="F660" s="92"/>
      <c r="G660" s="92"/>
      <c r="H660" s="92"/>
      <c r="J660" s="36">
        <f t="shared" si="12"/>
        <v>1.4971428571428571</v>
      </c>
    </row>
    <row r="661" spans="1:10" s="36" customFormat="1" x14ac:dyDescent="0.35">
      <c r="A661" s="51">
        <v>27</v>
      </c>
      <c r="B661" s="54" t="s">
        <v>225</v>
      </c>
      <c r="C661" s="51">
        <v>254</v>
      </c>
      <c r="D661" s="51">
        <v>0</v>
      </c>
      <c r="E661" s="51">
        <v>381</v>
      </c>
      <c r="F661" s="92"/>
      <c r="G661" s="92"/>
      <c r="H661" s="92"/>
      <c r="J661" s="36">
        <f t="shared" si="12"/>
        <v>1.5</v>
      </c>
    </row>
    <row r="662" spans="1:10" s="36" customFormat="1" ht="15" x14ac:dyDescent="0.35">
      <c r="A662" s="93" t="s">
        <v>227</v>
      </c>
      <c r="B662" s="93"/>
      <c r="C662" s="93"/>
      <c r="D662" s="93"/>
      <c r="E662" s="93"/>
      <c r="F662" s="93"/>
      <c r="G662" s="93"/>
      <c r="H662" s="93"/>
    </row>
    <row r="663" spans="1:10" s="36" customFormat="1" x14ac:dyDescent="0.35">
      <c r="A663" s="51">
        <v>1</v>
      </c>
      <c r="B663" s="52" t="s">
        <v>228</v>
      </c>
      <c r="C663" s="51">
        <v>376</v>
      </c>
      <c r="D663" s="51">
        <v>0</v>
      </c>
      <c r="E663" s="51">
        <v>564</v>
      </c>
      <c r="F663" s="92" t="s">
        <v>229</v>
      </c>
      <c r="G663" s="92"/>
      <c r="H663" s="92"/>
    </row>
    <row r="664" spans="1:10" s="36" customFormat="1" x14ac:dyDescent="0.35">
      <c r="A664" s="51">
        <v>2</v>
      </c>
      <c r="B664" s="52" t="s">
        <v>228</v>
      </c>
      <c r="C664" s="51">
        <v>376</v>
      </c>
      <c r="D664" s="51">
        <v>0</v>
      </c>
      <c r="E664" s="51">
        <v>564</v>
      </c>
      <c r="F664" s="92"/>
      <c r="G664" s="92"/>
      <c r="H664" s="92"/>
    </row>
    <row r="665" spans="1:10" s="36" customFormat="1" x14ac:dyDescent="0.35">
      <c r="A665" s="51">
        <v>3</v>
      </c>
      <c r="B665" s="52" t="s">
        <v>228</v>
      </c>
      <c r="C665" s="51">
        <v>384</v>
      </c>
      <c r="D665" s="51">
        <v>0</v>
      </c>
      <c r="E665" s="51">
        <v>576</v>
      </c>
      <c r="F665" s="92"/>
      <c r="G665" s="92"/>
      <c r="H665" s="92"/>
    </row>
    <row r="666" spans="1:10" s="36" customFormat="1" x14ac:dyDescent="0.35">
      <c r="A666" s="51">
        <v>4</v>
      </c>
      <c r="B666" s="52" t="s">
        <v>230</v>
      </c>
      <c r="C666" s="51">
        <v>642</v>
      </c>
      <c r="D666" s="51">
        <v>285</v>
      </c>
      <c r="E666" s="51">
        <v>1059</v>
      </c>
      <c r="F666" s="92"/>
      <c r="G666" s="92"/>
      <c r="H666" s="92"/>
    </row>
    <row r="667" spans="1:10" s="36" customFormat="1" x14ac:dyDescent="0.35">
      <c r="A667" s="51">
        <v>5</v>
      </c>
      <c r="B667" s="52" t="s">
        <v>234</v>
      </c>
      <c r="C667" s="51">
        <v>261</v>
      </c>
      <c r="D667" s="51">
        <v>131</v>
      </c>
      <c r="E667" s="51">
        <v>457</v>
      </c>
      <c r="F667" s="92"/>
      <c r="G667" s="92"/>
      <c r="H667" s="92"/>
    </row>
    <row r="668" spans="1:10" s="36" customFormat="1" x14ac:dyDescent="0.35">
      <c r="A668" s="51">
        <v>6</v>
      </c>
      <c r="B668" s="52" t="s">
        <v>234</v>
      </c>
      <c r="C668" s="51">
        <v>283</v>
      </c>
      <c r="D668" s="51">
        <v>0</v>
      </c>
      <c r="E668" s="51">
        <v>425</v>
      </c>
      <c r="F668" s="92"/>
      <c r="G668" s="92"/>
      <c r="H668" s="92"/>
    </row>
    <row r="669" spans="1:10" s="36" customFormat="1" ht="15" x14ac:dyDescent="0.35">
      <c r="A669" s="93" t="s">
        <v>242</v>
      </c>
      <c r="B669" s="93"/>
      <c r="C669" s="93"/>
      <c r="D669" s="93"/>
      <c r="E669" s="93"/>
      <c r="F669" s="93"/>
      <c r="G669" s="93"/>
      <c r="H669" s="93"/>
    </row>
    <row r="670" spans="1:10" s="36" customFormat="1" x14ac:dyDescent="0.35">
      <c r="A670" s="51">
        <v>1</v>
      </c>
      <c r="B670" s="52" t="s">
        <v>228</v>
      </c>
      <c r="C670" s="51">
        <v>376</v>
      </c>
      <c r="D670" s="51">
        <v>0</v>
      </c>
      <c r="E670" s="51">
        <v>564</v>
      </c>
      <c r="F670" s="92" t="s">
        <v>243</v>
      </c>
      <c r="G670" s="92"/>
      <c r="H670" s="92"/>
      <c r="J670" s="36">
        <f>E670/C670</f>
        <v>1.5</v>
      </c>
    </row>
    <row r="671" spans="1:10" s="36" customFormat="1" x14ac:dyDescent="0.35">
      <c r="A671" s="51">
        <v>2</v>
      </c>
      <c r="B671" s="52" t="s">
        <v>228</v>
      </c>
      <c r="C671" s="51">
        <v>376</v>
      </c>
      <c r="D671" s="51">
        <v>0</v>
      </c>
      <c r="E671" s="51">
        <v>564</v>
      </c>
      <c r="F671" s="92"/>
      <c r="G671" s="92"/>
      <c r="H671" s="92"/>
      <c r="J671" s="36">
        <f t="shared" ref="J671:J676" si="13">E671/C671</f>
        <v>1.5</v>
      </c>
    </row>
    <row r="672" spans="1:10" s="36" customFormat="1" x14ac:dyDescent="0.35">
      <c r="A672" s="51">
        <v>3</v>
      </c>
      <c r="B672" s="52" t="s">
        <v>228</v>
      </c>
      <c r="C672" s="51">
        <v>384</v>
      </c>
      <c r="D672" s="51">
        <v>0</v>
      </c>
      <c r="E672" s="51">
        <v>576</v>
      </c>
      <c r="F672" s="92"/>
      <c r="G672" s="92"/>
      <c r="H672" s="92"/>
      <c r="J672" s="36">
        <f t="shared" si="13"/>
        <v>1.5</v>
      </c>
    </row>
    <row r="673" spans="1:10" s="36" customFormat="1" x14ac:dyDescent="0.35">
      <c r="A673" s="51">
        <v>4</v>
      </c>
      <c r="B673" s="52" t="s">
        <v>230</v>
      </c>
      <c r="C673" s="51">
        <v>665</v>
      </c>
      <c r="D673" s="51">
        <v>0</v>
      </c>
      <c r="E673" s="51">
        <v>997</v>
      </c>
      <c r="F673" s="92"/>
      <c r="G673" s="92"/>
      <c r="H673" s="92"/>
      <c r="J673" s="36">
        <f t="shared" si="13"/>
        <v>1.4992481203007519</v>
      </c>
    </row>
    <row r="674" spans="1:10" s="36" customFormat="1" x14ac:dyDescent="0.35">
      <c r="A674" s="51">
        <v>5</v>
      </c>
      <c r="B674" s="52" t="s">
        <v>234</v>
      </c>
      <c r="C674" s="51">
        <v>283</v>
      </c>
      <c r="D674" s="51">
        <v>0</v>
      </c>
      <c r="E674" s="51">
        <v>425</v>
      </c>
      <c r="F674" s="92"/>
      <c r="G674" s="92"/>
      <c r="H674" s="92"/>
      <c r="J674" s="36">
        <f t="shared" si="13"/>
        <v>1.5017667844522968</v>
      </c>
    </row>
    <row r="675" spans="1:10" s="36" customFormat="1" x14ac:dyDescent="0.35">
      <c r="A675" s="51">
        <v>6</v>
      </c>
      <c r="B675" s="52" t="s">
        <v>234</v>
      </c>
      <c r="C675" s="51">
        <v>283</v>
      </c>
      <c r="D675" s="51">
        <v>0</v>
      </c>
      <c r="E675" s="51">
        <v>425</v>
      </c>
      <c r="F675" s="92"/>
      <c r="G675" s="92"/>
      <c r="H675" s="92"/>
      <c r="J675" s="36">
        <f t="shared" si="13"/>
        <v>1.5017667844522968</v>
      </c>
    </row>
    <row r="676" spans="1:10" s="36" customFormat="1" ht="15" x14ac:dyDescent="0.35">
      <c r="A676" s="93" t="s">
        <v>326</v>
      </c>
      <c r="B676" s="93"/>
      <c r="C676" s="93"/>
      <c r="D676" s="93"/>
      <c r="E676" s="93"/>
      <c r="F676" s="93"/>
      <c r="G676" s="93"/>
      <c r="H676" s="93"/>
      <c r="J676" s="36" t="e">
        <f t="shared" si="13"/>
        <v>#DIV/0!</v>
      </c>
    </row>
    <row r="677" spans="1:10" s="36" customFormat="1" ht="15" x14ac:dyDescent="0.35">
      <c r="A677" s="93" t="s">
        <v>327</v>
      </c>
      <c r="B677" s="93"/>
      <c r="C677" s="93"/>
      <c r="D677" s="93"/>
      <c r="E677" s="93"/>
      <c r="F677" s="93"/>
      <c r="G677" s="93"/>
      <c r="H677" s="93"/>
    </row>
    <row r="678" spans="1:10" s="36" customFormat="1" ht="15" x14ac:dyDescent="0.35">
      <c r="A678" s="93" t="s">
        <v>331</v>
      </c>
      <c r="B678" s="93"/>
      <c r="C678" s="93"/>
      <c r="D678" s="93"/>
      <c r="E678" s="93"/>
      <c r="F678" s="93"/>
      <c r="G678" s="93"/>
      <c r="H678" s="93"/>
      <c r="J678" s="74">
        <f>10.764</f>
        <v>10.763999999999999</v>
      </c>
    </row>
    <row r="679" spans="1:10" s="36" customFormat="1" x14ac:dyDescent="0.35">
      <c r="A679" s="51">
        <v>1</v>
      </c>
      <c r="B679" s="90" t="s">
        <v>225</v>
      </c>
      <c r="C679" s="51">
        <f>(2.85*4.15)*(10.764)</f>
        <v>127.31121</v>
      </c>
      <c r="D679" s="51">
        <f>(2.8*1.2)*(10.764)</f>
        <v>36.167039999999993</v>
      </c>
      <c r="E679" s="51">
        <f>C679*1.5+D679</f>
        <v>227.13385499999998</v>
      </c>
      <c r="F679" s="92" t="str">
        <f>A678</f>
        <v>Ground/Stilt Floor for Commercial &amp; Parking</v>
      </c>
      <c r="G679" s="92"/>
      <c r="H679" s="92"/>
      <c r="I679" s="36" t="s">
        <v>330</v>
      </c>
    </row>
    <row r="680" spans="1:10" s="36" customFormat="1" x14ac:dyDescent="0.35">
      <c r="A680" s="51">
        <f>A679+1</f>
        <v>2</v>
      </c>
      <c r="B680" s="90" t="s">
        <v>225</v>
      </c>
      <c r="C680" s="51">
        <f>(2.85*4.15)*(10.764)</f>
        <v>127.31121</v>
      </c>
      <c r="D680" s="51">
        <f>(2.85*1.2)*(10.764)</f>
        <v>36.81288</v>
      </c>
      <c r="E680" s="51">
        <f t="shared" ref="E680:E686" si="14">C680*1.5+D680</f>
        <v>227.779695</v>
      </c>
      <c r="F680" s="92"/>
      <c r="G680" s="92"/>
      <c r="H680" s="92"/>
    </row>
    <row r="681" spans="1:10" s="36" customFormat="1" x14ac:dyDescent="0.35">
      <c r="A681" s="51">
        <f>A680+1</f>
        <v>3</v>
      </c>
      <c r="B681" s="90" t="s">
        <v>225</v>
      </c>
      <c r="C681" s="51">
        <f>(2.75*4.5)*(10.764)</f>
        <v>133.2045</v>
      </c>
      <c r="D681" s="51">
        <f>(2.75*1.2)*(10.764)</f>
        <v>35.521199999999993</v>
      </c>
      <c r="E681" s="51">
        <f t="shared" si="14"/>
        <v>235.32794999999999</v>
      </c>
      <c r="F681" s="92"/>
      <c r="G681" s="92"/>
      <c r="H681" s="92"/>
    </row>
    <row r="682" spans="1:10" s="36" customFormat="1" x14ac:dyDescent="0.35">
      <c r="A682" s="51">
        <f t="shared" ref="A682" si="15">A681+1</f>
        <v>4</v>
      </c>
      <c r="B682" s="90" t="s">
        <v>225</v>
      </c>
      <c r="C682" s="51">
        <f>(2.1*5.1)*(10.764)</f>
        <v>115.28243999999998</v>
      </c>
      <c r="D682" s="51">
        <f>(2.1*1.2)*(10.764)</f>
        <v>27.12528</v>
      </c>
      <c r="E682" s="51">
        <f t="shared" si="14"/>
        <v>200.04893999999999</v>
      </c>
      <c r="F682" s="92"/>
      <c r="G682" s="92"/>
      <c r="H682" s="92"/>
    </row>
    <row r="683" spans="1:10" s="36" customFormat="1" x14ac:dyDescent="0.35">
      <c r="A683" s="51">
        <f>A682+1</f>
        <v>5</v>
      </c>
      <c r="B683" s="90" t="s">
        <v>225</v>
      </c>
      <c r="C683" s="51">
        <f>(2.9*5.1)*(10.764)</f>
        <v>159.19955999999999</v>
      </c>
      <c r="D683" s="51">
        <f>(2.9*1.2)*(10.764)</f>
        <v>37.45872</v>
      </c>
      <c r="E683" s="51">
        <f t="shared" si="14"/>
        <v>276.25806</v>
      </c>
      <c r="F683" s="92"/>
      <c r="G683" s="92"/>
      <c r="H683" s="92"/>
    </row>
    <row r="684" spans="1:10" s="36" customFormat="1" x14ac:dyDescent="0.35">
      <c r="A684" s="51">
        <f t="shared" ref="A684" si="16">A683+1</f>
        <v>6</v>
      </c>
      <c r="B684" s="90" t="s">
        <v>225</v>
      </c>
      <c r="C684" s="51">
        <f>(2.75*5.4)*(10.764)</f>
        <v>159.84540000000001</v>
      </c>
      <c r="D684" s="51">
        <f>(2.75*1.2)*(10.764)</f>
        <v>35.521199999999993</v>
      </c>
      <c r="E684" s="51">
        <f t="shared" si="14"/>
        <v>275.28930000000003</v>
      </c>
      <c r="F684" s="92"/>
      <c r="G684" s="92"/>
      <c r="H684" s="92"/>
    </row>
    <row r="685" spans="1:10" s="36" customFormat="1" x14ac:dyDescent="0.35">
      <c r="A685" s="51">
        <f>A684+1</f>
        <v>7</v>
      </c>
      <c r="B685" s="90" t="s">
        <v>225</v>
      </c>
      <c r="C685" s="51">
        <f>(2.1*4.7)*(10.764)</f>
        <v>106.24068</v>
      </c>
      <c r="D685" s="51">
        <f>(2.1*1.2)*(10.764)</f>
        <v>27.12528</v>
      </c>
      <c r="E685" s="51">
        <f t="shared" si="14"/>
        <v>186.4863</v>
      </c>
      <c r="F685" s="92"/>
      <c r="G685" s="92"/>
      <c r="H685" s="92"/>
    </row>
    <row r="686" spans="1:10" s="36" customFormat="1" x14ac:dyDescent="0.35">
      <c r="A686" s="51">
        <f>A685+1</f>
        <v>8</v>
      </c>
      <c r="B686" s="90" t="s">
        <v>225</v>
      </c>
      <c r="C686" s="51">
        <f>(2.75*4.7)*(10.764)</f>
        <v>139.12469999999999</v>
      </c>
      <c r="D686" s="51">
        <f>(2.75*1.2)*(10.764)</f>
        <v>35.521199999999993</v>
      </c>
      <c r="E686" s="51">
        <f t="shared" si="14"/>
        <v>244.20824999999999</v>
      </c>
      <c r="F686" s="92"/>
      <c r="G686" s="92"/>
      <c r="H686" s="92"/>
    </row>
    <row r="687" spans="1:10" s="36" customFormat="1" ht="15" x14ac:dyDescent="0.35">
      <c r="A687" s="93" t="s">
        <v>328</v>
      </c>
      <c r="B687" s="93"/>
      <c r="C687" s="93"/>
      <c r="D687" s="93"/>
      <c r="E687" s="93"/>
      <c r="F687" s="93"/>
      <c r="G687" s="93"/>
      <c r="H687" s="93"/>
    </row>
    <row r="688" spans="1:10" s="36" customFormat="1" x14ac:dyDescent="0.35">
      <c r="A688" s="51">
        <v>1</v>
      </c>
      <c r="B688" s="53" t="s">
        <v>228</v>
      </c>
      <c r="C688" s="51">
        <f>(2.75*4.4+2.1*3.3+2.75*3.3+1.1*0.6+2*(1.8*1.1)+0.75*2.75)*(10.764)</f>
        <v>374.45265000000001</v>
      </c>
      <c r="D688" s="51">
        <v>0</v>
      </c>
      <c r="E688" s="51">
        <f>C688*1.5+D688</f>
        <v>561.67897500000004</v>
      </c>
      <c r="F688" s="92" t="s">
        <v>229</v>
      </c>
      <c r="G688" s="92"/>
      <c r="H688" s="92"/>
    </row>
    <row r="689" spans="1:9" s="36" customFormat="1" x14ac:dyDescent="0.35">
      <c r="A689" s="51">
        <v>2</v>
      </c>
      <c r="B689" s="53" t="s">
        <v>228</v>
      </c>
      <c r="C689" s="51">
        <f>(2.75*4.4+2.1*3.3+2.75*3.3+1.1*0.75+2*(1.8*1.1))*(10.764)</f>
        <v>354.02796000000001</v>
      </c>
      <c r="D689" s="51">
        <f>(7.9*1.2+2.75*0.9)*(10.764)</f>
        <v>128.68361999999999</v>
      </c>
      <c r="E689" s="51">
        <f>C689*1.5+D689/2</f>
        <v>595.38375000000008</v>
      </c>
      <c r="F689" s="92"/>
      <c r="G689" s="92"/>
      <c r="H689" s="92"/>
    </row>
    <row r="690" spans="1:9" s="36" customFormat="1" x14ac:dyDescent="0.35">
      <c r="A690" s="51">
        <v>3</v>
      </c>
      <c r="B690" s="53" t="s">
        <v>228</v>
      </c>
      <c r="C690" s="51">
        <f>(2.9*4.05+1.75*0.9+2.1*3.2+2.75*3.2+1.35*0.6+1.8*1.05+1.2*1.65)*(10.764)</f>
        <v>360.80927999999994</v>
      </c>
      <c r="D690" s="51">
        <f>(8*1.2)*(10.764)</f>
        <v>103.33439999999999</v>
      </c>
      <c r="E690" s="51">
        <f t="shared" ref="E690:E700" si="17">C690*1.5+D690</f>
        <v>644.54831999999988</v>
      </c>
      <c r="F690" s="92"/>
      <c r="G690" s="92"/>
      <c r="H690" s="92"/>
    </row>
    <row r="691" spans="1:9" s="36" customFormat="1" x14ac:dyDescent="0.35">
      <c r="A691" s="51">
        <v>4</v>
      </c>
      <c r="B691" s="53" t="s">
        <v>230</v>
      </c>
      <c r="C691" s="51">
        <f>(5.75*2.9+1.95*0.2+2.9*2.15+2.8*2.75+2.8*4+2.85*2.95+1.05*1.1+2*(1.85*1.2)+4.2*0.9+2.9*0.75)*(10.764)</f>
        <v>669.06332999999995</v>
      </c>
      <c r="D691" s="51">
        <f>(5.7*1.2)*(10.764)</f>
        <v>73.62576</v>
      </c>
      <c r="E691" s="51">
        <f t="shared" si="17"/>
        <v>1077.2207549999998</v>
      </c>
      <c r="F691" s="92"/>
      <c r="G691" s="92"/>
      <c r="H691" s="92"/>
    </row>
    <row r="692" spans="1:9" s="36" customFormat="1" x14ac:dyDescent="0.35">
      <c r="A692" s="51">
        <v>5</v>
      </c>
      <c r="B692" s="54" t="s">
        <v>234</v>
      </c>
      <c r="C692" s="51">
        <f>(4.4*2.75+3.35*2.55+1.8*1.2+1.2*1.2+2.75*0.75)*(10.764)</f>
        <v>283.14702</v>
      </c>
      <c r="D692" s="51">
        <v>0</v>
      </c>
      <c r="E692" s="51">
        <f t="shared" si="17"/>
        <v>424.72053</v>
      </c>
      <c r="F692" s="92"/>
      <c r="G692" s="92"/>
      <c r="H692" s="92"/>
    </row>
    <row r="693" spans="1:9" s="36" customFormat="1" x14ac:dyDescent="0.35">
      <c r="A693" s="51">
        <v>6</v>
      </c>
      <c r="B693" s="54" t="s">
        <v>234</v>
      </c>
      <c r="C693" s="51">
        <f>(4.4*2.75+3.35*2.55+1.8*1.2+1.2*1.2+2.75*0.75)*(10.764)</f>
        <v>283.14702</v>
      </c>
      <c r="D693" s="51">
        <v>0</v>
      </c>
      <c r="E693" s="51">
        <f t="shared" si="17"/>
        <v>424.72053</v>
      </c>
      <c r="F693" s="92"/>
      <c r="G693" s="92"/>
      <c r="H693" s="92"/>
    </row>
    <row r="694" spans="1:9" s="36" customFormat="1" ht="15" x14ac:dyDescent="0.35">
      <c r="A694" s="93" t="s">
        <v>329</v>
      </c>
      <c r="B694" s="93"/>
      <c r="C694" s="93"/>
      <c r="D694" s="93"/>
      <c r="E694" s="93"/>
      <c r="F694" s="93"/>
      <c r="G694" s="93"/>
      <c r="H694" s="93"/>
    </row>
    <row r="695" spans="1:9" s="36" customFormat="1" x14ac:dyDescent="0.35">
      <c r="A695" s="51">
        <v>1</v>
      </c>
      <c r="B695" s="53" t="s">
        <v>228</v>
      </c>
      <c r="C695" s="51">
        <f>(2.75*4.4+2.1*3.3+2.75*3.3+1.1*0.6+2*(1.8*1.1)+2.75*0.75)*(10.764)</f>
        <v>374.45265000000001</v>
      </c>
      <c r="D695" s="51">
        <v>0</v>
      </c>
      <c r="E695" s="51">
        <f t="shared" si="17"/>
        <v>561.67897500000004</v>
      </c>
      <c r="F695" s="92" t="str">
        <f>A694</f>
        <v>2nd to 7th Floor</v>
      </c>
      <c r="G695" s="92"/>
      <c r="H695" s="92"/>
    </row>
    <row r="696" spans="1:9" s="36" customFormat="1" x14ac:dyDescent="0.35">
      <c r="A696" s="51">
        <v>2</v>
      </c>
      <c r="B696" s="53" t="s">
        <v>228</v>
      </c>
      <c r="C696" s="51">
        <f>(2.75*4.4+2.1*3.3+2.75*3.3+1.1*0.75+2*(1.8*1.1)+2.75*0.75)*(10.764)</f>
        <v>376.22870999999998</v>
      </c>
      <c r="D696" s="51">
        <v>0</v>
      </c>
      <c r="E696" s="51">
        <f t="shared" si="17"/>
        <v>564.34306500000002</v>
      </c>
      <c r="F696" s="92"/>
      <c r="G696" s="92"/>
      <c r="H696" s="92"/>
    </row>
    <row r="697" spans="1:9" s="36" customFormat="1" x14ac:dyDescent="0.35">
      <c r="A697" s="51">
        <v>3</v>
      </c>
      <c r="B697" s="53" t="s">
        <v>228</v>
      </c>
      <c r="C697" s="51">
        <f>(2.9*4.05+1.75*0.9+2.1*3.2+2.75*3.2+1.35*0.6+1.8*1.05+1.2*1.65+2.9*0.75)*(10.764)</f>
        <v>384.22097999999988</v>
      </c>
      <c r="D697" s="51">
        <v>0</v>
      </c>
      <c r="E697" s="51">
        <f t="shared" si="17"/>
        <v>576.33146999999985</v>
      </c>
      <c r="F697" s="92"/>
      <c r="G697" s="92"/>
      <c r="H697" s="92"/>
    </row>
    <row r="698" spans="1:9" s="36" customFormat="1" x14ac:dyDescent="0.35">
      <c r="A698" s="51">
        <v>4</v>
      </c>
      <c r="B698" s="53" t="s">
        <v>230</v>
      </c>
      <c r="C698" s="51">
        <f>(5.75*2.9+1.95*0.2+2.9*2.15+2.8*2.75+2.8*4+2.85*2.95+1.05*1.1+2*(1.85*1.2)+4.2*0.9+2.9*0.75)*(10.764)</f>
        <v>669.06332999999995</v>
      </c>
      <c r="D698" s="51">
        <v>0</v>
      </c>
      <c r="E698" s="51">
        <f t="shared" si="17"/>
        <v>1003.5949949999999</v>
      </c>
      <c r="F698" s="92"/>
      <c r="G698" s="92"/>
      <c r="H698" s="92"/>
    </row>
    <row r="699" spans="1:9" s="36" customFormat="1" x14ac:dyDescent="0.35">
      <c r="A699" s="51">
        <v>5</v>
      </c>
      <c r="B699" s="54" t="s">
        <v>234</v>
      </c>
      <c r="C699" s="51">
        <f>(4.4*2.75+3.35*2.55+1.8*1.2+1.2*1.2+2.75*0.75)*(10.764)</f>
        <v>283.14702</v>
      </c>
      <c r="D699" s="51">
        <v>0</v>
      </c>
      <c r="E699" s="51">
        <f t="shared" si="17"/>
        <v>424.72053</v>
      </c>
      <c r="F699" s="92"/>
      <c r="G699" s="92"/>
      <c r="H699" s="92"/>
    </row>
    <row r="700" spans="1:9" s="36" customFormat="1" x14ac:dyDescent="0.35">
      <c r="A700" s="51">
        <v>6</v>
      </c>
      <c r="B700" s="54" t="s">
        <v>234</v>
      </c>
      <c r="C700" s="51">
        <f>(4.4*2.75+3.35*2.55+1.8*1.2+1.2*1.2+2.75*0.75)*(10.764)</f>
        <v>283.14702</v>
      </c>
      <c r="D700" s="51">
        <v>0</v>
      </c>
      <c r="E700" s="51">
        <f t="shared" si="17"/>
        <v>424.72053</v>
      </c>
      <c r="F700" s="92"/>
      <c r="G700" s="92"/>
      <c r="H700" s="92"/>
    </row>
    <row r="701" spans="1:9" s="36" customFormat="1" ht="15" x14ac:dyDescent="0.35">
      <c r="A701" s="93" t="s">
        <v>332</v>
      </c>
      <c r="B701" s="93"/>
      <c r="C701" s="93"/>
      <c r="D701" s="93"/>
      <c r="E701" s="93"/>
      <c r="F701" s="93"/>
      <c r="G701" s="93"/>
      <c r="H701" s="93"/>
    </row>
    <row r="702" spans="1:9" s="36" customFormat="1" ht="15" x14ac:dyDescent="0.35">
      <c r="A702" s="93" t="s">
        <v>331</v>
      </c>
      <c r="B702" s="93"/>
      <c r="C702" s="93"/>
      <c r="D702" s="93"/>
      <c r="E702" s="93"/>
      <c r="F702" s="93"/>
      <c r="G702" s="93"/>
      <c r="H702" s="93"/>
    </row>
    <row r="703" spans="1:9" s="36" customFormat="1" x14ac:dyDescent="0.35">
      <c r="A703" s="51">
        <v>9</v>
      </c>
      <c r="B703" s="70" t="s">
        <v>225</v>
      </c>
      <c r="C703" s="51">
        <f>(2.75*4.05)*(10.764)</f>
        <v>119.88404999999999</v>
      </c>
      <c r="D703" s="51">
        <f>(2.75*1.45)*(10.764)</f>
        <v>42.921449999999993</v>
      </c>
      <c r="E703" s="51">
        <f>C703*1.5+D703</f>
        <v>222.74752499999997</v>
      </c>
      <c r="F703" s="104" t="str">
        <f>A702</f>
        <v>Ground/Stilt Floor for Commercial &amp; Parking</v>
      </c>
      <c r="G703" s="146"/>
      <c r="H703" s="105"/>
      <c r="I703" s="36" t="s">
        <v>330</v>
      </c>
    </row>
    <row r="704" spans="1:9" s="36" customFormat="1" x14ac:dyDescent="0.35">
      <c r="A704" s="51">
        <f>A703+1</f>
        <v>10</v>
      </c>
      <c r="B704" s="70" t="s">
        <v>225</v>
      </c>
      <c r="C704" s="51">
        <f>(2.1*4.6)*(10.764)</f>
        <v>103.98023999999999</v>
      </c>
      <c r="D704" s="51">
        <f>(2.1*1.45)*(10.764)</f>
        <v>32.776379999999996</v>
      </c>
      <c r="E704" s="51">
        <f t="shared" ref="E704:E708" si="18">C704*1.5+D704</f>
        <v>188.74673999999999</v>
      </c>
      <c r="F704" s="106"/>
      <c r="G704" s="147"/>
      <c r="H704" s="107"/>
    </row>
    <row r="705" spans="1:13" s="36" customFormat="1" x14ac:dyDescent="0.35">
      <c r="A705" s="51">
        <f>A704+1</f>
        <v>11</v>
      </c>
      <c r="B705" s="70" t="s">
        <v>225</v>
      </c>
      <c r="C705" s="51">
        <f>(2.75*5.3)*(10.764)</f>
        <v>156.88529999999997</v>
      </c>
      <c r="D705" s="51">
        <f>(2.75*1.45)*(10.764)</f>
        <v>42.921449999999993</v>
      </c>
      <c r="E705" s="51">
        <f t="shared" si="18"/>
        <v>278.24939999999992</v>
      </c>
      <c r="F705" s="106"/>
      <c r="G705" s="147"/>
      <c r="H705" s="107"/>
    </row>
    <row r="706" spans="1:13" s="36" customFormat="1" x14ac:dyDescent="0.35">
      <c r="A706" s="51">
        <f t="shared" ref="A706" si="19">A705+1</f>
        <v>12</v>
      </c>
      <c r="B706" s="70" t="s">
        <v>225</v>
      </c>
      <c r="C706" s="51">
        <f>(2.75*5.3)*(10.764)</f>
        <v>156.88529999999997</v>
      </c>
      <c r="D706" s="51">
        <f>(2.75*1.45)*(10.764)</f>
        <v>42.921449999999993</v>
      </c>
      <c r="E706" s="51">
        <f t="shared" si="18"/>
        <v>278.24939999999992</v>
      </c>
      <c r="F706" s="106"/>
      <c r="G706" s="147"/>
      <c r="H706" s="107"/>
    </row>
    <row r="707" spans="1:13" s="36" customFormat="1" x14ac:dyDescent="0.35">
      <c r="A707" s="51">
        <f>A706+1</f>
        <v>13</v>
      </c>
      <c r="B707" s="70" t="s">
        <v>225</v>
      </c>
      <c r="C707" s="51">
        <f>(2.1*4.6)*(10.764)</f>
        <v>103.98023999999999</v>
      </c>
      <c r="D707" s="51">
        <f>(2.1*1.45)*(10.764)</f>
        <v>32.776379999999996</v>
      </c>
      <c r="E707" s="51">
        <f t="shared" si="18"/>
        <v>188.74673999999999</v>
      </c>
      <c r="F707" s="106"/>
      <c r="G707" s="147"/>
      <c r="H707" s="107"/>
    </row>
    <row r="708" spans="1:13" s="36" customFormat="1" x14ac:dyDescent="0.35">
      <c r="A708" s="51">
        <f t="shared" ref="A708" si="20">A707+1</f>
        <v>14</v>
      </c>
      <c r="B708" s="70" t="s">
        <v>225</v>
      </c>
      <c r="C708" s="51">
        <f>(2.75*4.05)*(10.764)</f>
        <v>119.88404999999999</v>
      </c>
      <c r="D708" s="51">
        <f>(2.75*1.45)*(10.764)</f>
        <v>42.921449999999993</v>
      </c>
      <c r="E708" s="51">
        <f t="shared" si="18"/>
        <v>222.74752499999997</v>
      </c>
      <c r="F708" s="106"/>
      <c r="G708" s="147"/>
      <c r="H708" s="107"/>
    </row>
    <row r="709" spans="1:13" s="36" customFormat="1" ht="15" x14ac:dyDescent="0.35">
      <c r="A709" s="93" t="s">
        <v>328</v>
      </c>
      <c r="B709" s="93"/>
      <c r="C709" s="93"/>
      <c r="D709" s="93"/>
      <c r="E709" s="93"/>
      <c r="F709" s="93"/>
      <c r="G709" s="93"/>
      <c r="H709" s="93"/>
    </row>
    <row r="710" spans="1:13" s="36" customFormat="1" x14ac:dyDescent="0.35">
      <c r="A710" s="51">
        <v>1</v>
      </c>
      <c r="B710" s="53" t="s">
        <v>228</v>
      </c>
      <c r="C710" s="51">
        <f>(2.75*4.4+2.1*2.75+2.75*3.3+1.7*0.75+1.15*1.8+1.2*1.85+2.1*0.9)*(10.764)</f>
        <v>370.33542</v>
      </c>
      <c r="D710" s="51">
        <f>(2.75*3.2+2.1*1.1+2.75*1.65)*(10.764)</f>
        <v>168.42968999999999</v>
      </c>
      <c r="E710" s="51">
        <f>C710*1.5+(D710/2)</f>
        <v>639.71797500000002</v>
      </c>
      <c r="F710" s="104" t="str">
        <f>A709</f>
        <v>1st Floor For Residential</v>
      </c>
      <c r="G710" s="146"/>
      <c r="H710" s="105"/>
      <c r="J710" s="36">
        <f>2/1.65</f>
        <v>1.2121212121212122</v>
      </c>
      <c r="K710" s="36">
        <f>3.2/1.3</f>
        <v>2.4615384615384617</v>
      </c>
      <c r="L710" s="36">
        <f>1.4/1.3</f>
        <v>1.0769230769230769</v>
      </c>
      <c r="M710" s="36">
        <f>2/1.3</f>
        <v>1.5384615384615383</v>
      </c>
    </row>
    <row r="711" spans="1:13" s="36" customFormat="1" x14ac:dyDescent="0.35">
      <c r="A711" s="51">
        <v>2</v>
      </c>
      <c r="B711" s="53" t="s">
        <v>228</v>
      </c>
      <c r="C711" s="51">
        <f>(2.75*4.4+2.1*2.8+2.75*3.3+1.7*0.6+1.15*1.8+1.2*1.85+2.1*0.9+0.75*2.75)*(10.764)</f>
        <v>390.92157000000003</v>
      </c>
      <c r="D711" s="51">
        <v>0</v>
      </c>
      <c r="E711" s="51">
        <f t="shared" ref="E711:E712" si="21">C711*1.5+D711</f>
        <v>586.38235500000008</v>
      </c>
      <c r="F711" s="106"/>
      <c r="G711" s="147"/>
      <c r="H711" s="107"/>
      <c r="J711" s="36">
        <f>5.8/4.4</f>
        <v>1.3181818181818181</v>
      </c>
    </row>
    <row r="712" spans="1:13" s="36" customFormat="1" x14ac:dyDescent="0.35">
      <c r="A712" s="51">
        <v>3</v>
      </c>
      <c r="B712" s="53" t="s">
        <v>228</v>
      </c>
      <c r="C712" s="51">
        <f>(2.75*4.4+2.1*2.8+2.75*3.3+1.7*0.6+1.15*1.8+1.2*1.85+2.1*0.9+0.75*2.75)*(10.764)</f>
        <v>390.92157000000003</v>
      </c>
      <c r="D712" s="51">
        <v>0</v>
      </c>
      <c r="E712" s="51">
        <f t="shared" si="21"/>
        <v>586.38235500000008</v>
      </c>
      <c r="F712" s="106"/>
      <c r="G712" s="147"/>
      <c r="H712" s="107"/>
      <c r="J712" s="36">
        <f>3.6/2.75</f>
        <v>1.3090909090909091</v>
      </c>
    </row>
    <row r="713" spans="1:13" s="36" customFormat="1" x14ac:dyDescent="0.35">
      <c r="A713" s="51">
        <v>4</v>
      </c>
      <c r="B713" s="53" t="s">
        <v>228</v>
      </c>
      <c r="C713" s="51">
        <f>(2.75*4.4+2.1*2.75+2.75*3.3+1.7*0.75+1.15*1.8+1.2*1.85+2.1*0.9)*(10.764)</f>
        <v>370.33542</v>
      </c>
      <c r="D713" s="51">
        <f>(2.75*3.2+2.1*1.1+2.75*1.65)*(10.764)</f>
        <v>168.42968999999999</v>
      </c>
      <c r="E713" s="51">
        <f>C713*1.5+(D713/2)</f>
        <v>639.71797500000002</v>
      </c>
      <c r="F713" s="106"/>
      <c r="G713" s="147"/>
      <c r="H713" s="107"/>
    </row>
    <row r="714" spans="1:13" s="36" customFormat="1" ht="15.75" customHeight="1" x14ac:dyDescent="0.35">
      <c r="A714" s="93" t="s">
        <v>329</v>
      </c>
      <c r="B714" s="93"/>
      <c r="C714" s="93"/>
      <c r="D714" s="93"/>
      <c r="E714" s="93"/>
      <c r="F714" s="93"/>
      <c r="G714" s="93"/>
      <c r="H714" s="93"/>
    </row>
    <row r="715" spans="1:13" s="36" customFormat="1" x14ac:dyDescent="0.35">
      <c r="A715" s="51">
        <v>1</v>
      </c>
      <c r="B715" s="53" t="s">
        <v>228</v>
      </c>
      <c r="C715" s="51">
        <f>(2.75*4.4+2.1*2.75+2.75*3.3+1.7*0.75+1.15*1.8+1.2*1.85+2.1*0.9)*(10.764)</f>
        <v>370.33542</v>
      </c>
      <c r="D715" s="51">
        <v>0</v>
      </c>
      <c r="E715" s="51">
        <f>C715*1.5+D715</f>
        <v>555.50313000000006</v>
      </c>
      <c r="F715" s="104" t="str">
        <f>A714</f>
        <v>2nd to 7th Floor</v>
      </c>
      <c r="G715" s="146"/>
      <c r="H715" s="105"/>
    </row>
    <row r="716" spans="1:13" s="36" customFormat="1" x14ac:dyDescent="0.35">
      <c r="A716" s="51">
        <v>2</v>
      </c>
      <c r="B716" s="53" t="s">
        <v>228</v>
      </c>
      <c r="C716" s="51">
        <f>(2.75*4.4+2.1*2.8+2.75*3.3+1.7*0.6+1.15*1.8+1.2*1.85+2.1*0.9+0.75*2.75)*(10.764)</f>
        <v>390.92157000000003</v>
      </c>
      <c r="D716" s="51">
        <v>0</v>
      </c>
      <c r="E716" s="51">
        <f t="shared" ref="E716:E718" si="22">C716*1.5+D716</f>
        <v>586.38235500000008</v>
      </c>
      <c r="F716" s="106"/>
      <c r="G716" s="147"/>
      <c r="H716" s="107"/>
    </row>
    <row r="717" spans="1:13" s="36" customFormat="1" x14ac:dyDescent="0.35">
      <c r="A717" s="51">
        <v>3</v>
      </c>
      <c r="B717" s="53" t="s">
        <v>228</v>
      </c>
      <c r="C717" s="51">
        <f>(2.75*4.4+2.1*2.8+2.75*3.3+1.7*0.6+1.15*1.8+1.2*1.85+2.1*0.9+0.75*2.75)*(10.764)</f>
        <v>390.92157000000003</v>
      </c>
      <c r="D717" s="51">
        <v>0</v>
      </c>
      <c r="E717" s="51">
        <f t="shared" si="22"/>
        <v>586.38235500000008</v>
      </c>
      <c r="F717" s="106"/>
      <c r="G717" s="147"/>
      <c r="H717" s="107"/>
    </row>
    <row r="718" spans="1:13" s="36" customFormat="1" x14ac:dyDescent="0.35">
      <c r="A718" s="51">
        <v>4</v>
      </c>
      <c r="B718" s="53" t="s">
        <v>228</v>
      </c>
      <c r="C718" s="51">
        <f>(2.75*4.4+2.1*2.75+2.75*3.3+1.7*0.75+1.15*1.8+1.2*1.85+2.1*0.9)*(10.764)</f>
        <v>370.33542</v>
      </c>
      <c r="D718" s="51">
        <v>0</v>
      </c>
      <c r="E718" s="51">
        <f t="shared" si="22"/>
        <v>555.50313000000006</v>
      </c>
      <c r="F718" s="106"/>
      <c r="G718" s="147"/>
      <c r="H718" s="107"/>
    </row>
    <row r="719" spans="1:13" s="36" customFormat="1" ht="15" x14ac:dyDescent="0.35">
      <c r="A719" s="93" t="s">
        <v>333</v>
      </c>
      <c r="B719" s="93"/>
      <c r="C719" s="93"/>
      <c r="D719" s="93"/>
      <c r="E719" s="93"/>
      <c r="F719" s="93"/>
      <c r="G719" s="93"/>
      <c r="H719" s="93"/>
    </row>
    <row r="720" spans="1:13" s="36" customFormat="1" ht="15" x14ac:dyDescent="0.35">
      <c r="A720" s="93" t="s">
        <v>331</v>
      </c>
      <c r="B720" s="93"/>
      <c r="C720" s="93"/>
      <c r="D720" s="93"/>
      <c r="E720" s="93"/>
      <c r="F720" s="93"/>
      <c r="G720" s="93"/>
      <c r="H720" s="93"/>
    </row>
    <row r="721" spans="1:19" s="36" customFormat="1" x14ac:dyDescent="0.35">
      <c r="A721" s="51">
        <v>15</v>
      </c>
      <c r="B721" s="90" t="s">
        <v>225</v>
      </c>
      <c r="C721" s="51">
        <f>(2.85*4.15)*(10.764)</f>
        <v>127.31121</v>
      </c>
      <c r="D721" s="51">
        <f>(2.8*1.2)*(10.764)</f>
        <v>36.167039999999993</v>
      </c>
      <c r="E721" s="51">
        <f>C721*1.5+D721</f>
        <v>227.13385499999998</v>
      </c>
      <c r="F721" s="92" t="str">
        <f>A720</f>
        <v>Ground/Stilt Floor for Commercial &amp; Parking</v>
      </c>
      <c r="G721" s="92"/>
      <c r="H721" s="92"/>
      <c r="I721" s="36" t="s">
        <v>330</v>
      </c>
    </row>
    <row r="722" spans="1:19" s="36" customFormat="1" x14ac:dyDescent="0.35">
      <c r="A722" s="51">
        <f>A721+1</f>
        <v>16</v>
      </c>
      <c r="B722" s="90" t="s">
        <v>225</v>
      </c>
      <c r="C722" s="51">
        <f>(2.85*4.15)*(10.764)</f>
        <v>127.31121</v>
      </c>
      <c r="D722" s="51">
        <f>(2.85*1.2)*(10.764)</f>
        <v>36.81288</v>
      </c>
      <c r="E722" s="51">
        <f t="shared" ref="E722:E728" si="23">C722*1.5+D722</f>
        <v>227.779695</v>
      </c>
      <c r="F722" s="92"/>
      <c r="G722" s="92"/>
      <c r="H722" s="92"/>
    </row>
    <row r="723" spans="1:19" s="36" customFormat="1" x14ac:dyDescent="0.35">
      <c r="A723" s="51">
        <f>A722+1</f>
        <v>17</v>
      </c>
      <c r="B723" s="90" t="s">
        <v>225</v>
      </c>
      <c r="C723" s="51">
        <f>(2.75*4.5)*(10.764)</f>
        <v>133.2045</v>
      </c>
      <c r="D723" s="51">
        <f>(2.75*1.2)*(10.764)</f>
        <v>35.521199999999993</v>
      </c>
      <c r="E723" s="51">
        <f t="shared" si="23"/>
        <v>235.32794999999999</v>
      </c>
      <c r="F723" s="92"/>
      <c r="G723" s="92"/>
      <c r="H723" s="92"/>
    </row>
    <row r="724" spans="1:19" s="36" customFormat="1" x14ac:dyDescent="0.35">
      <c r="A724" s="51">
        <f t="shared" ref="A724" si="24">A723+1</f>
        <v>18</v>
      </c>
      <c r="B724" s="90" t="s">
        <v>225</v>
      </c>
      <c r="C724" s="51">
        <f>(2.1*5.1)*(10.764)</f>
        <v>115.28243999999998</v>
      </c>
      <c r="D724" s="51">
        <f>(2.1*1.2)*(10.764)</f>
        <v>27.12528</v>
      </c>
      <c r="E724" s="51">
        <f t="shared" si="23"/>
        <v>200.04893999999999</v>
      </c>
      <c r="F724" s="92"/>
      <c r="G724" s="92"/>
      <c r="H724" s="92"/>
    </row>
    <row r="725" spans="1:19" s="36" customFormat="1" x14ac:dyDescent="0.35">
      <c r="A725" s="51">
        <f>A724+1</f>
        <v>19</v>
      </c>
      <c r="B725" s="90" t="s">
        <v>225</v>
      </c>
      <c r="C725" s="51">
        <f>(2.9*5.1)*(10.764)</f>
        <v>159.19955999999999</v>
      </c>
      <c r="D725" s="51">
        <f>(2.9*1.2)*(10.764)</f>
        <v>37.45872</v>
      </c>
      <c r="E725" s="51">
        <f t="shared" si="23"/>
        <v>276.25806</v>
      </c>
      <c r="F725" s="92"/>
      <c r="G725" s="92"/>
      <c r="H725" s="92"/>
    </row>
    <row r="726" spans="1:19" s="36" customFormat="1" x14ac:dyDescent="0.35">
      <c r="A726" s="51">
        <f t="shared" ref="A726" si="25">A725+1</f>
        <v>20</v>
      </c>
      <c r="B726" s="90" t="s">
        <v>225</v>
      </c>
      <c r="C726" s="51">
        <f>(2.75*5.4)*(10.764)</f>
        <v>159.84540000000001</v>
      </c>
      <c r="D726" s="51">
        <f>(2.75*1.2)*(10.764)</f>
        <v>35.521199999999993</v>
      </c>
      <c r="E726" s="51">
        <f t="shared" si="23"/>
        <v>275.28930000000003</v>
      </c>
      <c r="F726" s="92"/>
      <c r="G726" s="92"/>
      <c r="H726" s="92"/>
    </row>
    <row r="727" spans="1:19" s="36" customFormat="1" x14ac:dyDescent="0.35">
      <c r="A727" s="51">
        <f>A726+1</f>
        <v>21</v>
      </c>
      <c r="B727" s="90" t="s">
        <v>225</v>
      </c>
      <c r="C727" s="51">
        <f>(2.1*4.7)*(10.764)</f>
        <v>106.24068</v>
      </c>
      <c r="D727" s="51">
        <f>(2.1*1.2)*(10.764)</f>
        <v>27.12528</v>
      </c>
      <c r="E727" s="51">
        <f t="shared" si="23"/>
        <v>186.4863</v>
      </c>
      <c r="F727" s="92"/>
      <c r="G727" s="92"/>
      <c r="H727" s="92"/>
    </row>
    <row r="728" spans="1:19" s="36" customFormat="1" x14ac:dyDescent="0.35">
      <c r="A728" s="51">
        <f>A727+1</f>
        <v>22</v>
      </c>
      <c r="B728" s="90" t="s">
        <v>225</v>
      </c>
      <c r="C728" s="51">
        <f>(2.75*4.7)*(10.764)</f>
        <v>139.12469999999999</v>
      </c>
      <c r="D728" s="51">
        <f>(2.75*1.2)*(10.764)</f>
        <v>35.521199999999993</v>
      </c>
      <c r="E728" s="51">
        <f t="shared" si="23"/>
        <v>244.20824999999999</v>
      </c>
      <c r="F728" s="92"/>
      <c r="G728" s="92"/>
      <c r="H728" s="92"/>
    </row>
    <row r="729" spans="1:19" s="36" customFormat="1" ht="15" x14ac:dyDescent="0.35">
      <c r="A729" s="93" t="s">
        <v>328</v>
      </c>
      <c r="B729" s="93"/>
      <c r="C729" s="93"/>
      <c r="D729" s="93"/>
      <c r="E729" s="93"/>
      <c r="F729" s="93"/>
      <c r="G729" s="93"/>
      <c r="H729" s="93"/>
    </row>
    <row r="730" spans="1:19" s="36" customFormat="1" x14ac:dyDescent="0.35">
      <c r="A730" s="51">
        <v>1</v>
      </c>
      <c r="B730" s="53" t="s">
        <v>228</v>
      </c>
      <c r="C730" s="51">
        <f>(2.75*4.4+2.1*3.3+2.75*3.3+1.1*0.6+2*(1.8*1.1)+0.75*2.75)*(10.764)</f>
        <v>374.45265000000001</v>
      </c>
      <c r="D730" s="51">
        <v>0</v>
      </c>
      <c r="E730" s="51">
        <f>C730*1.5+D730</f>
        <v>561.67897500000004</v>
      </c>
      <c r="F730" s="92" t="str">
        <f>A729</f>
        <v>1st Floor For Residential</v>
      </c>
      <c r="G730" s="92"/>
      <c r="H730" s="92"/>
    </row>
    <row r="731" spans="1:19" s="36" customFormat="1" x14ac:dyDescent="0.35">
      <c r="A731" s="51">
        <v>2</v>
      </c>
      <c r="B731" s="53" t="s">
        <v>228</v>
      </c>
      <c r="C731" s="51">
        <f>(2.75*4.4+2.1*3.3+2.75*3.3+1.1*0.75+2*(1.8*1.1))*(10.764)</f>
        <v>354.02796000000001</v>
      </c>
      <c r="D731" s="51">
        <f>(7.9*1.2+2.75*0.9)*(10.764)</f>
        <v>128.68361999999999</v>
      </c>
      <c r="E731" s="51">
        <f>C731*1.5+D731/2</f>
        <v>595.38375000000008</v>
      </c>
      <c r="F731" s="92"/>
      <c r="G731" s="92"/>
      <c r="H731" s="92"/>
    </row>
    <row r="732" spans="1:19" s="36" customFormat="1" x14ac:dyDescent="0.35">
      <c r="A732" s="51">
        <v>3</v>
      </c>
      <c r="B732" s="53" t="s">
        <v>228</v>
      </c>
      <c r="C732" s="51">
        <f>(2.9*4.05+1.75*0.9+2.1*3.2+2.75*3.2+1.35*0.6+1.8*1.05+1.2*1.65)*(10.764)</f>
        <v>360.80927999999994</v>
      </c>
      <c r="D732" s="51">
        <f>(8*1.2)*(10.764)</f>
        <v>103.33439999999999</v>
      </c>
      <c r="E732" s="51">
        <f t="shared" ref="E732:E734" si="26">C732*1.5+D732</f>
        <v>644.54831999999988</v>
      </c>
      <c r="F732" s="92"/>
      <c r="G732" s="92"/>
      <c r="H732" s="92"/>
    </row>
    <row r="733" spans="1:19" s="36" customFormat="1" x14ac:dyDescent="0.35">
      <c r="A733" s="51">
        <v>4</v>
      </c>
      <c r="B733" s="53" t="s">
        <v>230</v>
      </c>
      <c r="C733" s="51">
        <f>(5.75*2.9+1.95*0.2+2.9*2.15+2.8*2.75+2.8*4+2.85*2.95+1.05*1.1+2*(1.85*1.2)+4.2*0.9+2.9*0.75)*(10.764)</f>
        <v>669.06332999999995</v>
      </c>
      <c r="D733" s="51">
        <f>(5.7*1.2)*(10.764)</f>
        <v>73.62576</v>
      </c>
      <c r="E733" s="51">
        <f t="shared" si="26"/>
        <v>1077.2207549999998</v>
      </c>
      <c r="F733" s="92"/>
      <c r="G733" s="92"/>
      <c r="H733" s="92"/>
    </row>
    <row r="734" spans="1:19" s="36" customFormat="1" x14ac:dyDescent="0.35">
      <c r="A734" s="51">
        <v>5</v>
      </c>
      <c r="B734" s="54" t="s">
        <v>234</v>
      </c>
      <c r="C734" s="51">
        <f>(4.4*2.75+3.35*2.55+1.8*1.2+1.2*1.2+2.75*0.75)*(10.764)</f>
        <v>283.14702</v>
      </c>
      <c r="D734" s="51">
        <v>0</v>
      </c>
      <c r="E734" s="51">
        <f t="shared" si="26"/>
        <v>424.72053</v>
      </c>
      <c r="F734" s="92"/>
      <c r="G734" s="92"/>
      <c r="H734" s="92"/>
    </row>
    <row r="735" spans="1:19" s="36" customFormat="1" x14ac:dyDescent="0.35">
      <c r="A735" s="51">
        <v>6</v>
      </c>
      <c r="B735" s="54" t="s">
        <v>234</v>
      </c>
      <c r="C735" s="51">
        <f>(4.4*2.75+3.35*2.55+1.8*1.2+1.2*1.2+2.75*0.75)*(10.764)</f>
        <v>283.14702</v>
      </c>
      <c r="D735" s="51">
        <v>0</v>
      </c>
      <c r="E735" s="51">
        <v>442</v>
      </c>
      <c r="F735" s="92"/>
      <c r="G735" s="92"/>
      <c r="H735" s="92"/>
      <c r="I735" s="198" t="s">
        <v>354</v>
      </c>
      <c r="J735" s="199"/>
      <c r="K735" s="199"/>
      <c r="L735" s="199"/>
      <c r="M735" s="199"/>
      <c r="N735" s="199"/>
      <c r="O735" s="199"/>
      <c r="P735" s="199"/>
      <c r="Q735" s="199"/>
      <c r="R735" s="199"/>
      <c r="S735" s="199"/>
    </row>
    <row r="736" spans="1:19" s="36" customFormat="1" ht="15" x14ac:dyDescent="0.35">
      <c r="A736" s="93" t="s">
        <v>329</v>
      </c>
      <c r="B736" s="93"/>
      <c r="C736" s="93"/>
      <c r="D736" s="93"/>
      <c r="E736" s="93"/>
      <c r="F736" s="93"/>
      <c r="G736" s="93"/>
      <c r="H736" s="93"/>
    </row>
    <row r="737" spans="1:8" s="36" customFormat="1" x14ac:dyDescent="0.35">
      <c r="A737" s="51">
        <v>1</v>
      </c>
      <c r="B737" s="53" t="s">
        <v>228</v>
      </c>
      <c r="C737" s="51">
        <f>(2.75*4.4+2.1*3.3+2.75*3.3+1.1*0.6+2*(1.8*1.1)+0.75*2.75)*(10.764)</f>
        <v>374.45265000000001</v>
      </c>
      <c r="D737" s="51">
        <v>0</v>
      </c>
      <c r="E737" s="51">
        <f t="shared" ref="E737:E742" si="27">C737*1.5+D737</f>
        <v>561.67897500000004</v>
      </c>
      <c r="F737" s="92" t="str">
        <f>A736</f>
        <v>2nd to 7th Floor</v>
      </c>
      <c r="G737" s="92"/>
      <c r="H737" s="92"/>
    </row>
    <row r="738" spans="1:8" s="36" customFormat="1" x14ac:dyDescent="0.35">
      <c r="A738" s="51">
        <v>2</v>
      </c>
      <c r="B738" s="53" t="s">
        <v>228</v>
      </c>
      <c r="C738" s="51">
        <f>(2.75*4.4+2.1*3.3+2.75*3.3+1.1*0.75+2*(1.8*1.1)+2.75*0.75)*(10.764)</f>
        <v>376.22870999999998</v>
      </c>
      <c r="D738" s="51">
        <v>0</v>
      </c>
      <c r="E738" s="51">
        <f t="shared" si="27"/>
        <v>564.34306500000002</v>
      </c>
      <c r="F738" s="92"/>
      <c r="G738" s="92"/>
      <c r="H738" s="92"/>
    </row>
    <row r="739" spans="1:8" s="36" customFormat="1" x14ac:dyDescent="0.35">
      <c r="A739" s="51">
        <v>3</v>
      </c>
      <c r="B739" s="53" t="s">
        <v>228</v>
      </c>
      <c r="C739" s="51">
        <f>(2.9*4.05+1.75*0.9+2.1*3.2+2.75*3.2+1.35*0.6+1.8*1.05+1.2*1.65+2.9*0.75)*(10.764)</f>
        <v>384.22097999999988</v>
      </c>
      <c r="D739" s="51">
        <v>0</v>
      </c>
      <c r="E739" s="51">
        <f t="shared" si="27"/>
        <v>576.33146999999985</v>
      </c>
      <c r="F739" s="92"/>
      <c r="G739" s="92"/>
      <c r="H739" s="92"/>
    </row>
    <row r="740" spans="1:8" s="36" customFormat="1" x14ac:dyDescent="0.35">
      <c r="A740" s="51">
        <v>4</v>
      </c>
      <c r="B740" s="53" t="s">
        <v>230</v>
      </c>
      <c r="C740" s="51">
        <f>(5.75*2.9+1.95*0.2+2.9*2.15+2.8*2.75+2.8*4+2.85*2.95+1.05*1.1+2*(1.85*1.2)+4.2*0.9+2.9*0.75)*(10.764)</f>
        <v>669.06332999999995</v>
      </c>
      <c r="D740" s="51">
        <v>0</v>
      </c>
      <c r="E740" s="51">
        <f t="shared" si="27"/>
        <v>1003.5949949999999</v>
      </c>
      <c r="F740" s="92"/>
      <c r="G740" s="92"/>
      <c r="H740" s="92"/>
    </row>
    <row r="741" spans="1:8" s="36" customFormat="1" x14ac:dyDescent="0.35">
      <c r="A741" s="51">
        <v>5</v>
      </c>
      <c r="B741" s="54" t="s">
        <v>234</v>
      </c>
      <c r="C741" s="51">
        <f>(4.4*2.75+3.35*2.55+1.8*1.2+1.2*1.2+2.75*0.75)*(10.764)</f>
        <v>283.14702</v>
      </c>
      <c r="D741" s="51">
        <v>0</v>
      </c>
      <c r="E741" s="51">
        <f t="shared" si="27"/>
        <v>424.72053</v>
      </c>
      <c r="F741" s="92"/>
      <c r="G741" s="92"/>
      <c r="H741" s="92"/>
    </row>
    <row r="742" spans="1:8" s="36" customFormat="1" x14ac:dyDescent="0.35">
      <c r="A742" s="51">
        <v>6</v>
      </c>
      <c r="B742" s="54" t="s">
        <v>234</v>
      </c>
      <c r="C742" s="51">
        <f>(4.4*2.75+3.35*2.55+1.8*1.2+1.2*1.2+2.75*0.75)*(10.764)</f>
        <v>283.14702</v>
      </c>
      <c r="D742" s="51">
        <v>0</v>
      </c>
      <c r="E742" s="51">
        <f t="shared" si="27"/>
        <v>424.72053</v>
      </c>
      <c r="F742" s="92"/>
      <c r="G742" s="92"/>
      <c r="H742" s="92"/>
    </row>
    <row r="743" spans="1:8" s="36" customFormat="1" ht="15" x14ac:dyDescent="0.35">
      <c r="A743" s="93" t="s">
        <v>334</v>
      </c>
      <c r="B743" s="93"/>
      <c r="C743" s="93"/>
      <c r="D743" s="93"/>
      <c r="E743" s="93"/>
      <c r="F743" s="93"/>
      <c r="G743" s="93"/>
      <c r="H743" s="93"/>
    </row>
    <row r="744" spans="1:8" s="36" customFormat="1" ht="15" x14ac:dyDescent="0.35">
      <c r="A744" s="93" t="s">
        <v>301</v>
      </c>
      <c r="B744" s="93"/>
      <c r="C744" s="93"/>
      <c r="D744" s="93"/>
      <c r="E744" s="93"/>
      <c r="F744" s="93"/>
      <c r="G744" s="93"/>
      <c r="H744" s="93"/>
    </row>
    <row r="745" spans="1:8" s="36" customFormat="1" x14ac:dyDescent="0.35">
      <c r="A745" s="51">
        <v>1</v>
      </c>
      <c r="B745" s="192" t="s">
        <v>335</v>
      </c>
      <c r="C745" s="193"/>
      <c r="D745" s="193"/>
      <c r="E745" s="194"/>
      <c r="F745" s="92" t="str">
        <f>A744</f>
        <v>Ground Floor for Residential &amp; Parking</v>
      </c>
      <c r="G745" s="92"/>
      <c r="H745" s="92"/>
    </row>
    <row r="746" spans="1:8" s="36" customFormat="1" x14ac:dyDescent="0.35">
      <c r="A746" s="51">
        <v>2</v>
      </c>
      <c r="B746" s="53" t="s">
        <v>228</v>
      </c>
      <c r="C746" s="51">
        <f>(2.75*4.4+2.1*3.3+2.75*3.3+1.8*1.15+1.85*1.15)*(10.764)</f>
        <v>347.70411000000001</v>
      </c>
      <c r="D746" s="51">
        <v>0</v>
      </c>
      <c r="E746" s="51">
        <f t="shared" ref="E746:E749" si="28">C746*1.5+D746</f>
        <v>521.55616499999996</v>
      </c>
      <c r="F746" s="92"/>
      <c r="G746" s="92"/>
      <c r="H746" s="92"/>
    </row>
    <row r="747" spans="1:8" s="36" customFormat="1" x14ac:dyDescent="0.35">
      <c r="A747" s="51">
        <v>3</v>
      </c>
      <c r="B747" s="53" t="s">
        <v>228</v>
      </c>
      <c r="C747" s="51">
        <f>(2.9*4.05+1.75*0.9+2.1*3.2+2.75*3.2+1.8*1.05+1.2*1.65)*(10.764)</f>
        <v>352.09044</v>
      </c>
      <c r="D747" s="51">
        <v>0</v>
      </c>
      <c r="E747" s="51">
        <f t="shared" si="28"/>
        <v>528.13566000000003</v>
      </c>
      <c r="F747" s="92"/>
      <c r="G747" s="92"/>
      <c r="H747" s="92"/>
    </row>
    <row r="748" spans="1:8" s="36" customFormat="1" x14ac:dyDescent="0.35">
      <c r="A748" s="51">
        <v>4</v>
      </c>
      <c r="B748" s="53" t="s">
        <v>230</v>
      </c>
      <c r="C748" s="51">
        <f>(5.75*2.9+1.95*0.2+2.9*2.15+2.8*2.75+2.8*4+2.85*2.95+1.85*1.05+2*(1.85*1.2)+3.45*0.9)*(10.764)</f>
        <v>646.86257999999998</v>
      </c>
      <c r="D748" s="51">
        <v>0</v>
      </c>
      <c r="E748" s="51">
        <f t="shared" si="28"/>
        <v>970.29386999999997</v>
      </c>
      <c r="F748" s="92"/>
      <c r="G748" s="92"/>
      <c r="H748" s="92"/>
    </row>
    <row r="749" spans="1:8" s="36" customFormat="1" x14ac:dyDescent="0.35">
      <c r="A749" s="51">
        <v>5</v>
      </c>
      <c r="B749" s="54" t="s">
        <v>234</v>
      </c>
      <c r="C749" s="51">
        <f>(4.4*2.75+3.35*2.55+1.8*1.2+1.25*1.2)*(10.764)</f>
        <v>261.59210999999999</v>
      </c>
      <c r="D749" s="51">
        <v>0</v>
      </c>
      <c r="E749" s="51">
        <f t="shared" si="28"/>
        <v>392.38816499999996</v>
      </c>
      <c r="F749" s="92"/>
      <c r="G749" s="92"/>
      <c r="H749" s="92"/>
    </row>
    <row r="750" spans="1:8" s="36" customFormat="1" ht="15.75" customHeight="1" x14ac:dyDescent="0.35">
      <c r="A750" s="51">
        <v>6</v>
      </c>
      <c r="B750" s="192" t="s">
        <v>335</v>
      </c>
      <c r="C750" s="193"/>
      <c r="D750" s="193"/>
      <c r="E750" s="194"/>
      <c r="F750" s="92"/>
      <c r="G750" s="92"/>
      <c r="H750" s="92"/>
    </row>
    <row r="751" spans="1:8" s="36" customFormat="1" ht="15" x14ac:dyDescent="0.35">
      <c r="A751" s="93" t="s">
        <v>298</v>
      </c>
      <c r="B751" s="93"/>
      <c r="C751" s="93"/>
      <c r="D751" s="93"/>
      <c r="E751" s="93"/>
      <c r="F751" s="93"/>
      <c r="G751" s="93"/>
      <c r="H751" s="93"/>
    </row>
    <row r="752" spans="1:8" s="36" customFormat="1" x14ac:dyDescent="0.35">
      <c r="A752" s="51">
        <v>1</v>
      </c>
      <c r="B752" s="53" t="s">
        <v>228</v>
      </c>
      <c r="C752" s="51">
        <f>(2.75*4.4+2.1*3.3+2.75*3.3+1.1*0.6+2*(1.8*1.1)+2.75*0.75)*(10.764)</f>
        <v>374.45265000000001</v>
      </c>
      <c r="D752" s="51">
        <v>0</v>
      </c>
      <c r="E752" s="51">
        <f t="shared" ref="E752:E755" si="29">C752*1.5+D752</f>
        <v>561.67897500000004</v>
      </c>
      <c r="F752" s="92" t="str">
        <f>A751</f>
        <v>1st Floor</v>
      </c>
      <c r="G752" s="92"/>
      <c r="H752" s="92"/>
    </row>
    <row r="753" spans="1:19" s="36" customFormat="1" x14ac:dyDescent="0.35">
      <c r="A753" s="51">
        <v>2</v>
      </c>
      <c r="B753" s="53" t="s">
        <v>228</v>
      </c>
      <c r="C753" s="51">
        <f>(2.75*4.4+2.1*3.3+2.75*3.3+1.1*0.75+2*(1.8*1.1)+2.75*0.75)*(10.764)</f>
        <v>376.22870999999998</v>
      </c>
      <c r="D753" s="51">
        <v>0</v>
      </c>
      <c r="E753" s="51">
        <f t="shared" si="29"/>
        <v>564.34306500000002</v>
      </c>
      <c r="F753" s="92"/>
      <c r="G753" s="92"/>
      <c r="H753" s="92"/>
    </row>
    <row r="754" spans="1:19" s="36" customFormat="1" x14ac:dyDescent="0.35">
      <c r="A754" s="51">
        <v>3</v>
      </c>
      <c r="B754" s="53" t="s">
        <v>228</v>
      </c>
      <c r="C754" s="51">
        <f>(2.9*4.05+1.75*0.9+2.1*3.2+2.75*3.2+1.35*0.6+1.8*1.05+1.2*1.65+2.9*0.75)*(10.764)</f>
        <v>384.22097999999988</v>
      </c>
      <c r="D754" s="51">
        <v>0</v>
      </c>
      <c r="E754" s="51">
        <f t="shared" si="29"/>
        <v>576.33146999999985</v>
      </c>
      <c r="F754" s="92"/>
      <c r="G754" s="92"/>
      <c r="H754" s="92"/>
    </row>
    <row r="755" spans="1:19" s="36" customFormat="1" x14ac:dyDescent="0.35">
      <c r="A755" s="51">
        <v>4</v>
      </c>
      <c r="B755" s="53" t="s">
        <v>230</v>
      </c>
      <c r="C755" s="51">
        <f>(5.75*2.9+1.95*0.2+2.9*2.15+2.8*2.75+2.8*4+2.85*2.95+1.05*1.1+2*(1.85*1.2)+4.2*0.9+2.9*0.75)*(10.764)</f>
        <v>669.06332999999995</v>
      </c>
      <c r="D755" s="51">
        <v>0</v>
      </c>
      <c r="E755" s="51">
        <f t="shared" si="29"/>
        <v>1003.5949949999999</v>
      </c>
      <c r="F755" s="92"/>
      <c r="G755" s="92"/>
      <c r="H755" s="92"/>
    </row>
    <row r="756" spans="1:19" s="36" customFormat="1" x14ac:dyDescent="0.35">
      <c r="A756" s="51">
        <v>5</v>
      </c>
      <c r="B756" s="54" t="s">
        <v>234</v>
      </c>
      <c r="C756" s="51">
        <f>(4.4*2.75+3.35*2.55+1.8*1.2+1.2*1.2+2.75*0.75)*(10.764)</f>
        <v>283.14702</v>
      </c>
      <c r="D756" s="51">
        <v>0</v>
      </c>
      <c r="E756" s="51">
        <v>443</v>
      </c>
      <c r="F756" s="92"/>
      <c r="G756" s="92"/>
      <c r="H756" s="92"/>
      <c r="I756" s="198" t="s">
        <v>352</v>
      </c>
      <c r="J756" s="199"/>
      <c r="K756" s="199"/>
      <c r="L756" s="199"/>
      <c r="M756" s="199"/>
      <c r="N756" s="199"/>
      <c r="O756" s="199"/>
      <c r="P756" s="199"/>
      <c r="Q756" s="199"/>
      <c r="R756" s="199"/>
      <c r="S756" s="199"/>
    </row>
    <row r="757" spans="1:19" s="36" customFormat="1" x14ac:dyDescent="0.35">
      <c r="A757" s="51">
        <v>6</v>
      </c>
      <c r="B757" s="54" t="s">
        <v>234</v>
      </c>
      <c r="C757" s="51">
        <f>(4.4*2.75+3.35*2.55+1.8*1.2+1.2*1.2+2.75*0.75)*(10.764)</f>
        <v>283.14702</v>
      </c>
      <c r="D757" s="51">
        <v>0</v>
      </c>
      <c r="E757" s="51">
        <v>443</v>
      </c>
      <c r="F757" s="92"/>
      <c r="G757" s="92"/>
      <c r="H757" s="92"/>
      <c r="I757" s="198" t="s">
        <v>353</v>
      </c>
      <c r="J757" s="199"/>
      <c r="K757" s="199"/>
      <c r="L757" s="199"/>
      <c r="M757" s="199"/>
      <c r="N757" s="199"/>
      <c r="O757" s="199"/>
      <c r="P757" s="199"/>
      <c r="Q757" s="199"/>
      <c r="R757" s="199"/>
      <c r="S757" s="199"/>
    </row>
    <row r="758" spans="1:19" s="36" customFormat="1" ht="15" x14ac:dyDescent="0.35">
      <c r="A758" s="93" t="s">
        <v>329</v>
      </c>
      <c r="B758" s="93"/>
      <c r="C758" s="93"/>
      <c r="D758" s="93"/>
      <c r="E758" s="93"/>
      <c r="F758" s="93"/>
      <c r="G758" s="93"/>
      <c r="H758" s="93"/>
    </row>
    <row r="759" spans="1:19" s="36" customFormat="1" x14ac:dyDescent="0.35">
      <c r="A759" s="51">
        <v>1</v>
      </c>
      <c r="B759" s="53" t="s">
        <v>228</v>
      </c>
      <c r="C759" s="51">
        <f>(2.75*4.4+2.1*3.3+2.75*3.3+1.1*0.6+2*(1.8*1.1)+2.75*0.75)*(10.764)</f>
        <v>374.45265000000001</v>
      </c>
      <c r="D759" s="51">
        <v>0</v>
      </c>
      <c r="E759" s="51">
        <f t="shared" ref="E759:E764" si="30">C759*1.5+D759</f>
        <v>561.67897500000004</v>
      </c>
      <c r="F759" s="92" t="str">
        <f>A758</f>
        <v>2nd to 7th Floor</v>
      </c>
      <c r="G759" s="92"/>
      <c r="H759" s="92"/>
    </row>
    <row r="760" spans="1:19" s="36" customFormat="1" x14ac:dyDescent="0.35">
      <c r="A760" s="51">
        <v>2</v>
      </c>
      <c r="B760" s="53" t="s">
        <v>228</v>
      </c>
      <c r="C760" s="51">
        <f>(2.75*4.4+2.1*3.3+2.75*3.3+1.1*0.75+2*(1.8*1.1)+2.75*0.75)*(10.764)</f>
        <v>376.22870999999998</v>
      </c>
      <c r="D760" s="51">
        <v>0</v>
      </c>
      <c r="E760" s="51">
        <f t="shared" si="30"/>
        <v>564.34306500000002</v>
      </c>
      <c r="F760" s="92"/>
      <c r="G760" s="92"/>
      <c r="H760" s="92"/>
    </row>
    <row r="761" spans="1:19" s="36" customFormat="1" x14ac:dyDescent="0.35">
      <c r="A761" s="51">
        <v>3</v>
      </c>
      <c r="B761" s="53" t="s">
        <v>228</v>
      </c>
      <c r="C761" s="51">
        <f>(2.9*4.05+1.75*0.9+2.1*3.2+2.75*3.2+1.35*0.6+1.8*1.05+1.2*1.65+2.9*0.75)*(10.764)</f>
        <v>384.22097999999988</v>
      </c>
      <c r="D761" s="51">
        <v>0</v>
      </c>
      <c r="E761" s="51">
        <f t="shared" si="30"/>
        <v>576.33146999999985</v>
      </c>
      <c r="F761" s="92"/>
      <c r="G761" s="92"/>
      <c r="H761" s="92"/>
    </row>
    <row r="762" spans="1:19" s="36" customFormat="1" x14ac:dyDescent="0.35">
      <c r="A762" s="51">
        <v>4</v>
      </c>
      <c r="B762" s="53" t="s">
        <v>230</v>
      </c>
      <c r="C762" s="51">
        <f>(5.75*2.9+1.95*0.2+2.9*2.15+2.8*2.75+2.8*4+2.85*2.95+1.05*1.1+2*(1.85*1.2)+4.2*0.9+2.9*0.75)*(10.764)</f>
        <v>669.06332999999995</v>
      </c>
      <c r="D762" s="51">
        <v>0</v>
      </c>
      <c r="E762" s="51">
        <f t="shared" si="30"/>
        <v>1003.5949949999999</v>
      </c>
      <c r="F762" s="92"/>
      <c r="G762" s="92"/>
      <c r="H762" s="92"/>
    </row>
    <row r="763" spans="1:19" s="36" customFormat="1" x14ac:dyDescent="0.35">
      <c r="A763" s="51">
        <v>5</v>
      </c>
      <c r="B763" s="54" t="s">
        <v>234</v>
      </c>
      <c r="C763" s="51">
        <f>(4.4*2.75+3.35*2.55+1.8*1.2+1.2*1.2+2.75*0.75)*(10.764)</f>
        <v>283.14702</v>
      </c>
      <c r="D763" s="51">
        <v>0</v>
      </c>
      <c r="E763" s="51">
        <f t="shared" si="30"/>
        <v>424.72053</v>
      </c>
      <c r="F763" s="92"/>
      <c r="G763" s="92"/>
      <c r="H763" s="92"/>
    </row>
    <row r="764" spans="1:19" s="36" customFormat="1" x14ac:dyDescent="0.35">
      <c r="A764" s="51">
        <v>6</v>
      </c>
      <c r="B764" s="54" t="s">
        <v>234</v>
      </c>
      <c r="C764" s="51">
        <f>(4.4*2.75+3.35*2.55+1.8*1.2+1.2*1.2+2.75*0.75)*(10.764)</f>
        <v>283.14702</v>
      </c>
      <c r="D764" s="51">
        <v>0</v>
      </c>
      <c r="E764" s="51">
        <f t="shared" si="30"/>
        <v>424.72053</v>
      </c>
      <c r="F764" s="92"/>
      <c r="G764" s="92"/>
      <c r="H764" s="92"/>
    </row>
    <row r="765" spans="1:19" s="36" customFormat="1" ht="15" x14ac:dyDescent="0.35">
      <c r="A765" s="93" t="s">
        <v>336</v>
      </c>
      <c r="B765" s="93"/>
      <c r="C765" s="93"/>
      <c r="D765" s="93"/>
      <c r="E765" s="93"/>
      <c r="F765" s="93"/>
      <c r="G765" s="93"/>
      <c r="H765" s="93"/>
    </row>
    <row r="766" spans="1:19" s="36" customFormat="1" ht="15" x14ac:dyDescent="0.35">
      <c r="A766" s="93" t="s">
        <v>337</v>
      </c>
      <c r="B766" s="93"/>
      <c r="C766" s="93"/>
      <c r="D766" s="93"/>
      <c r="E766" s="93"/>
      <c r="F766" s="93"/>
      <c r="G766" s="93"/>
      <c r="H766" s="93"/>
    </row>
    <row r="767" spans="1:19" s="36" customFormat="1" ht="15.75" customHeight="1" x14ac:dyDescent="0.35">
      <c r="A767" s="51">
        <v>1</v>
      </c>
      <c r="B767" s="53" t="s">
        <v>228</v>
      </c>
      <c r="C767" s="51">
        <f>(2.75*4.4+2.1*2.75+2.75*3.3+1.8*1.15+1.2*1.85+2.1*0.9)*(10.764)</f>
        <v>356.61131999999992</v>
      </c>
      <c r="D767" s="51">
        <v>0</v>
      </c>
      <c r="E767" s="51">
        <f t="shared" ref="E767:E768" si="31">C767*1.5+D767</f>
        <v>534.91697999999985</v>
      </c>
      <c r="F767" s="92" t="str">
        <f>A766</f>
        <v>Ground Floor For Residential &amp; Parking</v>
      </c>
      <c r="G767" s="92"/>
      <c r="H767" s="144"/>
    </row>
    <row r="768" spans="1:19" s="36" customFormat="1" x14ac:dyDescent="0.35">
      <c r="A768" s="51">
        <v>2</v>
      </c>
      <c r="B768" s="53" t="s">
        <v>228</v>
      </c>
      <c r="C768" s="51">
        <f>(2.75*4.4+2.1*2.75+2.75*3.3+1.8*1.15+1.2*1.85+2.1*0.9)*(10.764)</f>
        <v>356.61131999999992</v>
      </c>
      <c r="D768" s="51">
        <v>0</v>
      </c>
      <c r="E768" s="51">
        <f t="shared" si="31"/>
        <v>534.91697999999985</v>
      </c>
      <c r="F768" s="92"/>
      <c r="G768" s="92"/>
      <c r="H768" s="144"/>
    </row>
    <row r="769" spans="1:10" s="36" customFormat="1" ht="15" x14ac:dyDescent="0.35">
      <c r="A769" s="93" t="s">
        <v>298</v>
      </c>
      <c r="B769" s="93"/>
      <c r="C769" s="93"/>
      <c r="D769" s="93"/>
      <c r="E769" s="93"/>
      <c r="F769" s="93"/>
      <c r="G769" s="93"/>
      <c r="H769" s="93"/>
    </row>
    <row r="770" spans="1:10" s="36" customFormat="1" ht="15.75" customHeight="1" x14ac:dyDescent="0.35">
      <c r="A770" s="51">
        <v>1</v>
      </c>
      <c r="B770" s="53" t="s">
        <v>228</v>
      </c>
      <c r="C770" s="51">
        <f>(2.75*4.4+2.1*2.75+2.75*3.3+1.7*0.75+1.8*1.15+1.2*1.85+2.1*0.9+2.75*0.75)*(10.764)</f>
        <v>392.53616999999997</v>
      </c>
      <c r="D770" s="51">
        <v>0</v>
      </c>
      <c r="E770" s="51">
        <f t="shared" ref="E770:E771" si="32">C770*1.5+D770</f>
        <v>588.80425500000001</v>
      </c>
      <c r="F770" s="92" t="str">
        <f>A769</f>
        <v>1st Floor</v>
      </c>
      <c r="G770" s="92"/>
      <c r="H770" s="92"/>
      <c r="J770" s="76"/>
    </row>
    <row r="771" spans="1:10" s="36" customFormat="1" x14ac:dyDescent="0.35">
      <c r="A771" s="51">
        <v>2</v>
      </c>
      <c r="B771" s="53" t="s">
        <v>228</v>
      </c>
      <c r="C771" s="51">
        <f>(2.75*4.4+2.1*2.8+2.75*3.3+1.7*0.6+1.8*1.1+1.2*1.8+2.1*0.9+2.75*0.75)*(10.764)</f>
        <v>389.30697000000004</v>
      </c>
      <c r="D771" s="51">
        <v>0</v>
      </c>
      <c r="E771" s="51">
        <f t="shared" si="32"/>
        <v>583.96045500000002</v>
      </c>
      <c r="F771" s="92"/>
      <c r="G771" s="92"/>
      <c r="H771" s="92"/>
    </row>
    <row r="772" spans="1:10" s="36" customFormat="1" ht="15" x14ac:dyDescent="0.35">
      <c r="A772" s="93" t="s">
        <v>329</v>
      </c>
      <c r="B772" s="93"/>
      <c r="C772" s="93"/>
      <c r="D772" s="93"/>
      <c r="E772" s="93"/>
      <c r="F772" s="93"/>
      <c r="G772" s="93"/>
      <c r="H772" s="93"/>
    </row>
    <row r="773" spans="1:10" s="36" customFormat="1" x14ac:dyDescent="0.35">
      <c r="A773" s="51">
        <v>1</v>
      </c>
      <c r="B773" s="53" t="s">
        <v>228</v>
      </c>
      <c r="C773" s="51">
        <f>(2.75*4.4+2.1*2.75+2.75*3.3+1.7*0.75+1.8*1.15+1.2*1.85+2.1*0.9)*(10.764)</f>
        <v>370.33542</v>
      </c>
      <c r="D773" s="51">
        <v>0</v>
      </c>
      <c r="E773" s="51">
        <f t="shared" ref="E773:E776" si="33">C773*1.5+D773</f>
        <v>555.50313000000006</v>
      </c>
      <c r="F773" s="92" t="str">
        <f>A772</f>
        <v>2nd to 7th Floor</v>
      </c>
      <c r="G773" s="92"/>
      <c r="H773" s="92"/>
    </row>
    <row r="774" spans="1:10" s="36" customFormat="1" x14ac:dyDescent="0.35">
      <c r="A774" s="51">
        <v>2</v>
      </c>
      <c r="B774" s="53" t="s">
        <v>228</v>
      </c>
      <c r="C774" s="51">
        <f>(2.75*4.4+2.1*2.8+2.75*3.3+1.7*0.6+1.8*1.1+1.2*1.8+2.1*0.9+2.75*0.75)*(10.764)</f>
        <v>389.30697000000004</v>
      </c>
      <c r="D774" s="51">
        <v>0</v>
      </c>
      <c r="E774" s="51">
        <f t="shared" si="33"/>
        <v>583.96045500000002</v>
      </c>
      <c r="F774" s="92"/>
      <c r="G774" s="92"/>
      <c r="H774" s="92"/>
    </row>
    <row r="775" spans="1:10" s="36" customFormat="1" x14ac:dyDescent="0.35">
      <c r="A775" s="51">
        <v>3</v>
      </c>
      <c r="B775" s="53" t="s">
        <v>228</v>
      </c>
      <c r="C775" s="51">
        <f>(2.75*4.4+2.1*2.8+2.75*3.3+1.7*0.6+1.8*1.1+1.2*1.8+2.1*0.9+2.75*0.75)*(10.764)</f>
        <v>389.30697000000004</v>
      </c>
      <c r="D775" s="51">
        <v>0</v>
      </c>
      <c r="E775" s="51">
        <f t="shared" si="33"/>
        <v>583.96045500000002</v>
      </c>
      <c r="F775" s="92"/>
      <c r="G775" s="92"/>
      <c r="H775" s="92"/>
    </row>
    <row r="776" spans="1:10" s="36" customFormat="1" x14ac:dyDescent="0.35">
      <c r="A776" s="51">
        <v>4</v>
      </c>
      <c r="B776" s="53" t="s">
        <v>228</v>
      </c>
      <c r="C776" s="51">
        <f>(2.75*4.4+2.1*2.75+2.75*3.3+1.7*0.75+1.8*1.15+1.2*1.85+2.1*0.9)*(10.764)</f>
        <v>370.33542</v>
      </c>
      <c r="D776" s="51">
        <v>0</v>
      </c>
      <c r="E776" s="51">
        <f t="shared" si="33"/>
        <v>555.50313000000006</v>
      </c>
      <c r="F776" s="92"/>
      <c r="G776" s="92"/>
      <c r="H776" s="92"/>
    </row>
    <row r="777" spans="1:10" s="36" customFormat="1" ht="15" x14ac:dyDescent="0.35">
      <c r="A777" s="93" t="s">
        <v>338</v>
      </c>
      <c r="B777" s="93"/>
      <c r="C777" s="93"/>
      <c r="D777" s="93"/>
      <c r="E777" s="93"/>
      <c r="F777" s="93"/>
      <c r="G777" s="93"/>
      <c r="H777" s="93"/>
    </row>
    <row r="778" spans="1:10" s="36" customFormat="1" ht="15" x14ac:dyDescent="0.35">
      <c r="A778" s="93" t="s">
        <v>301</v>
      </c>
      <c r="B778" s="93"/>
      <c r="C778" s="93"/>
      <c r="D778" s="93"/>
      <c r="E778" s="93"/>
      <c r="F778" s="93"/>
      <c r="G778" s="93"/>
      <c r="H778" s="93"/>
    </row>
    <row r="779" spans="1:10" s="36" customFormat="1" x14ac:dyDescent="0.35">
      <c r="A779" s="51">
        <v>1</v>
      </c>
      <c r="B779" s="94" t="s">
        <v>335</v>
      </c>
      <c r="C779" s="94"/>
      <c r="D779" s="94"/>
      <c r="E779" s="94"/>
      <c r="F779" s="92" t="str">
        <f>A778</f>
        <v>Ground Floor for Residential &amp; Parking</v>
      </c>
      <c r="G779" s="92"/>
      <c r="H779" s="92"/>
    </row>
    <row r="780" spans="1:10" s="36" customFormat="1" x14ac:dyDescent="0.35">
      <c r="A780" s="51">
        <v>2</v>
      </c>
      <c r="B780" s="53" t="s">
        <v>228</v>
      </c>
      <c r="C780" s="51">
        <f>(2.75*4.4+2.1*3.3+2.75*3.3+1.8*1.15+1.85*1.15)*(10.764)</f>
        <v>347.70411000000001</v>
      </c>
      <c r="D780" s="51">
        <v>0</v>
      </c>
      <c r="E780" s="51">
        <f t="shared" ref="E780:E783" si="34">C780*1.5+D780</f>
        <v>521.55616499999996</v>
      </c>
      <c r="F780" s="92"/>
      <c r="G780" s="92"/>
      <c r="H780" s="92"/>
    </row>
    <row r="781" spans="1:10" s="36" customFormat="1" x14ac:dyDescent="0.35">
      <c r="A781" s="51">
        <v>3</v>
      </c>
      <c r="B781" s="53" t="s">
        <v>228</v>
      </c>
      <c r="C781" s="51">
        <f>(2.9*4.05+1.75*0.9+2.1*3.2+2.75*3.2+1.8*1.05+1.2*1.65)*(10.764)</f>
        <v>352.09044</v>
      </c>
      <c r="D781" s="51">
        <v>0</v>
      </c>
      <c r="E781" s="51">
        <f t="shared" si="34"/>
        <v>528.13566000000003</v>
      </c>
      <c r="F781" s="92"/>
      <c r="G781" s="92"/>
      <c r="H781" s="92"/>
    </row>
    <row r="782" spans="1:10" s="36" customFormat="1" x14ac:dyDescent="0.35">
      <c r="A782" s="51">
        <v>4</v>
      </c>
      <c r="B782" s="53" t="s">
        <v>230</v>
      </c>
      <c r="C782" s="51">
        <f>(5.75*2.9+1.95*0.2+2.9*2.15+2.8*2.75+2.8*4+2.85*2.95+1.85*1.05+2*(1.85*1.2)+3.45*0.9)*(10.764)</f>
        <v>646.86257999999998</v>
      </c>
      <c r="D782" s="51">
        <v>0</v>
      </c>
      <c r="E782" s="51">
        <f t="shared" si="34"/>
        <v>970.29386999999997</v>
      </c>
      <c r="F782" s="92"/>
      <c r="G782" s="92"/>
      <c r="H782" s="92"/>
    </row>
    <row r="783" spans="1:10" s="36" customFormat="1" x14ac:dyDescent="0.35">
      <c r="A783" s="51">
        <v>5</v>
      </c>
      <c r="B783" s="54" t="s">
        <v>234</v>
      </c>
      <c r="C783" s="51">
        <f>(4.4*2.75+3.35*2.55+1.8*1.2+1.25*1.2)*(10.764)</f>
        <v>261.59210999999999</v>
      </c>
      <c r="D783" s="51">
        <v>0</v>
      </c>
      <c r="E783" s="51">
        <f t="shared" si="34"/>
        <v>392.38816499999996</v>
      </c>
      <c r="F783" s="92"/>
      <c r="G783" s="92"/>
      <c r="H783" s="92"/>
    </row>
    <row r="784" spans="1:10" s="36" customFormat="1" ht="15.75" customHeight="1" x14ac:dyDescent="0.35">
      <c r="A784" s="51">
        <v>6</v>
      </c>
      <c r="B784" s="94" t="s">
        <v>335</v>
      </c>
      <c r="C784" s="94"/>
      <c r="D784" s="94"/>
      <c r="E784" s="94"/>
      <c r="F784" s="92"/>
      <c r="G784" s="92"/>
      <c r="H784" s="92"/>
    </row>
    <row r="785" spans="1:9" s="36" customFormat="1" ht="15" x14ac:dyDescent="0.35">
      <c r="A785" s="93" t="s">
        <v>349</v>
      </c>
      <c r="B785" s="93"/>
      <c r="C785" s="93"/>
      <c r="D785" s="93"/>
      <c r="E785" s="93"/>
      <c r="F785" s="93"/>
      <c r="G785" s="93"/>
      <c r="H785" s="93"/>
    </row>
    <row r="786" spans="1:9" s="36" customFormat="1" x14ac:dyDescent="0.35">
      <c r="A786" s="51">
        <v>1</v>
      </c>
      <c r="B786" s="53" t="s">
        <v>228</v>
      </c>
      <c r="C786" s="51">
        <f>(2.75*4.4+2.1*3.3+2.75*3.3+1.1*0.6+2*(1.8*1.1)+2.75*0.75)*(10.764)</f>
        <v>374.45265000000001</v>
      </c>
      <c r="D786" s="51">
        <v>0</v>
      </c>
      <c r="E786" s="51">
        <f t="shared" ref="E786:E791" si="35">C786*1.5+D786</f>
        <v>561.67897500000004</v>
      </c>
      <c r="F786" s="92" t="str">
        <f>A785</f>
        <v>1st to 6th Floor</v>
      </c>
      <c r="G786" s="92"/>
      <c r="H786" s="92"/>
    </row>
    <row r="787" spans="1:9" s="36" customFormat="1" x14ac:dyDescent="0.35">
      <c r="A787" s="51">
        <v>2</v>
      </c>
      <c r="B787" s="53" t="s">
        <v>228</v>
      </c>
      <c r="C787" s="51">
        <f>(2.75*4.4+2.1*3.3+2.75*3.3+1.1*0.75+2*(1.8*1.1)+2.75*0.75)*(10.764)</f>
        <v>376.22870999999998</v>
      </c>
      <c r="D787" s="51">
        <v>0</v>
      </c>
      <c r="E787" s="51">
        <f t="shared" si="35"/>
        <v>564.34306500000002</v>
      </c>
      <c r="F787" s="92"/>
      <c r="G787" s="92"/>
      <c r="H787" s="92"/>
    </row>
    <row r="788" spans="1:9" s="36" customFormat="1" x14ac:dyDescent="0.35">
      <c r="A788" s="51">
        <v>3</v>
      </c>
      <c r="B788" s="53" t="s">
        <v>228</v>
      </c>
      <c r="C788" s="51">
        <f>(2.9*4.05+1.75*0.9+2.1*3.2+2.75*3.2+1.35*0.6+1.8*1.05+1.2*1.65+2.9*0.75)*(10.764)</f>
        <v>384.22097999999988</v>
      </c>
      <c r="D788" s="51">
        <v>0</v>
      </c>
      <c r="E788" s="51">
        <f t="shared" si="35"/>
        <v>576.33146999999985</v>
      </c>
      <c r="F788" s="92"/>
      <c r="G788" s="92"/>
      <c r="H788" s="92"/>
    </row>
    <row r="789" spans="1:9" s="36" customFormat="1" x14ac:dyDescent="0.35">
      <c r="A789" s="51">
        <v>4</v>
      </c>
      <c r="B789" s="53" t="s">
        <v>230</v>
      </c>
      <c r="C789" s="51">
        <f>(5.75*2.9+1.95*0.2+2.9*2.15+2.8*2.75+2.8*4+2.85*2.95+1.05*1.1+2*(1.85*1.2)+4.2*0.9+2.9*0.75)*(10.764)</f>
        <v>669.06332999999995</v>
      </c>
      <c r="D789" s="51">
        <v>0</v>
      </c>
      <c r="E789" s="51">
        <f t="shared" si="35"/>
        <v>1003.5949949999999</v>
      </c>
      <c r="F789" s="92"/>
      <c r="G789" s="92"/>
      <c r="H789" s="92"/>
    </row>
    <row r="790" spans="1:9" s="36" customFormat="1" x14ac:dyDescent="0.35">
      <c r="A790" s="51">
        <v>5</v>
      </c>
      <c r="B790" s="54" t="s">
        <v>234</v>
      </c>
      <c r="C790" s="51">
        <f>(4.4*2.75+3.35*2.55+1.8*1.2+1.2*1.2+2.75*0.75)*(10.764)</f>
        <v>283.14702</v>
      </c>
      <c r="D790" s="51">
        <v>0</v>
      </c>
      <c r="E790" s="51">
        <f t="shared" si="35"/>
        <v>424.72053</v>
      </c>
      <c r="F790" s="92"/>
      <c r="G790" s="92"/>
      <c r="H790" s="92"/>
    </row>
    <row r="791" spans="1:9" s="36" customFormat="1" x14ac:dyDescent="0.35">
      <c r="A791" s="51">
        <v>6</v>
      </c>
      <c r="B791" s="54" t="s">
        <v>234</v>
      </c>
      <c r="C791" s="51">
        <f>(4.4*2.75+3.35*2.55+1.8*1.2+1.2*1.2+2.75*0.75)*(10.764)</f>
        <v>283.14702</v>
      </c>
      <c r="D791" s="51">
        <v>0</v>
      </c>
      <c r="E791" s="51">
        <f t="shared" si="35"/>
        <v>424.72053</v>
      </c>
      <c r="F791" s="92"/>
      <c r="G791" s="92"/>
      <c r="H791" s="92"/>
    </row>
    <row r="792" spans="1:9" s="36" customFormat="1" ht="15" x14ac:dyDescent="0.35">
      <c r="A792" s="93" t="s">
        <v>350</v>
      </c>
      <c r="B792" s="93"/>
      <c r="C792" s="93"/>
      <c r="D792" s="93"/>
      <c r="E792" s="93"/>
      <c r="F792" s="93"/>
      <c r="G792" s="93"/>
      <c r="H792" s="93"/>
    </row>
    <row r="793" spans="1:9" s="36" customFormat="1" x14ac:dyDescent="0.35">
      <c r="A793" s="51">
        <v>1</v>
      </c>
      <c r="B793" s="53" t="s">
        <v>228</v>
      </c>
      <c r="C793" s="51">
        <f>(2.75*4.4+2.1*3.3+2.75*3.3+1.1*0.6+2*(1.8*1.1)+2.75*0.75)*(10.764)</f>
        <v>374.45265000000001</v>
      </c>
      <c r="D793" s="51">
        <v>0</v>
      </c>
      <c r="E793" s="51">
        <f t="shared" ref="E793:E798" si="36">C793*1.5+D793</f>
        <v>561.67897500000004</v>
      </c>
      <c r="F793" s="92" t="str">
        <f>A792</f>
        <v>7th Floor</v>
      </c>
      <c r="G793" s="92"/>
      <c r="H793" s="92"/>
    </row>
    <row r="794" spans="1:9" s="36" customFormat="1" x14ac:dyDescent="0.35">
      <c r="A794" s="51">
        <v>2</v>
      </c>
      <c r="B794" s="53" t="s">
        <v>228</v>
      </c>
      <c r="C794" s="51">
        <f>(2.75*4.4+2.1*3.3+2.75*3.3+1.1*0.75+2*(1.8*1.1)+2.75*0.75)*(10.764)</f>
        <v>376.22870999999998</v>
      </c>
      <c r="D794" s="51">
        <v>0</v>
      </c>
      <c r="E794" s="51">
        <v>608</v>
      </c>
      <c r="F794" s="92"/>
      <c r="G794" s="92"/>
      <c r="H794" s="92"/>
      <c r="I794" s="77" t="s">
        <v>351</v>
      </c>
    </row>
    <row r="795" spans="1:9" s="36" customFormat="1" x14ac:dyDescent="0.35">
      <c r="A795" s="51">
        <v>3</v>
      </c>
      <c r="B795" s="53" t="s">
        <v>228</v>
      </c>
      <c r="C795" s="51">
        <f>(2.9*4.05+1.75*0.9+2.1*3.2+2.75*3.2+1.35*0.6+1.8*1.05+1.2*1.65+2.9*0.75)*(10.764)</f>
        <v>384.22097999999988</v>
      </c>
      <c r="D795" s="51">
        <v>0</v>
      </c>
      <c r="E795" s="51">
        <f t="shared" si="36"/>
        <v>576.33146999999985</v>
      </c>
      <c r="F795" s="92"/>
      <c r="G795" s="92"/>
      <c r="H795" s="92"/>
    </row>
    <row r="796" spans="1:9" s="36" customFormat="1" x14ac:dyDescent="0.35">
      <c r="A796" s="51">
        <v>4</v>
      </c>
      <c r="B796" s="53" t="s">
        <v>230</v>
      </c>
      <c r="C796" s="51">
        <f>(5.75*2.9+1.95*0.2+2.9*2.15+2.8*2.75+2.8*4+2.85*2.95+1.05*1.1+2*(1.85*1.2)+4.2*0.9+2.9*0.75)*(10.764)</f>
        <v>669.06332999999995</v>
      </c>
      <c r="D796" s="51">
        <v>0</v>
      </c>
      <c r="E796" s="51">
        <f t="shared" si="36"/>
        <v>1003.5949949999999</v>
      </c>
      <c r="F796" s="92"/>
      <c r="G796" s="92"/>
      <c r="H796" s="92"/>
    </row>
    <row r="797" spans="1:9" s="36" customFormat="1" x14ac:dyDescent="0.35">
      <c r="A797" s="51">
        <v>5</v>
      </c>
      <c r="B797" s="54" t="s">
        <v>234</v>
      </c>
      <c r="C797" s="51">
        <f>(4.4*2.75+3.35*2.55+1.8*1.2+1.2*1.2+2.75*0.75)*(10.764)</f>
        <v>283.14702</v>
      </c>
      <c r="D797" s="51">
        <v>0</v>
      </c>
      <c r="E797" s="51">
        <f t="shared" si="36"/>
        <v>424.72053</v>
      </c>
      <c r="F797" s="92"/>
      <c r="G797" s="92"/>
      <c r="H797" s="92"/>
    </row>
    <row r="798" spans="1:9" s="36" customFormat="1" x14ac:dyDescent="0.35">
      <c r="A798" s="51">
        <v>6</v>
      </c>
      <c r="B798" s="54" t="s">
        <v>234</v>
      </c>
      <c r="C798" s="51">
        <f>(4.4*2.75+3.35*2.55+1.8*1.2+1.2*1.2+2.75*0.75)*(10.764)</f>
        <v>283.14702</v>
      </c>
      <c r="D798" s="51">
        <v>0</v>
      </c>
      <c r="E798" s="51">
        <f t="shared" si="36"/>
        <v>424.72053</v>
      </c>
      <c r="F798" s="92"/>
      <c r="G798" s="92"/>
      <c r="H798" s="92"/>
    </row>
    <row r="799" spans="1:9" s="36" customFormat="1" ht="17.25" customHeight="1" x14ac:dyDescent="0.35">
      <c r="A799" s="140" t="s">
        <v>264</v>
      </c>
      <c r="B799" s="140"/>
      <c r="C799" s="140"/>
      <c r="D799" s="140"/>
      <c r="E799" s="140"/>
      <c r="F799" s="140"/>
      <c r="G799" s="140"/>
      <c r="H799" s="140"/>
    </row>
    <row r="800" spans="1:9" s="36" customFormat="1" ht="16.5" customHeight="1" x14ac:dyDescent="0.35">
      <c r="A800" s="87">
        <v>1</v>
      </c>
      <c r="B800" s="120" t="s">
        <v>357</v>
      </c>
      <c r="C800" s="127"/>
      <c r="D800" s="127"/>
      <c r="E800" s="127"/>
      <c r="F800" s="127"/>
      <c r="G800" s="127"/>
      <c r="H800" s="121"/>
    </row>
    <row r="801" spans="1:10" s="36" customFormat="1" ht="15" customHeight="1" x14ac:dyDescent="0.35">
      <c r="A801" s="87">
        <f>A800+1</f>
        <v>2</v>
      </c>
      <c r="B801" s="120" t="s">
        <v>358</v>
      </c>
      <c r="C801" s="127"/>
      <c r="D801" s="127"/>
      <c r="E801" s="127"/>
      <c r="F801" s="127"/>
      <c r="G801" s="127"/>
      <c r="H801" s="121"/>
    </row>
    <row r="802" spans="1:10" s="36" customFormat="1" ht="15" customHeight="1" x14ac:dyDescent="0.35">
      <c r="A802" s="87">
        <f t="shared" ref="A802:A808" si="37">A801+1</f>
        <v>3</v>
      </c>
      <c r="B802" s="120" t="s">
        <v>359</v>
      </c>
      <c r="C802" s="127"/>
      <c r="D802" s="127"/>
      <c r="E802" s="127"/>
      <c r="F802" s="127"/>
      <c r="G802" s="127"/>
      <c r="H802" s="121"/>
    </row>
    <row r="803" spans="1:10" s="36" customFormat="1" ht="15" customHeight="1" x14ac:dyDescent="0.35">
      <c r="A803" s="87">
        <f t="shared" si="37"/>
        <v>4</v>
      </c>
      <c r="B803" s="120" t="s">
        <v>360</v>
      </c>
      <c r="C803" s="127"/>
      <c r="D803" s="127"/>
      <c r="E803" s="127"/>
      <c r="F803" s="127"/>
      <c r="G803" s="127"/>
      <c r="H803" s="121"/>
      <c r="J803" s="86"/>
    </row>
    <row r="804" spans="1:10" s="36" customFormat="1" ht="15" customHeight="1" x14ac:dyDescent="0.35">
      <c r="A804" s="87">
        <f t="shared" si="37"/>
        <v>5</v>
      </c>
      <c r="B804" s="120" t="s">
        <v>361</v>
      </c>
      <c r="C804" s="127"/>
      <c r="D804" s="127"/>
      <c r="E804" s="127"/>
      <c r="F804" s="127"/>
      <c r="G804" s="127"/>
      <c r="H804" s="121"/>
    </row>
    <row r="805" spans="1:10" s="36" customFormat="1" ht="15" customHeight="1" x14ac:dyDescent="0.35">
      <c r="A805" s="87">
        <f t="shared" si="37"/>
        <v>6</v>
      </c>
      <c r="B805" s="120" t="s">
        <v>362</v>
      </c>
      <c r="C805" s="127"/>
      <c r="D805" s="127"/>
      <c r="E805" s="127"/>
      <c r="F805" s="127"/>
      <c r="G805" s="127"/>
      <c r="H805" s="121"/>
    </row>
    <row r="806" spans="1:10" s="36" customFormat="1" ht="15" x14ac:dyDescent="0.35">
      <c r="A806" s="87">
        <f t="shared" si="37"/>
        <v>7</v>
      </c>
      <c r="B806" s="120" t="s">
        <v>363</v>
      </c>
      <c r="C806" s="127"/>
      <c r="D806" s="127"/>
      <c r="E806" s="127"/>
      <c r="F806" s="127"/>
      <c r="G806" s="127"/>
      <c r="H806" s="121"/>
    </row>
    <row r="807" spans="1:10" s="36" customFormat="1" ht="15" x14ac:dyDescent="0.35">
      <c r="A807" s="87">
        <f t="shared" si="37"/>
        <v>8</v>
      </c>
      <c r="B807" s="120" t="s">
        <v>364</v>
      </c>
      <c r="C807" s="127"/>
      <c r="D807" s="127"/>
      <c r="E807" s="127"/>
      <c r="F807" s="127"/>
      <c r="G807" s="127"/>
      <c r="H807" s="121"/>
    </row>
    <row r="808" spans="1:10" s="36" customFormat="1" ht="33.75" customHeight="1" x14ac:dyDescent="0.35">
      <c r="A808" s="88">
        <f t="shared" si="37"/>
        <v>9</v>
      </c>
      <c r="B808" s="200" t="s">
        <v>365</v>
      </c>
      <c r="C808" s="201"/>
      <c r="D808" s="201"/>
      <c r="E808" s="201"/>
      <c r="F808" s="201"/>
      <c r="G808" s="201"/>
      <c r="H808" s="202"/>
    </row>
    <row r="809" spans="1:10" s="36" customFormat="1" ht="15" hidden="1" customHeight="1" x14ac:dyDescent="0.35">
      <c r="A809" s="85" t="s">
        <v>356</v>
      </c>
      <c r="B809" s="120"/>
      <c r="C809" s="127"/>
      <c r="D809" s="127"/>
      <c r="E809" s="127"/>
      <c r="F809" s="127"/>
      <c r="G809" s="127"/>
      <c r="H809" s="121"/>
    </row>
    <row r="810" spans="1:10" s="36" customFormat="1" ht="15" hidden="1" customHeight="1" x14ac:dyDescent="0.35">
      <c r="A810" s="85" t="s">
        <v>356</v>
      </c>
      <c r="B810" s="120"/>
      <c r="C810" s="127"/>
      <c r="D810" s="127"/>
      <c r="E810" s="127"/>
      <c r="F810" s="127"/>
      <c r="G810" s="127"/>
      <c r="H810" s="121"/>
    </row>
    <row r="811" spans="1:10" s="36" customFormat="1" ht="15" hidden="1" customHeight="1" x14ac:dyDescent="0.35">
      <c r="A811" s="85" t="s">
        <v>356</v>
      </c>
      <c r="B811" s="203"/>
      <c r="C811" s="204"/>
      <c r="D811" s="204"/>
      <c r="E811" s="204"/>
      <c r="F811" s="204"/>
      <c r="G811" s="204"/>
      <c r="H811" s="205"/>
    </row>
    <row r="812" spans="1:10" x14ac:dyDescent="0.35">
      <c r="A812" s="151" t="s">
        <v>5</v>
      </c>
      <c r="B812" s="151"/>
      <c r="C812" s="151"/>
      <c r="D812" s="151"/>
      <c r="E812" s="151"/>
      <c r="F812" s="151"/>
      <c r="G812" s="151"/>
      <c r="H812" s="151"/>
    </row>
    <row r="813" spans="1:10" x14ac:dyDescent="0.35">
      <c r="A813" s="156" t="s">
        <v>6</v>
      </c>
      <c r="B813" s="156"/>
      <c r="C813" s="156"/>
      <c r="D813" s="156"/>
      <c r="E813" s="156"/>
      <c r="F813" s="156"/>
      <c r="G813" s="156"/>
      <c r="H813" s="156"/>
      <c r="I813" s="84"/>
    </row>
    <row r="814" spans="1:10" ht="15.75" customHeight="1" x14ac:dyDescent="0.35">
      <c r="A814" s="157" t="s">
        <v>7</v>
      </c>
      <c r="B814" s="157"/>
      <c r="C814" s="157"/>
      <c r="D814" s="157"/>
      <c r="E814" s="157"/>
      <c r="F814" s="157"/>
      <c r="G814" s="157"/>
      <c r="H814" s="157"/>
    </row>
    <row r="815" spans="1:10" x14ac:dyDescent="0.35">
      <c r="A815" s="156" t="s">
        <v>8</v>
      </c>
      <c r="B815" s="156"/>
      <c r="C815" s="156"/>
      <c r="D815" s="156"/>
      <c r="E815" s="156"/>
      <c r="F815" s="156"/>
      <c r="G815" s="156"/>
      <c r="H815" s="156"/>
    </row>
    <row r="816" spans="1:10" x14ac:dyDescent="0.35">
      <c r="A816" s="156" t="s">
        <v>9</v>
      </c>
      <c r="B816" s="156"/>
      <c r="C816" s="156"/>
      <c r="D816" s="156"/>
      <c r="E816" s="156"/>
      <c r="F816" s="156"/>
      <c r="G816" s="156"/>
      <c r="H816" s="156"/>
    </row>
    <row r="817" spans="1:8" x14ac:dyDescent="0.35">
      <c r="A817" s="156" t="s">
        <v>61</v>
      </c>
      <c r="B817" s="156"/>
      <c r="C817" s="156"/>
      <c r="D817" s="156"/>
      <c r="E817" s="156"/>
      <c r="F817" s="156"/>
      <c r="G817" s="156"/>
      <c r="H817" s="156"/>
    </row>
    <row r="818" spans="1:8" ht="35.25" customHeight="1" x14ac:dyDescent="0.35">
      <c r="A818" s="158" t="s">
        <v>62</v>
      </c>
      <c r="B818" s="158"/>
      <c r="C818" s="158"/>
      <c r="D818" s="158"/>
      <c r="E818" s="158"/>
      <c r="F818" s="158"/>
      <c r="G818" s="158"/>
      <c r="H818" s="158"/>
    </row>
    <row r="819" spans="1:8" x14ac:dyDescent="0.35">
      <c r="A819" s="159" t="s">
        <v>35</v>
      </c>
      <c r="B819" s="159"/>
      <c r="C819" s="159" t="s">
        <v>369</v>
      </c>
      <c r="D819" s="159"/>
      <c r="E819" s="159" t="s">
        <v>48</v>
      </c>
      <c r="F819" s="159"/>
      <c r="G819" s="159" t="s">
        <v>368</v>
      </c>
      <c r="H819" s="159"/>
    </row>
    <row r="820" spans="1:8" x14ac:dyDescent="0.35">
      <c r="A820" s="160" t="s">
        <v>36</v>
      </c>
      <c r="B820" s="160"/>
      <c r="C820" s="160"/>
      <c r="D820" s="160"/>
      <c r="E820" s="160"/>
      <c r="F820" s="160"/>
      <c r="G820" s="160"/>
      <c r="H820" s="160"/>
    </row>
    <row r="821" spans="1:8" x14ac:dyDescent="0.35">
      <c r="A821" s="160"/>
      <c r="B821" s="160"/>
      <c r="C821" s="160"/>
      <c r="D821" s="160"/>
      <c r="E821" s="160"/>
      <c r="F821" s="160"/>
      <c r="G821" s="160"/>
      <c r="H821" s="160"/>
    </row>
    <row r="822" spans="1:8" x14ac:dyDescent="0.35">
      <c r="A822" s="160"/>
      <c r="B822" s="160"/>
      <c r="C822" s="160"/>
      <c r="D822" s="160"/>
      <c r="E822" s="160"/>
      <c r="F822" s="160"/>
      <c r="G822" s="160"/>
      <c r="H822" s="160"/>
    </row>
    <row r="823" spans="1:8" x14ac:dyDescent="0.35">
      <c r="A823" s="160"/>
      <c r="B823" s="160"/>
      <c r="C823" s="160"/>
      <c r="D823" s="160"/>
      <c r="E823" s="160"/>
      <c r="F823" s="160"/>
      <c r="G823" s="160"/>
      <c r="H823" s="160"/>
    </row>
    <row r="824" spans="1:8" x14ac:dyDescent="0.35">
      <c r="A824" s="154" t="s">
        <v>266</v>
      </c>
      <c r="B824" s="154"/>
      <c r="C824" s="154"/>
      <c r="D824" s="154"/>
      <c r="E824" s="38"/>
      <c r="F824" s="38"/>
      <c r="G824" s="38"/>
      <c r="H824" s="38"/>
    </row>
    <row r="825" spans="1:8" x14ac:dyDescent="0.35">
      <c r="A825" s="38"/>
      <c r="B825" s="38"/>
      <c r="C825" s="38"/>
      <c r="D825" s="38"/>
      <c r="E825" s="38"/>
      <c r="F825" s="38"/>
      <c r="G825" s="38"/>
      <c r="H825" s="38"/>
    </row>
    <row r="868" spans="1:2" x14ac:dyDescent="0.35">
      <c r="A868" s="155" t="s">
        <v>10</v>
      </c>
      <c r="B868" s="155"/>
    </row>
  </sheetData>
  <mergeCells count="539">
    <mergeCell ref="B803:H803"/>
    <mergeCell ref="B804:H804"/>
    <mergeCell ref="B805:H805"/>
    <mergeCell ref="B806:H806"/>
    <mergeCell ref="B807:H807"/>
    <mergeCell ref="B808:H808"/>
    <mergeCell ref="B809:H809"/>
    <mergeCell ref="B810:H810"/>
    <mergeCell ref="B811:H811"/>
    <mergeCell ref="I756:S756"/>
    <mergeCell ref="I757:S757"/>
    <mergeCell ref="I735:S735"/>
    <mergeCell ref="B800:H800"/>
    <mergeCell ref="B801:H801"/>
    <mergeCell ref="B802:H802"/>
    <mergeCell ref="A777:H777"/>
    <mergeCell ref="A778:H778"/>
    <mergeCell ref="B779:E779"/>
    <mergeCell ref="F779:H784"/>
    <mergeCell ref="B784:E784"/>
    <mergeCell ref="A785:H785"/>
    <mergeCell ref="F786:H791"/>
    <mergeCell ref="A751:H751"/>
    <mergeCell ref="F752:H757"/>
    <mergeCell ref="A765:H765"/>
    <mergeCell ref="A766:H766"/>
    <mergeCell ref="F767:H768"/>
    <mergeCell ref="A769:H769"/>
    <mergeCell ref="F770:H771"/>
    <mergeCell ref="A772:H772"/>
    <mergeCell ref="F773:H776"/>
    <mergeCell ref="A758:H758"/>
    <mergeCell ref="F759:H764"/>
    <mergeCell ref="F715:H718"/>
    <mergeCell ref="A719:H719"/>
    <mergeCell ref="A720:H720"/>
    <mergeCell ref="F721:H728"/>
    <mergeCell ref="A729:H729"/>
    <mergeCell ref="F730:H735"/>
    <mergeCell ref="A736:H736"/>
    <mergeCell ref="F737:H742"/>
    <mergeCell ref="A743:H743"/>
    <mergeCell ref="A744:H744"/>
    <mergeCell ref="F745:H750"/>
    <mergeCell ref="B745:E745"/>
    <mergeCell ref="B750:E750"/>
    <mergeCell ref="A35:B35"/>
    <mergeCell ref="C35:H35"/>
    <mergeCell ref="A56:A59"/>
    <mergeCell ref="B56:C59"/>
    <mergeCell ref="A121:B121"/>
    <mergeCell ref="A122:H122"/>
    <mergeCell ref="A123:H123"/>
    <mergeCell ref="C124:H124"/>
    <mergeCell ref="A101:B101"/>
    <mergeCell ref="A104:B104"/>
    <mergeCell ref="A92:B92"/>
    <mergeCell ref="A95:B95"/>
    <mergeCell ref="E111:F111"/>
    <mergeCell ref="G111:H111"/>
    <mergeCell ref="G112:H121"/>
    <mergeCell ref="A113:B113"/>
    <mergeCell ref="A114:B114"/>
    <mergeCell ref="A112:B112"/>
    <mergeCell ref="A115:B115"/>
    <mergeCell ref="C106:H106"/>
    <mergeCell ref="A36:H36"/>
    <mergeCell ref="A37:D37"/>
    <mergeCell ref="E39:H39"/>
    <mergeCell ref="A39:D39"/>
    <mergeCell ref="A51:H51"/>
    <mergeCell ref="A93:B94"/>
    <mergeCell ref="C93:D94"/>
    <mergeCell ref="F68:H68"/>
    <mergeCell ref="A43:H43"/>
    <mergeCell ref="F57:H57"/>
    <mergeCell ref="F58:H58"/>
    <mergeCell ref="F59:H59"/>
    <mergeCell ref="F60:H60"/>
    <mergeCell ref="F61:H61"/>
    <mergeCell ref="F62:H62"/>
    <mergeCell ref="E52:H52"/>
    <mergeCell ref="E53:H53"/>
    <mergeCell ref="E54:H54"/>
    <mergeCell ref="A50:B50"/>
    <mergeCell ref="C50:E50"/>
    <mergeCell ref="G50:H50"/>
    <mergeCell ref="F76:H76"/>
    <mergeCell ref="F77:H77"/>
    <mergeCell ref="C44:E44"/>
    <mergeCell ref="E131:H131"/>
    <mergeCell ref="E112:F121"/>
    <mergeCell ref="E129:H129"/>
    <mergeCell ref="A108:B108"/>
    <mergeCell ref="C108:H108"/>
    <mergeCell ref="A111:B111"/>
    <mergeCell ref="A109:B110"/>
    <mergeCell ref="C109:D110"/>
    <mergeCell ref="E109:F110"/>
    <mergeCell ref="G109:H110"/>
    <mergeCell ref="G96:H105"/>
    <mergeCell ref="A103:B103"/>
    <mergeCell ref="A99:B99"/>
    <mergeCell ref="A100:B100"/>
    <mergeCell ref="A125:H125"/>
    <mergeCell ref="E126:H126"/>
    <mergeCell ref="E127:H127"/>
    <mergeCell ref="E128:H128"/>
    <mergeCell ref="E130:H130"/>
    <mergeCell ref="A21:D21"/>
    <mergeCell ref="E21:H21"/>
    <mergeCell ref="E15:F15"/>
    <mergeCell ref="G15:H15"/>
    <mergeCell ref="E16:F16"/>
    <mergeCell ref="G16:H16"/>
    <mergeCell ref="E17:F17"/>
    <mergeCell ref="G17:H17"/>
    <mergeCell ref="E18:F18"/>
    <mergeCell ref="G18:H18"/>
    <mergeCell ref="E19:H19"/>
    <mergeCell ref="E20:H20"/>
    <mergeCell ref="A19:D19"/>
    <mergeCell ref="A20:D20"/>
    <mergeCell ref="B13:H13"/>
    <mergeCell ref="B15:D15"/>
    <mergeCell ref="B16:D16"/>
    <mergeCell ref="B17:D17"/>
    <mergeCell ref="B18:D18"/>
    <mergeCell ref="B14:H14"/>
    <mergeCell ref="E8:H8"/>
    <mergeCell ref="E9:H9"/>
    <mergeCell ref="A1:H1"/>
    <mergeCell ref="A2:H2"/>
    <mergeCell ref="A10:D10"/>
    <mergeCell ref="E10:H10"/>
    <mergeCell ref="A5:D5"/>
    <mergeCell ref="E5:H5"/>
    <mergeCell ref="A6:D6"/>
    <mergeCell ref="E3:H3"/>
    <mergeCell ref="E4:H4"/>
    <mergeCell ref="A3:D3"/>
    <mergeCell ref="A249:H249"/>
    <mergeCell ref="A263:H263"/>
    <mergeCell ref="A264:H264"/>
    <mergeCell ref="A256:H256"/>
    <mergeCell ref="A191:H191"/>
    <mergeCell ref="F183:H190"/>
    <mergeCell ref="A167:H167"/>
    <mergeCell ref="A72:A75"/>
    <mergeCell ref="B72:C75"/>
    <mergeCell ref="A76:A79"/>
    <mergeCell ref="B76:C79"/>
    <mergeCell ref="A126:D126"/>
    <mergeCell ref="A127:D127"/>
    <mergeCell ref="A128:D128"/>
    <mergeCell ref="A124:B124"/>
    <mergeCell ref="A116:B116"/>
    <mergeCell ref="A117:B117"/>
    <mergeCell ref="A118:B118"/>
    <mergeCell ref="A119:B119"/>
    <mergeCell ref="A120:B120"/>
    <mergeCell ref="A102:B102"/>
    <mergeCell ref="A90:B90"/>
    <mergeCell ref="C90:H90"/>
    <mergeCell ref="F135:H135"/>
    <mergeCell ref="F599:H604"/>
    <mergeCell ref="F606:H611"/>
    <mergeCell ref="F614:H621"/>
    <mergeCell ref="F623:H626"/>
    <mergeCell ref="F628:H633"/>
    <mergeCell ref="A598:H598"/>
    <mergeCell ref="A26:D26"/>
    <mergeCell ref="E26:H26"/>
    <mergeCell ref="A89:C89"/>
    <mergeCell ref="D89:H89"/>
    <mergeCell ref="C92:H92"/>
    <mergeCell ref="E95:F95"/>
    <mergeCell ref="G95:H95"/>
    <mergeCell ref="A96:B96"/>
    <mergeCell ref="A97:B97"/>
    <mergeCell ref="A98:B98"/>
    <mergeCell ref="A38:D38"/>
    <mergeCell ref="E38:H38"/>
    <mergeCell ref="E40:H40"/>
    <mergeCell ref="E41:H41"/>
    <mergeCell ref="E42:H42"/>
    <mergeCell ref="A41:D41"/>
    <mergeCell ref="A42:D42"/>
    <mergeCell ref="A240:H240"/>
    <mergeCell ref="A408:H408"/>
    <mergeCell ref="A417:H417"/>
    <mergeCell ref="A431:H431"/>
    <mergeCell ref="A432:H432"/>
    <mergeCell ref="A481:H481"/>
    <mergeCell ref="A474:H474"/>
    <mergeCell ref="A468:H468"/>
    <mergeCell ref="A469:H469"/>
    <mergeCell ref="A461:H461"/>
    <mergeCell ref="A455:H455"/>
    <mergeCell ref="A456:H456"/>
    <mergeCell ref="F475:H480"/>
    <mergeCell ref="F409:H416"/>
    <mergeCell ref="F418:H423"/>
    <mergeCell ref="F425:H430"/>
    <mergeCell ref="F433:H440"/>
    <mergeCell ref="F442:H447"/>
    <mergeCell ref="F449:H454"/>
    <mergeCell ref="F457:H460"/>
    <mergeCell ref="F462:H467"/>
    <mergeCell ref="F470:H473"/>
    <mergeCell ref="A424:H424"/>
    <mergeCell ref="A824:D824"/>
    <mergeCell ref="A868:B868"/>
    <mergeCell ref="A813:H813"/>
    <mergeCell ref="A814:H814"/>
    <mergeCell ref="A815:H815"/>
    <mergeCell ref="A816:H816"/>
    <mergeCell ref="A817:H817"/>
    <mergeCell ref="A818:H818"/>
    <mergeCell ref="A819:B819"/>
    <mergeCell ref="C819:D819"/>
    <mergeCell ref="E819:F819"/>
    <mergeCell ref="G819:H819"/>
    <mergeCell ref="A820:H823"/>
    <mergeCell ref="A812:H812"/>
    <mergeCell ref="A27:D27"/>
    <mergeCell ref="E27:H27"/>
    <mergeCell ref="A526:H526"/>
    <mergeCell ref="A512:H512"/>
    <mergeCell ref="A511:H511"/>
    <mergeCell ref="A504:H504"/>
    <mergeCell ref="E37:H37"/>
    <mergeCell ref="B32:C32"/>
    <mergeCell ref="D32:E32"/>
    <mergeCell ref="B28:C28"/>
    <mergeCell ref="D28:E28"/>
    <mergeCell ref="B29:C29"/>
    <mergeCell ref="D29:E29"/>
    <mergeCell ref="B30:C30"/>
    <mergeCell ref="D30:E30"/>
    <mergeCell ref="B31:C31"/>
    <mergeCell ref="D31:E31"/>
    <mergeCell ref="F140:H140"/>
    <mergeCell ref="F142:H142"/>
    <mergeCell ref="A143:H143"/>
    <mergeCell ref="F144:H144"/>
    <mergeCell ref="F145:H145"/>
    <mergeCell ref="F146:H146"/>
    <mergeCell ref="F141:H141"/>
    <mergeCell ref="F148:H148"/>
    <mergeCell ref="F149:H149"/>
    <mergeCell ref="F150:H150"/>
    <mergeCell ref="F152:H152"/>
    <mergeCell ref="A153:H153"/>
    <mergeCell ref="A154:H154"/>
    <mergeCell ref="D148:E148"/>
    <mergeCell ref="D149:E149"/>
    <mergeCell ref="D150:E150"/>
    <mergeCell ref="D152:E152"/>
    <mergeCell ref="B148:C148"/>
    <mergeCell ref="B149:C149"/>
    <mergeCell ref="B150:C150"/>
    <mergeCell ref="B152:C152"/>
    <mergeCell ref="B151:C151"/>
    <mergeCell ref="D151:E151"/>
    <mergeCell ref="F151:H151"/>
    <mergeCell ref="D144:E144"/>
    <mergeCell ref="D145:E145"/>
    <mergeCell ref="D146:E146"/>
    <mergeCell ref="B144:C144"/>
    <mergeCell ref="B145:C145"/>
    <mergeCell ref="B146:C146"/>
    <mergeCell ref="A799:H799"/>
    <mergeCell ref="F670:H675"/>
    <mergeCell ref="A669:H669"/>
    <mergeCell ref="A662:H662"/>
    <mergeCell ref="A654:H654"/>
    <mergeCell ref="A655:H655"/>
    <mergeCell ref="A647:H647"/>
    <mergeCell ref="F656:H661"/>
    <mergeCell ref="F663:H668"/>
    <mergeCell ref="A676:H676"/>
    <mergeCell ref="A677:H677"/>
    <mergeCell ref="A678:H678"/>
    <mergeCell ref="F679:H686"/>
    <mergeCell ref="A687:H687"/>
    <mergeCell ref="F688:H693"/>
    <mergeCell ref="A694:H694"/>
    <mergeCell ref="F695:H700"/>
    <mergeCell ref="A702:H702"/>
    <mergeCell ref="F703:H708"/>
    <mergeCell ref="A701:H701"/>
    <mergeCell ref="A709:H709"/>
    <mergeCell ref="F710:H713"/>
    <mergeCell ref="A714:H714"/>
    <mergeCell ref="A792:H792"/>
    <mergeCell ref="A287:H287"/>
    <mergeCell ref="A288:H288"/>
    <mergeCell ref="A280:H280"/>
    <mergeCell ref="F307:H312"/>
    <mergeCell ref="F314:H319"/>
    <mergeCell ref="A406:H406"/>
    <mergeCell ref="A321:H321"/>
    <mergeCell ref="A322:H322"/>
    <mergeCell ref="F323:H330"/>
    <mergeCell ref="A331:H331"/>
    <mergeCell ref="F332:H337"/>
    <mergeCell ref="A338:H338"/>
    <mergeCell ref="F339:H344"/>
    <mergeCell ref="A345:H345"/>
    <mergeCell ref="A346:H346"/>
    <mergeCell ref="F347:H354"/>
    <mergeCell ref="A355:H355"/>
    <mergeCell ref="F356:H361"/>
    <mergeCell ref="A391:H391"/>
    <mergeCell ref="A392:H392"/>
    <mergeCell ref="B393:E393"/>
    <mergeCell ref="F393:H398"/>
    <mergeCell ref="B398:E398"/>
    <mergeCell ref="A399:H399"/>
    <mergeCell ref="A239:H239"/>
    <mergeCell ref="A231:H231"/>
    <mergeCell ref="A225:H225"/>
    <mergeCell ref="A226:H226"/>
    <mergeCell ref="A218:H218"/>
    <mergeCell ref="A211:H211"/>
    <mergeCell ref="A205:H205"/>
    <mergeCell ref="A206:H206"/>
    <mergeCell ref="F232:H237"/>
    <mergeCell ref="F159:H166"/>
    <mergeCell ref="F168:H173"/>
    <mergeCell ref="F175:H180"/>
    <mergeCell ref="F192:H197"/>
    <mergeCell ref="A238:H238"/>
    <mergeCell ref="F199:H204"/>
    <mergeCell ref="F207:H210"/>
    <mergeCell ref="F212:H217"/>
    <mergeCell ref="F219:H224"/>
    <mergeCell ref="F227:H230"/>
    <mergeCell ref="A198:H198"/>
    <mergeCell ref="A181:H181"/>
    <mergeCell ref="A182:H182"/>
    <mergeCell ref="A174:H174"/>
    <mergeCell ref="F482:H487"/>
    <mergeCell ref="F500:H503"/>
    <mergeCell ref="A499:H499"/>
    <mergeCell ref="A488:H488"/>
    <mergeCell ref="A441:H441"/>
    <mergeCell ref="A448:H448"/>
    <mergeCell ref="F505:H510"/>
    <mergeCell ref="F513:H525"/>
    <mergeCell ref="F241:H248"/>
    <mergeCell ref="F250:H255"/>
    <mergeCell ref="F257:H262"/>
    <mergeCell ref="F265:H272"/>
    <mergeCell ref="F274:H279"/>
    <mergeCell ref="F281:H286"/>
    <mergeCell ref="F289:H292"/>
    <mergeCell ref="F294:H299"/>
    <mergeCell ref="F302:H305"/>
    <mergeCell ref="A273:H273"/>
    <mergeCell ref="A407:H407"/>
    <mergeCell ref="A313:H313"/>
    <mergeCell ref="A306:H306"/>
    <mergeCell ref="A300:H300"/>
    <mergeCell ref="A301:H301"/>
    <mergeCell ref="A293:H293"/>
    <mergeCell ref="F527:H532"/>
    <mergeCell ref="F534:H539"/>
    <mergeCell ref="F549:H554"/>
    <mergeCell ref="F556:H561"/>
    <mergeCell ref="A489:H489"/>
    <mergeCell ref="A490:H490"/>
    <mergeCell ref="F585:H597"/>
    <mergeCell ref="A583:H583"/>
    <mergeCell ref="A584:H584"/>
    <mergeCell ref="A563:H563"/>
    <mergeCell ref="A541:H541"/>
    <mergeCell ref="F542:H547"/>
    <mergeCell ref="A548:H548"/>
    <mergeCell ref="A533:H533"/>
    <mergeCell ref="A582:H582"/>
    <mergeCell ref="A575:H575"/>
    <mergeCell ref="A568:H568"/>
    <mergeCell ref="A562:H562"/>
    <mergeCell ref="A555:H555"/>
    <mergeCell ref="A540:H540"/>
    <mergeCell ref="F564:H567"/>
    <mergeCell ref="F569:H574"/>
    <mergeCell ref="F491:H498"/>
    <mergeCell ref="F576:H581"/>
    <mergeCell ref="F636:H639"/>
    <mergeCell ref="F641:H646"/>
    <mergeCell ref="F648:H653"/>
    <mergeCell ref="A640:H640"/>
    <mergeCell ref="A634:H634"/>
    <mergeCell ref="A627:H627"/>
    <mergeCell ref="A622:H622"/>
    <mergeCell ref="A612:H612"/>
    <mergeCell ref="A605:H605"/>
    <mergeCell ref="A613:H613"/>
    <mergeCell ref="A635:H635"/>
    <mergeCell ref="B139:C139"/>
    <mergeCell ref="B140:C140"/>
    <mergeCell ref="B142:C142"/>
    <mergeCell ref="D135:E135"/>
    <mergeCell ref="D134:E134"/>
    <mergeCell ref="D136:E136"/>
    <mergeCell ref="D138:E138"/>
    <mergeCell ref="D139:E139"/>
    <mergeCell ref="D140:E140"/>
    <mergeCell ref="D142:E142"/>
    <mergeCell ref="B141:C141"/>
    <mergeCell ref="D141:E141"/>
    <mergeCell ref="B134:C134"/>
    <mergeCell ref="B135:C135"/>
    <mergeCell ref="F136:H136"/>
    <mergeCell ref="F138:H138"/>
    <mergeCell ref="F134:H134"/>
    <mergeCell ref="A33:H33"/>
    <mergeCell ref="F69:H69"/>
    <mergeCell ref="F70:H70"/>
    <mergeCell ref="F71:H71"/>
    <mergeCell ref="F72:H72"/>
    <mergeCell ref="F73:H73"/>
    <mergeCell ref="B55:C55"/>
    <mergeCell ref="F55:H55"/>
    <mergeCell ref="A40:D40"/>
    <mergeCell ref="A60:A63"/>
    <mergeCell ref="B60:C63"/>
    <mergeCell ref="A34:B34"/>
    <mergeCell ref="F56:H56"/>
    <mergeCell ref="B136:C136"/>
    <mergeCell ref="B138:C138"/>
    <mergeCell ref="C34:H34"/>
    <mergeCell ref="A133:H133"/>
    <mergeCell ref="A130:D130"/>
    <mergeCell ref="A131:D131"/>
    <mergeCell ref="A132:D132"/>
    <mergeCell ref="E96:F105"/>
    <mergeCell ref="G93:H94"/>
    <mergeCell ref="F28:H28"/>
    <mergeCell ref="F29:H29"/>
    <mergeCell ref="F30:H30"/>
    <mergeCell ref="F31:H31"/>
    <mergeCell ref="A4:D4"/>
    <mergeCell ref="A8:D8"/>
    <mergeCell ref="A9:D9"/>
    <mergeCell ref="F32:H32"/>
    <mergeCell ref="E6:H6"/>
    <mergeCell ref="A7:D7"/>
    <mergeCell ref="E7:H7"/>
    <mergeCell ref="A11:D11"/>
    <mergeCell ref="E11:H11"/>
    <mergeCell ref="A12:D12"/>
    <mergeCell ref="E12:H12"/>
    <mergeCell ref="E23:H23"/>
    <mergeCell ref="A25:D25"/>
    <mergeCell ref="E25:H25"/>
    <mergeCell ref="A22:D22"/>
    <mergeCell ref="E22:H22"/>
    <mergeCell ref="A24:D24"/>
    <mergeCell ref="E24:H24"/>
    <mergeCell ref="A23:D23"/>
    <mergeCell ref="A52:D52"/>
    <mergeCell ref="A53:D53"/>
    <mergeCell ref="A49:B49"/>
    <mergeCell ref="C49:E49"/>
    <mergeCell ref="G49:H49"/>
    <mergeCell ref="A54:D54"/>
    <mergeCell ref="F78:H78"/>
    <mergeCell ref="F79:H79"/>
    <mergeCell ref="F63:H63"/>
    <mergeCell ref="A64:A67"/>
    <mergeCell ref="B64:C67"/>
    <mergeCell ref="F64:H64"/>
    <mergeCell ref="F65:H65"/>
    <mergeCell ref="F66:H66"/>
    <mergeCell ref="F67:H67"/>
    <mergeCell ref="A44:B44"/>
    <mergeCell ref="G44:H44"/>
    <mergeCell ref="A45:B45"/>
    <mergeCell ref="C45:E45"/>
    <mergeCell ref="G45:H45"/>
    <mergeCell ref="C46:E46"/>
    <mergeCell ref="G46:H46"/>
    <mergeCell ref="A48:B48"/>
    <mergeCell ref="C48:E48"/>
    <mergeCell ref="G48:H48"/>
    <mergeCell ref="A46:B47"/>
    <mergeCell ref="C47:H47"/>
    <mergeCell ref="F155:H155"/>
    <mergeCell ref="A105:B105"/>
    <mergeCell ref="A68:A71"/>
    <mergeCell ref="B68:C71"/>
    <mergeCell ref="F74:H74"/>
    <mergeCell ref="F75:H75"/>
    <mergeCell ref="F80:H80"/>
    <mergeCell ref="F81:H81"/>
    <mergeCell ref="F82:H82"/>
    <mergeCell ref="F83:H83"/>
    <mergeCell ref="F84:H84"/>
    <mergeCell ref="F85:H85"/>
    <mergeCell ref="B80:C85"/>
    <mergeCell ref="A80:A85"/>
    <mergeCell ref="E88:H88"/>
    <mergeCell ref="A86:D86"/>
    <mergeCell ref="E132:H132"/>
    <mergeCell ref="A129:D129"/>
    <mergeCell ref="E86:H86"/>
    <mergeCell ref="E87:H87"/>
    <mergeCell ref="A87:D87"/>
    <mergeCell ref="A88:D88"/>
    <mergeCell ref="A106:B106"/>
    <mergeCell ref="E93:F94"/>
    <mergeCell ref="F793:H798"/>
    <mergeCell ref="A320:H320"/>
    <mergeCell ref="B147:C147"/>
    <mergeCell ref="D147:E147"/>
    <mergeCell ref="F147:H147"/>
    <mergeCell ref="B137:C137"/>
    <mergeCell ref="D137:E137"/>
    <mergeCell ref="F137:H137"/>
    <mergeCell ref="F139:H139"/>
    <mergeCell ref="F400:H405"/>
    <mergeCell ref="A362:H362"/>
    <mergeCell ref="F363:H368"/>
    <mergeCell ref="A369:H369"/>
    <mergeCell ref="A370:H370"/>
    <mergeCell ref="F371:H376"/>
    <mergeCell ref="A377:H377"/>
    <mergeCell ref="F378:H383"/>
    <mergeCell ref="A384:H384"/>
    <mergeCell ref="F385:H390"/>
    <mergeCell ref="B371:E371"/>
    <mergeCell ref="B376:E376"/>
    <mergeCell ref="A156:H156"/>
    <mergeCell ref="A157:H157"/>
    <mergeCell ref="A158:H158"/>
  </mergeCells>
  <hyperlinks>
    <hyperlink ref="C35" r:id="rId1"/>
  </hyperlinks>
  <printOptions horizontalCentered="1"/>
  <pageMargins left="0.39370078740157483" right="0.39370078740157483" top="0.78740157480314965" bottom="0.78740157480314965" header="0.19685039370078741" footer="0.19685039370078741"/>
  <pageSetup paperSize="2" scale="94" fitToHeight="0" orientation="portrait" r:id="rId2"/>
  <headerFooter>
    <oddHeader>&amp;C&amp;G</oddHeader>
    <oddFooter>&amp;L&amp;"Times New Roman,Bold"&amp;12Ref No: &amp;F&amp;C&amp;G&amp;R&amp;"Times New Roman,Bold"&amp;12                                                   &amp;P</oddFooter>
  </headerFooter>
  <rowBreaks count="2" manualBreakCount="2">
    <brk id="823" max="16383" man="1"/>
    <brk id="867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L36"/>
  <sheetViews>
    <sheetView topLeftCell="A4" workbookViewId="0">
      <selection activeCell="F21" sqref="F21"/>
    </sheetView>
  </sheetViews>
  <sheetFormatPr defaultRowHeight="14.5" x14ac:dyDescent="0.35"/>
  <cols>
    <col min="2" max="2" width="12.26953125" customWidth="1"/>
  </cols>
  <sheetData>
    <row r="2" spans="1:12" x14ac:dyDescent="0.35">
      <c r="B2" s="1" t="s">
        <v>11</v>
      </c>
      <c r="C2" s="206"/>
      <c r="D2" s="206"/>
    </row>
    <row r="3" spans="1:12" x14ac:dyDescent="0.35">
      <c r="D3" s="2"/>
      <c r="E3" s="2"/>
      <c r="F3" s="2"/>
      <c r="G3" s="2"/>
      <c r="H3" s="2"/>
      <c r="I3" s="2"/>
    </row>
    <row r="4" spans="1:12" x14ac:dyDescent="0.35">
      <c r="A4" s="1" t="s">
        <v>12</v>
      </c>
      <c r="B4" s="3" t="s">
        <v>13</v>
      </c>
      <c r="C4" s="207" t="s">
        <v>14</v>
      </c>
      <c r="D4" s="207"/>
      <c r="E4" s="207"/>
      <c r="F4" s="4"/>
      <c r="G4" s="207" t="s">
        <v>15</v>
      </c>
      <c r="H4" s="207"/>
      <c r="I4" s="207"/>
      <c r="J4" s="207" t="s">
        <v>16</v>
      </c>
      <c r="K4" s="207"/>
      <c r="L4" s="207"/>
    </row>
    <row r="5" spans="1:12" x14ac:dyDescent="0.35">
      <c r="A5" s="1">
        <v>202</v>
      </c>
      <c r="B5" s="3"/>
      <c r="C5" s="3" t="s">
        <v>17</v>
      </c>
      <c r="D5" s="3" t="s">
        <v>18</v>
      </c>
      <c r="E5" s="3" t="s">
        <v>3</v>
      </c>
      <c r="F5" s="3"/>
      <c r="G5" s="3" t="s">
        <v>17</v>
      </c>
      <c r="H5" s="3" t="s">
        <v>18</v>
      </c>
      <c r="I5" s="3" t="s">
        <v>3</v>
      </c>
      <c r="J5" s="3" t="s">
        <v>17</v>
      </c>
      <c r="K5" s="3" t="s">
        <v>18</v>
      </c>
      <c r="L5" s="3" t="s">
        <v>3</v>
      </c>
    </row>
    <row r="6" spans="1:12" x14ac:dyDescent="0.35">
      <c r="B6" s="5" t="s">
        <v>19</v>
      </c>
      <c r="C6" s="5"/>
      <c r="D6" s="5"/>
      <c r="E6" s="5">
        <f>C6*D6</f>
        <v>0</v>
      </c>
      <c r="F6" s="5" t="s">
        <v>20</v>
      </c>
      <c r="G6" s="5"/>
      <c r="H6" s="5"/>
      <c r="I6" s="5">
        <f>G6*H6</f>
        <v>0</v>
      </c>
      <c r="J6" s="5"/>
      <c r="K6" s="5"/>
      <c r="L6" s="5">
        <f>J6*K6</f>
        <v>0</v>
      </c>
    </row>
    <row r="7" spans="1:12" x14ac:dyDescent="0.35">
      <c r="B7" s="5"/>
      <c r="C7" s="5"/>
      <c r="D7" s="5"/>
      <c r="E7" s="5">
        <f t="shared" ref="E7:E33" si="0">C7*D7</f>
        <v>0</v>
      </c>
      <c r="F7" s="5" t="s">
        <v>21</v>
      </c>
      <c r="G7" s="5"/>
      <c r="H7" s="5"/>
      <c r="I7" s="5">
        <f t="shared" ref="I7:I29" si="1">G7*H7</f>
        <v>0</v>
      </c>
      <c r="J7" s="5"/>
      <c r="K7" s="5"/>
      <c r="L7" s="5">
        <f t="shared" ref="L7:L29" si="2">J7*K7</f>
        <v>0</v>
      </c>
    </row>
    <row r="8" spans="1:12" x14ac:dyDescent="0.35">
      <c r="B8" s="5"/>
      <c r="C8" s="5"/>
      <c r="D8" s="5"/>
      <c r="E8" s="5">
        <f t="shared" si="0"/>
        <v>0</v>
      </c>
      <c r="F8" s="5"/>
      <c r="G8" s="5"/>
      <c r="H8" s="5"/>
      <c r="I8" s="5">
        <f t="shared" si="1"/>
        <v>0</v>
      </c>
      <c r="J8" s="5"/>
      <c r="K8" s="5"/>
      <c r="L8" s="5">
        <f t="shared" si="2"/>
        <v>0</v>
      </c>
    </row>
    <row r="9" spans="1:12" x14ac:dyDescent="0.35">
      <c r="B9" s="5" t="s">
        <v>22</v>
      </c>
      <c r="C9" s="5"/>
      <c r="D9" s="5"/>
      <c r="E9" s="5">
        <f t="shared" si="0"/>
        <v>0</v>
      </c>
      <c r="F9" s="5" t="s">
        <v>20</v>
      </c>
      <c r="G9" s="5"/>
      <c r="H9" s="5"/>
      <c r="I9" s="5">
        <f t="shared" si="1"/>
        <v>0</v>
      </c>
      <c r="J9" s="5"/>
      <c r="K9" s="5"/>
      <c r="L9" s="5">
        <f t="shared" si="2"/>
        <v>0</v>
      </c>
    </row>
    <row r="10" spans="1:12" x14ac:dyDescent="0.35">
      <c r="B10" s="5"/>
      <c r="C10" s="5"/>
      <c r="D10" s="5"/>
      <c r="E10" s="5">
        <f t="shared" si="0"/>
        <v>0</v>
      </c>
      <c r="F10" s="5" t="s">
        <v>21</v>
      </c>
      <c r="G10" s="5"/>
      <c r="H10" s="5"/>
      <c r="I10" s="5">
        <f t="shared" si="1"/>
        <v>0</v>
      </c>
      <c r="J10" s="5"/>
      <c r="K10" s="5"/>
      <c r="L10" s="5">
        <f t="shared" si="2"/>
        <v>0</v>
      </c>
    </row>
    <row r="11" spans="1:12" x14ac:dyDescent="0.35">
      <c r="B11" s="5"/>
      <c r="C11" s="5"/>
      <c r="D11" s="5"/>
      <c r="E11" s="5">
        <f t="shared" si="0"/>
        <v>0</v>
      </c>
      <c r="F11" s="5"/>
      <c r="G11" s="5"/>
      <c r="H11" s="5"/>
      <c r="I11" s="5">
        <f t="shared" si="1"/>
        <v>0</v>
      </c>
      <c r="J11" s="5"/>
      <c r="K11" s="5"/>
      <c r="L11" s="5">
        <f t="shared" si="2"/>
        <v>0</v>
      </c>
    </row>
    <row r="12" spans="1:12" x14ac:dyDescent="0.35">
      <c r="B12" s="5"/>
      <c r="C12" s="5"/>
      <c r="D12" s="5"/>
      <c r="E12" s="5">
        <f t="shared" si="0"/>
        <v>0</v>
      </c>
      <c r="F12" s="5"/>
      <c r="G12" s="5"/>
      <c r="H12" s="5"/>
      <c r="I12" s="5">
        <f t="shared" si="1"/>
        <v>0</v>
      </c>
      <c r="J12" s="5"/>
      <c r="K12" s="5"/>
      <c r="L12" s="5">
        <f t="shared" si="2"/>
        <v>0</v>
      </c>
    </row>
    <row r="13" spans="1:12" x14ac:dyDescent="0.35">
      <c r="B13" s="5" t="s">
        <v>23</v>
      </c>
      <c r="C13" s="5"/>
      <c r="D13" s="5"/>
      <c r="E13" s="5">
        <f t="shared" si="0"/>
        <v>0</v>
      </c>
      <c r="F13" s="5" t="s">
        <v>20</v>
      </c>
      <c r="G13" s="5"/>
      <c r="H13" s="5"/>
      <c r="I13" s="5">
        <f t="shared" si="1"/>
        <v>0</v>
      </c>
      <c r="J13" s="5"/>
      <c r="K13" s="5"/>
      <c r="L13" s="5">
        <f t="shared" si="2"/>
        <v>0</v>
      </c>
    </row>
    <row r="14" spans="1:12" x14ac:dyDescent="0.35">
      <c r="B14" s="5"/>
      <c r="C14" s="5"/>
      <c r="D14" s="5"/>
      <c r="E14" s="5">
        <f t="shared" si="0"/>
        <v>0</v>
      </c>
      <c r="F14" s="5" t="s">
        <v>21</v>
      </c>
      <c r="G14" s="5"/>
      <c r="H14" s="5"/>
      <c r="I14" s="5">
        <f t="shared" si="1"/>
        <v>0</v>
      </c>
      <c r="J14" s="5"/>
      <c r="K14" s="5"/>
      <c r="L14" s="5">
        <f t="shared" si="2"/>
        <v>0</v>
      </c>
    </row>
    <row r="15" spans="1:12" x14ac:dyDescent="0.35">
      <c r="B15" s="5"/>
      <c r="C15" s="5"/>
      <c r="D15" s="5"/>
      <c r="E15" s="5">
        <f t="shared" si="0"/>
        <v>0</v>
      </c>
      <c r="F15" s="5"/>
      <c r="G15" s="5"/>
      <c r="H15" s="5"/>
      <c r="I15" s="5">
        <f t="shared" si="1"/>
        <v>0</v>
      </c>
      <c r="J15" s="5"/>
      <c r="K15" s="5"/>
      <c r="L15" s="5">
        <f t="shared" si="2"/>
        <v>0</v>
      </c>
    </row>
    <row r="16" spans="1:12" x14ac:dyDescent="0.35">
      <c r="B16" s="5"/>
      <c r="C16" s="5"/>
      <c r="D16" s="5"/>
      <c r="E16" s="5">
        <f t="shared" si="0"/>
        <v>0</v>
      </c>
      <c r="F16" s="5"/>
      <c r="G16" s="5"/>
      <c r="H16" s="5"/>
      <c r="I16" s="5">
        <f t="shared" si="1"/>
        <v>0</v>
      </c>
      <c r="J16" s="5"/>
      <c r="K16" s="5"/>
      <c r="L16" s="5">
        <f t="shared" si="2"/>
        <v>0</v>
      </c>
    </row>
    <row r="17" spans="2:12" x14ac:dyDescent="0.35">
      <c r="B17" s="5" t="s">
        <v>24</v>
      </c>
      <c r="C17" s="5"/>
      <c r="D17" s="5"/>
      <c r="E17" s="5">
        <f t="shared" si="0"/>
        <v>0</v>
      </c>
      <c r="F17" s="5" t="s">
        <v>20</v>
      </c>
      <c r="G17" s="5"/>
      <c r="H17" s="5"/>
      <c r="I17" s="5">
        <f t="shared" si="1"/>
        <v>0</v>
      </c>
      <c r="J17" s="5"/>
      <c r="K17" s="5"/>
      <c r="L17" s="5">
        <f t="shared" si="2"/>
        <v>0</v>
      </c>
    </row>
    <row r="18" spans="2:12" x14ac:dyDescent="0.35">
      <c r="B18" s="5"/>
      <c r="C18" s="5"/>
      <c r="D18" s="5"/>
      <c r="E18" s="5">
        <f t="shared" si="0"/>
        <v>0</v>
      </c>
      <c r="F18" s="5" t="s">
        <v>21</v>
      </c>
      <c r="G18" s="5"/>
      <c r="H18" s="5"/>
      <c r="I18" s="5">
        <f t="shared" si="1"/>
        <v>0</v>
      </c>
      <c r="J18" s="5"/>
      <c r="K18" s="5"/>
      <c r="L18" s="5">
        <f t="shared" si="2"/>
        <v>0</v>
      </c>
    </row>
    <row r="19" spans="2:12" x14ac:dyDescent="0.35">
      <c r="B19" s="5"/>
      <c r="C19" s="5"/>
      <c r="D19" s="5"/>
      <c r="E19" s="5">
        <f t="shared" si="0"/>
        <v>0</v>
      </c>
      <c r="F19" s="5"/>
      <c r="G19" s="5"/>
      <c r="H19" s="5"/>
      <c r="I19" s="5">
        <f t="shared" si="1"/>
        <v>0</v>
      </c>
      <c r="J19" s="5"/>
      <c r="K19" s="5"/>
      <c r="L19" s="5">
        <f t="shared" si="2"/>
        <v>0</v>
      </c>
    </row>
    <row r="20" spans="2:12" x14ac:dyDescent="0.35">
      <c r="B20" s="5" t="s">
        <v>24</v>
      </c>
      <c r="C20" s="5"/>
      <c r="D20" s="5"/>
      <c r="E20" s="5">
        <f t="shared" si="0"/>
        <v>0</v>
      </c>
      <c r="F20" s="5" t="s">
        <v>20</v>
      </c>
      <c r="G20" s="5"/>
      <c r="H20" s="5"/>
      <c r="I20" s="5">
        <f t="shared" si="1"/>
        <v>0</v>
      </c>
      <c r="J20" s="5"/>
      <c r="K20" s="5"/>
      <c r="L20" s="5">
        <f t="shared" si="2"/>
        <v>0</v>
      </c>
    </row>
    <row r="21" spans="2:12" x14ac:dyDescent="0.35">
      <c r="B21" s="5"/>
      <c r="C21" s="5"/>
      <c r="D21" s="5"/>
      <c r="E21" s="5">
        <f t="shared" si="0"/>
        <v>0</v>
      </c>
      <c r="F21" s="5" t="s">
        <v>21</v>
      </c>
      <c r="G21" s="5"/>
      <c r="H21" s="5"/>
      <c r="I21" s="5">
        <f t="shared" si="1"/>
        <v>0</v>
      </c>
      <c r="J21" s="5"/>
      <c r="K21" s="5"/>
      <c r="L21" s="5">
        <f t="shared" si="2"/>
        <v>0</v>
      </c>
    </row>
    <row r="22" spans="2:12" x14ac:dyDescent="0.35">
      <c r="B22" s="5"/>
      <c r="C22" s="5"/>
      <c r="D22" s="5"/>
      <c r="E22" s="5">
        <f t="shared" si="0"/>
        <v>0</v>
      </c>
      <c r="F22" s="5"/>
      <c r="G22" s="5"/>
      <c r="H22" s="5"/>
      <c r="I22" s="5">
        <f t="shared" si="1"/>
        <v>0</v>
      </c>
      <c r="J22" s="5"/>
      <c r="K22" s="5"/>
      <c r="L22" s="5">
        <f t="shared" si="2"/>
        <v>0</v>
      </c>
    </row>
    <row r="23" spans="2:12" x14ac:dyDescent="0.35">
      <c r="B23" s="5" t="s">
        <v>25</v>
      </c>
      <c r="C23" s="5"/>
      <c r="D23" s="5"/>
      <c r="E23" s="5">
        <f t="shared" si="0"/>
        <v>0</v>
      </c>
      <c r="F23" s="5" t="s">
        <v>26</v>
      </c>
      <c r="G23" s="5"/>
      <c r="H23" s="5"/>
      <c r="I23" s="5">
        <f t="shared" si="1"/>
        <v>0</v>
      </c>
      <c r="J23" s="5"/>
      <c r="K23" s="5"/>
      <c r="L23" s="5">
        <f t="shared" si="2"/>
        <v>0</v>
      </c>
    </row>
    <row r="24" spans="2:12" x14ac:dyDescent="0.35">
      <c r="B24" s="5" t="s">
        <v>27</v>
      </c>
      <c r="C24" s="5"/>
      <c r="D24" s="5"/>
      <c r="E24" s="5">
        <f t="shared" si="0"/>
        <v>0</v>
      </c>
      <c r="F24" s="5" t="s">
        <v>26</v>
      </c>
      <c r="G24" s="5"/>
      <c r="H24" s="5"/>
      <c r="I24" s="5">
        <f t="shared" si="1"/>
        <v>0</v>
      </c>
      <c r="J24" s="5"/>
      <c r="K24" s="5"/>
      <c r="L24" s="5">
        <f t="shared" si="2"/>
        <v>0</v>
      </c>
    </row>
    <row r="25" spans="2:12" x14ac:dyDescent="0.35">
      <c r="B25" s="5" t="s">
        <v>28</v>
      </c>
      <c r="C25" s="5"/>
      <c r="D25" s="5"/>
      <c r="E25" s="5">
        <f t="shared" si="0"/>
        <v>0</v>
      </c>
      <c r="F25" s="5" t="s">
        <v>26</v>
      </c>
      <c r="G25" s="5"/>
      <c r="H25" s="5"/>
      <c r="I25" s="5">
        <f t="shared" si="1"/>
        <v>0</v>
      </c>
      <c r="J25" s="5"/>
      <c r="K25" s="5"/>
      <c r="L25" s="5">
        <f t="shared" si="2"/>
        <v>0</v>
      </c>
    </row>
    <row r="26" spans="2:12" x14ac:dyDescent="0.35">
      <c r="B26" s="5"/>
      <c r="C26" s="5"/>
      <c r="D26" s="5"/>
      <c r="E26" s="5">
        <f t="shared" si="0"/>
        <v>0</v>
      </c>
      <c r="F26" s="5"/>
      <c r="G26" s="5"/>
      <c r="H26" s="5"/>
      <c r="I26" s="5">
        <f t="shared" si="1"/>
        <v>0</v>
      </c>
      <c r="J26" s="5"/>
      <c r="K26" s="5"/>
      <c r="L26" s="5">
        <f t="shared" si="2"/>
        <v>0</v>
      </c>
    </row>
    <row r="27" spans="2:12" x14ac:dyDescent="0.35">
      <c r="B27" s="5" t="s">
        <v>29</v>
      </c>
      <c r="C27" s="5"/>
      <c r="D27" s="5"/>
      <c r="E27" s="5">
        <f t="shared" si="0"/>
        <v>0</v>
      </c>
      <c r="F27" s="5"/>
      <c r="G27" s="5"/>
      <c r="H27" s="5"/>
      <c r="I27" s="5">
        <f t="shared" si="1"/>
        <v>0</v>
      </c>
      <c r="J27" s="5"/>
      <c r="K27" s="5"/>
      <c r="L27" s="5">
        <f t="shared" si="2"/>
        <v>0</v>
      </c>
    </row>
    <row r="28" spans="2:12" x14ac:dyDescent="0.35">
      <c r="B28" s="5" t="s">
        <v>30</v>
      </c>
      <c r="C28" s="5"/>
      <c r="D28" s="5"/>
      <c r="E28" s="5">
        <f t="shared" si="0"/>
        <v>0</v>
      </c>
      <c r="F28" s="5"/>
      <c r="G28" s="5"/>
      <c r="H28" s="5"/>
      <c r="I28" s="5">
        <f t="shared" si="1"/>
        <v>0</v>
      </c>
      <c r="J28" s="5"/>
      <c r="K28" s="5"/>
      <c r="L28" s="5">
        <f t="shared" si="2"/>
        <v>0</v>
      </c>
    </row>
    <row r="29" spans="2:12" x14ac:dyDescent="0.35">
      <c r="B29" s="5" t="s">
        <v>31</v>
      </c>
      <c r="C29" s="5"/>
      <c r="D29" s="5"/>
      <c r="E29" s="5">
        <f t="shared" si="0"/>
        <v>0</v>
      </c>
      <c r="F29" s="5"/>
      <c r="G29" s="5"/>
      <c r="H29" s="5"/>
      <c r="I29" s="5">
        <f t="shared" si="1"/>
        <v>0</v>
      </c>
      <c r="J29" s="5"/>
      <c r="K29" s="5"/>
      <c r="L29" s="5">
        <f t="shared" si="2"/>
        <v>0</v>
      </c>
    </row>
    <row r="30" spans="2:12" x14ac:dyDescent="0.35">
      <c r="B30" s="5" t="s">
        <v>32</v>
      </c>
      <c r="C30" s="5"/>
      <c r="D30" s="5"/>
      <c r="E30" s="5">
        <f t="shared" si="0"/>
        <v>0</v>
      </c>
      <c r="F30" s="5"/>
      <c r="G30" s="5"/>
      <c r="H30" s="5"/>
      <c r="I30" s="5">
        <f>G30*H30</f>
        <v>0</v>
      </c>
      <c r="J30" s="5"/>
      <c r="K30" s="5"/>
      <c r="L30" s="5">
        <f>J30*K30</f>
        <v>0</v>
      </c>
    </row>
    <row r="31" spans="2:12" x14ac:dyDescent="0.35">
      <c r="B31" s="5"/>
      <c r="C31" s="5"/>
      <c r="D31" s="5"/>
      <c r="E31" s="5">
        <f t="shared" si="0"/>
        <v>0</v>
      </c>
      <c r="F31" s="5"/>
      <c r="G31" s="5"/>
      <c r="H31" s="5"/>
      <c r="I31" s="5">
        <f>G31*H31</f>
        <v>0</v>
      </c>
      <c r="J31" s="5"/>
      <c r="K31" s="5"/>
      <c r="L31" s="5">
        <f>J31*K31</f>
        <v>0</v>
      </c>
    </row>
    <row r="32" spans="2:12" x14ac:dyDescent="0.35">
      <c r="B32" s="5"/>
      <c r="C32" s="5"/>
      <c r="D32" s="5"/>
      <c r="E32" s="5">
        <f t="shared" si="0"/>
        <v>0</v>
      </c>
      <c r="F32" s="5"/>
      <c r="G32" s="5"/>
      <c r="H32" s="5"/>
      <c r="I32" s="5">
        <f>G32*H32</f>
        <v>0</v>
      </c>
      <c r="J32" s="5"/>
      <c r="K32" s="5"/>
      <c r="L32" s="5">
        <f>J32*K32</f>
        <v>0</v>
      </c>
    </row>
    <row r="33" spans="2:12" x14ac:dyDescent="0.35">
      <c r="B33" s="5"/>
      <c r="C33" s="5"/>
      <c r="D33" s="5"/>
      <c r="E33" s="5">
        <f t="shared" si="0"/>
        <v>0</v>
      </c>
      <c r="F33" s="5"/>
      <c r="G33" s="5"/>
      <c r="H33" s="5"/>
      <c r="I33" s="5">
        <f>G33*H33</f>
        <v>0</v>
      </c>
      <c r="J33" s="5"/>
      <c r="K33" s="5"/>
      <c r="L33" s="5">
        <f>J33*K33</f>
        <v>0</v>
      </c>
    </row>
    <row r="34" spans="2:12" x14ac:dyDescent="0.35">
      <c r="B34" s="5" t="s">
        <v>4</v>
      </c>
      <c r="C34" s="5"/>
      <c r="D34" s="5">
        <f>E34*10.764</f>
        <v>0</v>
      </c>
      <c r="E34" s="5">
        <f>SUM(E6:E33)</f>
        <v>0</v>
      </c>
      <c r="F34" s="5"/>
      <c r="G34" s="5"/>
      <c r="H34" s="5">
        <f>I34*10.764</f>
        <v>0</v>
      </c>
      <c r="I34" s="5">
        <f>SUM(I6:I33)</f>
        <v>0</v>
      </c>
      <c r="J34" s="5"/>
      <c r="K34" s="5">
        <f>L34*10.764</f>
        <v>0</v>
      </c>
      <c r="L34" s="5">
        <f>SUM(L6:L33)</f>
        <v>0</v>
      </c>
    </row>
    <row r="36" spans="2:12" x14ac:dyDescent="0.35">
      <c r="D36">
        <f>D34+H34</f>
        <v>0</v>
      </c>
      <c r="E36">
        <f>E34+I34</f>
        <v>0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115" zoomScaleNormal="115" workbookViewId="0">
      <selection activeCell="D13" sqref="D13"/>
    </sheetView>
  </sheetViews>
  <sheetFormatPr defaultColWidth="8.7265625" defaultRowHeight="14.5" x14ac:dyDescent="0.35"/>
  <cols>
    <col min="1" max="1" width="8.7265625" style="12"/>
    <col min="2" max="2" width="22.1796875" style="12" customWidth="1"/>
    <col min="3" max="3" width="37" style="12" customWidth="1"/>
    <col min="4" max="5" width="11.453125" style="12" customWidth="1"/>
    <col min="6" max="6" width="14" style="12" customWidth="1"/>
    <col min="7" max="7" width="20" style="12" customWidth="1"/>
    <col min="8" max="8" width="16.453125" style="12" customWidth="1"/>
    <col min="9" max="16384" width="8.7265625" style="12"/>
  </cols>
  <sheetData>
    <row r="1" spans="1:9" ht="15" customHeight="1" x14ac:dyDescent="0.35">
      <c r="A1" s="11"/>
      <c r="B1" s="11"/>
      <c r="C1" s="11"/>
      <c r="D1" s="11"/>
      <c r="E1" s="11"/>
      <c r="F1" s="11"/>
      <c r="G1" s="11"/>
      <c r="H1" s="11"/>
    </row>
    <row r="2" spans="1:9" ht="15" customHeight="1" x14ac:dyDescent="0.35">
      <c r="A2" s="13"/>
      <c r="B2" s="13"/>
      <c r="C2" s="13"/>
      <c r="D2" s="13"/>
      <c r="E2" s="13"/>
      <c r="F2" s="13"/>
      <c r="G2" s="13"/>
      <c r="H2" s="13"/>
    </row>
    <row r="3" spans="1:9" ht="15.75" customHeight="1" x14ac:dyDescent="0.35">
      <c r="A3" s="13"/>
      <c r="B3" s="208" t="s">
        <v>49</v>
      </c>
      <c r="C3" s="208"/>
      <c r="D3" s="208"/>
      <c r="E3" s="208"/>
      <c r="F3" s="208"/>
      <c r="G3" s="208"/>
      <c r="H3" s="208"/>
    </row>
    <row r="4" spans="1:9" x14ac:dyDescent="0.35">
      <c r="A4" s="13"/>
      <c r="B4" s="14" t="s">
        <v>50</v>
      </c>
      <c r="C4" s="14" t="s">
        <v>51</v>
      </c>
      <c r="D4" s="14" t="s">
        <v>12</v>
      </c>
      <c r="E4" s="14" t="s">
        <v>52</v>
      </c>
      <c r="F4" s="14" t="s">
        <v>59</v>
      </c>
      <c r="G4" s="14" t="s">
        <v>60</v>
      </c>
      <c r="H4" s="14" t="s">
        <v>53</v>
      </c>
    </row>
    <row r="5" spans="1:9" ht="15" customHeight="1" x14ac:dyDescent="0.35">
      <c r="A5" s="13"/>
      <c r="B5" s="16" t="s">
        <v>54</v>
      </c>
      <c r="C5" s="17"/>
      <c r="D5" s="16" t="s">
        <v>55</v>
      </c>
      <c r="E5" s="16">
        <v>1106</v>
      </c>
      <c r="F5" s="18">
        <f>E5*1.6</f>
        <v>1769.6000000000001</v>
      </c>
      <c r="G5" s="18">
        <f>H5/F5</f>
        <v>31532.549728752259</v>
      </c>
      <c r="H5" s="19">
        <v>55800000</v>
      </c>
    </row>
    <row r="6" spans="1:9" x14ac:dyDescent="0.35">
      <c r="A6" s="13"/>
      <c r="B6" s="16" t="s">
        <v>54</v>
      </c>
      <c r="C6" s="20"/>
      <c r="D6" s="16"/>
      <c r="E6" s="16"/>
      <c r="F6" s="18">
        <f t="shared" ref="F6:F11" si="0">E6*1.6</f>
        <v>0</v>
      </c>
      <c r="G6" s="18" t="e">
        <f t="shared" ref="G6:G11" si="1">H6/F6</f>
        <v>#DIV/0!</v>
      </c>
      <c r="H6" s="19"/>
    </row>
    <row r="7" spans="1:9" ht="15" customHeight="1" x14ac:dyDescent="0.35">
      <c r="A7" s="13"/>
      <c r="B7" s="16" t="s">
        <v>54</v>
      </c>
      <c r="C7" s="17"/>
      <c r="D7" s="16"/>
      <c r="E7" s="16"/>
      <c r="F7" s="18">
        <f t="shared" si="0"/>
        <v>0</v>
      </c>
      <c r="G7" s="18" t="e">
        <f t="shared" si="1"/>
        <v>#DIV/0!</v>
      </c>
      <c r="H7" s="19"/>
    </row>
    <row r="8" spans="1:9" x14ac:dyDescent="0.35">
      <c r="A8" s="13"/>
      <c r="B8" s="16" t="s">
        <v>54</v>
      </c>
      <c r="C8" s="20"/>
      <c r="D8" s="16"/>
      <c r="E8" s="16"/>
      <c r="F8" s="18">
        <f t="shared" si="0"/>
        <v>0</v>
      </c>
      <c r="G8" s="18" t="e">
        <f t="shared" si="1"/>
        <v>#DIV/0!</v>
      </c>
      <c r="H8" s="19"/>
    </row>
    <row r="9" spans="1:9" ht="15" customHeight="1" x14ac:dyDescent="0.35">
      <c r="A9" s="13"/>
      <c r="B9" s="16" t="s">
        <v>54</v>
      </c>
      <c r="C9" s="20"/>
      <c r="D9" s="16"/>
      <c r="E9" s="16"/>
      <c r="F9" s="18">
        <f t="shared" si="0"/>
        <v>0</v>
      </c>
      <c r="G9" s="18" t="e">
        <f t="shared" si="1"/>
        <v>#DIV/0!</v>
      </c>
      <c r="H9" s="19"/>
    </row>
    <row r="10" spans="1:9" ht="15" customHeight="1" x14ac:dyDescent="0.35">
      <c r="A10" s="13"/>
      <c r="B10" s="16" t="s">
        <v>56</v>
      </c>
      <c r="C10" s="17"/>
      <c r="D10" s="16"/>
      <c r="E10" s="16"/>
      <c r="F10" s="18">
        <f t="shared" si="0"/>
        <v>0</v>
      </c>
      <c r="G10" s="18" t="e">
        <f t="shared" si="1"/>
        <v>#DIV/0!</v>
      </c>
      <c r="H10" s="19"/>
    </row>
    <row r="11" spans="1:9" ht="15" customHeight="1" x14ac:dyDescent="0.35">
      <c r="A11" s="13"/>
      <c r="B11" s="16" t="s">
        <v>56</v>
      </c>
      <c r="C11" s="17"/>
      <c r="D11" s="16"/>
      <c r="E11" s="16"/>
      <c r="F11" s="18">
        <f t="shared" si="0"/>
        <v>0</v>
      </c>
      <c r="G11" s="18" t="e">
        <f t="shared" si="1"/>
        <v>#DIV/0!</v>
      </c>
      <c r="H11" s="19"/>
    </row>
    <row r="12" spans="1:9" ht="15" customHeight="1" x14ac:dyDescent="0.35">
      <c r="A12" s="13"/>
      <c r="B12" s="21" t="s">
        <v>57</v>
      </c>
      <c r="C12" s="16"/>
      <c r="D12" s="16"/>
      <c r="E12" s="16"/>
      <c r="F12" s="16"/>
      <c r="G12" s="22" t="e">
        <f>AVERAGE(G5:G11)</f>
        <v>#DIV/0!</v>
      </c>
      <c r="H12" s="16"/>
    </row>
    <row r="13" spans="1:9" ht="15" customHeight="1" x14ac:dyDescent="0.35">
      <c r="A13" s="11"/>
      <c r="B13" s="21" t="s">
        <v>58</v>
      </c>
      <c r="C13" s="23"/>
      <c r="D13" s="23"/>
      <c r="E13" s="23"/>
      <c r="F13" s="24"/>
      <c r="G13" s="21"/>
      <c r="H13" s="21"/>
      <c r="I13" s="15"/>
    </row>
    <row r="14" spans="1:9" ht="15" customHeight="1" x14ac:dyDescent="0.35">
      <c r="B14" s="11"/>
      <c r="C14" s="11"/>
      <c r="D14" s="11"/>
      <c r="E14" s="11"/>
    </row>
    <row r="15" spans="1:9" ht="15" customHeight="1" x14ac:dyDescent="0.35">
      <c r="B15" s="11"/>
      <c r="C15" s="11"/>
      <c r="D15" s="11"/>
      <c r="E15" s="11"/>
    </row>
    <row r="16" spans="1:9" ht="15" customHeight="1" x14ac:dyDescent="0.35">
      <c r="B16" s="11"/>
      <c r="C16" s="11"/>
      <c r="D16" s="11"/>
      <c r="E16" s="11"/>
    </row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K5"/>
  <sheetViews>
    <sheetView workbookViewId="0">
      <selection activeCell="A4" sqref="A4:K5"/>
    </sheetView>
  </sheetViews>
  <sheetFormatPr defaultRowHeight="14.5" x14ac:dyDescent="0.35"/>
  <sheetData>
    <row r="2" spans="1:11" x14ac:dyDescent="0.35">
      <c r="A2" s="199" t="s">
        <v>351</v>
      </c>
      <c r="B2" s="199"/>
      <c r="C2" s="199"/>
      <c r="D2" s="199"/>
      <c r="E2" s="199"/>
      <c r="F2" s="199"/>
      <c r="G2" s="199"/>
      <c r="H2" s="199"/>
      <c r="I2" s="199"/>
    </row>
    <row r="3" spans="1:11" x14ac:dyDescent="0.35">
      <c r="A3" s="198" t="s">
        <v>354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</row>
    <row r="4" spans="1:11" x14ac:dyDescent="0.35">
      <c r="A4" s="198" t="s">
        <v>352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</row>
    <row r="5" spans="1:11" x14ac:dyDescent="0.35">
      <c r="A5" s="198" t="s">
        <v>353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</row>
  </sheetData>
  <mergeCells count="4">
    <mergeCell ref="A2:I2"/>
    <mergeCell ref="A3:K3"/>
    <mergeCell ref="A4:K4"/>
    <mergeCell ref="A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Flat detail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2025-03-22T12:11:39Z</cp:lastPrinted>
  <dcterms:created xsi:type="dcterms:W3CDTF">2019-07-16T09:29:46Z</dcterms:created>
  <dcterms:modified xsi:type="dcterms:W3CDTF">2025-08-29T08:35:35Z</dcterms:modified>
</cp:coreProperties>
</file>