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D:\Kunal\Aug 25\PNB\19200 - URBAN GRANDEUR 2\"/>
    </mc:Choice>
  </mc:AlternateContent>
  <xr:revisionPtr revIDLastSave="0" documentId="13_ncr:1_{256F36CE-2D37-4B99-AFF7-E6E21089FB44}" xr6:coauthVersionLast="47" xr6:coauthVersionMax="47" xr10:uidLastSave="{00000000-0000-0000-0000-000000000000}"/>
  <bookViews>
    <workbookView xWindow="-108" yWindow="-108" windowWidth="23256" windowHeight="12456" tabRatio="725" xr2:uid="{00000000-000D-0000-FFFF-FFFF00000000}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Report!$A$1:$H$333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7" i="1" l="1"/>
  <c r="E107" i="1"/>
  <c r="G107" i="1"/>
  <c r="L145" i="1"/>
  <c r="E159" i="1"/>
  <c r="D159" i="1"/>
  <c r="E150" i="1"/>
  <c r="D150" i="1"/>
  <c r="E160" i="1"/>
  <c r="E158" i="1"/>
  <c r="E157" i="1"/>
  <c r="E156" i="1"/>
  <c r="E155" i="1"/>
  <c r="E154" i="1"/>
  <c r="E153" i="1"/>
  <c r="E149" i="1"/>
  <c r="E148" i="1"/>
  <c r="E147" i="1"/>
  <c r="E146" i="1"/>
  <c r="E145" i="1"/>
  <c r="E144" i="1"/>
  <c r="D134" i="1" l="1"/>
  <c r="E134" i="1" s="1"/>
  <c r="D121" i="1"/>
  <c r="D120" i="1"/>
  <c r="E120" i="1" s="1"/>
  <c r="E121" i="1" l="1"/>
  <c r="F121" i="1" s="1"/>
  <c r="H121" i="1" s="1"/>
  <c r="D160" i="1"/>
  <c r="F160" i="1" s="1"/>
  <c r="H160" i="1" s="1"/>
  <c r="D158" i="1"/>
  <c r="F158" i="1" s="1"/>
  <c r="H158" i="1" s="1"/>
  <c r="D157" i="1"/>
  <c r="F157" i="1" s="1"/>
  <c r="H157" i="1" s="1"/>
  <c r="D156" i="1"/>
  <c r="F156" i="1" s="1"/>
  <c r="H156" i="1" s="1"/>
  <c r="D155" i="1"/>
  <c r="F155" i="1" s="1"/>
  <c r="H155" i="1" s="1"/>
  <c r="D154" i="1"/>
  <c r="F154" i="1" s="1"/>
  <c r="H154" i="1" s="1"/>
  <c r="D153" i="1"/>
  <c r="F153" i="1" s="1"/>
  <c r="H153" i="1" s="1"/>
  <c r="F150" i="1"/>
  <c r="H150" i="1" s="1"/>
  <c r="D149" i="1"/>
  <c r="F149" i="1" s="1"/>
  <c r="H149" i="1" s="1"/>
  <c r="D148" i="1"/>
  <c r="F148" i="1" s="1"/>
  <c r="H148" i="1" s="1"/>
  <c r="D147" i="1"/>
  <c r="F147" i="1" s="1"/>
  <c r="H147" i="1" s="1"/>
  <c r="D146" i="1"/>
  <c r="F146" i="1" s="1"/>
  <c r="H146" i="1" s="1"/>
  <c r="D145" i="1"/>
  <c r="F145" i="1" s="1"/>
  <c r="H145" i="1" s="1"/>
  <c r="N145" i="1" s="1"/>
  <c r="N146" i="1" s="1"/>
  <c r="D144" i="1"/>
  <c r="B182" i="1"/>
  <c r="B181" i="1"/>
  <c r="I152" i="1"/>
  <c r="D137" i="1"/>
  <c r="D136" i="1"/>
  <c r="D135" i="1"/>
  <c r="F134" i="1"/>
  <c r="H134" i="1" s="1"/>
  <c r="D133" i="1"/>
  <c r="D132" i="1"/>
  <c r="D131" i="1"/>
  <c r="D130" i="1"/>
  <c r="D129" i="1"/>
  <c r="A130" i="1"/>
  <c r="A131" i="1" s="1"/>
  <c r="A132" i="1" s="1"/>
  <c r="A133" i="1" s="1"/>
  <c r="A134" i="1" s="1"/>
  <c r="A135" i="1" s="1"/>
  <c r="A136" i="1" s="1"/>
  <c r="A137" i="1" s="1"/>
  <c r="D127" i="1"/>
  <c r="E127" i="1" s="1"/>
  <c r="D126" i="1"/>
  <c r="E126" i="1" s="1"/>
  <c r="D125" i="1"/>
  <c r="E125" i="1" s="1"/>
  <c r="D124" i="1"/>
  <c r="E124" i="1" s="1"/>
  <c r="D123" i="1"/>
  <c r="E123" i="1" s="1"/>
  <c r="D122" i="1"/>
  <c r="E122" i="1" s="1"/>
  <c r="D119" i="1"/>
  <c r="E119" i="1" s="1"/>
  <c r="D118" i="1"/>
  <c r="D117" i="1"/>
  <c r="E117" i="1" s="1"/>
  <c r="D116" i="1"/>
  <c r="E116" i="1" s="1"/>
  <c r="D115" i="1"/>
  <c r="A154" i="1"/>
  <c r="A155" i="1" s="1"/>
  <c r="A156" i="1" s="1"/>
  <c r="A157" i="1" s="1"/>
  <c r="A158" i="1" s="1"/>
  <c r="A159" i="1" s="1"/>
  <c r="A160" i="1" s="1"/>
  <c r="A145" i="1"/>
  <c r="A146" i="1" s="1"/>
  <c r="A147" i="1" s="1"/>
  <c r="A148" i="1" s="1"/>
  <c r="A149" i="1" s="1"/>
  <c r="A150" i="1" s="1"/>
  <c r="A151" i="1" s="1"/>
  <c r="A116" i="1"/>
  <c r="A117" i="1" s="1"/>
  <c r="A118" i="1" s="1"/>
  <c r="A119" i="1" s="1"/>
  <c r="C102" i="1" l="1"/>
  <c r="E115" i="1"/>
  <c r="C99" i="1"/>
  <c r="C103" i="1" s="1"/>
  <c r="E131" i="1"/>
  <c r="F131" i="1" s="1"/>
  <c r="H131" i="1" s="1"/>
  <c r="E135" i="1"/>
  <c r="F135" i="1" s="1"/>
  <c r="H135" i="1" s="1"/>
  <c r="E118" i="1"/>
  <c r="F118" i="1" s="1"/>
  <c r="E136" i="1"/>
  <c r="F136" i="1" s="1"/>
  <c r="H136" i="1" s="1"/>
  <c r="E129" i="1"/>
  <c r="F129" i="1" s="1"/>
  <c r="E137" i="1"/>
  <c r="F137" i="1" s="1"/>
  <c r="H137" i="1" s="1"/>
  <c r="E130" i="1"/>
  <c r="F130" i="1" s="1"/>
  <c r="E132" i="1"/>
  <c r="F132" i="1" s="1"/>
  <c r="H132" i="1" s="1"/>
  <c r="E133" i="1"/>
  <c r="F133" i="1" s="1"/>
  <c r="H133" i="1" s="1"/>
  <c r="A123" i="1"/>
  <c r="A124" i="1" s="1"/>
  <c r="A125" i="1" s="1"/>
  <c r="A126" i="1" s="1"/>
  <c r="A127" i="1" s="1"/>
  <c r="F159" i="1"/>
  <c r="H159" i="1" s="1"/>
  <c r="F144" i="1"/>
  <c r="H144" i="1" s="1"/>
  <c r="F115" i="1"/>
  <c r="C106" i="1"/>
  <c r="F116" i="1"/>
  <c r="H116" i="1" s="1"/>
  <c r="F125" i="1"/>
  <c r="H125" i="1" s="1"/>
  <c r="F127" i="1"/>
  <c r="H127" i="1" s="1"/>
  <c r="F124" i="1"/>
  <c r="H124" i="1" s="1"/>
  <c r="F117" i="1"/>
  <c r="H117" i="1" s="1"/>
  <c r="F123" i="1"/>
  <c r="H123" i="1" s="1"/>
  <c r="F120" i="1"/>
  <c r="H120" i="1" s="1"/>
  <c r="F126" i="1"/>
  <c r="H126" i="1" s="1"/>
  <c r="F122" i="1"/>
  <c r="H122" i="1" s="1"/>
  <c r="F119" i="1"/>
  <c r="H119" i="1" s="1"/>
  <c r="H130" i="1" l="1"/>
  <c r="E99" i="1"/>
  <c r="E103" i="1" s="1"/>
  <c r="H129" i="1"/>
  <c r="G102" i="1" s="1"/>
  <c r="E102" i="1"/>
  <c r="H118" i="1"/>
  <c r="E106" i="1"/>
  <c r="H115" i="1"/>
  <c r="G99" i="1" s="1"/>
  <c r="G103" i="1" s="1"/>
  <c r="G106" i="1"/>
  <c r="E42" i="1" l="1"/>
  <c r="I42" i="1"/>
  <c r="C76" i="1"/>
  <c r="J101" i="1" l="1"/>
  <c r="L101" i="1" l="1"/>
  <c r="K101" i="1"/>
  <c r="E43" i="1"/>
  <c r="E44" i="1" s="1"/>
  <c r="C15" i="1" l="1"/>
  <c r="E30" i="1" l="1"/>
  <c r="K98" i="1" l="1"/>
  <c r="K104" i="1" s="1"/>
  <c r="L98" i="1"/>
  <c r="L104" i="1" s="1"/>
  <c r="M104" i="1" l="1"/>
  <c r="F96" i="1"/>
  <c r="M98" i="1" l="1"/>
  <c r="A174" i="1"/>
  <c r="A168" i="1"/>
  <c r="A162" i="1"/>
  <c r="F178" i="1" l="1"/>
  <c r="F177" i="1"/>
  <c r="F176" i="1"/>
  <c r="F175" i="1"/>
  <c r="F174" i="1"/>
  <c r="F172" i="1"/>
  <c r="F171" i="1"/>
  <c r="F170" i="1"/>
  <c r="F169" i="1"/>
  <c r="F168" i="1"/>
  <c r="F166" i="1"/>
  <c r="F165" i="1"/>
  <c r="F164" i="1"/>
  <c r="F163" i="1"/>
  <c r="F162" i="1"/>
  <c r="A169" i="1"/>
  <c r="A175" i="1"/>
  <c r="A163" i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202" i="1"/>
  <c r="G174" i="1"/>
  <c r="G175" i="1" s="1"/>
  <c r="G176" i="1" s="1"/>
  <c r="G177" i="1" s="1"/>
  <c r="G178" i="1" s="1"/>
  <c r="G168" i="1"/>
  <c r="G169" i="1" s="1"/>
  <c r="G170" i="1" s="1"/>
  <c r="G171" i="1" s="1"/>
  <c r="G172" i="1" s="1"/>
  <c r="G162" i="1"/>
  <c r="G163" i="1" s="1"/>
  <c r="G164" i="1" s="1"/>
  <c r="G165" i="1" s="1"/>
  <c r="G166" i="1" s="1"/>
  <c r="C69" i="1"/>
  <c r="D58" i="1"/>
  <c r="G50" i="1"/>
  <c r="C50" i="1"/>
  <c r="E27" i="1"/>
  <c r="E25" i="1"/>
  <c r="E8" i="1"/>
  <c r="E3" i="1"/>
  <c r="I63" i="1" s="1"/>
  <c r="A176" i="1"/>
  <c r="H70" i="1"/>
  <c r="A170" i="1"/>
  <c r="A164" i="1"/>
  <c r="C52" i="1" l="1"/>
  <c r="C54" i="1" s="1"/>
  <c r="G52" i="1"/>
  <c r="G54" i="1" s="1"/>
  <c r="D82" i="1"/>
  <c r="D80" i="1"/>
  <c r="D79" i="1"/>
  <c r="D78" i="1"/>
  <c r="D76" i="1"/>
  <c r="J69" i="1"/>
  <c r="D81" i="1"/>
  <c r="D77" i="1"/>
  <c r="J73" i="1"/>
  <c r="J74" i="1"/>
  <c r="C73" i="1" s="1"/>
  <c r="J72" i="1"/>
  <c r="J75" i="1"/>
  <c r="A177" i="1"/>
  <c r="A165" i="1"/>
  <c r="A171" i="1"/>
  <c r="J76" i="1" l="1"/>
  <c r="J77" i="1"/>
  <c r="J78" i="1" s="1"/>
  <c r="J79" i="1" s="1"/>
  <c r="J80" i="1" s="1"/>
  <c r="D75" i="1"/>
  <c r="J71" i="1"/>
  <c r="D73" i="1"/>
  <c r="A172" i="1"/>
  <c r="A178" i="1"/>
  <c r="A166" i="1"/>
  <c r="J81" i="1" l="1"/>
  <c r="J82" i="1" s="1"/>
  <c r="C74" i="1" s="1"/>
  <c r="G73" i="1" l="1"/>
  <c r="D67" i="1" s="1"/>
  <c r="D68" i="1" s="1"/>
  <c r="J70" i="1"/>
  <c r="D74" i="1"/>
  <c r="I70" i="1" s="1"/>
  <c r="I71" i="1" s="1"/>
  <c r="E73" i="1"/>
  <c r="F68" i="1" l="1"/>
  <c r="I69" i="1"/>
  <c r="C71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SACHIN</author>
  </authors>
  <commentList>
    <comment ref="H140" authorId="0" shapeId="0" xr:uid="{BFC6E9B8-5834-4AB9-B6B7-BD66149698FC}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Give loading of 50% for A Category</t>
        </r>
      </text>
    </comment>
  </commentList>
</comments>
</file>

<file path=xl/sharedStrings.xml><?xml version="1.0" encoding="utf-8"?>
<sst xmlns="http://schemas.openxmlformats.org/spreadsheetml/2006/main" count="325" uniqueCount="247">
  <si>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</si>
  <si>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</si>
  <si>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</si>
  <si>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</si>
  <si>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</si>
  <si>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</si>
  <si>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</si>
  <si>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</si>
  <si>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</si>
  <si>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</si>
  <si>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</si>
  <si>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</si>
  <si>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</si>
  <si>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</si>
  <si>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</si>
  <si>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</si>
  <si>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</si>
  <si>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</si>
  <si>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</si>
  <si>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</si>
  <si>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</si>
  <si>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</si>
  <si>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</si>
  <si>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</si>
  <si>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</si>
  <si>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</si>
  <si>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</si>
  <si>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</si>
  <si>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</si>
  <si>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</si>
  <si>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</si>
  <si>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</si>
  <si>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</si>
  <si>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</si>
  <si>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</si>
  <si>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</si>
  <si>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</si>
  <si>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</si>
  <si>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</si>
  <si>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</si>
  <si>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</si>
  <si>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</si>
  <si>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</si>
  <si>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</si>
  <si>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</si>
  <si>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</si>
  <si>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</si>
  <si>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</si>
  <si>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</si>
  <si>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</si>
  <si>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</si>
  <si>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</si>
  <si>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</si>
  <si>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</si>
  <si>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</si>
  <si>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Description</t>
  </si>
  <si>
    <t>Gross Carpet area</t>
  </si>
  <si>
    <t>Attached Terrace area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</si>
  <si>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</si>
  <si>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</si>
  <si>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</si>
  <si>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</si>
  <si>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</si>
  <si>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</si>
  <si>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</si>
  <si>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</si>
  <si>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</si>
  <si>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</si>
  <si>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</si>
  <si>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</si>
  <si>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</si>
  <si>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</si>
  <si>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</si>
  <si>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</si>
  <si>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</si>
  <si>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</si>
  <si>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</si>
  <si>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</si>
  <si>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</si>
  <si>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</si>
  <si>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</si>
  <si>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</si>
  <si>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</si>
  <si>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</si>
  <si>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</si>
  <si>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</si>
  <si>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</si>
  <si>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</si>
  <si>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</si>
  <si>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</si>
  <si>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</si>
  <si>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</si>
  <si>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</si>
  <si>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</si>
  <si>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</si>
  <si>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</si>
  <si>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</si>
  <si>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</si>
  <si>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</si>
  <si>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</si>
  <si>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</si>
  <si>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</si>
  <si>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</si>
  <si>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</si>
  <si>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</si>
  <si>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</si>
  <si>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</si>
  <si>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</si>
  <si>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</si>
  <si>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</si>
  <si>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</si>
  <si>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</si>
  <si>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</si>
  <si>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</si>
  <si>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</si>
  <si>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</si>
  <si>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</si>
  <si>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01 Building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</si>
  <si>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</si>
  <si>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</si>
  <si>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</si>
  <si>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</si>
  <si>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</si>
  <si>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</si>
  <si>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</si>
  <si>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</si>
  <si>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</si>
  <si>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</si>
  <si>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</si>
  <si>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</si>
  <si>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</si>
  <si>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</si>
  <si>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</si>
  <si>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</si>
  <si>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</si>
  <si>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</si>
  <si>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</si>
  <si>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</si>
  <si>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</si>
  <si>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</si>
  <si>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</si>
  <si>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</si>
  <si>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2nd to 5th Floor</t>
  </si>
  <si>
    <t>2nd &amp; 5th Floor</t>
  </si>
  <si>
    <t>Basement 1</t>
  </si>
  <si>
    <t>Plinth in process</t>
  </si>
  <si>
    <t xml:space="preserve">Violations Observed if any : </t>
  </si>
  <si>
    <t>Saleable area Loading :</t>
  </si>
  <si>
    <t>3rd, 5th, 7th, 9th, 11th, 13th, 15th Floor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</si>
  <si>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</si>
  <si>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</si>
  <si>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</si>
  <si>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</si>
  <si>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</si>
  <si>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</si>
  <si>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>Attached Loft area</t>
  </si>
  <si>
    <t xml:space="preserve">Recommended Rates of the Property : </t>
  </si>
  <si>
    <t>Floor Rise Rate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</si>
  <si>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</si>
  <si>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</si>
  <si>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</si>
  <si>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</si>
  <si>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</si>
  <si>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</si>
  <si>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</si>
  <si>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Layout :</t>
  </si>
  <si>
    <t>Office No. 1031, Wing J, Akshar Business Park, Plot No. 03 Sector 25, Near APMC Market, Vashi, Navi Mumbai, Maharashtra 400703 TEL: 022-46090378/79/80                                                                       
E mail : vsjcapf@gmail.com. Web site : www.vsjadon.com</t>
  </si>
  <si>
    <t>Latitude, Longitude</t>
  </si>
  <si>
    <t>Grand Total</t>
  </si>
  <si>
    <t>Provided Contact Details (Name &amp; Contact No.)</t>
  </si>
  <si>
    <t>Site Person - Contact Details (Name &amp; Contact No.)</t>
  </si>
  <si>
    <t>Building No.2</t>
  </si>
  <si>
    <t>P51700046697</t>
  </si>
  <si>
    <t>Survey No</t>
  </si>
  <si>
    <t>443(Old), 127(New)/1PT, 444(Old), 128(New)/1PT, 3PT, 4, 5PT, Survey No. 446(Old), 130(New)/1PT,2PT, 447(Old), 142(New)</t>
  </si>
  <si>
    <t>Navghar</t>
  </si>
  <si>
    <t>Thane</t>
  </si>
  <si>
    <t>https://goo.gl/maps/i1upmhJceKbZ8gMY7</t>
  </si>
  <si>
    <t>Mira Bhayander Road</t>
  </si>
  <si>
    <t>Winstone Apartment</t>
  </si>
  <si>
    <t>Open Plot</t>
  </si>
  <si>
    <t>Internal Road</t>
  </si>
  <si>
    <t>2.7 KM from Mira Road Railway Station</t>
  </si>
  <si>
    <t>Mira Road</t>
  </si>
  <si>
    <t xml:space="preserve">Mira-Bhayandar Municipal Corporation
</t>
  </si>
  <si>
    <t>MBMNP/NR/4182/2022-23</t>
  </si>
  <si>
    <t>Building No.2 - B + Gr + 5P + 6th to 29th Floor</t>
  </si>
  <si>
    <t>As per RERA -  30/06/2027</t>
  </si>
  <si>
    <t>Yoga Room, Library, Multi purpose lawn, Outdoor childrens play area</t>
  </si>
  <si>
    <t>Shop</t>
  </si>
  <si>
    <t>Basement Floor for Parking</t>
  </si>
  <si>
    <t>2nd to 5th Podium Floor for Parking</t>
  </si>
  <si>
    <t>2BHK</t>
  </si>
  <si>
    <t>Refuge Area</t>
  </si>
  <si>
    <t>7th, 8th to 10th, 12th to 15th, 17th to 20th, 22nd to 25th, 27th to 29th Floor</t>
  </si>
  <si>
    <t>Building No. 01 is drafted and hide.</t>
  </si>
  <si>
    <t>3BHK</t>
  </si>
  <si>
    <t>Builder sheet</t>
  </si>
  <si>
    <t>Housing</t>
  </si>
  <si>
    <t xml:space="preserve">Sheet </t>
  </si>
  <si>
    <t>Chandan Shanti</t>
  </si>
  <si>
    <t>Miss. Harshada : 9664372060</t>
  </si>
  <si>
    <t>Cllaro Enterprises LLP</t>
  </si>
  <si>
    <t>Miss. Priyanka : 9664372060</t>
  </si>
  <si>
    <t>Ms. Prerna Hatkar 9226102961</t>
  </si>
  <si>
    <t>Construction work is in process at the time of Visit. Internal visit not allowed.</t>
  </si>
  <si>
    <t>Kunal Kadam</t>
  </si>
  <si>
    <t>Suraj Mali</t>
  </si>
  <si>
    <t>Bank Name:</t>
  </si>
  <si>
    <t>PNB Housing Finance Limited</t>
  </si>
  <si>
    <t>PNB Borivali</t>
  </si>
  <si>
    <t>Building Details Floor Wise</t>
  </si>
  <si>
    <t xml:space="preserve">Details of Residential &amp; Commercials in Building   </t>
  </si>
  <si>
    <t>Shop No. (Sale Plan)</t>
  </si>
  <si>
    <t>Carpet area</t>
  </si>
  <si>
    <t>Flat No. (Sale Plan)</t>
  </si>
  <si>
    <t>Carpet Area</t>
  </si>
  <si>
    <r>
      <t xml:space="preserve">Shop No.
</t>
    </r>
    <r>
      <rPr>
        <b/>
        <sz val="11"/>
        <rFont val="Times New Roman"/>
        <family val="1"/>
      </rPr>
      <t>(Approved Plan)</t>
    </r>
  </si>
  <si>
    <r>
      <t xml:space="preserve">Flat No.
</t>
    </r>
    <r>
      <rPr>
        <b/>
        <sz val="11"/>
        <rFont val="Times New Roman"/>
        <family val="1"/>
      </rPr>
      <t>(Approved Plan)</t>
    </r>
  </si>
  <si>
    <t>1st Floor Double Height Entrance Lobby &amp; Parking</t>
  </si>
  <si>
    <t>6th, 11th, 16th, 21st &amp; 26th Floor for Residential (Part Refuge Area)</t>
  </si>
  <si>
    <t>6A</t>
  </si>
  <si>
    <t>6B</t>
  </si>
  <si>
    <t xml:space="preserve">Approved Floor plan No.
2nd to 29th Floor  </t>
  </si>
  <si>
    <t>MBMC/PO/2024/APL/00020</t>
  </si>
  <si>
    <t>60 Years After Completion</t>
  </si>
  <si>
    <t>MBMC/PO/2024/APL/00020
Approved upto : Basement + Gr + 1st Floor</t>
  </si>
  <si>
    <t>19.288337,72.875993</t>
  </si>
  <si>
    <t>Other Plot</t>
  </si>
  <si>
    <t>18.00 M Wide road</t>
  </si>
  <si>
    <t>15.00 M Wide road</t>
  </si>
  <si>
    <t>Mira Bhayandar Link Road</t>
  </si>
  <si>
    <t>Flats - 187, Shops - 22</t>
  </si>
  <si>
    <t xml:space="preserve">Fire Noc
Valid Up to: </t>
  </si>
  <si>
    <t>Urban Grandeur Bldg 2</t>
  </si>
  <si>
    <t>Building No. 2</t>
  </si>
  <si>
    <t>Approved Floor plan No.  
Gr + 1st Floor</t>
  </si>
  <si>
    <t>Office</t>
  </si>
  <si>
    <t>Building No.2 Shops</t>
  </si>
  <si>
    <t>Building No.2 Office</t>
  </si>
  <si>
    <t>Building No.2 Flats</t>
  </si>
  <si>
    <t>Ground Floor for Commercial &amp; Watchmen Cabin, Entrance Lobby &amp; Parking</t>
  </si>
  <si>
    <t>We considered Gross carpet area = Net carpet + Balcony.</t>
  </si>
  <si>
    <t>Balcony Area</t>
  </si>
  <si>
    <t>As per OC plans dtd 16/09/2024 Commercial units consist of Loft area but as per site visit dtd 30/08/2025 We have observe that Loft area is not built in commercial units.</t>
  </si>
  <si>
    <t xml:space="preserve">Part O. Certificate No.: </t>
  </si>
  <si>
    <t>Approved Plans, CC, Cost Sheet, Part OC.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</si>
</sst>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_(* #,##0.00_);_(* \(#,##0.00\);_(* &quot;-&quot;??_);_(@_)"/>
    <numFmt numFmtId="165" formatCode="0.0"/>
    <numFmt numFmtId="166" formatCode="_(* #,##0_);_(* \(#,##0\);_(* &quot;-&quot;??_);_(@_)"/>
    <numFmt numFmtId="167" formatCode="_ * #,##0_ ;_ * \-#,##0_ ;_ * &quot;-&quot;??_ ;_ @_ "/>
  </numFmts>
  <fonts count="30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b/>
      <sz val="12"/>
      <color rgb="FFFF0000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  <font>
      <b/>
      <sz val="11"/>
      <color rgb="FFFF0000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3" fillId="0" borderId="0"/>
    <xf numFmtId="0" fontId="4" fillId="0" borderId="0"/>
    <xf numFmtId="0" fontId="2" fillId="0" borderId="0"/>
    <xf numFmtId="0" fontId="4" fillId="0" borderId="0"/>
    <xf numFmtId="0" fontId="1" fillId="0" borderId="0"/>
    <xf numFmtId="164" fontId="4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181">
    <xf numFmtId="0" fontId="0" fillId="0" borderId="0" xfId="0"/>
    <xf numFmtId="0" fontId="4" fillId="0" borderId="0" xfId="4"/>
    <xf numFmtId="0" fontId="1" fillId="0" borderId="0" xfId="5"/>
    <xf numFmtId="0" fontId="8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8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4" fillId="0" borderId="1" xfId="4" applyBorder="1" applyAlignment="1">
      <alignment horizontal="center" vertical="center"/>
    </xf>
    <xf numFmtId="0" fontId="17" fillId="0" borderId="0" xfId="0" applyFont="1" applyProtection="1">
      <protection hidden="1"/>
    </xf>
    <xf numFmtId="0" fontId="17" fillId="0" borderId="8" xfId="0" applyFont="1" applyBorder="1" applyProtection="1">
      <protection hidden="1"/>
    </xf>
    <xf numFmtId="0" fontId="11" fillId="0" borderId="3" xfId="1" applyFont="1" applyBorder="1" applyAlignment="1" applyProtection="1">
      <alignment horizontal="center" vertical="top"/>
      <protection locked="0"/>
    </xf>
    <xf numFmtId="0" fontId="11" fillId="0" borderId="4" xfId="1" applyFont="1" applyBorder="1" applyAlignment="1" applyProtection="1">
      <alignment horizontal="center" vertical="top"/>
      <protection locked="0"/>
    </xf>
    <xf numFmtId="0" fontId="6" fillId="0" borderId="0" xfId="1" applyFont="1"/>
    <xf numFmtId="0" fontId="14" fillId="0" borderId="0" xfId="1" applyFont="1"/>
    <xf numFmtId="0" fontId="11" fillId="0" borderId="0" xfId="1" applyFont="1"/>
    <xf numFmtId="1" fontId="6" fillId="0" borderId="0" xfId="1" applyNumberFormat="1" applyFont="1"/>
    <xf numFmtId="14" fontId="6" fillId="0" borderId="0" xfId="1" applyNumberFormat="1" applyFont="1"/>
    <xf numFmtId="0" fontId="6" fillId="0" borderId="0" xfId="1" applyFont="1" applyProtection="1">
      <protection hidden="1"/>
    </xf>
    <xf numFmtId="0" fontId="22" fillId="0" borderId="0" xfId="1" applyFont="1"/>
    <xf numFmtId="0" fontId="6" fillId="0" borderId="7" xfId="1" applyFont="1" applyBorder="1"/>
    <xf numFmtId="0" fontId="17" fillId="0" borderId="7" xfId="0" applyFont="1" applyBorder="1" applyProtection="1">
      <protection hidden="1"/>
    </xf>
    <xf numFmtId="1" fontId="0" fillId="0" borderId="7" xfId="0" applyNumberFormat="1" applyBorder="1"/>
    <xf numFmtId="1" fontId="0" fillId="0" borderId="7" xfId="0" applyNumberFormat="1" applyBorder="1" applyAlignment="1">
      <alignment horizontal="right"/>
    </xf>
    <xf numFmtId="1" fontId="0" fillId="0" borderId="9" xfId="0" applyNumberFormat="1" applyBorder="1"/>
    <xf numFmtId="0" fontId="15" fillId="0" borderId="0" xfId="1" applyFont="1"/>
    <xf numFmtId="0" fontId="5" fillId="0" borderId="0" xfId="2" applyFont="1"/>
    <xf numFmtId="0" fontId="6" fillId="0" borderId="0" xfId="0" applyFont="1" applyAlignment="1">
      <alignment horizontal="center" vertical="center"/>
    </xf>
    <xf numFmtId="1" fontId="6" fillId="0" borderId="0" xfId="1" applyNumberFormat="1" applyFont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7" fillId="0" borderId="0" xfId="1" applyFont="1" applyAlignment="1" applyProtection="1">
      <alignment vertical="top"/>
      <protection locked="0"/>
    </xf>
    <xf numFmtId="0" fontId="7" fillId="0" borderId="0" xfId="1" applyFont="1" applyAlignment="1" applyProtection="1">
      <alignment vertical="top" wrapText="1"/>
      <protection locked="0"/>
    </xf>
    <xf numFmtId="0" fontId="6" fillId="0" borderId="0" xfId="1" applyFont="1" applyProtection="1">
      <protection locked="0"/>
    </xf>
    <xf numFmtId="0" fontId="9" fillId="0" borderId="0" xfId="1" applyFont="1" applyProtection="1">
      <protection locked="0"/>
    </xf>
    <xf numFmtId="1" fontId="5" fillId="0" borderId="1" xfId="1" applyNumberFormat="1" applyFont="1" applyBorder="1" applyAlignment="1" applyProtection="1">
      <alignment horizontal="center" vertical="center" wrapText="1"/>
      <protection locked="0"/>
    </xf>
    <xf numFmtId="1" fontId="5" fillId="0" borderId="1" xfId="0" applyNumberFormat="1" applyFont="1" applyBorder="1" applyAlignment="1" applyProtection="1">
      <alignment horizontal="center" vertical="center" wrapText="1"/>
      <protection locked="0"/>
    </xf>
    <xf numFmtId="0" fontId="23" fillId="2" borderId="25" xfId="0" applyFont="1" applyFill="1" applyBorder="1"/>
    <xf numFmtId="0" fontId="24" fillId="0" borderId="26" xfId="0" applyFont="1" applyBorder="1"/>
    <xf numFmtId="0" fontId="24" fillId="0" borderId="1" xfId="0" applyFont="1" applyBorder="1"/>
    <xf numFmtId="0" fontId="24" fillId="0" borderId="4" xfId="0" applyFont="1" applyBorder="1"/>
    <xf numFmtId="0" fontId="11" fillId="0" borderId="1" xfId="1" applyFont="1" applyBorder="1" applyAlignment="1" applyProtection="1">
      <alignment horizontal="center" vertical="top"/>
      <protection locked="0"/>
    </xf>
    <xf numFmtId="0" fontId="11" fillId="0" borderId="1" xfId="1" applyFont="1" applyBorder="1" applyAlignment="1" applyProtection="1">
      <alignment vertical="top" wrapText="1"/>
      <protection locked="0"/>
    </xf>
    <xf numFmtId="0" fontId="12" fillId="0" borderId="1" xfId="1" applyFont="1" applyBorder="1" applyAlignment="1" applyProtection="1">
      <alignment vertical="top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9" fontId="11" fillId="0" borderId="1" xfId="8" applyFont="1" applyFill="1" applyBorder="1" applyAlignment="1" applyProtection="1">
      <alignment horizontal="center" vertical="top" wrapText="1"/>
      <protection locked="0"/>
    </xf>
    <xf numFmtId="0" fontId="26" fillId="2" borderId="0" xfId="0" applyFont="1" applyFill="1"/>
    <xf numFmtId="0" fontId="16" fillId="2" borderId="0" xfId="1" applyFont="1" applyFill="1" applyAlignment="1">
      <alignment horizontal="center" vertical="center"/>
    </xf>
    <xf numFmtId="1" fontId="11" fillId="0" borderId="1" xfId="1" applyNumberFormat="1" applyFont="1" applyBorder="1" applyAlignment="1" applyProtection="1">
      <alignment horizontal="center" vertical="top" wrapText="1"/>
      <protection locked="0"/>
    </xf>
    <xf numFmtId="167" fontId="6" fillId="0" borderId="0" xfId="9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" fontId="6" fillId="0" borderId="0" xfId="0" applyNumberFormat="1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" fontId="9" fillId="0" borderId="0" xfId="0" applyNumberFormat="1" applyFont="1" applyAlignment="1">
      <alignment horizontal="center" vertical="center"/>
    </xf>
    <xf numFmtId="166" fontId="9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1" fillId="0" borderId="2" xfId="1" applyFont="1" applyBorder="1" applyAlignment="1" applyProtection="1">
      <alignment horizontal="center" vertical="top" wrapText="1"/>
      <protection locked="0"/>
    </xf>
    <xf numFmtId="9" fontId="11" fillId="0" borderId="2" xfId="8" applyFont="1" applyFill="1" applyBorder="1" applyAlignment="1" applyProtection="1">
      <alignment horizontal="center" vertical="top" wrapText="1"/>
      <protection locked="0"/>
    </xf>
    <xf numFmtId="1" fontId="12" fillId="0" borderId="2" xfId="1" applyNumberFormat="1" applyFont="1" applyBorder="1" applyAlignment="1" applyProtection="1">
      <alignment horizontal="center" vertical="top" wrapText="1"/>
      <protection locked="0"/>
    </xf>
    <xf numFmtId="9" fontId="12" fillId="0" borderId="13" xfId="8" applyFont="1" applyFill="1" applyBorder="1" applyAlignment="1" applyProtection="1">
      <alignment horizontal="center" vertical="top" wrapText="1"/>
      <protection locked="0"/>
    </xf>
    <xf numFmtId="1" fontId="11" fillId="0" borderId="1" xfId="1" applyNumberFormat="1" applyFont="1" applyBorder="1" applyAlignment="1" applyProtection="1">
      <alignment horizontal="center" vertical="center" wrapText="1"/>
      <protection locked="0"/>
    </xf>
    <xf numFmtId="1" fontId="12" fillId="0" borderId="5" xfId="0" applyNumberFormat="1" applyFont="1" applyBorder="1" applyAlignment="1" applyProtection="1">
      <alignment vertical="top" wrapText="1"/>
      <protection locked="0"/>
    </xf>
    <xf numFmtId="1" fontId="12" fillId="0" borderId="18" xfId="0" applyNumberFormat="1" applyFont="1" applyBorder="1" applyAlignment="1" applyProtection="1">
      <alignment vertical="top" wrapText="1"/>
      <protection locked="0"/>
    </xf>
    <xf numFmtId="1" fontId="12" fillId="0" borderId="6" xfId="0" applyNumberFormat="1" applyFont="1" applyBorder="1" applyAlignment="1" applyProtection="1">
      <alignment vertical="top" wrapText="1"/>
      <protection locked="0"/>
    </xf>
    <xf numFmtId="165" fontId="11" fillId="0" borderId="1" xfId="1" applyNumberFormat="1" applyFont="1" applyBorder="1" applyAlignment="1" applyProtection="1">
      <alignment horizontal="left" vertical="top"/>
      <protection locked="0"/>
    </xf>
    <xf numFmtId="0" fontId="11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167" fontId="11" fillId="0" borderId="1" xfId="9" applyNumberFormat="1" applyFont="1" applyFill="1" applyBorder="1" applyAlignment="1" applyProtection="1">
      <alignment horizontal="left" vertical="top"/>
      <protection locked="0"/>
    </xf>
    <xf numFmtId="0" fontId="5" fillId="0" borderId="1" xfId="1" applyFont="1" applyBorder="1" applyAlignment="1" applyProtection="1">
      <alignment horizontal="left" vertical="top"/>
      <protection locked="0"/>
    </xf>
    <xf numFmtId="1" fontId="5" fillId="0" borderId="5" xfId="1" applyNumberFormat="1" applyFont="1" applyBorder="1" applyAlignment="1" applyProtection="1">
      <alignment horizontal="center" vertical="center" wrapText="1"/>
      <protection locked="0"/>
    </xf>
    <xf numFmtId="1" fontId="5" fillId="0" borderId="6" xfId="1" applyNumberFormat="1" applyFont="1" applyBorder="1" applyAlignment="1" applyProtection="1">
      <alignment horizontal="center" vertical="center" wrapText="1"/>
      <protection locked="0"/>
    </xf>
    <xf numFmtId="1" fontId="7" fillId="0" borderId="5" xfId="1" applyNumberFormat="1" applyFont="1" applyBorder="1" applyAlignment="1" applyProtection="1">
      <alignment horizontal="center" vertical="center" wrapText="1"/>
      <protection locked="0"/>
    </xf>
    <xf numFmtId="1" fontId="7" fillId="0" borderId="18" xfId="1" applyNumberFormat="1" applyFont="1" applyBorder="1" applyAlignment="1" applyProtection="1">
      <alignment horizontal="center" vertical="center" wrapText="1"/>
      <protection locked="0"/>
    </xf>
    <xf numFmtId="1" fontId="7" fillId="0" borderId="6" xfId="1" applyNumberFormat="1" applyFont="1" applyBorder="1" applyAlignment="1" applyProtection="1">
      <alignment horizontal="center" vertical="center" wrapText="1"/>
      <protection locked="0"/>
    </xf>
    <xf numFmtId="0" fontId="11" fillId="0" borderId="5" xfId="1" applyFont="1" applyBorder="1" applyAlignment="1" applyProtection="1">
      <alignment horizontal="left" vertical="top" wrapText="1"/>
      <protection locked="0"/>
    </xf>
    <xf numFmtId="0" fontId="11" fillId="0" borderId="6" xfId="1" applyFont="1" applyBorder="1" applyAlignment="1" applyProtection="1">
      <alignment horizontal="left" vertical="top" wrapText="1"/>
      <protection locked="0"/>
    </xf>
    <xf numFmtId="0" fontId="11" fillId="0" borderId="18" xfId="1" applyFont="1" applyBorder="1" applyAlignment="1" applyProtection="1">
      <alignment horizontal="left" vertical="top" wrapText="1"/>
      <protection locked="0"/>
    </xf>
    <xf numFmtId="14" fontId="11" fillId="0" borderId="5" xfId="1" applyNumberFormat="1" applyFont="1" applyBorder="1" applyAlignment="1" applyProtection="1">
      <alignment horizontal="left" vertical="top" wrapText="1"/>
      <protection locked="0"/>
    </xf>
    <xf numFmtId="0" fontId="11" fillId="0" borderId="14" xfId="1" applyFont="1" applyBorder="1" applyAlignment="1" applyProtection="1">
      <alignment horizontal="left" vertical="top" wrapText="1"/>
      <protection locked="0"/>
    </xf>
    <xf numFmtId="0" fontId="11" fillId="0" borderId="15" xfId="1" applyFont="1" applyBorder="1" applyAlignment="1" applyProtection="1">
      <alignment horizontal="left" vertical="top" wrapText="1"/>
      <protection locked="0"/>
    </xf>
    <xf numFmtId="0" fontId="11" fillId="0" borderId="16" xfId="1" applyFont="1" applyBorder="1" applyAlignment="1" applyProtection="1">
      <alignment horizontal="left" vertical="top" wrapText="1"/>
      <protection locked="0"/>
    </xf>
    <xf numFmtId="0" fontId="11" fillId="0" borderId="17" xfId="1" applyFont="1" applyBorder="1" applyAlignment="1" applyProtection="1">
      <alignment horizontal="left" vertical="top" wrapText="1"/>
      <protection locked="0"/>
    </xf>
    <xf numFmtId="1" fontId="5" fillId="0" borderId="2" xfId="0" applyNumberFormat="1" applyFont="1" applyBorder="1" applyAlignment="1" applyProtection="1">
      <alignment horizontal="center" vertical="center" wrapText="1"/>
      <protection locked="0"/>
    </xf>
    <xf numFmtId="1" fontId="6" fillId="0" borderId="2" xfId="0" applyNumberFormat="1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horizontal="center" vertical="center"/>
      <protection locked="0"/>
    </xf>
    <xf numFmtId="0" fontId="11" fillId="0" borderId="1" xfId="1" applyFont="1" applyBorder="1" applyAlignment="1" applyProtection="1">
      <alignment horizontal="left" vertical="top"/>
      <protection locked="0"/>
    </xf>
    <xf numFmtId="0" fontId="25" fillId="0" borderId="1" xfId="10" applyFill="1" applyBorder="1" applyAlignment="1" applyProtection="1">
      <alignment horizontal="left" vertical="top" wrapText="1"/>
      <protection locked="0"/>
    </xf>
    <xf numFmtId="0" fontId="6" fillId="0" borderId="0" xfId="1" applyFont="1" applyAlignment="1">
      <alignment horizontal="center" vertical="center"/>
    </xf>
    <xf numFmtId="0" fontId="7" fillId="0" borderId="1" xfId="1" applyFont="1" applyBorder="1" applyAlignment="1" applyProtection="1">
      <alignment horizontal="center" vertical="top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top" wrapText="1"/>
      <protection locked="0"/>
    </xf>
    <xf numFmtId="1" fontId="5" fillId="0" borderId="1" xfId="0" applyNumberFormat="1" applyFont="1" applyBorder="1" applyAlignment="1" applyProtection="1">
      <alignment horizontal="center" vertical="top" wrapText="1"/>
      <protection locked="0"/>
    </xf>
    <xf numFmtId="1" fontId="7" fillId="0" borderId="1" xfId="0" applyNumberFormat="1" applyFont="1" applyBorder="1" applyAlignment="1" applyProtection="1">
      <alignment horizontal="center" vertical="center" wrapText="1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top" wrapText="1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1" fontId="5" fillId="0" borderId="1" xfId="1" applyNumberFormat="1" applyFont="1" applyBorder="1" applyAlignment="1" applyProtection="1">
      <alignment horizontal="left" vertical="top" wrapText="1"/>
      <protection locked="0"/>
    </xf>
    <xf numFmtId="0" fontId="11" fillId="0" borderId="3" xfId="1" applyFont="1" applyBorder="1" applyAlignment="1" applyProtection="1">
      <alignment horizontal="center" vertical="top" wrapText="1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12" fillId="0" borderId="3" xfId="1" applyFont="1" applyBorder="1" applyAlignment="1" applyProtection="1">
      <alignment horizontal="left" vertical="top"/>
      <protection locked="0"/>
    </xf>
    <xf numFmtId="0" fontId="12" fillId="0" borderId="19" xfId="1" applyFont="1" applyBorder="1" applyAlignment="1" applyProtection="1">
      <alignment horizontal="left" vertical="top" wrapText="1"/>
      <protection locked="0"/>
    </xf>
    <xf numFmtId="0" fontId="12" fillId="0" borderId="12" xfId="1" applyFont="1" applyBorder="1" applyAlignment="1" applyProtection="1">
      <alignment horizontal="left" vertical="top" wrapText="1"/>
      <protection locked="0"/>
    </xf>
    <xf numFmtId="0" fontId="12" fillId="0" borderId="10" xfId="1" applyFont="1" applyBorder="1" applyAlignment="1" applyProtection="1">
      <alignment horizontal="left" vertical="top" wrapText="1"/>
      <protection locked="0"/>
    </xf>
    <xf numFmtId="0" fontId="12" fillId="0" borderId="11" xfId="1" applyFont="1" applyBorder="1" applyAlignment="1" applyProtection="1">
      <alignment horizontal="left" vertical="top" wrapText="1"/>
      <protection locked="0"/>
    </xf>
    <xf numFmtId="0" fontId="12" fillId="0" borderId="20" xfId="1" applyFont="1" applyBorder="1" applyAlignment="1" applyProtection="1">
      <alignment horizontal="left" vertical="top" wrapText="1"/>
      <protection locked="0"/>
    </xf>
    <xf numFmtId="0" fontId="5" fillId="0" borderId="1" xfId="1" applyFont="1" applyBorder="1" applyAlignment="1" applyProtection="1">
      <alignment horizontal="left" vertical="top" wrapText="1"/>
      <protection locked="0"/>
    </xf>
    <xf numFmtId="0" fontId="12" fillId="0" borderId="4" xfId="1" applyFont="1" applyBorder="1" applyAlignment="1" applyProtection="1">
      <alignment horizontal="left" vertical="top" wrapText="1"/>
      <protection locked="0"/>
    </xf>
    <xf numFmtId="0" fontId="11" fillId="0" borderId="1" xfId="1" applyFont="1" applyBorder="1" applyAlignment="1" applyProtection="1">
      <alignment horizontal="center"/>
      <protection locked="0"/>
    </xf>
    <xf numFmtId="0" fontId="11" fillId="0" borderId="1" xfId="1" applyFont="1" applyBorder="1" applyAlignment="1" applyProtection="1">
      <alignment horizontal="center" vertical="top"/>
      <protection locked="0"/>
    </xf>
    <xf numFmtId="2" fontId="11" fillId="0" borderId="1" xfId="1" applyNumberFormat="1" applyFont="1" applyBorder="1" applyAlignment="1" applyProtection="1">
      <alignment horizontal="left" vertical="top" wrapText="1"/>
      <protection locked="0"/>
    </xf>
    <xf numFmtId="0" fontId="7" fillId="0" borderId="1" xfId="1" applyFont="1" applyBorder="1" applyAlignment="1" applyProtection="1">
      <alignment horizontal="left" vertical="top"/>
      <protection locked="0"/>
    </xf>
    <xf numFmtId="0" fontId="11" fillId="0" borderId="2" xfId="1" applyFont="1" applyBorder="1" applyAlignment="1" applyProtection="1">
      <alignment horizontal="left" vertical="top" wrapText="1"/>
      <protection locked="0"/>
    </xf>
    <xf numFmtId="0" fontId="11" fillId="0" borderId="2" xfId="1" applyFont="1" applyBorder="1" applyAlignment="1" applyProtection="1">
      <alignment horizontal="left" vertical="top"/>
      <protection locked="0"/>
    </xf>
    <xf numFmtId="0" fontId="11" fillId="0" borderId="21" xfId="1" applyFont="1" applyBorder="1" applyAlignment="1" applyProtection="1">
      <alignment horizontal="left" vertical="top" wrapText="1"/>
      <protection locked="0"/>
    </xf>
    <xf numFmtId="0" fontId="5" fillId="0" borderId="13" xfId="1" applyFont="1" applyBorder="1" applyAlignment="1" applyProtection="1">
      <alignment horizontal="left" vertical="top" wrapText="1"/>
      <protection locked="0"/>
    </xf>
    <xf numFmtId="2" fontId="11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1" fillId="0" borderId="1" xfId="1" applyFont="1" applyBorder="1" applyAlignment="1" applyProtection="1">
      <alignment horizontal="left"/>
      <protection locked="0"/>
    </xf>
    <xf numFmtId="0" fontId="10" fillId="0" borderId="1" xfId="1" applyFont="1" applyBorder="1" applyAlignment="1" applyProtection="1">
      <alignment horizontal="center" vertical="top" wrapText="1"/>
      <protection locked="0"/>
    </xf>
    <xf numFmtId="14" fontId="11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1" fontId="5" fillId="0" borderId="1" xfId="0" applyNumberFormat="1" applyFont="1" applyBorder="1" applyAlignment="1" applyProtection="1">
      <alignment horizontal="center" vertical="center" wrapText="1"/>
      <protection locked="0"/>
    </xf>
    <xf numFmtId="1" fontId="7" fillId="0" borderId="13" xfId="0" applyNumberFormat="1" applyFont="1" applyBorder="1" applyAlignment="1" applyProtection="1">
      <alignment horizontal="center" vertical="center" wrapText="1"/>
      <protection locked="0"/>
    </xf>
    <xf numFmtId="0" fontId="7" fillId="0" borderId="1" xfId="1" applyFont="1" applyBorder="1" applyAlignment="1" applyProtection="1">
      <alignment vertical="top"/>
      <protection locked="0"/>
    </xf>
    <xf numFmtId="1" fontId="6" fillId="0" borderId="1" xfId="0" applyNumberFormat="1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left" vertical="top" wrapText="1"/>
      <protection locked="0"/>
    </xf>
    <xf numFmtId="1" fontId="11" fillId="0" borderId="1" xfId="1" applyNumberFormat="1" applyFont="1" applyBorder="1" applyAlignment="1" applyProtection="1">
      <alignment horizontal="center" vertical="center" wrapText="1"/>
      <protection locked="0"/>
    </xf>
    <xf numFmtId="0" fontId="5" fillId="0" borderId="2" xfId="1" applyFont="1" applyBorder="1" applyAlignment="1" applyProtection="1">
      <alignment horizontal="left" vertical="top" wrapText="1"/>
      <protection locked="0"/>
    </xf>
    <xf numFmtId="0" fontId="5" fillId="0" borderId="2" xfId="1" applyFont="1" applyBorder="1" applyAlignment="1" applyProtection="1">
      <alignment horizontal="left" vertical="top"/>
      <protection locked="0"/>
    </xf>
    <xf numFmtId="0" fontId="11" fillId="0" borderId="4" xfId="1" applyFont="1" applyBorder="1" applyAlignment="1" applyProtection="1">
      <alignment horizontal="center" vertical="top" wrapText="1"/>
      <protection locked="0"/>
    </xf>
    <xf numFmtId="9" fontId="11" fillId="0" borderId="14" xfId="8" applyFont="1" applyFill="1" applyBorder="1" applyAlignment="1" applyProtection="1">
      <alignment horizontal="center" vertical="center" wrapText="1"/>
      <protection locked="0"/>
    </xf>
    <xf numFmtId="9" fontId="11" fillId="0" borderId="15" xfId="8" applyFont="1" applyFill="1" applyBorder="1" applyAlignment="1" applyProtection="1">
      <alignment horizontal="center" vertical="center" wrapText="1"/>
      <protection locked="0"/>
    </xf>
    <xf numFmtId="9" fontId="11" fillId="0" borderId="22" xfId="8" applyFont="1" applyFill="1" applyBorder="1" applyAlignment="1" applyProtection="1">
      <alignment horizontal="center" vertical="center" wrapText="1"/>
      <protection locked="0"/>
    </xf>
    <xf numFmtId="9" fontId="11" fillId="0" borderId="23" xfId="8" applyFont="1" applyFill="1" applyBorder="1" applyAlignment="1" applyProtection="1">
      <alignment horizontal="center" vertical="center" wrapText="1"/>
      <protection locked="0"/>
    </xf>
    <xf numFmtId="9" fontId="11" fillId="0" borderId="24" xfId="8" applyFont="1" applyFill="1" applyBorder="1" applyAlignment="1" applyProtection="1">
      <alignment horizontal="center" vertical="center" wrapText="1"/>
      <protection locked="0"/>
    </xf>
    <xf numFmtId="9" fontId="11" fillId="0" borderId="7" xfId="8" applyFont="1" applyFill="1" applyBorder="1" applyAlignment="1" applyProtection="1">
      <alignment horizontal="center" vertical="center" wrapText="1"/>
      <protection locked="0"/>
    </xf>
    <xf numFmtId="0" fontId="11" fillId="0" borderId="27" xfId="1" applyFont="1" applyBorder="1" applyAlignment="1" applyProtection="1">
      <alignment horizontal="center" vertical="top" wrapText="1"/>
      <protection locked="0"/>
    </xf>
    <xf numFmtId="0" fontId="11" fillId="0" borderId="2" xfId="1" applyFont="1" applyBorder="1" applyAlignment="1" applyProtection="1">
      <alignment horizontal="center" vertical="top" wrapText="1"/>
      <protection locked="0"/>
    </xf>
    <xf numFmtId="1" fontId="7" fillId="0" borderId="28" xfId="0" applyNumberFormat="1" applyFont="1" applyBorder="1" applyAlignment="1" applyProtection="1">
      <alignment horizontal="center" vertical="center" wrapText="1"/>
      <protection locked="0"/>
    </xf>
    <xf numFmtId="1" fontId="7" fillId="0" borderId="29" xfId="0" applyNumberFormat="1" applyFont="1" applyBorder="1" applyAlignment="1" applyProtection="1">
      <alignment horizontal="center" vertical="center" wrapText="1"/>
      <protection locked="0"/>
    </xf>
    <xf numFmtId="1" fontId="9" fillId="0" borderId="29" xfId="0" applyNumberFormat="1" applyFont="1" applyBorder="1" applyAlignment="1" applyProtection="1">
      <alignment horizontal="center" vertical="center"/>
      <protection locked="0"/>
    </xf>
    <xf numFmtId="0" fontId="9" fillId="0" borderId="29" xfId="0" applyFont="1" applyBorder="1" applyAlignment="1" applyProtection="1">
      <alignment horizontal="center" vertical="center"/>
      <protection locked="0"/>
    </xf>
    <xf numFmtId="1" fontId="9" fillId="0" borderId="29" xfId="0" applyNumberFormat="1" applyFont="1" applyBorder="1" applyAlignment="1" applyProtection="1">
      <alignment horizontal="center" vertical="top" wrapText="1"/>
      <protection locked="0"/>
    </xf>
    <xf numFmtId="0" fontId="9" fillId="0" borderId="29" xfId="0" applyFont="1" applyBorder="1" applyAlignment="1" applyProtection="1">
      <alignment horizontal="center" vertical="top" wrapText="1"/>
      <protection locked="0"/>
    </xf>
    <xf numFmtId="1" fontId="7" fillId="0" borderId="29" xfId="0" applyNumberFormat="1" applyFont="1" applyBorder="1" applyAlignment="1" applyProtection="1">
      <alignment horizontal="center" vertical="top" wrapText="1"/>
      <protection locked="0"/>
    </xf>
    <xf numFmtId="1" fontId="7" fillId="0" borderId="30" xfId="0" applyNumberFormat="1" applyFont="1" applyBorder="1" applyAlignment="1" applyProtection="1">
      <alignment horizontal="center" vertical="top" wrapText="1"/>
      <protection locked="0"/>
    </xf>
    <xf numFmtId="1" fontId="7" fillId="0" borderId="31" xfId="0" applyNumberFormat="1" applyFont="1" applyBorder="1" applyAlignment="1" applyProtection="1">
      <alignment horizontal="center" vertical="center" wrapText="1"/>
      <protection locked="0"/>
    </xf>
    <xf numFmtId="1" fontId="7" fillId="0" borderId="32" xfId="0" applyNumberFormat="1" applyFont="1" applyBorder="1" applyAlignment="1" applyProtection="1">
      <alignment horizontal="center" vertical="center" wrapText="1"/>
      <protection locked="0"/>
    </xf>
    <xf numFmtId="1" fontId="9" fillId="0" borderId="32" xfId="0" applyNumberFormat="1" applyFont="1" applyBorder="1" applyAlignment="1" applyProtection="1">
      <alignment horizontal="center" vertical="center"/>
      <protection locked="0"/>
    </xf>
    <xf numFmtId="0" fontId="9" fillId="0" borderId="32" xfId="0" applyFont="1" applyBorder="1" applyAlignment="1" applyProtection="1">
      <alignment horizontal="center" vertical="center"/>
      <protection locked="0"/>
    </xf>
    <xf numFmtId="0" fontId="9" fillId="0" borderId="33" xfId="0" applyFont="1" applyBorder="1" applyAlignment="1" applyProtection="1">
      <alignment horizontal="center" vertical="center"/>
      <protection locked="0"/>
    </xf>
    <xf numFmtId="0" fontId="5" fillId="0" borderId="1" xfId="1" applyFont="1" applyBorder="1" applyAlignment="1" applyProtection="1">
      <alignment vertical="top"/>
      <protection locked="0"/>
    </xf>
    <xf numFmtId="0" fontId="7" fillId="0" borderId="13" xfId="1" applyFont="1" applyBorder="1" applyAlignment="1" applyProtection="1">
      <alignment horizontal="center" vertical="top"/>
      <protection locked="0"/>
    </xf>
    <xf numFmtId="1" fontId="12" fillId="0" borderId="2" xfId="1" applyNumberFormat="1" applyFont="1" applyBorder="1" applyAlignment="1" applyProtection="1">
      <alignment horizontal="center" vertical="top" wrapText="1"/>
      <protection locked="0"/>
    </xf>
    <xf numFmtId="1" fontId="12" fillId="0" borderId="13" xfId="1" applyNumberFormat="1" applyFont="1" applyBorder="1" applyAlignment="1" applyProtection="1">
      <alignment horizontal="center" vertical="top" wrapText="1"/>
      <protection locked="0"/>
    </xf>
    <xf numFmtId="1" fontId="29" fillId="0" borderId="2" xfId="1" applyNumberFormat="1" applyFont="1" applyBorder="1" applyAlignment="1" applyProtection="1">
      <alignment horizontal="center" vertical="top" wrapText="1"/>
      <protection locked="0"/>
    </xf>
    <xf numFmtId="1" fontId="29" fillId="0" borderId="13" xfId="1" applyNumberFormat="1" applyFont="1" applyBorder="1" applyAlignment="1" applyProtection="1">
      <alignment horizontal="center" vertical="top" wrapText="1"/>
      <protection locked="0"/>
    </xf>
    <xf numFmtId="0" fontId="11" fillId="0" borderId="5" xfId="1" applyFont="1" applyBorder="1" applyAlignment="1" applyProtection="1">
      <alignment horizontal="left" vertical="top"/>
      <protection locked="0"/>
    </xf>
    <xf numFmtId="0" fontId="11" fillId="0" borderId="18" xfId="1" applyFont="1" applyBorder="1" applyAlignment="1" applyProtection="1">
      <alignment horizontal="left" vertical="top"/>
      <protection locked="0"/>
    </xf>
    <xf numFmtId="0" fontId="11" fillId="0" borderId="6" xfId="1" applyFont="1" applyBorder="1" applyAlignment="1" applyProtection="1">
      <alignment horizontal="left" vertical="top"/>
      <protection locked="0"/>
    </xf>
    <xf numFmtId="0" fontId="12" fillId="0" borderId="5" xfId="1" applyFont="1" applyBorder="1" applyAlignment="1" applyProtection="1">
      <alignment horizontal="left" vertical="top" wrapText="1"/>
      <protection locked="0"/>
    </xf>
    <xf numFmtId="0" fontId="12" fillId="0" borderId="6" xfId="1" applyFont="1" applyBorder="1" applyAlignment="1" applyProtection="1">
      <alignment horizontal="left" vertical="top" wrapText="1"/>
      <protection locked="0"/>
    </xf>
    <xf numFmtId="0" fontId="12" fillId="0" borderId="18" xfId="1" applyFont="1" applyBorder="1" applyAlignment="1" applyProtection="1">
      <alignment horizontal="left" vertical="top" wrapText="1"/>
      <protection locked="0"/>
    </xf>
    <xf numFmtId="14" fontId="12" fillId="0" borderId="5" xfId="1" applyNumberFormat="1" applyFont="1" applyBorder="1" applyAlignment="1" applyProtection="1">
      <alignment horizontal="left" vertical="top"/>
      <protection locked="0"/>
    </xf>
    <xf numFmtId="0" fontId="12" fillId="0" borderId="6" xfId="1" applyFont="1" applyBorder="1" applyAlignment="1" applyProtection="1">
      <alignment horizontal="left" vertical="top"/>
      <protection locked="0"/>
    </xf>
    <xf numFmtId="1" fontId="11" fillId="0" borderId="5" xfId="1" applyNumberFormat="1" applyFont="1" applyBorder="1" applyAlignment="1" applyProtection="1">
      <alignment horizontal="center" vertical="center" wrapText="1"/>
      <protection locked="0"/>
    </xf>
    <xf numFmtId="1" fontId="11" fillId="0" borderId="6" xfId="1" applyNumberFormat="1" applyFont="1" applyBorder="1" applyAlignment="1" applyProtection="1">
      <alignment horizontal="center" vertical="center" wrapText="1"/>
      <protection locked="0"/>
    </xf>
    <xf numFmtId="1" fontId="11" fillId="0" borderId="18" xfId="1" applyNumberFormat="1" applyFont="1" applyBorder="1" applyAlignment="1" applyProtection="1">
      <alignment horizontal="center" vertical="center" wrapText="1"/>
      <protection locked="0"/>
    </xf>
    <xf numFmtId="1" fontId="5" fillId="0" borderId="18" xfId="1" applyNumberFormat="1" applyFont="1" applyBorder="1" applyAlignment="1" applyProtection="1">
      <alignment horizontal="center" vertical="center" wrapText="1"/>
      <protection locked="0"/>
    </xf>
    <xf numFmtId="1" fontId="12" fillId="0" borderId="14" xfId="1" applyNumberFormat="1" applyFont="1" applyBorder="1" applyAlignment="1" applyProtection="1">
      <alignment horizontal="center" vertical="top" wrapText="1"/>
      <protection locked="0"/>
    </xf>
    <xf numFmtId="1" fontId="12" fillId="0" borderId="16" xfId="1" applyNumberFormat="1" applyFont="1" applyBorder="1" applyAlignment="1" applyProtection="1">
      <alignment horizontal="center" vertical="top" wrapText="1"/>
      <protection locked="0"/>
    </xf>
    <xf numFmtId="1" fontId="7" fillId="0" borderId="1" xfId="1" applyNumberFormat="1" applyFont="1" applyBorder="1" applyAlignment="1" applyProtection="1">
      <alignment horizontal="center" vertical="center" wrapText="1"/>
      <protection locked="0"/>
    </xf>
    <xf numFmtId="1" fontId="12" fillId="0" borderId="1" xfId="1" applyNumberFormat="1" applyFont="1" applyBorder="1" applyAlignment="1" applyProtection="1">
      <alignment horizontal="center" vertical="center" wrapText="1"/>
      <protection locked="0"/>
    </xf>
    <xf numFmtId="0" fontId="8" fillId="0" borderId="1" xfId="5" applyFont="1" applyBorder="1" applyAlignment="1">
      <alignment horizontal="left"/>
    </xf>
  </cellXfs>
  <cellStyles count="11">
    <cellStyle name="Comma" xfId="9" builtinId="3"/>
    <cellStyle name="Comma 2" xfId="6" xr:uid="{00000000-0005-0000-0000-000001000000}"/>
    <cellStyle name="Excel Built-in Normal" xfId="2" xr:uid="{00000000-0005-0000-0000-000002000000}"/>
    <cellStyle name="Excel Built-in Normal 2" xfId="4" xr:uid="{00000000-0005-0000-0000-000003000000}"/>
    <cellStyle name="Hyperlink" xfId="10" builtinId="8"/>
    <cellStyle name="Normal" xfId="0" builtinId="0"/>
    <cellStyle name="Normal 2" xfId="3" xr:uid="{00000000-0005-0000-0000-000006000000}"/>
    <cellStyle name="Normal 3" xfId="1" xr:uid="{00000000-0005-0000-0000-000007000000}"/>
    <cellStyle name="Normal 3 3" xfId="7" xr:uid="{00000000-0005-0000-0000-000008000000}"/>
    <cellStyle name="Normal 4" xfId="5" xr:uid="{00000000-0005-0000-0000-000009000000}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112571</xdr:colOff>
      <xdr:row>246</xdr:row>
      <xdr:rowOff>17320</xdr:rowOff>
    </xdr:from>
    <xdr:to>
      <xdr:col>5</xdr:col>
      <xdr:colOff>684071</xdr:colOff>
      <xdr:row>282</xdr:row>
      <xdr:rowOff>162792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1207" y="45304365"/>
          <a:ext cx="3143250" cy="73152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2</xdr:col>
      <xdr:colOff>632114</xdr:colOff>
      <xdr:row>266</xdr:row>
      <xdr:rowOff>121228</xdr:rowOff>
    </xdr:from>
    <xdr:to>
      <xdr:col>5</xdr:col>
      <xdr:colOff>372341</xdr:colOff>
      <xdr:row>279</xdr:row>
      <xdr:rowOff>147205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2190750" y="49391455"/>
          <a:ext cx="2311977" cy="261504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3</xdr:col>
      <xdr:colOff>424294</xdr:colOff>
      <xdr:row>265</xdr:row>
      <xdr:rowOff>25978</xdr:rowOff>
    </xdr:from>
    <xdr:to>
      <xdr:col>4</xdr:col>
      <xdr:colOff>562840</xdr:colOff>
      <xdr:row>266</xdr:row>
      <xdr:rowOff>69273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2831521" y="49097046"/>
          <a:ext cx="1082387" cy="24245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IN" sz="1100" b="1"/>
            <a:t>Building No.02</a:t>
          </a:r>
        </a:p>
      </xdr:txBody>
    </xdr:sp>
    <xdr:clientData/>
  </xdr:twoCellAnchor>
  <xdr:twoCellAnchor>
    <xdr:from>
      <xdr:col>0</xdr:col>
      <xdr:colOff>447502</xdr:colOff>
      <xdr:row>290</xdr:row>
      <xdr:rowOff>190500</xdr:rowOff>
    </xdr:from>
    <xdr:to>
      <xdr:col>7</xdr:col>
      <xdr:colOff>907279</xdr:colOff>
      <xdr:row>329</xdr:row>
      <xdr:rowOff>160450</xdr:rowOff>
    </xdr:to>
    <xdr:grpSp>
      <xdr:nvGrpSpPr>
        <xdr:cNvPr id="28" name="Group 27">
          <a:extLst>
            <a:ext uri="{FF2B5EF4-FFF2-40B4-BE49-F238E27FC236}">
              <a16:creationId xmlns:a16="http://schemas.microsoft.com/office/drawing/2014/main" id="{1BF50C4D-027D-C362-5152-7C71ABC0CB83}"/>
            </a:ext>
          </a:extLst>
        </xdr:cNvPr>
        <xdr:cNvGrpSpPr/>
      </xdr:nvGrpSpPr>
      <xdr:grpSpPr>
        <a:xfrm>
          <a:off x="447502" y="55519320"/>
          <a:ext cx="6342417" cy="7696630"/>
          <a:chOff x="173182" y="55328820"/>
          <a:chExt cx="6342417" cy="7696630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73182" y="55328820"/>
            <a:ext cx="6342417" cy="3638896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" name="Picture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43124" y="59111821"/>
            <a:ext cx="6202532" cy="3913629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 rot="2359615">
            <a:off x="2309207" y="60455000"/>
            <a:ext cx="599209" cy="1128107"/>
          </a:xfrm>
          <a:prstGeom prst="rect">
            <a:avLst/>
          </a:prstGeom>
          <a:noFill/>
          <a:ln w="28575">
            <a:solidFill>
              <a:srgbClr val="FFFF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N" sz="1100"/>
          </a:p>
        </xdr:txBody>
      </xdr:sp>
    </xdr:grpSp>
    <xdr:clientData/>
  </xdr:twoCellAnchor>
  <xdr:twoCellAnchor>
    <xdr:from>
      <xdr:col>10</xdr:col>
      <xdr:colOff>143510</xdr:colOff>
      <xdr:row>199</xdr:row>
      <xdr:rowOff>191770</xdr:rowOff>
    </xdr:from>
    <xdr:to>
      <xdr:col>18</xdr:col>
      <xdr:colOff>118624</xdr:colOff>
      <xdr:row>235</xdr:row>
      <xdr:rowOff>88945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9409430" y="37499290"/>
          <a:ext cx="6002534" cy="7021875"/>
          <a:chOff x="539750" y="35610800"/>
          <a:chExt cx="6095244" cy="6977425"/>
        </a:xfrm>
      </xdr:grpSpPr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539750" y="35610800"/>
            <a:ext cx="2970000" cy="39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8" name="Picture 1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349750" y="39708225"/>
            <a:ext cx="2160000" cy="28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5" name="Picture 2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3664994" y="39708225"/>
            <a:ext cx="2160000" cy="28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3664994" y="35610800"/>
            <a:ext cx="2970000" cy="396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0</xdr:col>
      <xdr:colOff>335280</xdr:colOff>
      <xdr:row>203</xdr:row>
      <xdr:rowOff>38100</xdr:rowOff>
    </xdr:from>
    <xdr:to>
      <xdr:col>7</xdr:col>
      <xdr:colOff>739140</xdr:colOff>
      <xdr:row>237</xdr:row>
      <xdr:rowOff>76136</xdr:rowOff>
    </xdr:to>
    <xdr:grpSp>
      <xdr:nvGrpSpPr>
        <xdr:cNvPr id="20" name="Group 19">
          <a:extLst>
            <a:ext uri="{FF2B5EF4-FFF2-40B4-BE49-F238E27FC236}">
              <a16:creationId xmlns:a16="http://schemas.microsoft.com/office/drawing/2014/main" id="{262D5B04-F79A-B333-D92F-422CD02BD89A}"/>
            </a:ext>
          </a:extLst>
        </xdr:cNvPr>
        <xdr:cNvGrpSpPr/>
      </xdr:nvGrpSpPr>
      <xdr:grpSpPr>
        <a:xfrm>
          <a:off x="335280" y="38138100"/>
          <a:ext cx="6286500" cy="6766496"/>
          <a:chOff x="411467" y="939497"/>
          <a:chExt cx="5977191" cy="6766496"/>
        </a:xfrm>
      </xdr:grpSpPr>
      <xdr:pic>
        <xdr:nvPicPr>
          <xdr:cNvPr id="21" name="Picture 20">
            <a:extLst>
              <a:ext uri="{FF2B5EF4-FFF2-40B4-BE49-F238E27FC236}">
                <a16:creationId xmlns:a16="http://schemas.microsoft.com/office/drawing/2014/main" id="{3659FE6F-09B3-CD17-F95F-FD9C786664C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hq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b="22577"/>
          <a:stretch/>
        </xdr:blipFill>
        <xdr:spPr>
          <a:xfrm>
            <a:off x="4498658" y="3362946"/>
            <a:ext cx="1890000" cy="2308649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2" name="Picture 21">
            <a:extLst>
              <a:ext uri="{FF2B5EF4-FFF2-40B4-BE49-F238E27FC236}">
                <a16:creationId xmlns:a16="http://schemas.microsoft.com/office/drawing/2014/main" id="{16B11034-0C23-8AEF-A0FD-F6598CBE990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hq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b="26587"/>
          <a:stretch/>
        </xdr:blipFill>
        <xdr:spPr>
          <a:xfrm>
            <a:off x="4498658" y="939497"/>
            <a:ext cx="1890000" cy="2189052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3" name="Picture 22">
            <a:extLst>
              <a:ext uri="{FF2B5EF4-FFF2-40B4-BE49-F238E27FC236}">
                <a16:creationId xmlns:a16="http://schemas.microsoft.com/office/drawing/2014/main" id="{C7299BCF-0BA9-007F-5A2E-0DAF523FF26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hq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b="22429"/>
          <a:stretch/>
        </xdr:blipFill>
        <xdr:spPr>
          <a:xfrm>
            <a:off x="411467" y="939497"/>
            <a:ext cx="3915000" cy="4732098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4" name="Picture 23">
            <a:extLst>
              <a:ext uri="{FF2B5EF4-FFF2-40B4-BE49-F238E27FC236}">
                <a16:creationId xmlns:a16="http://schemas.microsoft.com/office/drawing/2014/main" id="{2AA1E55D-D3FF-564C-2310-2AFDE03C1D0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hq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b="27110"/>
          <a:stretch/>
        </xdr:blipFill>
        <xdr:spPr>
          <a:xfrm>
            <a:off x="1936053" y="5905992"/>
            <a:ext cx="1350844" cy="1800001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7" name="Picture 26">
            <a:extLst>
              <a:ext uri="{FF2B5EF4-FFF2-40B4-BE49-F238E27FC236}">
                <a16:creationId xmlns:a16="http://schemas.microsoft.com/office/drawing/2014/main" id="{F9FA8150-1BB5-82A5-F83D-CE4BB9018D6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hq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b="27110"/>
          <a:stretch/>
        </xdr:blipFill>
        <xdr:spPr>
          <a:xfrm>
            <a:off x="3429000" y="5905992"/>
            <a:ext cx="1350000" cy="1800001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8</xdr:col>
      <xdr:colOff>362746</xdr:colOff>
      <xdr:row>18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"/>
          <a:ext cx="5261317" cy="32004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8</xdr:col>
      <xdr:colOff>180417</xdr:colOff>
      <xdr:row>43</xdr:row>
      <xdr:rowOff>123262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2321" y="3810000"/>
          <a:ext cx="4466667" cy="4504762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</xdr:row>
      <xdr:rowOff>0</xdr:rowOff>
    </xdr:from>
    <xdr:to>
      <xdr:col>22</xdr:col>
      <xdr:colOff>20774</xdr:colOff>
      <xdr:row>26</xdr:row>
      <xdr:rowOff>190238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10893" y="3048000"/>
          <a:ext cx="7980952" cy="20952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i1upmhJceKbZ8gMY7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2.v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T290"/>
  <sheetViews>
    <sheetView tabSelected="1" view="pageBreakPreview" topLeftCell="A74" zoomScaleNormal="100" zoomScaleSheetLayoutView="100" workbookViewId="0">
      <selection activeCell="C107" sqref="C107:D107"/>
    </sheetView>
  </sheetViews>
  <sheetFormatPr defaultColWidth="9.21875" defaultRowHeight="15.6" x14ac:dyDescent="0.3"/>
  <cols>
    <col min="1" max="1" width="11.44140625" style="36" customWidth="1"/>
    <col min="2" max="2" width="12" style="36" customWidth="1"/>
    <col min="3" max="3" width="12.77734375" style="36" customWidth="1"/>
    <col min="4" max="4" width="14.21875" style="36" customWidth="1"/>
    <col min="5" max="7" width="11.77734375" style="36" customWidth="1"/>
    <col min="8" max="8" width="20.44140625" style="36" customWidth="1"/>
    <col min="9" max="9" width="17.44140625" style="17" customWidth="1"/>
    <col min="10" max="10" width="11.44140625" style="17" customWidth="1"/>
    <col min="11" max="11" width="13" style="17" customWidth="1"/>
    <col min="12" max="12" width="10.5546875" style="17" customWidth="1"/>
    <col min="13" max="13" width="11.77734375" style="17" customWidth="1"/>
    <col min="14" max="14" width="12.5546875" style="17" customWidth="1"/>
    <col min="15" max="15" width="9.77734375" style="17" customWidth="1"/>
    <col min="16" max="16" width="11.77734375" style="17" customWidth="1"/>
    <col min="17" max="247" width="9.21875" style="17"/>
    <col min="248" max="248" width="8.77734375" style="17" customWidth="1"/>
    <col min="249" max="249" width="9.77734375" style="17" customWidth="1"/>
    <col min="250" max="250" width="14.44140625" style="17" customWidth="1"/>
    <col min="251" max="251" width="7.21875" style="17" customWidth="1"/>
    <col min="252" max="252" width="5.5546875" style="17" customWidth="1"/>
    <col min="253" max="253" width="9" style="17" customWidth="1"/>
    <col min="254" max="255" width="9.77734375" style="17" customWidth="1"/>
    <col min="256" max="256" width="11.21875" style="17" customWidth="1"/>
    <col min="257" max="257" width="2.77734375" style="17" customWidth="1"/>
    <col min="258" max="258" width="3.5546875" style="17" customWidth="1"/>
    <col min="259" max="503" width="9.21875" style="17"/>
    <col min="504" max="504" width="8.77734375" style="17" customWidth="1"/>
    <col min="505" max="505" width="9.77734375" style="17" customWidth="1"/>
    <col min="506" max="506" width="14.44140625" style="17" customWidth="1"/>
    <col min="507" max="507" width="7.21875" style="17" customWidth="1"/>
    <col min="508" max="508" width="5.5546875" style="17" customWidth="1"/>
    <col min="509" max="509" width="9" style="17" customWidth="1"/>
    <col min="510" max="511" width="9.77734375" style="17" customWidth="1"/>
    <col min="512" max="512" width="11.21875" style="17" customWidth="1"/>
    <col min="513" max="513" width="2.77734375" style="17" customWidth="1"/>
    <col min="514" max="514" width="3.5546875" style="17" customWidth="1"/>
    <col min="515" max="759" width="9.21875" style="17"/>
    <col min="760" max="760" width="8.77734375" style="17" customWidth="1"/>
    <col min="761" max="761" width="9.77734375" style="17" customWidth="1"/>
    <col min="762" max="762" width="14.44140625" style="17" customWidth="1"/>
    <col min="763" max="763" width="7.21875" style="17" customWidth="1"/>
    <col min="764" max="764" width="5.5546875" style="17" customWidth="1"/>
    <col min="765" max="765" width="9" style="17" customWidth="1"/>
    <col min="766" max="767" width="9.77734375" style="17" customWidth="1"/>
    <col min="768" max="768" width="11.21875" style="17" customWidth="1"/>
    <col min="769" max="769" width="2.77734375" style="17" customWidth="1"/>
    <col min="770" max="770" width="3.5546875" style="17" customWidth="1"/>
    <col min="771" max="1015" width="9.21875" style="17"/>
    <col min="1016" max="1016" width="8.77734375" style="17" customWidth="1"/>
    <col min="1017" max="1017" width="9.77734375" style="17" customWidth="1"/>
    <col min="1018" max="1018" width="14.44140625" style="17" customWidth="1"/>
    <col min="1019" max="1019" width="7.21875" style="17" customWidth="1"/>
    <col min="1020" max="1020" width="5.5546875" style="17" customWidth="1"/>
    <col min="1021" max="1021" width="9" style="17" customWidth="1"/>
    <col min="1022" max="1023" width="9.77734375" style="17" customWidth="1"/>
    <col min="1024" max="1024" width="11.21875" style="17" customWidth="1"/>
    <col min="1025" max="1025" width="2.77734375" style="17" customWidth="1"/>
    <col min="1026" max="1026" width="3.5546875" style="17" customWidth="1"/>
    <col min="1027" max="1271" width="9.21875" style="17"/>
    <col min="1272" max="1272" width="8.77734375" style="17" customWidth="1"/>
    <col min="1273" max="1273" width="9.77734375" style="17" customWidth="1"/>
    <col min="1274" max="1274" width="14.44140625" style="17" customWidth="1"/>
    <col min="1275" max="1275" width="7.21875" style="17" customWidth="1"/>
    <col min="1276" max="1276" width="5.5546875" style="17" customWidth="1"/>
    <col min="1277" max="1277" width="9" style="17" customWidth="1"/>
    <col min="1278" max="1279" width="9.77734375" style="17" customWidth="1"/>
    <col min="1280" max="1280" width="11.21875" style="17" customWidth="1"/>
    <col min="1281" max="1281" width="2.77734375" style="17" customWidth="1"/>
    <col min="1282" max="1282" width="3.5546875" style="17" customWidth="1"/>
    <col min="1283" max="1527" width="9.21875" style="17"/>
    <col min="1528" max="1528" width="8.77734375" style="17" customWidth="1"/>
    <col min="1529" max="1529" width="9.77734375" style="17" customWidth="1"/>
    <col min="1530" max="1530" width="14.44140625" style="17" customWidth="1"/>
    <col min="1531" max="1531" width="7.21875" style="17" customWidth="1"/>
    <col min="1532" max="1532" width="5.5546875" style="17" customWidth="1"/>
    <col min="1533" max="1533" width="9" style="17" customWidth="1"/>
    <col min="1534" max="1535" width="9.77734375" style="17" customWidth="1"/>
    <col min="1536" max="1536" width="11.21875" style="17" customWidth="1"/>
    <col min="1537" max="1537" width="2.77734375" style="17" customWidth="1"/>
    <col min="1538" max="1538" width="3.5546875" style="17" customWidth="1"/>
    <col min="1539" max="1783" width="9.21875" style="17"/>
    <col min="1784" max="1784" width="8.77734375" style="17" customWidth="1"/>
    <col min="1785" max="1785" width="9.77734375" style="17" customWidth="1"/>
    <col min="1786" max="1786" width="14.44140625" style="17" customWidth="1"/>
    <col min="1787" max="1787" width="7.21875" style="17" customWidth="1"/>
    <col min="1788" max="1788" width="5.5546875" style="17" customWidth="1"/>
    <col min="1789" max="1789" width="9" style="17" customWidth="1"/>
    <col min="1790" max="1791" width="9.77734375" style="17" customWidth="1"/>
    <col min="1792" max="1792" width="11.21875" style="17" customWidth="1"/>
    <col min="1793" max="1793" width="2.77734375" style="17" customWidth="1"/>
    <col min="1794" max="1794" width="3.5546875" style="17" customWidth="1"/>
    <col min="1795" max="2039" width="9.21875" style="17"/>
    <col min="2040" max="2040" width="8.77734375" style="17" customWidth="1"/>
    <col min="2041" max="2041" width="9.77734375" style="17" customWidth="1"/>
    <col min="2042" max="2042" width="14.44140625" style="17" customWidth="1"/>
    <col min="2043" max="2043" width="7.21875" style="17" customWidth="1"/>
    <col min="2044" max="2044" width="5.5546875" style="17" customWidth="1"/>
    <col min="2045" max="2045" width="9" style="17" customWidth="1"/>
    <col min="2046" max="2047" width="9.77734375" style="17" customWidth="1"/>
    <col min="2048" max="2048" width="11.21875" style="17" customWidth="1"/>
    <col min="2049" max="2049" width="2.77734375" style="17" customWidth="1"/>
    <col min="2050" max="2050" width="3.5546875" style="17" customWidth="1"/>
    <col min="2051" max="2295" width="9.21875" style="17"/>
    <col min="2296" max="2296" width="8.77734375" style="17" customWidth="1"/>
    <col min="2297" max="2297" width="9.77734375" style="17" customWidth="1"/>
    <col min="2298" max="2298" width="14.44140625" style="17" customWidth="1"/>
    <col min="2299" max="2299" width="7.21875" style="17" customWidth="1"/>
    <col min="2300" max="2300" width="5.5546875" style="17" customWidth="1"/>
    <col min="2301" max="2301" width="9" style="17" customWidth="1"/>
    <col min="2302" max="2303" width="9.77734375" style="17" customWidth="1"/>
    <col min="2304" max="2304" width="11.21875" style="17" customWidth="1"/>
    <col min="2305" max="2305" width="2.77734375" style="17" customWidth="1"/>
    <col min="2306" max="2306" width="3.5546875" style="17" customWidth="1"/>
    <col min="2307" max="2551" width="9.21875" style="17"/>
    <col min="2552" max="2552" width="8.77734375" style="17" customWidth="1"/>
    <col min="2553" max="2553" width="9.77734375" style="17" customWidth="1"/>
    <col min="2554" max="2554" width="14.44140625" style="17" customWidth="1"/>
    <col min="2555" max="2555" width="7.21875" style="17" customWidth="1"/>
    <col min="2556" max="2556" width="5.5546875" style="17" customWidth="1"/>
    <col min="2557" max="2557" width="9" style="17" customWidth="1"/>
    <col min="2558" max="2559" width="9.77734375" style="17" customWidth="1"/>
    <col min="2560" max="2560" width="11.21875" style="17" customWidth="1"/>
    <col min="2561" max="2561" width="2.77734375" style="17" customWidth="1"/>
    <col min="2562" max="2562" width="3.5546875" style="17" customWidth="1"/>
    <col min="2563" max="2807" width="9.21875" style="17"/>
    <col min="2808" max="2808" width="8.77734375" style="17" customWidth="1"/>
    <col min="2809" max="2809" width="9.77734375" style="17" customWidth="1"/>
    <col min="2810" max="2810" width="14.44140625" style="17" customWidth="1"/>
    <col min="2811" max="2811" width="7.21875" style="17" customWidth="1"/>
    <col min="2812" max="2812" width="5.5546875" style="17" customWidth="1"/>
    <col min="2813" max="2813" width="9" style="17" customWidth="1"/>
    <col min="2814" max="2815" width="9.77734375" style="17" customWidth="1"/>
    <col min="2816" max="2816" width="11.21875" style="17" customWidth="1"/>
    <col min="2817" max="2817" width="2.77734375" style="17" customWidth="1"/>
    <col min="2818" max="2818" width="3.5546875" style="17" customWidth="1"/>
    <col min="2819" max="3063" width="9.21875" style="17"/>
    <col min="3064" max="3064" width="8.77734375" style="17" customWidth="1"/>
    <col min="3065" max="3065" width="9.77734375" style="17" customWidth="1"/>
    <col min="3066" max="3066" width="14.44140625" style="17" customWidth="1"/>
    <col min="3067" max="3067" width="7.21875" style="17" customWidth="1"/>
    <col min="3068" max="3068" width="5.5546875" style="17" customWidth="1"/>
    <col min="3069" max="3069" width="9" style="17" customWidth="1"/>
    <col min="3070" max="3071" width="9.77734375" style="17" customWidth="1"/>
    <col min="3072" max="3072" width="11.21875" style="17" customWidth="1"/>
    <col min="3073" max="3073" width="2.77734375" style="17" customWidth="1"/>
    <col min="3074" max="3074" width="3.5546875" style="17" customWidth="1"/>
    <col min="3075" max="3319" width="9.21875" style="17"/>
    <col min="3320" max="3320" width="8.77734375" style="17" customWidth="1"/>
    <col min="3321" max="3321" width="9.77734375" style="17" customWidth="1"/>
    <col min="3322" max="3322" width="14.44140625" style="17" customWidth="1"/>
    <col min="3323" max="3323" width="7.21875" style="17" customWidth="1"/>
    <col min="3324" max="3324" width="5.5546875" style="17" customWidth="1"/>
    <col min="3325" max="3325" width="9" style="17" customWidth="1"/>
    <col min="3326" max="3327" width="9.77734375" style="17" customWidth="1"/>
    <col min="3328" max="3328" width="11.21875" style="17" customWidth="1"/>
    <col min="3329" max="3329" width="2.77734375" style="17" customWidth="1"/>
    <col min="3330" max="3330" width="3.5546875" style="17" customWidth="1"/>
    <col min="3331" max="3575" width="9.21875" style="17"/>
    <col min="3576" max="3576" width="8.77734375" style="17" customWidth="1"/>
    <col min="3577" max="3577" width="9.77734375" style="17" customWidth="1"/>
    <col min="3578" max="3578" width="14.44140625" style="17" customWidth="1"/>
    <col min="3579" max="3579" width="7.21875" style="17" customWidth="1"/>
    <col min="3580" max="3580" width="5.5546875" style="17" customWidth="1"/>
    <col min="3581" max="3581" width="9" style="17" customWidth="1"/>
    <col min="3582" max="3583" width="9.77734375" style="17" customWidth="1"/>
    <col min="3584" max="3584" width="11.21875" style="17" customWidth="1"/>
    <col min="3585" max="3585" width="2.77734375" style="17" customWidth="1"/>
    <col min="3586" max="3586" width="3.5546875" style="17" customWidth="1"/>
    <col min="3587" max="3831" width="9.21875" style="17"/>
    <col min="3832" max="3832" width="8.77734375" style="17" customWidth="1"/>
    <col min="3833" max="3833" width="9.77734375" style="17" customWidth="1"/>
    <col min="3834" max="3834" width="14.44140625" style="17" customWidth="1"/>
    <col min="3835" max="3835" width="7.21875" style="17" customWidth="1"/>
    <col min="3836" max="3836" width="5.5546875" style="17" customWidth="1"/>
    <col min="3837" max="3837" width="9" style="17" customWidth="1"/>
    <col min="3838" max="3839" width="9.77734375" style="17" customWidth="1"/>
    <col min="3840" max="3840" width="11.21875" style="17" customWidth="1"/>
    <col min="3841" max="3841" width="2.77734375" style="17" customWidth="1"/>
    <col min="3842" max="3842" width="3.5546875" style="17" customWidth="1"/>
    <col min="3843" max="4087" width="9.21875" style="17"/>
    <col min="4088" max="4088" width="8.77734375" style="17" customWidth="1"/>
    <col min="4089" max="4089" width="9.77734375" style="17" customWidth="1"/>
    <col min="4090" max="4090" width="14.44140625" style="17" customWidth="1"/>
    <col min="4091" max="4091" width="7.21875" style="17" customWidth="1"/>
    <col min="4092" max="4092" width="5.5546875" style="17" customWidth="1"/>
    <col min="4093" max="4093" width="9" style="17" customWidth="1"/>
    <col min="4094" max="4095" width="9.77734375" style="17" customWidth="1"/>
    <col min="4096" max="4096" width="11.21875" style="17" customWidth="1"/>
    <col min="4097" max="4097" width="2.77734375" style="17" customWidth="1"/>
    <col min="4098" max="4098" width="3.5546875" style="17" customWidth="1"/>
    <col min="4099" max="4343" width="9.21875" style="17"/>
    <col min="4344" max="4344" width="8.77734375" style="17" customWidth="1"/>
    <col min="4345" max="4345" width="9.77734375" style="17" customWidth="1"/>
    <col min="4346" max="4346" width="14.44140625" style="17" customWidth="1"/>
    <col min="4347" max="4347" width="7.21875" style="17" customWidth="1"/>
    <col min="4348" max="4348" width="5.5546875" style="17" customWidth="1"/>
    <col min="4349" max="4349" width="9" style="17" customWidth="1"/>
    <col min="4350" max="4351" width="9.77734375" style="17" customWidth="1"/>
    <col min="4352" max="4352" width="11.21875" style="17" customWidth="1"/>
    <col min="4353" max="4353" width="2.77734375" style="17" customWidth="1"/>
    <col min="4354" max="4354" width="3.5546875" style="17" customWidth="1"/>
    <col min="4355" max="4599" width="9.21875" style="17"/>
    <col min="4600" max="4600" width="8.77734375" style="17" customWidth="1"/>
    <col min="4601" max="4601" width="9.77734375" style="17" customWidth="1"/>
    <col min="4602" max="4602" width="14.44140625" style="17" customWidth="1"/>
    <col min="4603" max="4603" width="7.21875" style="17" customWidth="1"/>
    <col min="4604" max="4604" width="5.5546875" style="17" customWidth="1"/>
    <col min="4605" max="4605" width="9" style="17" customWidth="1"/>
    <col min="4606" max="4607" width="9.77734375" style="17" customWidth="1"/>
    <col min="4608" max="4608" width="11.21875" style="17" customWidth="1"/>
    <col min="4609" max="4609" width="2.77734375" style="17" customWidth="1"/>
    <col min="4610" max="4610" width="3.5546875" style="17" customWidth="1"/>
    <col min="4611" max="4855" width="9.21875" style="17"/>
    <col min="4856" max="4856" width="8.77734375" style="17" customWidth="1"/>
    <col min="4857" max="4857" width="9.77734375" style="17" customWidth="1"/>
    <col min="4858" max="4858" width="14.44140625" style="17" customWidth="1"/>
    <col min="4859" max="4859" width="7.21875" style="17" customWidth="1"/>
    <col min="4860" max="4860" width="5.5546875" style="17" customWidth="1"/>
    <col min="4861" max="4861" width="9" style="17" customWidth="1"/>
    <col min="4862" max="4863" width="9.77734375" style="17" customWidth="1"/>
    <col min="4864" max="4864" width="11.21875" style="17" customWidth="1"/>
    <col min="4865" max="4865" width="2.77734375" style="17" customWidth="1"/>
    <col min="4866" max="4866" width="3.5546875" style="17" customWidth="1"/>
    <col min="4867" max="5111" width="9.21875" style="17"/>
    <col min="5112" max="5112" width="8.77734375" style="17" customWidth="1"/>
    <col min="5113" max="5113" width="9.77734375" style="17" customWidth="1"/>
    <col min="5114" max="5114" width="14.44140625" style="17" customWidth="1"/>
    <col min="5115" max="5115" width="7.21875" style="17" customWidth="1"/>
    <col min="5116" max="5116" width="5.5546875" style="17" customWidth="1"/>
    <col min="5117" max="5117" width="9" style="17" customWidth="1"/>
    <col min="5118" max="5119" width="9.77734375" style="17" customWidth="1"/>
    <col min="5120" max="5120" width="11.21875" style="17" customWidth="1"/>
    <col min="5121" max="5121" width="2.77734375" style="17" customWidth="1"/>
    <col min="5122" max="5122" width="3.5546875" style="17" customWidth="1"/>
    <col min="5123" max="5367" width="9.21875" style="17"/>
    <col min="5368" max="5368" width="8.77734375" style="17" customWidth="1"/>
    <col min="5369" max="5369" width="9.77734375" style="17" customWidth="1"/>
    <col min="5370" max="5370" width="14.44140625" style="17" customWidth="1"/>
    <col min="5371" max="5371" width="7.21875" style="17" customWidth="1"/>
    <col min="5372" max="5372" width="5.5546875" style="17" customWidth="1"/>
    <col min="5373" max="5373" width="9" style="17" customWidth="1"/>
    <col min="5374" max="5375" width="9.77734375" style="17" customWidth="1"/>
    <col min="5376" max="5376" width="11.21875" style="17" customWidth="1"/>
    <col min="5377" max="5377" width="2.77734375" style="17" customWidth="1"/>
    <col min="5378" max="5378" width="3.5546875" style="17" customWidth="1"/>
    <col min="5379" max="5623" width="9.21875" style="17"/>
    <col min="5624" max="5624" width="8.77734375" style="17" customWidth="1"/>
    <col min="5625" max="5625" width="9.77734375" style="17" customWidth="1"/>
    <col min="5626" max="5626" width="14.44140625" style="17" customWidth="1"/>
    <col min="5627" max="5627" width="7.21875" style="17" customWidth="1"/>
    <col min="5628" max="5628" width="5.5546875" style="17" customWidth="1"/>
    <col min="5629" max="5629" width="9" style="17" customWidth="1"/>
    <col min="5630" max="5631" width="9.77734375" style="17" customWidth="1"/>
    <col min="5632" max="5632" width="11.21875" style="17" customWidth="1"/>
    <col min="5633" max="5633" width="2.77734375" style="17" customWidth="1"/>
    <col min="5634" max="5634" width="3.5546875" style="17" customWidth="1"/>
    <col min="5635" max="5879" width="9.21875" style="17"/>
    <col min="5880" max="5880" width="8.77734375" style="17" customWidth="1"/>
    <col min="5881" max="5881" width="9.77734375" style="17" customWidth="1"/>
    <col min="5882" max="5882" width="14.44140625" style="17" customWidth="1"/>
    <col min="5883" max="5883" width="7.21875" style="17" customWidth="1"/>
    <col min="5884" max="5884" width="5.5546875" style="17" customWidth="1"/>
    <col min="5885" max="5885" width="9" style="17" customWidth="1"/>
    <col min="5886" max="5887" width="9.77734375" style="17" customWidth="1"/>
    <col min="5888" max="5888" width="11.21875" style="17" customWidth="1"/>
    <col min="5889" max="5889" width="2.77734375" style="17" customWidth="1"/>
    <col min="5890" max="5890" width="3.5546875" style="17" customWidth="1"/>
    <col min="5891" max="6135" width="9.21875" style="17"/>
    <col min="6136" max="6136" width="8.77734375" style="17" customWidth="1"/>
    <col min="6137" max="6137" width="9.77734375" style="17" customWidth="1"/>
    <col min="6138" max="6138" width="14.44140625" style="17" customWidth="1"/>
    <col min="6139" max="6139" width="7.21875" style="17" customWidth="1"/>
    <col min="6140" max="6140" width="5.5546875" style="17" customWidth="1"/>
    <col min="6141" max="6141" width="9" style="17" customWidth="1"/>
    <col min="6142" max="6143" width="9.77734375" style="17" customWidth="1"/>
    <col min="6144" max="6144" width="11.21875" style="17" customWidth="1"/>
    <col min="6145" max="6145" width="2.77734375" style="17" customWidth="1"/>
    <col min="6146" max="6146" width="3.5546875" style="17" customWidth="1"/>
    <col min="6147" max="6391" width="9.21875" style="17"/>
    <col min="6392" max="6392" width="8.77734375" style="17" customWidth="1"/>
    <col min="6393" max="6393" width="9.77734375" style="17" customWidth="1"/>
    <col min="6394" max="6394" width="14.44140625" style="17" customWidth="1"/>
    <col min="6395" max="6395" width="7.21875" style="17" customWidth="1"/>
    <col min="6396" max="6396" width="5.5546875" style="17" customWidth="1"/>
    <col min="6397" max="6397" width="9" style="17" customWidth="1"/>
    <col min="6398" max="6399" width="9.77734375" style="17" customWidth="1"/>
    <col min="6400" max="6400" width="11.21875" style="17" customWidth="1"/>
    <col min="6401" max="6401" width="2.77734375" style="17" customWidth="1"/>
    <col min="6402" max="6402" width="3.5546875" style="17" customWidth="1"/>
    <col min="6403" max="6647" width="9.21875" style="17"/>
    <col min="6648" max="6648" width="8.77734375" style="17" customWidth="1"/>
    <col min="6649" max="6649" width="9.77734375" style="17" customWidth="1"/>
    <col min="6650" max="6650" width="14.44140625" style="17" customWidth="1"/>
    <col min="6651" max="6651" width="7.21875" style="17" customWidth="1"/>
    <col min="6652" max="6652" width="5.5546875" style="17" customWidth="1"/>
    <col min="6653" max="6653" width="9" style="17" customWidth="1"/>
    <col min="6654" max="6655" width="9.77734375" style="17" customWidth="1"/>
    <col min="6656" max="6656" width="11.21875" style="17" customWidth="1"/>
    <col min="6657" max="6657" width="2.77734375" style="17" customWidth="1"/>
    <col min="6658" max="6658" width="3.5546875" style="17" customWidth="1"/>
    <col min="6659" max="6903" width="9.21875" style="17"/>
    <col min="6904" max="6904" width="8.77734375" style="17" customWidth="1"/>
    <col min="6905" max="6905" width="9.77734375" style="17" customWidth="1"/>
    <col min="6906" max="6906" width="14.44140625" style="17" customWidth="1"/>
    <col min="6907" max="6907" width="7.21875" style="17" customWidth="1"/>
    <col min="6908" max="6908" width="5.5546875" style="17" customWidth="1"/>
    <col min="6909" max="6909" width="9" style="17" customWidth="1"/>
    <col min="6910" max="6911" width="9.77734375" style="17" customWidth="1"/>
    <col min="6912" max="6912" width="11.21875" style="17" customWidth="1"/>
    <col min="6913" max="6913" width="2.77734375" style="17" customWidth="1"/>
    <col min="6914" max="6914" width="3.5546875" style="17" customWidth="1"/>
    <col min="6915" max="7159" width="9.21875" style="17"/>
    <col min="7160" max="7160" width="8.77734375" style="17" customWidth="1"/>
    <col min="7161" max="7161" width="9.77734375" style="17" customWidth="1"/>
    <col min="7162" max="7162" width="14.44140625" style="17" customWidth="1"/>
    <col min="7163" max="7163" width="7.21875" style="17" customWidth="1"/>
    <col min="7164" max="7164" width="5.5546875" style="17" customWidth="1"/>
    <col min="7165" max="7165" width="9" style="17" customWidth="1"/>
    <col min="7166" max="7167" width="9.77734375" style="17" customWidth="1"/>
    <col min="7168" max="7168" width="11.21875" style="17" customWidth="1"/>
    <col min="7169" max="7169" width="2.77734375" style="17" customWidth="1"/>
    <col min="7170" max="7170" width="3.5546875" style="17" customWidth="1"/>
    <col min="7171" max="7415" width="9.21875" style="17"/>
    <col min="7416" max="7416" width="8.77734375" style="17" customWidth="1"/>
    <col min="7417" max="7417" width="9.77734375" style="17" customWidth="1"/>
    <col min="7418" max="7418" width="14.44140625" style="17" customWidth="1"/>
    <col min="7419" max="7419" width="7.21875" style="17" customWidth="1"/>
    <col min="7420" max="7420" width="5.5546875" style="17" customWidth="1"/>
    <col min="7421" max="7421" width="9" style="17" customWidth="1"/>
    <col min="7422" max="7423" width="9.77734375" style="17" customWidth="1"/>
    <col min="7424" max="7424" width="11.21875" style="17" customWidth="1"/>
    <col min="7425" max="7425" width="2.77734375" style="17" customWidth="1"/>
    <col min="7426" max="7426" width="3.5546875" style="17" customWidth="1"/>
    <col min="7427" max="7671" width="9.21875" style="17"/>
    <col min="7672" max="7672" width="8.77734375" style="17" customWidth="1"/>
    <col min="7673" max="7673" width="9.77734375" style="17" customWidth="1"/>
    <col min="7674" max="7674" width="14.44140625" style="17" customWidth="1"/>
    <col min="7675" max="7675" width="7.21875" style="17" customWidth="1"/>
    <col min="7676" max="7676" width="5.5546875" style="17" customWidth="1"/>
    <col min="7677" max="7677" width="9" style="17" customWidth="1"/>
    <col min="7678" max="7679" width="9.77734375" style="17" customWidth="1"/>
    <col min="7680" max="7680" width="11.21875" style="17" customWidth="1"/>
    <col min="7681" max="7681" width="2.77734375" style="17" customWidth="1"/>
    <col min="7682" max="7682" width="3.5546875" style="17" customWidth="1"/>
    <col min="7683" max="7927" width="9.21875" style="17"/>
    <col min="7928" max="7928" width="8.77734375" style="17" customWidth="1"/>
    <col min="7929" max="7929" width="9.77734375" style="17" customWidth="1"/>
    <col min="7930" max="7930" width="14.44140625" style="17" customWidth="1"/>
    <col min="7931" max="7931" width="7.21875" style="17" customWidth="1"/>
    <col min="7932" max="7932" width="5.5546875" style="17" customWidth="1"/>
    <col min="7933" max="7933" width="9" style="17" customWidth="1"/>
    <col min="7934" max="7935" width="9.77734375" style="17" customWidth="1"/>
    <col min="7936" max="7936" width="11.21875" style="17" customWidth="1"/>
    <col min="7937" max="7937" width="2.77734375" style="17" customWidth="1"/>
    <col min="7938" max="7938" width="3.5546875" style="17" customWidth="1"/>
    <col min="7939" max="8183" width="9.21875" style="17"/>
    <col min="8184" max="8184" width="8.77734375" style="17" customWidth="1"/>
    <col min="8185" max="8185" width="9.77734375" style="17" customWidth="1"/>
    <col min="8186" max="8186" width="14.44140625" style="17" customWidth="1"/>
    <col min="8187" max="8187" width="7.21875" style="17" customWidth="1"/>
    <col min="8188" max="8188" width="5.5546875" style="17" customWidth="1"/>
    <col min="8189" max="8189" width="9" style="17" customWidth="1"/>
    <col min="8190" max="8191" width="9.77734375" style="17" customWidth="1"/>
    <col min="8192" max="8192" width="11.21875" style="17" customWidth="1"/>
    <col min="8193" max="8193" width="2.77734375" style="17" customWidth="1"/>
    <col min="8194" max="8194" width="3.5546875" style="17" customWidth="1"/>
    <col min="8195" max="8439" width="9.21875" style="17"/>
    <col min="8440" max="8440" width="8.77734375" style="17" customWidth="1"/>
    <col min="8441" max="8441" width="9.77734375" style="17" customWidth="1"/>
    <col min="8442" max="8442" width="14.44140625" style="17" customWidth="1"/>
    <col min="8443" max="8443" width="7.21875" style="17" customWidth="1"/>
    <col min="8444" max="8444" width="5.5546875" style="17" customWidth="1"/>
    <col min="8445" max="8445" width="9" style="17" customWidth="1"/>
    <col min="8446" max="8447" width="9.77734375" style="17" customWidth="1"/>
    <col min="8448" max="8448" width="11.21875" style="17" customWidth="1"/>
    <col min="8449" max="8449" width="2.77734375" style="17" customWidth="1"/>
    <col min="8450" max="8450" width="3.5546875" style="17" customWidth="1"/>
    <col min="8451" max="8695" width="9.21875" style="17"/>
    <col min="8696" max="8696" width="8.77734375" style="17" customWidth="1"/>
    <col min="8697" max="8697" width="9.77734375" style="17" customWidth="1"/>
    <col min="8698" max="8698" width="14.44140625" style="17" customWidth="1"/>
    <col min="8699" max="8699" width="7.21875" style="17" customWidth="1"/>
    <col min="8700" max="8700" width="5.5546875" style="17" customWidth="1"/>
    <col min="8701" max="8701" width="9" style="17" customWidth="1"/>
    <col min="8702" max="8703" width="9.77734375" style="17" customWidth="1"/>
    <col min="8704" max="8704" width="11.21875" style="17" customWidth="1"/>
    <col min="8705" max="8705" width="2.77734375" style="17" customWidth="1"/>
    <col min="8706" max="8706" width="3.5546875" style="17" customWidth="1"/>
    <col min="8707" max="8951" width="9.21875" style="17"/>
    <col min="8952" max="8952" width="8.77734375" style="17" customWidth="1"/>
    <col min="8953" max="8953" width="9.77734375" style="17" customWidth="1"/>
    <col min="8954" max="8954" width="14.44140625" style="17" customWidth="1"/>
    <col min="8955" max="8955" width="7.21875" style="17" customWidth="1"/>
    <col min="8956" max="8956" width="5.5546875" style="17" customWidth="1"/>
    <col min="8957" max="8957" width="9" style="17" customWidth="1"/>
    <col min="8958" max="8959" width="9.77734375" style="17" customWidth="1"/>
    <col min="8960" max="8960" width="11.21875" style="17" customWidth="1"/>
    <col min="8961" max="8961" width="2.77734375" style="17" customWidth="1"/>
    <col min="8962" max="8962" width="3.5546875" style="17" customWidth="1"/>
    <col min="8963" max="9207" width="9.21875" style="17"/>
    <col min="9208" max="9208" width="8.77734375" style="17" customWidth="1"/>
    <col min="9209" max="9209" width="9.77734375" style="17" customWidth="1"/>
    <col min="9210" max="9210" width="14.44140625" style="17" customWidth="1"/>
    <col min="9211" max="9211" width="7.21875" style="17" customWidth="1"/>
    <col min="9212" max="9212" width="5.5546875" style="17" customWidth="1"/>
    <col min="9213" max="9213" width="9" style="17" customWidth="1"/>
    <col min="9214" max="9215" width="9.77734375" style="17" customWidth="1"/>
    <col min="9216" max="9216" width="11.21875" style="17" customWidth="1"/>
    <col min="9217" max="9217" width="2.77734375" style="17" customWidth="1"/>
    <col min="9218" max="9218" width="3.5546875" style="17" customWidth="1"/>
    <col min="9219" max="9463" width="9.21875" style="17"/>
    <col min="9464" max="9464" width="8.77734375" style="17" customWidth="1"/>
    <col min="9465" max="9465" width="9.77734375" style="17" customWidth="1"/>
    <col min="9466" max="9466" width="14.44140625" style="17" customWidth="1"/>
    <col min="9467" max="9467" width="7.21875" style="17" customWidth="1"/>
    <col min="9468" max="9468" width="5.5546875" style="17" customWidth="1"/>
    <col min="9469" max="9469" width="9" style="17" customWidth="1"/>
    <col min="9470" max="9471" width="9.77734375" style="17" customWidth="1"/>
    <col min="9472" max="9472" width="11.21875" style="17" customWidth="1"/>
    <col min="9473" max="9473" width="2.77734375" style="17" customWidth="1"/>
    <col min="9474" max="9474" width="3.5546875" style="17" customWidth="1"/>
    <col min="9475" max="9719" width="9.21875" style="17"/>
    <col min="9720" max="9720" width="8.77734375" style="17" customWidth="1"/>
    <col min="9721" max="9721" width="9.77734375" style="17" customWidth="1"/>
    <col min="9722" max="9722" width="14.44140625" style="17" customWidth="1"/>
    <col min="9723" max="9723" width="7.21875" style="17" customWidth="1"/>
    <col min="9724" max="9724" width="5.5546875" style="17" customWidth="1"/>
    <col min="9725" max="9725" width="9" style="17" customWidth="1"/>
    <col min="9726" max="9727" width="9.77734375" style="17" customWidth="1"/>
    <col min="9728" max="9728" width="11.21875" style="17" customWidth="1"/>
    <col min="9729" max="9729" width="2.77734375" style="17" customWidth="1"/>
    <col min="9730" max="9730" width="3.5546875" style="17" customWidth="1"/>
    <col min="9731" max="9975" width="9.21875" style="17"/>
    <col min="9976" max="9976" width="8.77734375" style="17" customWidth="1"/>
    <col min="9977" max="9977" width="9.77734375" style="17" customWidth="1"/>
    <col min="9978" max="9978" width="14.44140625" style="17" customWidth="1"/>
    <col min="9979" max="9979" width="7.21875" style="17" customWidth="1"/>
    <col min="9980" max="9980" width="5.5546875" style="17" customWidth="1"/>
    <col min="9981" max="9981" width="9" style="17" customWidth="1"/>
    <col min="9982" max="9983" width="9.77734375" style="17" customWidth="1"/>
    <col min="9984" max="9984" width="11.21875" style="17" customWidth="1"/>
    <col min="9985" max="9985" width="2.77734375" style="17" customWidth="1"/>
    <col min="9986" max="9986" width="3.5546875" style="17" customWidth="1"/>
    <col min="9987" max="10231" width="9.21875" style="17"/>
    <col min="10232" max="10232" width="8.77734375" style="17" customWidth="1"/>
    <col min="10233" max="10233" width="9.77734375" style="17" customWidth="1"/>
    <col min="10234" max="10234" width="14.44140625" style="17" customWidth="1"/>
    <col min="10235" max="10235" width="7.21875" style="17" customWidth="1"/>
    <col min="10236" max="10236" width="5.5546875" style="17" customWidth="1"/>
    <col min="10237" max="10237" width="9" style="17" customWidth="1"/>
    <col min="10238" max="10239" width="9.77734375" style="17" customWidth="1"/>
    <col min="10240" max="10240" width="11.21875" style="17" customWidth="1"/>
    <col min="10241" max="10241" width="2.77734375" style="17" customWidth="1"/>
    <col min="10242" max="10242" width="3.5546875" style="17" customWidth="1"/>
    <col min="10243" max="10487" width="9.21875" style="17"/>
    <col min="10488" max="10488" width="8.77734375" style="17" customWidth="1"/>
    <col min="10489" max="10489" width="9.77734375" style="17" customWidth="1"/>
    <col min="10490" max="10490" width="14.44140625" style="17" customWidth="1"/>
    <col min="10491" max="10491" width="7.21875" style="17" customWidth="1"/>
    <col min="10492" max="10492" width="5.5546875" style="17" customWidth="1"/>
    <col min="10493" max="10493" width="9" style="17" customWidth="1"/>
    <col min="10494" max="10495" width="9.77734375" style="17" customWidth="1"/>
    <col min="10496" max="10496" width="11.21875" style="17" customWidth="1"/>
    <col min="10497" max="10497" width="2.77734375" style="17" customWidth="1"/>
    <col min="10498" max="10498" width="3.5546875" style="17" customWidth="1"/>
    <col min="10499" max="10743" width="9.21875" style="17"/>
    <col min="10744" max="10744" width="8.77734375" style="17" customWidth="1"/>
    <col min="10745" max="10745" width="9.77734375" style="17" customWidth="1"/>
    <col min="10746" max="10746" width="14.44140625" style="17" customWidth="1"/>
    <col min="10747" max="10747" width="7.21875" style="17" customWidth="1"/>
    <col min="10748" max="10748" width="5.5546875" style="17" customWidth="1"/>
    <col min="10749" max="10749" width="9" style="17" customWidth="1"/>
    <col min="10750" max="10751" width="9.77734375" style="17" customWidth="1"/>
    <col min="10752" max="10752" width="11.21875" style="17" customWidth="1"/>
    <col min="10753" max="10753" width="2.77734375" style="17" customWidth="1"/>
    <col min="10754" max="10754" width="3.5546875" style="17" customWidth="1"/>
    <col min="10755" max="10999" width="9.21875" style="17"/>
    <col min="11000" max="11000" width="8.77734375" style="17" customWidth="1"/>
    <col min="11001" max="11001" width="9.77734375" style="17" customWidth="1"/>
    <col min="11002" max="11002" width="14.44140625" style="17" customWidth="1"/>
    <col min="11003" max="11003" width="7.21875" style="17" customWidth="1"/>
    <col min="11004" max="11004" width="5.5546875" style="17" customWidth="1"/>
    <col min="11005" max="11005" width="9" style="17" customWidth="1"/>
    <col min="11006" max="11007" width="9.77734375" style="17" customWidth="1"/>
    <col min="11008" max="11008" width="11.21875" style="17" customWidth="1"/>
    <col min="11009" max="11009" width="2.77734375" style="17" customWidth="1"/>
    <col min="11010" max="11010" width="3.5546875" style="17" customWidth="1"/>
    <col min="11011" max="11255" width="9.21875" style="17"/>
    <col min="11256" max="11256" width="8.77734375" style="17" customWidth="1"/>
    <col min="11257" max="11257" width="9.77734375" style="17" customWidth="1"/>
    <col min="11258" max="11258" width="14.44140625" style="17" customWidth="1"/>
    <col min="11259" max="11259" width="7.21875" style="17" customWidth="1"/>
    <col min="11260" max="11260" width="5.5546875" style="17" customWidth="1"/>
    <col min="11261" max="11261" width="9" style="17" customWidth="1"/>
    <col min="11262" max="11263" width="9.77734375" style="17" customWidth="1"/>
    <col min="11264" max="11264" width="11.21875" style="17" customWidth="1"/>
    <col min="11265" max="11265" width="2.77734375" style="17" customWidth="1"/>
    <col min="11266" max="11266" width="3.5546875" style="17" customWidth="1"/>
    <col min="11267" max="11511" width="9.21875" style="17"/>
    <col min="11512" max="11512" width="8.77734375" style="17" customWidth="1"/>
    <col min="11513" max="11513" width="9.77734375" style="17" customWidth="1"/>
    <col min="11514" max="11514" width="14.44140625" style="17" customWidth="1"/>
    <col min="11515" max="11515" width="7.21875" style="17" customWidth="1"/>
    <col min="11516" max="11516" width="5.5546875" style="17" customWidth="1"/>
    <col min="11517" max="11517" width="9" style="17" customWidth="1"/>
    <col min="11518" max="11519" width="9.77734375" style="17" customWidth="1"/>
    <col min="11520" max="11520" width="11.21875" style="17" customWidth="1"/>
    <col min="11521" max="11521" width="2.77734375" style="17" customWidth="1"/>
    <col min="11522" max="11522" width="3.5546875" style="17" customWidth="1"/>
    <col min="11523" max="11767" width="9.21875" style="17"/>
    <col min="11768" max="11768" width="8.77734375" style="17" customWidth="1"/>
    <col min="11769" max="11769" width="9.77734375" style="17" customWidth="1"/>
    <col min="11770" max="11770" width="14.44140625" style="17" customWidth="1"/>
    <col min="11771" max="11771" width="7.21875" style="17" customWidth="1"/>
    <col min="11772" max="11772" width="5.5546875" style="17" customWidth="1"/>
    <col min="11773" max="11773" width="9" style="17" customWidth="1"/>
    <col min="11774" max="11775" width="9.77734375" style="17" customWidth="1"/>
    <col min="11776" max="11776" width="11.21875" style="17" customWidth="1"/>
    <col min="11777" max="11777" width="2.77734375" style="17" customWidth="1"/>
    <col min="11778" max="11778" width="3.5546875" style="17" customWidth="1"/>
    <col min="11779" max="12023" width="9.21875" style="17"/>
    <col min="12024" max="12024" width="8.77734375" style="17" customWidth="1"/>
    <col min="12025" max="12025" width="9.77734375" style="17" customWidth="1"/>
    <col min="12026" max="12026" width="14.44140625" style="17" customWidth="1"/>
    <col min="12027" max="12027" width="7.21875" style="17" customWidth="1"/>
    <col min="12028" max="12028" width="5.5546875" style="17" customWidth="1"/>
    <col min="12029" max="12029" width="9" style="17" customWidth="1"/>
    <col min="12030" max="12031" width="9.77734375" style="17" customWidth="1"/>
    <col min="12032" max="12032" width="11.21875" style="17" customWidth="1"/>
    <col min="12033" max="12033" width="2.77734375" style="17" customWidth="1"/>
    <col min="12034" max="12034" width="3.5546875" style="17" customWidth="1"/>
    <col min="12035" max="12279" width="9.21875" style="17"/>
    <col min="12280" max="12280" width="8.77734375" style="17" customWidth="1"/>
    <col min="12281" max="12281" width="9.77734375" style="17" customWidth="1"/>
    <col min="12282" max="12282" width="14.44140625" style="17" customWidth="1"/>
    <col min="12283" max="12283" width="7.21875" style="17" customWidth="1"/>
    <col min="12284" max="12284" width="5.5546875" style="17" customWidth="1"/>
    <col min="12285" max="12285" width="9" style="17" customWidth="1"/>
    <col min="12286" max="12287" width="9.77734375" style="17" customWidth="1"/>
    <col min="12288" max="12288" width="11.21875" style="17" customWidth="1"/>
    <col min="12289" max="12289" width="2.77734375" style="17" customWidth="1"/>
    <col min="12290" max="12290" width="3.5546875" style="17" customWidth="1"/>
    <col min="12291" max="12535" width="9.21875" style="17"/>
    <col min="12536" max="12536" width="8.77734375" style="17" customWidth="1"/>
    <col min="12537" max="12537" width="9.77734375" style="17" customWidth="1"/>
    <col min="12538" max="12538" width="14.44140625" style="17" customWidth="1"/>
    <col min="12539" max="12539" width="7.21875" style="17" customWidth="1"/>
    <col min="12540" max="12540" width="5.5546875" style="17" customWidth="1"/>
    <col min="12541" max="12541" width="9" style="17" customWidth="1"/>
    <col min="12542" max="12543" width="9.77734375" style="17" customWidth="1"/>
    <col min="12544" max="12544" width="11.21875" style="17" customWidth="1"/>
    <col min="12545" max="12545" width="2.77734375" style="17" customWidth="1"/>
    <col min="12546" max="12546" width="3.5546875" style="17" customWidth="1"/>
    <col min="12547" max="12791" width="9.21875" style="17"/>
    <col min="12792" max="12792" width="8.77734375" style="17" customWidth="1"/>
    <col min="12793" max="12793" width="9.77734375" style="17" customWidth="1"/>
    <col min="12794" max="12794" width="14.44140625" style="17" customWidth="1"/>
    <col min="12795" max="12795" width="7.21875" style="17" customWidth="1"/>
    <col min="12796" max="12796" width="5.5546875" style="17" customWidth="1"/>
    <col min="12797" max="12797" width="9" style="17" customWidth="1"/>
    <col min="12798" max="12799" width="9.77734375" style="17" customWidth="1"/>
    <col min="12800" max="12800" width="11.21875" style="17" customWidth="1"/>
    <col min="12801" max="12801" width="2.77734375" style="17" customWidth="1"/>
    <col min="12802" max="12802" width="3.5546875" style="17" customWidth="1"/>
    <col min="12803" max="13047" width="9.21875" style="17"/>
    <col min="13048" max="13048" width="8.77734375" style="17" customWidth="1"/>
    <col min="13049" max="13049" width="9.77734375" style="17" customWidth="1"/>
    <col min="13050" max="13050" width="14.44140625" style="17" customWidth="1"/>
    <col min="13051" max="13051" width="7.21875" style="17" customWidth="1"/>
    <col min="13052" max="13052" width="5.5546875" style="17" customWidth="1"/>
    <col min="13053" max="13053" width="9" style="17" customWidth="1"/>
    <col min="13054" max="13055" width="9.77734375" style="17" customWidth="1"/>
    <col min="13056" max="13056" width="11.21875" style="17" customWidth="1"/>
    <col min="13057" max="13057" width="2.77734375" style="17" customWidth="1"/>
    <col min="13058" max="13058" width="3.5546875" style="17" customWidth="1"/>
    <col min="13059" max="13303" width="9.21875" style="17"/>
    <col min="13304" max="13304" width="8.77734375" style="17" customWidth="1"/>
    <col min="13305" max="13305" width="9.77734375" style="17" customWidth="1"/>
    <col min="13306" max="13306" width="14.44140625" style="17" customWidth="1"/>
    <col min="13307" max="13307" width="7.21875" style="17" customWidth="1"/>
    <col min="13308" max="13308" width="5.5546875" style="17" customWidth="1"/>
    <col min="13309" max="13309" width="9" style="17" customWidth="1"/>
    <col min="13310" max="13311" width="9.77734375" style="17" customWidth="1"/>
    <col min="13312" max="13312" width="11.21875" style="17" customWidth="1"/>
    <col min="13313" max="13313" width="2.77734375" style="17" customWidth="1"/>
    <col min="13314" max="13314" width="3.5546875" style="17" customWidth="1"/>
    <col min="13315" max="13559" width="9.21875" style="17"/>
    <col min="13560" max="13560" width="8.77734375" style="17" customWidth="1"/>
    <col min="13561" max="13561" width="9.77734375" style="17" customWidth="1"/>
    <col min="13562" max="13562" width="14.44140625" style="17" customWidth="1"/>
    <col min="13563" max="13563" width="7.21875" style="17" customWidth="1"/>
    <col min="13564" max="13564" width="5.5546875" style="17" customWidth="1"/>
    <col min="13565" max="13565" width="9" style="17" customWidth="1"/>
    <col min="13566" max="13567" width="9.77734375" style="17" customWidth="1"/>
    <col min="13568" max="13568" width="11.21875" style="17" customWidth="1"/>
    <col min="13569" max="13569" width="2.77734375" style="17" customWidth="1"/>
    <col min="13570" max="13570" width="3.5546875" style="17" customWidth="1"/>
    <col min="13571" max="13815" width="9.21875" style="17"/>
    <col min="13816" max="13816" width="8.77734375" style="17" customWidth="1"/>
    <col min="13817" max="13817" width="9.77734375" style="17" customWidth="1"/>
    <col min="13818" max="13818" width="14.44140625" style="17" customWidth="1"/>
    <col min="13819" max="13819" width="7.21875" style="17" customWidth="1"/>
    <col min="13820" max="13820" width="5.5546875" style="17" customWidth="1"/>
    <col min="13821" max="13821" width="9" style="17" customWidth="1"/>
    <col min="13822" max="13823" width="9.77734375" style="17" customWidth="1"/>
    <col min="13824" max="13824" width="11.21875" style="17" customWidth="1"/>
    <col min="13825" max="13825" width="2.77734375" style="17" customWidth="1"/>
    <col min="13826" max="13826" width="3.5546875" style="17" customWidth="1"/>
    <col min="13827" max="14071" width="9.21875" style="17"/>
    <col min="14072" max="14072" width="8.77734375" style="17" customWidth="1"/>
    <col min="14073" max="14073" width="9.77734375" style="17" customWidth="1"/>
    <col min="14074" max="14074" width="14.44140625" style="17" customWidth="1"/>
    <col min="14075" max="14075" width="7.21875" style="17" customWidth="1"/>
    <col min="14076" max="14076" width="5.5546875" style="17" customWidth="1"/>
    <col min="14077" max="14077" width="9" style="17" customWidth="1"/>
    <col min="14078" max="14079" width="9.77734375" style="17" customWidth="1"/>
    <col min="14080" max="14080" width="11.21875" style="17" customWidth="1"/>
    <col min="14081" max="14081" width="2.77734375" style="17" customWidth="1"/>
    <col min="14082" max="14082" width="3.5546875" style="17" customWidth="1"/>
    <col min="14083" max="14327" width="9.21875" style="17"/>
    <col min="14328" max="14328" width="8.77734375" style="17" customWidth="1"/>
    <col min="14329" max="14329" width="9.77734375" style="17" customWidth="1"/>
    <col min="14330" max="14330" width="14.44140625" style="17" customWidth="1"/>
    <col min="14331" max="14331" width="7.21875" style="17" customWidth="1"/>
    <col min="14332" max="14332" width="5.5546875" style="17" customWidth="1"/>
    <col min="14333" max="14333" width="9" style="17" customWidth="1"/>
    <col min="14334" max="14335" width="9.77734375" style="17" customWidth="1"/>
    <col min="14336" max="14336" width="11.21875" style="17" customWidth="1"/>
    <col min="14337" max="14337" width="2.77734375" style="17" customWidth="1"/>
    <col min="14338" max="14338" width="3.5546875" style="17" customWidth="1"/>
    <col min="14339" max="14583" width="9.21875" style="17"/>
    <col min="14584" max="14584" width="8.77734375" style="17" customWidth="1"/>
    <col min="14585" max="14585" width="9.77734375" style="17" customWidth="1"/>
    <col min="14586" max="14586" width="14.44140625" style="17" customWidth="1"/>
    <col min="14587" max="14587" width="7.21875" style="17" customWidth="1"/>
    <col min="14588" max="14588" width="5.5546875" style="17" customWidth="1"/>
    <col min="14589" max="14589" width="9" style="17" customWidth="1"/>
    <col min="14590" max="14591" width="9.77734375" style="17" customWidth="1"/>
    <col min="14592" max="14592" width="11.21875" style="17" customWidth="1"/>
    <col min="14593" max="14593" width="2.77734375" style="17" customWidth="1"/>
    <col min="14594" max="14594" width="3.5546875" style="17" customWidth="1"/>
    <col min="14595" max="14839" width="9.21875" style="17"/>
    <col min="14840" max="14840" width="8.77734375" style="17" customWidth="1"/>
    <col min="14841" max="14841" width="9.77734375" style="17" customWidth="1"/>
    <col min="14842" max="14842" width="14.44140625" style="17" customWidth="1"/>
    <col min="14843" max="14843" width="7.21875" style="17" customWidth="1"/>
    <col min="14844" max="14844" width="5.5546875" style="17" customWidth="1"/>
    <col min="14845" max="14845" width="9" style="17" customWidth="1"/>
    <col min="14846" max="14847" width="9.77734375" style="17" customWidth="1"/>
    <col min="14848" max="14848" width="11.21875" style="17" customWidth="1"/>
    <col min="14849" max="14849" width="2.77734375" style="17" customWidth="1"/>
    <col min="14850" max="14850" width="3.5546875" style="17" customWidth="1"/>
    <col min="14851" max="15095" width="9.21875" style="17"/>
    <col min="15096" max="15096" width="8.77734375" style="17" customWidth="1"/>
    <col min="15097" max="15097" width="9.77734375" style="17" customWidth="1"/>
    <col min="15098" max="15098" width="14.44140625" style="17" customWidth="1"/>
    <col min="15099" max="15099" width="7.21875" style="17" customWidth="1"/>
    <col min="15100" max="15100" width="5.5546875" style="17" customWidth="1"/>
    <col min="15101" max="15101" width="9" style="17" customWidth="1"/>
    <col min="15102" max="15103" width="9.77734375" style="17" customWidth="1"/>
    <col min="15104" max="15104" width="11.21875" style="17" customWidth="1"/>
    <col min="15105" max="15105" width="2.77734375" style="17" customWidth="1"/>
    <col min="15106" max="15106" width="3.5546875" style="17" customWidth="1"/>
    <col min="15107" max="15351" width="9.21875" style="17"/>
    <col min="15352" max="15352" width="8.77734375" style="17" customWidth="1"/>
    <col min="15353" max="15353" width="9.77734375" style="17" customWidth="1"/>
    <col min="15354" max="15354" width="14.44140625" style="17" customWidth="1"/>
    <col min="15355" max="15355" width="7.21875" style="17" customWidth="1"/>
    <col min="15356" max="15356" width="5.5546875" style="17" customWidth="1"/>
    <col min="15357" max="15357" width="9" style="17" customWidth="1"/>
    <col min="15358" max="15359" width="9.77734375" style="17" customWidth="1"/>
    <col min="15360" max="15360" width="11.21875" style="17" customWidth="1"/>
    <col min="15361" max="15361" width="2.77734375" style="17" customWidth="1"/>
    <col min="15362" max="15362" width="3.5546875" style="17" customWidth="1"/>
    <col min="15363" max="15607" width="9.21875" style="17"/>
    <col min="15608" max="15608" width="8.77734375" style="17" customWidth="1"/>
    <col min="15609" max="15609" width="9.77734375" style="17" customWidth="1"/>
    <col min="15610" max="15610" width="14.44140625" style="17" customWidth="1"/>
    <col min="15611" max="15611" width="7.21875" style="17" customWidth="1"/>
    <col min="15612" max="15612" width="5.5546875" style="17" customWidth="1"/>
    <col min="15613" max="15613" width="9" style="17" customWidth="1"/>
    <col min="15614" max="15615" width="9.77734375" style="17" customWidth="1"/>
    <col min="15616" max="15616" width="11.21875" style="17" customWidth="1"/>
    <col min="15617" max="15617" width="2.77734375" style="17" customWidth="1"/>
    <col min="15618" max="15618" width="3.5546875" style="17" customWidth="1"/>
    <col min="15619" max="15863" width="9.21875" style="17"/>
    <col min="15864" max="15864" width="8.77734375" style="17" customWidth="1"/>
    <col min="15865" max="15865" width="9.77734375" style="17" customWidth="1"/>
    <col min="15866" max="15866" width="14.44140625" style="17" customWidth="1"/>
    <col min="15867" max="15867" width="7.21875" style="17" customWidth="1"/>
    <col min="15868" max="15868" width="5.5546875" style="17" customWidth="1"/>
    <col min="15869" max="15869" width="9" style="17" customWidth="1"/>
    <col min="15870" max="15871" width="9.77734375" style="17" customWidth="1"/>
    <col min="15872" max="15872" width="11.21875" style="17" customWidth="1"/>
    <col min="15873" max="15873" width="2.77734375" style="17" customWidth="1"/>
    <col min="15874" max="15874" width="3.5546875" style="17" customWidth="1"/>
    <col min="15875" max="16119" width="9.21875" style="17"/>
    <col min="16120" max="16120" width="8.77734375" style="17" customWidth="1"/>
    <col min="16121" max="16121" width="9.77734375" style="17" customWidth="1"/>
    <col min="16122" max="16122" width="14.44140625" style="17" customWidth="1"/>
    <col min="16123" max="16123" width="7.21875" style="17" customWidth="1"/>
    <col min="16124" max="16124" width="5.5546875" style="17" customWidth="1"/>
    <col min="16125" max="16125" width="9" style="17" customWidth="1"/>
    <col min="16126" max="16127" width="9.77734375" style="17" customWidth="1"/>
    <col min="16128" max="16128" width="11.21875" style="17" customWidth="1"/>
    <col min="16129" max="16129" width="2.77734375" style="17" customWidth="1"/>
    <col min="16130" max="16130" width="3.5546875" style="17" customWidth="1"/>
    <col min="16131" max="16384" width="9.21875" style="17"/>
  </cols>
  <sheetData>
    <row r="1" spans="1:13" ht="46.5" customHeight="1" x14ac:dyDescent="0.3">
      <c r="A1" s="124" t="s">
        <v>166</v>
      </c>
      <c r="B1" s="124"/>
      <c r="C1" s="124"/>
      <c r="D1" s="124"/>
      <c r="E1" s="124"/>
      <c r="F1" s="124"/>
      <c r="G1" s="124"/>
      <c r="H1" s="124"/>
    </row>
    <row r="2" spans="1:13" ht="16.5" customHeight="1" x14ac:dyDescent="0.3">
      <c r="A2" s="93" t="s">
        <v>0</v>
      </c>
      <c r="B2" s="93"/>
      <c r="C2" s="93"/>
      <c r="D2" s="93"/>
      <c r="E2" s="93"/>
      <c r="F2" s="93"/>
      <c r="G2" s="93"/>
      <c r="H2" s="93"/>
    </row>
    <row r="3" spans="1:13" x14ac:dyDescent="0.3">
      <c r="A3" s="90" t="s">
        <v>1</v>
      </c>
      <c r="B3" s="90"/>
      <c r="C3" s="90"/>
      <c r="D3" s="90"/>
      <c r="E3" s="90" t="str">
        <f ca="1">TEXT(TODAY(),"DD/MM/YYYY")</f>
        <v>30/08/2025</v>
      </c>
      <c r="F3" s="90"/>
      <c r="G3" s="90"/>
      <c r="H3" s="90"/>
    </row>
    <row r="4" spans="1:13" ht="15" customHeight="1" x14ac:dyDescent="0.3">
      <c r="A4" s="90" t="s">
        <v>208</v>
      </c>
      <c r="B4" s="90"/>
      <c r="C4" s="90"/>
      <c r="D4" s="90"/>
      <c r="E4" s="90" t="s">
        <v>209</v>
      </c>
      <c r="F4" s="90"/>
      <c r="G4" s="90"/>
      <c r="H4" s="90"/>
    </row>
    <row r="5" spans="1:13" ht="15" customHeight="1" x14ac:dyDescent="0.3">
      <c r="A5" s="90" t="s">
        <v>2</v>
      </c>
      <c r="B5" s="90"/>
      <c r="C5" s="90"/>
      <c r="D5" s="90"/>
      <c r="E5" s="90" t="s">
        <v>210</v>
      </c>
      <c r="F5" s="90"/>
      <c r="G5" s="90"/>
      <c r="H5" s="90"/>
    </row>
    <row r="6" spans="1:13" x14ac:dyDescent="0.3">
      <c r="A6" s="90" t="s">
        <v>3</v>
      </c>
      <c r="B6" s="90"/>
      <c r="C6" s="90"/>
      <c r="D6" s="90"/>
      <c r="E6" s="125">
        <v>45899</v>
      </c>
      <c r="F6" s="90"/>
      <c r="G6" s="90"/>
      <c r="H6" s="90"/>
    </row>
    <row r="7" spans="1:13" ht="16.5" customHeight="1" x14ac:dyDescent="0.3">
      <c r="A7" s="90" t="s">
        <v>4</v>
      </c>
      <c r="B7" s="90"/>
      <c r="C7" s="90"/>
      <c r="D7" s="90"/>
      <c r="E7" s="90" t="s">
        <v>202</v>
      </c>
      <c r="F7" s="90"/>
      <c r="G7" s="90"/>
      <c r="H7" s="90"/>
    </row>
    <row r="8" spans="1:13" ht="15" customHeight="1" x14ac:dyDescent="0.3">
      <c r="A8" s="90" t="s">
        <v>5</v>
      </c>
      <c r="B8" s="90"/>
      <c r="C8" s="90"/>
      <c r="D8" s="90"/>
      <c r="E8" s="90" t="str">
        <f>E7</f>
        <v>Cllaro Enterprises LLP</v>
      </c>
      <c r="F8" s="90"/>
      <c r="G8" s="90"/>
      <c r="H8" s="90"/>
    </row>
    <row r="9" spans="1:13" x14ac:dyDescent="0.3">
      <c r="A9" s="90" t="s">
        <v>6</v>
      </c>
      <c r="B9" s="90"/>
      <c r="C9" s="90"/>
      <c r="D9" s="90"/>
      <c r="E9" s="71" t="s">
        <v>234</v>
      </c>
      <c r="F9" s="71"/>
      <c r="G9" s="71"/>
      <c r="H9" s="71"/>
    </row>
    <row r="10" spans="1:13" x14ac:dyDescent="0.3">
      <c r="A10" s="90" t="s">
        <v>169</v>
      </c>
      <c r="B10" s="90"/>
      <c r="C10" s="90"/>
      <c r="D10" s="90"/>
      <c r="E10" s="90">
        <v>9769912555</v>
      </c>
      <c r="F10" s="90"/>
      <c r="G10" s="90"/>
      <c r="H10" s="90"/>
    </row>
    <row r="11" spans="1:13" hidden="1" x14ac:dyDescent="0.3">
      <c r="A11" s="90" t="s">
        <v>170</v>
      </c>
      <c r="B11" s="90"/>
      <c r="C11" s="90"/>
      <c r="D11" s="90"/>
      <c r="E11" s="90" t="s">
        <v>204</v>
      </c>
      <c r="F11" s="90"/>
      <c r="G11" s="90"/>
      <c r="H11" s="90"/>
      <c r="I11" s="90" t="s">
        <v>201</v>
      </c>
      <c r="J11" s="90"/>
      <c r="K11" s="90"/>
      <c r="L11" s="90"/>
    </row>
    <row r="12" spans="1:13" x14ac:dyDescent="0.3">
      <c r="A12" s="90" t="s">
        <v>7</v>
      </c>
      <c r="B12" s="90"/>
      <c r="C12" s="90"/>
      <c r="D12" s="90"/>
      <c r="E12" s="90" t="s">
        <v>235</v>
      </c>
      <c r="F12" s="90"/>
      <c r="G12" s="90"/>
      <c r="H12" s="90"/>
      <c r="J12" s="90" t="s">
        <v>203</v>
      </c>
      <c r="K12" s="90"/>
      <c r="L12" s="90"/>
      <c r="M12" s="90"/>
    </row>
    <row r="13" spans="1:13" x14ac:dyDescent="0.3">
      <c r="A13" s="73" t="s">
        <v>8</v>
      </c>
      <c r="B13" s="73"/>
      <c r="C13" s="73"/>
      <c r="D13" s="73"/>
      <c r="E13" s="69" t="s">
        <v>246</v>
      </c>
      <c r="F13" s="69"/>
      <c r="G13" s="69"/>
      <c r="H13" s="69"/>
    </row>
    <row r="14" spans="1:13" x14ac:dyDescent="0.3">
      <c r="A14" s="73" t="s">
        <v>9</v>
      </c>
      <c r="B14" s="73"/>
      <c r="C14" s="73"/>
      <c r="D14" s="73"/>
      <c r="E14" s="69" t="s">
        <v>172</v>
      </c>
      <c r="F14" s="90"/>
      <c r="G14" s="90"/>
      <c r="H14" s="90"/>
    </row>
    <row r="15" spans="1:13" ht="65.25" customHeight="1" x14ac:dyDescent="0.3">
      <c r="A15" s="69" t="s">
        <v>10</v>
      </c>
      <c r="B15" s="69"/>
      <c r="C15" s="69" t="str">
        <f>CONCATENATE((IF(OR(E9="",E9="NA"),"",E9)),", ",(IF(OR(A16="",A16="NA"),"",A16)),".",(IF(OR(C16="",C16="NA"),"",C16)),", near ",(IF(OR(C21="",C21="NA"),"",C21)),", ",(IF(OR(C18="",C18="NA"),"",C18)),", ",(IF(OR(C17="",C17="NA"),"",C17)),", ",(IF(OR(G18="",G18="NA"),"",G18)),", ",(IF(OR(C19="",C19="NA"),"",C19)),", ",(IF(OR(C20="",C20="NA"),"",C20)),", ",(IF(OR(G19="",G19="NA"),"",G19))," - ",(IF(OR(G20="",G20="NA"),"",G20)),".")</f>
        <v>Urban Grandeur Bldg 2, Survey No.443(Old), 127(New)/1PT, 444(Old), 128(New)/1PT, 3PT, 4, 5PT, Survey No. 446(Old), 130(New)/1PT,2PT, 447(Old), 142(New), near Winstone Apartment, Mira Bhayander Road, Chandan Shanti, Navghar, Mira Road, Thane, Thane - 401107.</v>
      </c>
      <c r="D15" s="69"/>
      <c r="E15" s="69"/>
      <c r="F15" s="69"/>
      <c r="G15" s="69"/>
      <c r="H15" s="69"/>
    </row>
    <row r="16" spans="1:13" ht="33" customHeight="1" x14ac:dyDescent="0.3">
      <c r="A16" s="69" t="s">
        <v>173</v>
      </c>
      <c r="B16" s="69"/>
      <c r="C16" s="69" t="s">
        <v>174</v>
      </c>
      <c r="D16" s="69"/>
      <c r="E16" s="69"/>
      <c r="F16" s="69"/>
      <c r="G16" s="69"/>
      <c r="H16" s="69"/>
    </row>
    <row r="17" spans="1:8" ht="15.75" customHeight="1" x14ac:dyDescent="0.3">
      <c r="A17" s="69" t="s">
        <v>164</v>
      </c>
      <c r="B17" s="69"/>
      <c r="C17" s="69" t="s">
        <v>200</v>
      </c>
      <c r="D17" s="69"/>
      <c r="E17" s="69"/>
      <c r="F17" s="69"/>
      <c r="G17" s="69"/>
      <c r="H17" s="69"/>
    </row>
    <row r="18" spans="1:8" ht="15.75" customHeight="1" x14ac:dyDescent="0.3">
      <c r="A18" s="69" t="s">
        <v>11</v>
      </c>
      <c r="B18" s="69"/>
      <c r="C18" s="90" t="s">
        <v>178</v>
      </c>
      <c r="D18" s="90"/>
      <c r="E18" s="69" t="s">
        <v>70</v>
      </c>
      <c r="F18" s="69"/>
      <c r="G18" s="69" t="s">
        <v>175</v>
      </c>
      <c r="H18" s="69"/>
    </row>
    <row r="19" spans="1:8" x14ac:dyDescent="0.3">
      <c r="A19" s="90" t="s">
        <v>13</v>
      </c>
      <c r="B19" s="90"/>
      <c r="C19" s="69" t="s">
        <v>183</v>
      </c>
      <c r="D19" s="69"/>
      <c r="E19" s="69" t="s">
        <v>12</v>
      </c>
      <c r="F19" s="69"/>
      <c r="G19" s="123" t="s">
        <v>176</v>
      </c>
      <c r="H19" s="123"/>
    </row>
    <row r="20" spans="1:8" x14ac:dyDescent="0.3">
      <c r="A20" s="90" t="s">
        <v>71</v>
      </c>
      <c r="B20" s="90"/>
      <c r="C20" s="69" t="s">
        <v>176</v>
      </c>
      <c r="D20" s="69"/>
      <c r="E20" s="69" t="s">
        <v>14</v>
      </c>
      <c r="F20" s="69"/>
      <c r="G20" s="69">
        <v>401107</v>
      </c>
      <c r="H20" s="69"/>
    </row>
    <row r="21" spans="1:8" ht="32.25" customHeight="1" x14ac:dyDescent="0.3">
      <c r="A21" s="90" t="s">
        <v>118</v>
      </c>
      <c r="B21" s="90"/>
      <c r="C21" s="69" t="s">
        <v>179</v>
      </c>
      <c r="D21" s="69"/>
      <c r="E21" s="69" t="s">
        <v>15</v>
      </c>
      <c r="F21" s="69"/>
      <c r="G21" s="69" t="s">
        <v>182</v>
      </c>
      <c r="H21" s="69"/>
    </row>
    <row r="22" spans="1:8" ht="15" customHeight="1" x14ac:dyDescent="0.3">
      <c r="A22" s="110" t="s">
        <v>74</v>
      </c>
      <c r="B22" s="110"/>
      <c r="C22" s="110"/>
      <c r="D22" s="110"/>
      <c r="E22" s="90" t="s">
        <v>16</v>
      </c>
      <c r="F22" s="90"/>
      <c r="G22" s="90"/>
      <c r="H22" s="90"/>
    </row>
    <row r="23" spans="1:8" ht="18.75" customHeight="1" x14ac:dyDescent="0.3">
      <c r="A23" s="110"/>
      <c r="B23" s="110"/>
      <c r="C23" s="110"/>
      <c r="D23" s="110"/>
      <c r="E23" s="90"/>
      <c r="F23" s="90"/>
      <c r="G23" s="90"/>
      <c r="H23" s="90"/>
    </row>
    <row r="24" spans="1:8" ht="15" customHeight="1" x14ac:dyDescent="0.3">
      <c r="A24" s="110" t="s">
        <v>17</v>
      </c>
      <c r="B24" s="110"/>
      <c r="C24" s="110"/>
      <c r="D24" s="110"/>
      <c r="E24" s="69" t="s">
        <v>18</v>
      </c>
      <c r="F24" s="69"/>
      <c r="G24" s="69"/>
      <c r="H24" s="69"/>
    </row>
    <row r="25" spans="1:8" ht="15" customHeight="1" x14ac:dyDescent="0.3">
      <c r="A25" s="73" t="s">
        <v>19</v>
      </c>
      <c r="B25" s="73"/>
      <c r="C25" s="73"/>
      <c r="D25" s="73"/>
      <c r="E25" s="69" t="str">
        <f>IF(AND(G19="Mumbai"),"Upper Class","Middle Class")</f>
        <v>Middle Class</v>
      </c>
      <c r="F25" s="69"/>
      <c r="G25" s="69"/>
      <c r="H25" s="69"/>
    </row>
    <row r="26" spans="1:8" x14ac:dyDescent="0.3">
      <c r="A26" s="73" t="s">
        <v>20</v>
      </c>
      <c r="B26" s="73"/>
      <c r="C26" s="73"/>
      <c r="D26" s="73"/>
      <c r="E26" s="69" t="s">
        <v>21</v>
      </c>
      <c r="F26" s="69"/>
      <c r="G26" s="69"/>
      <c r="H26" s="69"/>
    </row>
    <row r="27" spans="1:8" ht="15.75" customHeight="1" x14ac:dyDescent="0.3">
      <c r="A27" s="73" t="s">
        <v>22</v>
      </c>
      <c r="B27" s="73"/>
      <c r="C27" s="73"/>
      <c r="D27" s="73"/>
      <c r="E27" s="69" t="str">
        <f>IF(AND(G19="Mumbai"),"Developed","Developing")</f>
        <v>Developing</v>
      </c>
      <c r="F27" s="69"/>
      <c r="G27" s="69"/>
      <c r="H27" s="69"/>
    </row>
    <row r="28" spans="1:8" x14ac:dyDescent="0.3">
      <c r="A28" s="73" t="s">
        <v>23</v>
      </c>
      <c r="B28" s="73"/>
      <c r="C28" s="73"/>
      <c r="D28" s="73"/>
      <c r="E28" s="69" t="s">
        <v>24</v>
      </c>
      <c r="F28" s="69"/>
      <c r="G28" s="69"/>
      <c r="H28" s="69"/>
    </row>
    <row r="29" spans="1:8" ht="15.75" customHeight="1" x14ac:dyDescent="0.3">
      <c r="A29" s="73" t="s">
        <v>79</v>
      </c>
      <c r="B29" s="73"/>
      <c r="C29" s="73"/>
      <c r="D29" s="73"/>
      <c r="E29" s="69" t="s">
        <v>80</v>
      </c>
      <c r="F29" s="69"/>
      <c r="G29" s="69"/>
      <c r="H29" s="69"/>
    </row>
    <row r="30" spans="1:8" ht="15" customHeight="1" x14ac:dyDescent="0.3">
      <c r="A30" s="73" t="s">
        <v>33</v>
      </c>
      <c r="B30" s="73"/>
      <c r="C30" s="73"/>
      <c r="D30" s="73"/>
      <c r="E30" s="69" t="str">
        <f>IF(AND(ISNUMBER(SEARCH("Flat",D59)),ISNUMBER(SEARCH("Shop",D59)),ISNUMBER(SEARCH("Office",D59))),"Residential + Commercial",IF(AND(ISNUMBER(SEARCH("Flat",D59)),ISNUMBER(SEARCH("Shop",D59))),"Residential + Commercial",IF(AND(ISNUMBER(SEARCH("Flat",D59)),ISNUMBER(SEARCH("Office",D59))),"Residential + Commercial",IF(AND(ISNUMBER(SEARCH("Shop",D59)),ISNUMBER(SEARCH("Office",D59))),"Commercial",IF(ISNUMBER(SEARCH("Shop",D59)),"Commercial",IF(ISNUMBER(SEARCH("Office",D59)),"Commercial",IF(ISNUMBER(SEARCH("Flat",D59)),"Residential")))))))</f>
        <v>Residential + Commercial</v>
      </c>
      <c r="F30" s="69"/>
      <c r="G30" s="69"/>
      <c r="H30" s="69"/>
    </row>
    <row r="31" spans="1:8" ht="15.75" customHeight="1" x14ac:dyDescent="0.3">
      <c r="A31" s="73" t="s">
        <v>91</v>
      </c>
      <c r="B31" s="73"/>
      <c r="C31" s="73"/>
      <c r="D31" s="73"/>
      <c r="E31" s="69" t="s">
        <v>34</v>
      </c>
      <c r="F31" s="69"/>
      <c r="G31" s="69"/>
      <c r="H31" s="69"/>
    </row>
    <row r="32" spans="1:8" s="18" customFormat="1" x14ac:dyDescent="0.3">
      <c r="A32" s="122" t="s">
        <v>92</v>
      </c>
      <c r="B32" s="122"/>
      <c r="C32" s="121" t="s">
        <v>29</v>
      </c>
      <c r="D32" s="121"/>
      <c r="E32" s="121"/>
      <c r="F32" s="121" t="s">
        <v>31</v>
      </c>
      <c r="G32" s="121"/>
      <c r="H32" s="121"/>
    </row>
    <row r="33" spans="1:9" s="18" customFormat="1" x14ac:dyDescent="0.3">
      <c r="A33" s="112" t="s">
        <v>25</v>
      </c>
      <c r="B33" s="112" t="s">
        <v>30</v>
      </c>
      <c r="C33" s="113" t="s">
        <v>228</v>
      </c>
      <c r="D33" s="113"/>
      <c r="E33" s="113"/>
      <c r="F33" s="113" t="s">
        <v>180</v>
      </c>
      <c r="G33" s="113"/>
      <c r="H33" s="113"/>
    </row>
    <row r="34" spans="1:9" x14ac:dyDescent="0.3">
      <c r="A34" s="112" t="s">
        <v>26</v>
      </c>
      <c r="B34" s="112" t="s">
        <v>30</v>
      </c>
      <c r="C34" s="113" t="s">
        <v>230</v>
      </c>
      <c r="D34" s="113"/>
      <c r="E34" s="113"/>
      <c r="F34" s="103" t="s">
        <v>231</v>
      </c>
      <c r="G34" s="113"/>
      <c r="H34" s="113"/>
    </row>
    <row r="35" spans="1:9" s="18" customFormat="1" x14ac:dyDescent="0.3">
      <c r="A35" s="112" t="s">
        <v>28</v>
      </c>
      <c r="B35" s="112" t="s">
        <v>30</v>
      </c>
      <c r="C35" s="113" t="s">
        <v>228</v>
      </c>
      <c r="D35" s="113"/>
      <c r="E35" s="113"/>
      <c r="F35" s="113" t="s">
        <v>180</v>
      </c>
      <c r="G35" s="113"/>
      <c r="H35" s="113"/>
    </row>
    <row r="36" spans="1:9" x14ac:dyDescent="0.3">
      <c r="A36" s="112" t="s">
        <v>27</v>
      </c>
      <c r="B36" s="112" t="s">
        <v>30</v>
      </c>
      <c r="C36" s="113" t="s">
        <v>229</v>
      </c>
      <c r="D36" s="113"/>
      <c r="E36" s="113"/>
      <c r="F36" s="113" t="s">
        <v>181</v>
      </c>
      <c r="G36" s="113"/>
      <c r="H36" s="113"/>
    </row>
    <row r="37" spans="1:9" x14ac:dyDescent="0.3">
      <c r="A37" s="73" t="s">
        <v>32</v>
      </c>
      <c r="B37" s="73"/>
      <c r="C37" s="73"/>
      <c r="D37" s="73"/>
      <c r="E37" s="73"/>
      <c r="F37" s="73"/>
      <c r="G37" s="73"/>
      <c r="H37" s="73"/>
    </row>
    <row r="38" spans="1:9" ht="15.75" customHeight="1" x14ac:dyDescent="0.3">
      <c r="A38" s="73" t="s">
        <v>167</v>
      </c>
      <c r="B38" s="73"/>
      <c r="C38" s="115" t="s">
        <v>227</v>
      </c>
      <c r="D38" s="115"/>
      <c r="E38" s="115"/>
      <c r="F38" s="115"/>
      <c r="G38" s="115"/>
      <c r="H38" s="115"/>
    </row>
    <row r="39" spans="1:9" x14ac:dyDescent="0.3">
      <c r="A39" s="73" t="s">
        <v>163</v>
      </c>
      <c r="B39" s="73"/>
      <c r="C39" s="91" t="s">
        <v>177</v>
      </c>
      <c r="D39" s="69"/>
      <c r="E39" s="69"/>
      <c r="F39" s="69"/>
      <c r="G39" s="69"/>
      <c r="H39" s="69"/>
    </row>
    <row r="40" spans="1:9" x14ac:dyDescent="0.3">
      <c r="A40" s="71" t="s">
        <v>35</v>
      </c>
      <c r="B40" s="71"/>
      <c r="C40" s="71"/>
      <c r="D40" s="71"/>
      <c r="E40" s="71"/>
      <c r="F40" s="71"/>
      <c r="G40" s="71"/>
      <c r="H40" s="71"/>
    </row>
    <row r="41" spans="1:9" x14ac:dyDescent="0.3">
      <c r="A41" s="90" t="s">
        <v>36</v>
      </c>
      <c r="B41" s="90"/>
      <c r="C41" s="90"/>
      <c r="D41" s="90"/>
      <c r="E41" s="114">
        <v>4830.26</v>
      </c>
      <c r="F41" s="114"/>
      <c r="G41" s="114"/>
      <c r="H41" s="114"/>
    </row>
    <row r="42" spans="1:9" x14ac:dyDescent="0.3">
      <c r="A42" s="90" t="s">
        <v>37</v>
      </c>
      <c r="B42" s="90"/>
      <c r="C42" s="90"/>
      <c r="D42" s="90"/>
      <c r="E42" s="68">
        <f>5313.28/E41</f>
        <v>1.0999987578308412</v>
      </c>
      <c r="F42" s="68"/>
      <c r="G42" s="68"/>
      <c r="H42" s="68"/>
      <c r="I42" s="17">
        <f>E45/E41</f>
        <v>4.0872251183166126</v>
      </c>
    </row>
    <row r="43" spans="1:9" x14ac:dyDescent="0.3">
      <c r="A43" s="90" t="s">
        <v>38</v>
      </c>
      <c r="B43" s="90"/>
      <c r="C43" s="90"/>
      <c r="D43" s="90"/>
      <c r="E43" s="68">
        <f>E45/E41-E42</f>
        <v>2.9872263604857716</v>
      </c>
      <c r="F43" s="68"/>
      <c r="G43" s="68"/>
      <c r="H43" s="68"/>
    </row>
    <row r="44" spans="1:9" x14ac:dyDescent="0.3">
      <c r="A44" s="90" t="s">
        <v>39</v>
      </c>
      <c r="B44" s="90"/>
      <c r="C44" s="90"/>
      <c r="D44" s="90"/>
      <c r="E44" s="68">
        <f>E42+E43</f>
        <v>4.0872251183166126</v>
      </c>
      <c r="F44" s="68"/>
      <c r="G44" s="68"/>
      <c r="H44" s="68"/>
    </row>
    <row r="45" spans="1:9" x14ac:dyDescent="0.3">
      <c r="A45" s="90" t="s">
        <v>90</v>
      </c>
      <c r="B45" s="90"/>
      <c r="C45" s="90"/>
      <c r="D45" s="90"/>
      <c r="E45" s="120">
        <v>19742.36</v>
      </c>
      <c r="F45" s="120"/>
      <c r="G45" s="120"/>
      <c r="H45" s="120"/>
    </row>
    <row r="46" spans="1:9" x14ac:dyDescent="0.3">
      <c r="A46" s="90" t="s">
        <v>40</v>
      </c>
      <c r="B46" s="90"/>
      <c r="C46" s="90"/>
      <c r="D46" s="90"/>
      <c r="E46" s="90" t="s">
        <v>117</v>
      </c>
      <c r="F46" s="90"/>
      <c r="G46" s="90"/>
      <c r="H46" s="90"/>
    </row>
    <row r="47" spans="1:9" x14ac:dyDescent="0.3">
      <c r="A47" s="115" t="s">
        <v>41</v>
      </c>
      <c r="B47" s="115"/>
      <c r="C47" s="115"/>
      <c r="D47" s="115"/>
      <c r="E47" s="115"/>
      <c r="F47" s="115"/>
      <c r="G47" s="115"/>
      <c r="H47" s="115"/>
    </row>
    <row r="48" spans="1:9" ht="33.75" customHeight="1" x14ac:dyDescent="0.3">
      <c r="A48" s="69" t="s">
        <v>150</v>
      </c>
      <c r="B48" s="69"/>
      <c r="C48" s="70" t="s">
        <v>184</v>
      </c>
      <c r="D48" s="71"/>
      <c r="E48" s="71"/>
      <c r="F48" s="71"/>
      <c r="G48" s="71"/>
      <c r="H48" s="71"/>
    </row>
    <row r="49" spans="1:14" ht="15.75" customHeight="1" x14ac:dyDescent="0.3">
      <c r="A49" s="79" t="s">
        <v>42</v>
      </c>
      <c r="B49" s="80"/>
      <c r="C49" s="79" t="s">
        <v>185</v>
      </c>
      <c r="D49" s="81"/>
      <c r="E49" s="80"/>
      <c r="F49" s="45" t="s">
        <v>43</v>
      </c>
      <c r="G49" s="82">
        <v>44950</v>
      </c>
      <c r="H49" s="80"/>
    </row>
    <row r="50" spans="1:14" ht="36" customHeight="1" x14ac:dyDescent="0.3">
      <c r="A50" s="79" t="s">
        <v>223</v>
      </c>
      <c r="B50" s="80"/>
      <c r="C50" s="79" t="str">
        <f>C49</f>
        <v>MBMNP/NR/4182/2022-23</v>
      </c>
      <c r="D50" s="81"/>
      <c r="E50" s="80"/>
      <c r="F50" s="45" t="s">
        <v>43</v>
      </c>
      <c r="G50" s="82">
        <f>G49</f>
        <v>44950</v>
      </c>
      <c r="H50" s="80"/>
    </row>
    <row r="51" spans="1:14" ht="32.4" customHeight="1" x14ac:dyDescent="0.3">
      <c r="A51" s="79" t="s">
        <v>236</v>
      </c>
      <c r="B51" s="80"/>
      <c r="C51" s="79" t="s">
        <v>224</v>
      </c>
      <c r="D51" s="81"/>
      <c r="E51" s="80"/>
      <c r="F51" s="45" t="s">
        <v>43</v>
      </c>
      <c r="G51" s="82">
        <v>45551</v>
      </c>
      <c r="H51" s="80"/>
    </row>
    <row r="52" spans="1:14" s="19" customFormat="1" ht="15.75" customHeight="1" x14ac:dyDescent="0.3">
      <c r="A52" s="83" t="s">
        <v>154</v>
      </c>
      <c r="B52" s="84"/>
      <c r="C52" s="79" t="str">
        <f>C50</f>
        <v>MBMNP/NR/4182/2022-23</v>
      </c>
      <c r="D52" s="81"/>
      <c r="E52" s="80"/>
      <c r="F52" s="45" t="s">
        <v>43</v>
      </c>
      <c r="G52" s="82">
        <f>G50</f>
        <v>44950</v>
      </c>
      <c r="H52" s="80"/>
    </row>
    <row r="53" spans="1:14" s="19" customFormat="1" x14ac:dyDescent="0.3">
      <c r="A53" s="85"/>
      <c r="B53" s="86"/>
      <c r="C53" s="79" t="s">
        <v>186</v>
      </c>
      <c r="D53" s="81"/>
      <c r="E53" s="81"/>
      <c r="F53" s="81"/>
      <c r="G53" s="81"/>
      <c r="H53" s="80"/>
    </row>
    <row r="54" spans="1:14" s="19" customFormat="1" ht="15.75" hidden="1" customHeight="1" x14ac:dyDescent="0.3">
      <c r="A54" s="83" t="s">
        <v>233</v>
      </c>
      <c r="B54" s="84"/>
      <c r="C54" s="79" t="str">
        <f>C52</f>
        <v>MBMNP/NR/4182/2022-23</v>
      </c>
      <c r="D54" s="81"/>
      <c r="E54" s="80"/>
      <c r="F54" s="45" t="s">
        <v>43</v>
      </c>
      <c r="G54" s="82">
        <f>G52</f>
        <v>44950</v>
      </c>
      <c r="H54" s="80"/>
    </row>
    <row r="55" spans="1:14" s="19" customFormat="1" hidden="1" x14ac:dyDescent="0.3">
      <c r="A55" s="85"/>
      <c r="B55" s="86"/>
      <c r="C55" s="79" t="s">
        <v>186</v>
      </c>
      <c r="D55" s="81"/>
      <c r="E55" s="81"/>
      <c r="F55" s="81"/>
      <c r="G55" s="81"/>
      <c r="H55" s="80"/>
      <c r="I55" s="17"/>
    </row>
    <row r="56" spans="1:14" ht="48.6" customHeight="1" x14ac:dyDescent="0.3">
      <c r="A56" s="167" t="s">
        <v>245</v>
      </c>
      <c r="B56" s="168"/>
      <c r="C56" s="167" t="s">
        <v>226</v>
      </c>
      <c r="D56" s="169"/>
      <c r="E56" s="168"/>
      <c r="F56" s="46" t="s">
        <v>43</v>
      </c>
      <c r="G56" s="170">
        <v>45551</v>
      </c>
      <c r="H56" s="171"/>
    </row>
    <row r="57" spans="1:14" x14ac:dyDescent="0.3">
      <c r="A57" s="130" t="s">
        <v>45</v>
      </c>
      <c r="B57" s="130"/>
      <c r="C57" s="130"/>
      <c r="D57" s="130"/>
      <c r="E57" s="130"/>
      <c r="F57" s="130"/>
      <c r="G57" s="130"/>
      <c r="H57" s="130"/>
    </row>
    <row r="58" spans="1:14" x14ac:dyDescent="0.3">
      <c r="A58" s="110" t="s">
        <v>89</v>
      </c>
      <c r="B58" s="110"/>
      <c r="C58" s="110"/>
      <c r="D58" s="73">
        <f>E45</f>
        <v>19742.36</v>
      </c>
      <c r="E58" s="73"/>
      <c r="F58" s="73"/>
      <c r="G58" s="73"/>
      <c r="H58" s="73"/>
    </row>
    <row r="59" spans="1:14" x14ac:dyDescent="0.3">
      <c r="A59" s="69" t="s">
        <v>46</v>
      </c>
      <c r="B59" s="90"/>
      <c r="C59" s="90"/>
      <c r="D59" s="90" t="s">
        <v>232</v>
      </c>
      <c r="E59" s="90"/>
      <c r="F59" s="90"/>
      <c r="G59" s="90"/>
      <c r="H59" s="90"/>
      <c r="I59" s="20"/>
    </row>
    <row r="60" spans="1:14" x14ac:dyDescent="0.3">
      <c r="A60" s="83" t="s">
        <v>47</v>
      </c>
      <c r="B60" s="118"/>
      <c r="C60" s="84"/>
      <c r="D60" s="116" t="s">
        <v>186</v>
      </c>
      <c r="E60" s="117"/>
      <c r="F60" s="117"/>
      <c r="G60" s="117"/>
      <c r="H60" s="117"/>
    </row>
    <row r="61" spans="1:14" ht="15.75" customHeight="1" x14ac:dyDescent="0.3">
      <c r="A61" s="83" t="s">
        <v>87</v>
      </c>
      <c r="B61" s="118"/>
      <c r="C61" s="118"/>
      <c r="D61" s="164" t="s">
        <v>186</v>
      </c>
      <c r="E61" s="165"/>
      <c r="F61" s="165"/>
      <c r="G61" s="165"/>
      <c r="H61" s="166"/>
    </row>
    <row r="62" spans="1:14" ht="15.75" customHeight="1" x14ac:dyDescent="0.3">
      <c r="A62" s="73" t="s">
        <v>44</v>
      </c>
      <c r="B62" s="73"/>
      <c r="C62" s="73"/>
      <c r="D62" s="119" t="s">
        <v>187</v>
      </c>
      <c r="E62" s="119"/>
      <c r="F62" s="119"/>
      <c r="G62" s="119"/>
      <c r="H62" s="119"/>
      <c r="J62" s="21"/>
      <c r="K62" s="20"/>
      <c r="N62" s="20"/>
    </row>
    <row r="63" spans="1:14" ht="15.75" customHeight="1" x14ac:dyDescent="0.3">
      <c r="A63" s="73" t="s">
        <v>85</v>
      </c>
      <c r="B63" s="73"/>
      <c r="C63" s="73"/>
      <c r="D63" s="101" t="s">
        <v>225</v>
      </c>
      <c r="E63" s="101"/>
      <c r="F63" s="101"/>
      <c r="G63" s="101"/>
      <c r="H63" s="101"/>
      <c r="I63" s="17" t="str">
        <f ca="1">(IF(G56="NA","60 Years After Completion",IF(G56&lt;&gt;"NA",""&amp;60-ROUNDDOWN((E3-G56)/360,0)&amp;" Years"," ")))</f>
        <v>60 Years</v>
      </c>
      <c r="N63" s="20"/>
    </row>
    <row r="64" spans="1:14" ht="15.75" customHeight="1" x14ac:dyDescent="0.3">
      <c r="A64" s="73" t="s">
        <v>86</v>
      </c>
      <c r="B64" s="73"/>
      <c r="C64" s="73"/>
      <c r="D64" s="110" t="s">
        <v>24</v>
      </c>
      <c r="E64" s="110"/>
      <c r="F64" s="110"/>
      <c r="G64" s="110"/>
      <c r="H64" s="110"/>
      <c r="J64" s="22"/>
      <c r="K64" s="22"/>
    </row>
    <row r="65" spans="1:14" x14ac:dyDescent="0.3">
      <c r="A65" s="73" t="s">
        <v>72</v>
      </c>
      <c r="B65" s="73"/>
      <c r="C65" s="73"/>
      <c r="D65" s="69" t="s">
        <v>188</v>
      </c>
      <c r="E65" s="110"/>
      <c r="F65" s="110"/>
      <c r="G65" s="110"/>
      <c r="H65" s="110"/>
    </row>
    <row r="66" spans="1:14" x14ac:dyDescent="0.3">
      <c r="A66" s="110" t="s">
        <v>146</v>
      </c>
      <c r="B66" s="110"/>
      <c r="C66" s="110"/>
      <c r="D66" s="110" t="s">
        <v>30</v>
      </c>
      <c r="E66" s="110"/>
      <c r="F66" s="110"/>
      <c r="G66" s="110"/>
      <c r="H66" s="110"/>
      <c r="I66" s="23"/>
      <c r="J66" s="23"/>
      <c r="K66" s="23"/>
      <c r="L66" s="23"/>
      <c r="M66" s="23"/>
      <c r="N66" s="23"/>
    </row>
    <row r="67" spans="1:14" ht="15.75" customHeight="1" x14ac:dyDescent="0.3">
      <c r="A67" s="135" t="s">
        <v>84</v>
      </c>
      <c r="B67" s="135"/>
      <c r="C67" s="135"/>
      <c r="D67" s="116" t="str">
        <f ca="1">(IF(G73&gt;95%,"Nothing",IF(G73&gt;0%,"Cement, Aggregate, Steel, etc",IF(G73=0%,"Work not yet Started"))))</f>
        <v>Cement, Aggregate, Steel, etc</v>
      </c>
      <c r="E67" s="116"/>
      <c r="F67" s="116"/>
      <c r="G67" s="116"/>
      <c r="H67" s="116"/>
      <c r="J67" s="22"/>
    </row>
    <row r="68" spans="1:14" ht="33.75" customHeight="1" thickBot="1" x14ac:dyDescent="0.35">
      <c r="A68" s="134" t="s">
        <v>116</v>
      </c>
      <c r="B68" s="134"/>
      <c r="C68" s="134"/>
      <c r="D68" s="116" t="str">
        <f ca="1">(IF(D67="Nothing","Yes",IF(D67="Cement, Aggregate, Steel, etc","Under Construction",IF(D67="Work not yet Started","Work not yet Started"))))</f>
        <v>Under Construction</v>
      </c>
      <c r="E68" s="116"/>
      <c r="F68" s="116" t="str">
        <f ca="1">(IF(D67="Nothing","Yes",IF(D67="Cement, Aggregate, Steel, etc","Under Construction",IF(D67="Work not yet Started","Work not yet Started"))))</f>
        <v>Under Construction</v>
      </c>
      <c r="G68" s="116"/>
      <c r="H68" s="116"/>
    </row>
    <row r="69" spans="1:14" ht="15.75" customHeight="1" x14ac:dyDescent="0.3">
      <c r="A69" s="105" t="s">
        <v>136</v>
      </c>
      <c r="B69" s="106"/>
      <c r="C69" s="107" t="str">
        <f>D61</f>
        <v>Building No.2 - B + Gr + 5P + 6th to 29th Floor</v>
      </c>
      <c r="D69" s="108"/>
      <c r="E69" s="108"/>
      <c r="F69" s="108"/>
      <c r="G69" s="108"/>
      <c r="H69" s="109"/>
      <c r="I69" s="40" t="str">
        <f ca="1">IF(D82=100%,"All work Completed. Possession granted to the Building.",IF(D81=100%,"All work Completed, Waiting for OC",I70&amp;""&amp;I71&amp;""&amp;J70&amp;""&amp;J69&amp;" "&amp;J71))</f>
        <v>Excavation, Plinth, RCC Slab, Brickwork Completed, Internal Plaster upto 25 Floor, External Plaster upto 25 Floor, Flooring upto 15 Floor, Painting upto 10 Floor, Finishing upto 1 Floor, Possession upto 1 Floor Completed</v>
      </c>
      <c r="J69" s="41" t="str">
        <f ca="1">(IF(C75=(D70+F70+H70),"",IF(C75&gt;0,", RCC upto "&amp;C75&amp;" Slab","")))&amp;(IF(C76=H70,"",IF(C76&gt;0,", Brickwork upto "&amp;C76&amp;" Floor","")))&amp;(IF(C77=H70,"",IF(C77&gt;0,", Internal Plaster upto "&amp;C77&amp;" Floor","")))&amp;(IF(C78=H70,"",IF(C78&gt;0,", External Plaster upto "&amp;C78&amp;" Floor","")))&amp;(IF(C79=H70,"",IF(C79&gt;0,", Flooring upto "&amp;C79&amp;" Floor","")))&amp;(IF(C80=H70,"",IF(C80&gt;0,", Painting upto "&amp;C80&amp;" Floor","")))&amp;(IF(C81=H70,"",IF(C81&gt;0,", Finishing upto "&amp;C81&amp;" Floor","")))&amp;(IF(C82=H70,"",IF(C82&gt;0,", Possession upto "&amp;C82&amp;" Floor","")))</f>
        <v>, Internal Plaster upto 25 Floor, External Plaster upto 25 Floor, Flooring upto 15 Floor, Painting upto 10 Floor, Finishing upto 1 Floor, Possession upto 1 Floor</v>
      </c>
    </row>
    <row r="70" spans="1:14" x14ac:dyDescent="0.3">
      <c r="A70" s="15" t="s">
        <v>138</v>
      </c>
      <c r="B70" s="44">
        <v>1</v>
      </c>
      <c r="C70" s="44" t="s">
        <v>69</v>
      </c>
      <c r="D70" s="44">
        <v>1</v>
      </c>
      <c r="E70" s="44" t="s">
        <v>68</v>
      </c>
      <c r="F70" s="44">
        <v>0</v>
      </c>
      <c r="G70" s="44" t="s">
        <v>78</v>
      </c>
      <c r="H70" s="16">
        <f ca="1">--TRIM(RIGHT(SUBSTITUTE(LEFT(C69,_xlfn.AGGREGATE(16,6,FIND({0,1,2,3,4,5,6,7,8,9},C69,ROW(INDIRECT("1:"&amp;LEN(C69)))),1))," ",REPT(" ",LEN(C69))),LEN(C69)))</f>
        <v>29</v>
      </c>
      <c r="I70" s="42" t="str">
        <f ca="1">IF(D73=100%,"Excavation","")&amp;IF(D74=100%,", Plinth","")&amp;IF(D75=100%,", RCC Slab","")&amp;IF(D76=100%,", Brickwork","")&amp;IF(D77=100%,", Internal Plaster","")&amp;IF(D78=100%,", External Plaster","")&amp;IF(D79=100%,", Flooring","")&amp;IF(D80=100%,", Painting","")&amp;IF(D81=100%,", Building common Amenities","")</f>
        <v>Excavation, Plinth, RCC Slab, Brickwork</v>
      </c>
      <c r="J70" s="43" t="str">
        <f ca="1">(IF(C73=0,"Work not yet Started.",IF(D73=25%,"Piling work in process",IF(D73=50%,"Excavation work in process",IF(D73=100%,"","0")))))&amp;(IF(C74=0%,"",IF(C74=J75,", Footing work is process",IF(C74=J76,", Footing work Completed",IF(C74=J77,", 1st Basement Completed",IF(C74=J78,", 1st &amp; 2nd Basement Completed",IF(C74=J79,", 1st to 3rd Basement Completed",IF(C74=J80,", 1st to 4th Basement Completed",IF(C74=J81,", Plinth work is process",IF(C74=J82,"","0"))))))))))</f>
        <v/>
      </c>
    </row>
    <row r="71" spans="1:14" ht="48.6" customHeight="1" x14ac:dyDescent="0.3">
      <c r="A71" s="104" t="s">
        <v>88</v>
      </c>
      <c r="B71" s="71"/>
      <c r="C71" s="70" t="str">
        <f ca="1">I69</f>
        <v>Excavation, Plinth, RCC Slab, Brickwork Completed, Internal Plaster upto 25 Floor, External Plaster upto 25 Floor, Flooring upto 15 Floor, Painting upto 10 Floor, Finishing upto 1 Floor, Possession upto 1 Floor Completed</v>
      </c>
      <c r="D71" s="70"/>
      <c r="E71" s="70"/>
      <c r="F71" s="70"/>
      <c r="G71" s="70"/>
      <c r="H71" s="111"/>
      <c r="I71" s="42" t="str">
        <f ca="1">IF(I70&lt;&gt;""," Completed","")</f>
        <v xml:space="preserve"> Completed</v>
      </c>
      <c r="J71" s="43" t="str">
        <f ca="1">IF(J69&lt;&gt;"","Completed","")</f>
        <v>Completed</v>
      </c>
    </row>
    <row r="72" spans="1:14" ht="15.75" customHeight="1" x14ac:dyDescent="0.3">
      <c r="A72" s="102" t="s">
        <v>48</v>
      </c>
      <c r="B72" s="103"/>
      <c r="C72" s="47" t="s">
        <v>135</v>
      </c>
      <c r="D72" s="47" t="s">
        <v>81</v>
      </c>
      <c r="E72" s="103" t="s">
        <v>83</v>
      </c>
      <c r="F72" s="103"/>
      <c r="G72" s="103" t="s">
        <v>82</v>
      </c>
      <c r="H72" s="136"/>
      <c r="I72" s="13" t="s">
        <v>137</v>
      </c>
      <c r="J72" s="24">
        <f ca="1">H70*25%</f>
        <v>7.25</v>
      </c>
    </row>
    <row r="73" spans="1:14" x14ac:dyDescent="0.3">
      <c r="A73" s="102" t="s">
        <v>124</v>
      </c>
      <c r="B73" s="103"/>
      <c r="C73" s="47">
        <f ca="1">J74</f>
        <v>29</v>
      </c>
      <c r="D73" s="48">
        <f ca="1">((100/H70)*C73)/100</f>
        <v>1</v>
      </c>
      <c r="E73" s="137">
        <f ca="1">(((C74/H70*10)+(40/(D70+F70+H70)*C75)+(7.5/(H70)*C76)+(7.5/(H70)*C77)+(10/H70*C78)+(10/H70*C79)+(5/H70*C80)+(5/H70*C81)+(5/H70*C82))/100)</f>
        <v>0.79827586206896539</v>
      </c>
      <c r="F73" s="138"/>
      <c r="G73" s="137">
        <f ca="1">((((C73/H70)*20)+((C74/H70)*25)+(30/(H70+F70+D70)*C75)+(5/H70*C76)+(5/H70*C77)+(5/H70*C78)+(5/H70*C79)+(0/H70*C80)+(0/H70*C81)+(5/H70*C82))/100)</f>
        <v>0.91379310344827591</v>
      </c>
      <c r="H73" s="141"/>
      <c r="I73" s="13" t="s">
        <v>99</v>
      </c>
      <c r="J73" s="25">
        <f ca="1">H70*50%</f>
        <v>14.5</v>
      </c>
    </row>
    <row r="74" spans="1:14" x14ac:dyDescent="0.3">
      <c r="A74" s="102" t="s">
        <v>49</v>
      </c>
      <c r="B74" s="103"/>
      <c r="C74" s="51">
        <f ca="1">J82</f>
        <v>29</v>
      </c>
      <c r="D74" s="48">
        <f ca="1">((100/H70)*C74)/100</f>
        <v>1</v>
      </c>
      <c r="E74" s="139"/>
      <c r="F74" s="140"/>
      <c r="G74" s="139"/>
      <c r="H74" s="142"/>
      <c r="I74" s="13" t="s">
        <v>100</v>
      </c>
      <c r="J74" s="25">
        <f ca="1">H70</f>
        <v>29</v>
      </c>
    </row>
    <row r="75" spans="1:14" ht="15.75" customHeight="1" x14ac:dyDescent="0.3">
      <c r="A75" s="102" t="s">
        <v>125</v>
      </c>
      <c r="B75" s="103"/>
      <c r="C75" s="47">
        <v>30</v>
      </c>
      <c r="D75" s="48">
        <f ca="1">((100/(D70+F70+H70))*C75)/100</f>
        <v>1</v>
      </c>
      <c r="E75" s="139"/>
      <c r="F75" s="140"/>
      <c r="G75" s="139"/>
      <c r="H75" s="142"/>
      <c r="I75" s="13" t="s">
        <v>101</v>
      </c>
      <c r="J75" s="26">
        <f ca="1">(IF(B70&gt;1,(H70/(B70+2)),H70/4))</f>
        <v>7.25</v>
      </c>
    </row>
    <row r="76" spans="1:14" ht="15.75" customHeight="1" x14ac:dyDescent="0.3">
      <c r="A76" s="102" t="s">
        <v>132</v>
      </c>
      <c r="B76" s="103" t="s">
        <v>126</v>
      </c>
      <c r="C76" s="47">
        <f>C75-D70-F70</f>
        <v>29</v>
      </c>
      <c r="D76" s="48">
        <f ca="1">((100/H70)*C76)/100</f>
        <v>1</v>
      </c>
      <c r="E76" s="139"/>
      <c r="F76" s="140"/>
      <c r="G76" s="139"/>
      <c r="H76" s="142"/>
      <c r="I76" s="13" t="s">
        <v>102</v>
      </c>
      <c r="J76" s="26">
        <f ca="1">(IF(B70&gt;1,(H70/(B70+2)+J75),H70/4+J75))</f>
        <v>14.5</v>
      </c>
    </row>
    <row r="77" spans="1:14" ht="15.75" customHeight="1" x14ac:dyDescent="0.3">
      <c r="A77" s="102" t="s">
        <v>133</v>
      </c>
      <c r="B77" s="103" t="s">
        <v>126</v>
      </c>
      <c r="C77" s="51">
        <v>25</v>
      </c>
      <c r="D77" s="48">
        <f ca="1">((100/H70)*C77)/100</f>
        <v>0.86206896551724133</v>
      </c>
      <c r="E77" s="139"/>
      <c r="F77" s="140"/>
      <c r="G77" s="139"/>
      <c r="H77" s="142"/>
      <c r="I77" s="13" t="s">
        <v>144</v>
      </c>
      <c r="J77" s="26">
        <f>(IF(B70&gt;1,(H70/(B70+2)+J76),0))</f>
        <v>0</v>
      </c>
    </row>
    <row r="78" spans="1:14" ht="15" customHeight="1" x14ac:dyDescent="0.3">
      <c r="A78" s="102" t="s">
        <v>131</v>
      </c>
      <c r="B78" s="103" t="s">
        <v>128</v>
      </c>
      <c r="C78" s="51">
        <v>25</v>
      </c>
      <c r="D78" s="48">
        <f ca="1">((100/(H70))*C78)/100</f>
        <v>0.86206896551724133</v>
      </c>
      <c r="E78" s="139"/>
      <c r="F78" s="140"/>
      <c r="G78" s="139"/>
      <c r="H78" s="142"/>
      <c r="I78" s="13" t="s">
        <v>139</v>
      </c>
      <c r="J78" s="26">
        <f>(IF(B70&gt;2,(H70/(B70+2)+J77),0))</f>
        <v>0</v>
      </c>
    </row>
    <row r="79" spans="1:14" ht="15.75" customHeight="1" x14ac:dyDescent="0.3">
      <c r="A79" s="102" t="s">
        <v>127</v>
      </c>
      <c r="B79" s="103" t="s">
        <v>127</v>
      </c>
      <c r="C79" s="51">
        <v>15</v>
      </c>
      <c r="D79" s="48">
        <f ca="1">((100/H70)*C79)/100</f>
        <v>0.51724137931034475</v>
      </c>
      <c r="E79" s="139"/>
      <c r="F79" s="140"/>
      <c r="G79" s="139"/>
      <c r="H79" s="142"/>
      <c r="I79" s="13" t="s">
        <v>140</v>
      </c>
      <c r="J79" s="27">
        <f>(IF(B70&gt;3,(H70/(B70+2)+J78),0))</f>
        <v>0</v>
      </c>
    </row>
    <row r="80" spans="1:14" ht="15.75" customHeight="1" x14ac:dyDescent="0.3">
      <c r="A80" s="102" t="s">
        <v>134</v>
      </c>
      <c r="B80" s="103"/>
      <c r="C80" s="47">
        <v>10</v>
      </c>
      <c r="D80" s="48">
        <f ca="1">((100/H70)*C80)/100</f>
        <v>0.34482758620689652</v>
      </c>
      <c r="E80" s="139"/>
      <c r="F80" s="140"/>
      <c r="G80" s="139"/>
      <c r="H80" s="142"/>
      <c r="I80" s="13" t="s">
        <v>141</v>
      </c>
      <c r="J80" s="26">
        <f>(IF(B70&gt;4,(H70/(B70+2)+J79),0))</f>
        <v>0</v>
      </c>
    </row>
    <row r="81" spans="1:10" ht="15.75" customHeight="1" x14ac:dyDescent="0.3">
      <c r="A81" s="102" t="s">
        <v>129</v>
      </c>
      <c r="B81" s="103" t="s">
        <v>129</v>
      </c>
      <c r="C81" s="47">
        <v>1</v>
      </c>
      <c r="D81" s="48">
        <f ca="1">((100/(H70))*C81)/100</f>
        <v>3.4482758620689655E-2</v>
      </c>
      <c r="E81" s="139"/>
      <c r="F81" s="140"/>
      <c r="G81" s="139"/>
      <c r="H81" s="142"/>
      <c r="I81" s="13" t="s">
        <v>145</v>
      </c>
      <c r="J81" s="26">
        <f ca="1">(IF(B70=1,(H70/(B70+3)+J76),IF(B70=0,(H70/4+J76),IF(B70&gt;1,0))))</f>
        <v>21.75</v>
      </c>
    </row>
    <row r="82" spans="1:10" ht="16.2" thickBot="1" x14ac:dyDescent="0.35">
      <c r="A82" s="143" t="s">
        <v>130</v>
      </c>
      <c r="B82" s="144"/>
      <c r="C82" s="60">
        <v>1</v>
      </c>
      <c r="D82" s="61">
        <f ca="1">((100/(H70))*C82)/100</f>
        <v>3.4482758620689655E-2</v>
      </c>
      <c r="E82" s="139"/>
      <c r="F82" s="140"/>
      <c r="G82" s="139"/>
      <c r="H82" s="142"/>
      <c r="I82" s="14" t="s">
        <v>103</v>
      </c>
      <c r="J82" s="28">
        <f ca="1">(IF(B70&gt;1.5,(H70/(B70+2)+J76+MAX(0,J77-J76)+MAX(0,J78-J77)+MAX(0,J79-J78)+MAX(0,J80-J79)+MAX(0,J81-J80)),IF(B70=1,(H70/(B70+3)+J81),IF(B70=0,H70/4+J81))))</f>
        <v>29</v>
      </c>
    </row>
    <row r="83" spans="1:10" x14ac:dyDescent="0.3">
      <c r="A83" s="115" t="s">
        <v>156</v>
      </c>
      <c r="B83" s="115"/>
      <c r="C83" s="115"/>
      <c r="D83" s="115"/>
      <c r="E83" s="115"/>
      <c r="F83" s="93" t="s">
        <v>161</v>
      </c>
      <c r="G83" s="93"/>
      <c r="H83" s="93"/>
    </row>
    <row r="84" spans="1:10" x14ac:dyDescent="0.3">
      <c r="A84" s="73" t="s">
        <v>159</v>
      </c>
      <c r="B84" s="73"/>
      <c r="C84" s="73"/>
      <c r="D84" s="73"/>
      <c r="E84" s="73"/>
      <c r="F84" s="72">
        <v>10000</v>
      </c>
      <c r="G84" s="72"/>
      <c r="H84" s="72"/>
    </row>
    <row r="85" spans="1:10" hidden="1" x14ac:dyDescent="0.3">
      <c r="A85" s="73" t="s">
        <v>158</v>
      </c>
      <c r="B85" s="73"/>
      <c r="C85" s="73"/>
      <c r="D85" s="73"/>
      <c r="E85" s="73"/>
      <c r="F85" s="72">
        <v>20000</v>
      </c>
      <c r="G85" s="72"/>
      <c r="H85" s="72"/>
    </row>
    <row r="86" spans="1:10" hidden="1" x14ac:dyDescent="0.3">
      <c r="A86" s="73" t="s">
        <v>160</v>
      </c>
      <c r="B86" s="73"/>
      <c r="C86" s="73"/>
      <c r="D86" s="73"/>
      <c r="E86" s="73"/>
      <c r="F86" s="72"/>
      <c r="G86" s="72"/>
      <c r="H86" s="72"/>
    </row>
    <row r="87" spans="1:10" s="29" customFormat="1" hidden="1" x14ac:dyDescent="0.25">
      <c r="A87" s="73" t="s">
        <v>157</v>
      </c>
      <c r="B87" s="73"/>
      <c r="C87" s="73"/>
      <c r="D87" s="73"/>
      <c r="E87" s="73"/>
      <c r="F87" s="72"/>
      <c r="G87" s="72"/>
      <c r="H87" s="72"/>
    </row>
    <row r="88" spans="1:10" s="29" customFormat="1" hidden="1" x14ac:dyDescent="0.25">
      <c r="A88" s="73" t="s">
        <v>93</v>
      </c>
      <c r="B88" s="73"/>
      <c r="C88" s="73"/>
      <c r="D88" s="73"/>
      <c r="E88" s="73"/>
      <c r="F88" s="72"/>
      <c r="G88" s="72"/>
      <c r="H88" s="72"/>
    </row>
    <row r="89" spans="1:10" s="29" customFormat="1" hidden="1" x14ac:dyDescent="0.25">
      <c r="A89" s="73" t="s">
        <v>94</v>
      </c>
      <c r="B89" s="73"/>
      <c r="C89" s="73"/>
      <c r="D89" s="73"/>
      <c r="E89" s="73"/>
      <c r="F89" s="72"/>
      <c r="G89" s="72"/>
      <c r="H89" s="72"/>
    </row>
    <row r="90" spans="1:10" s="29" customFormat="1" hidden="1" x14ac:dyDescent="0.25">
      <c r="A90" s="73" t="s">
        <v>162</v>
      </c>
      <c r="B90" s="73"/>
      <c r="C90" s="73"/>
      <c r="D90" s="73"/>
      <c r="E90" s="73"/>
      <c r="F90" s="72">
        <v>4</v>
      </c>
      <c r="G90" s="72"/>
      <c r="H90" s="72"/>
    </row>
    <row r="91" spans="1:10" s="29" customFormat="1" hidden="1" x14ac:dyDescent="0.25">
      <c r="A91" s="73" t="s">
        <v>95</v>
      </c>
      <c r="B91" s="73"/>
      <c r="C91" s="73"/>
      <c r="D91" s="73"/>
      <c r="E91" s="73"/>
      <c r="F91" s="72"/>
      <c r="G91" s="72"/>
      <c r="H91" s="72"/>
    </row>
    <row r="92" spans="1:10" s="29" customFormat="1" hidden="1" x14ac:dyDescent="0.25">
      <c r="A92" s="73" t="s">
        <v>96</v>
      </c>
      <c r="B92" s="73"/>
      <c r="C92" s="73"/>
      <c r="D92" s="73"/>
      <c r="E92" s="73"/>
      <c r="F92" s="72"/>
      <c r="G92" s="72"/>
      <c r="H92" s="72"/>
    </row>
    <row r="93" spans="1:10" s="29" customFormat="1" hidden="1" x14ac:dyDescent="0.25">
      <c r="A93" s="73" t="s">
        <v>97</v>
      </c>
      <c r="B93" s="73"/>
      <c r="C93" s="73"/>
      <c r="D93" s="73"/>
      <c r="E93" s="73"/>
      <c r="F93" s="72"/>
      <c r="G93" s="72"/>
      <c r="H93" s="72"/>
    </row>
    <row r="94" spans="1:10" s="29" customFormat="1" hidden="1" x14ac:dyDescent="0.25">
      <c r="A94" s="73" t="s">
        <v>98</v>
      </c>
      <c r="B94" s="73"/>
      <c r="C94" s="73"/>
      <c r="D94" s="73"/>
      <c r="E94" s="73"/>
      <c r="F94" s="72"/>
      <c r="G94" s="72"/>
      <c r="H94" s="72"/>
    </row>
    <row r="95" spans="1:10" x14ac:dyDescent="0.3">
      <c r="A95" s="73" t="s">
        <v>50</v>
      </c>
      <c r="B95" s="73"/>
      <c r="C95" s="73"/>
      <c r="D95" s="73"/>
      <c r="E95" s="73"/>
      <c r="F95" s="72">
        <v>500000</v>
      </c>
      <c r="G95" s="72"/>
      <c r="H95" s="72"/>
    </row>
    <row r="96" spans="1:10" s="30" customFormat="1" x14ac:dyDescent="0.3">
      <c r="A96" s="115" t="s">
        <v>51</v>
      </c>
      <c r="B96" s="115"/>
      <c r="C96" s="115"/>
      <c r="D96" s="115"/>
      <c r="E96" s="115"/>
      <c r="F96" s="72">
        <f>F84*0.8</f>
        <v>8000</v>
      </c>
      <c r="G96" s="72"/>
      <c r="H96" s="72"/>
    </row>
    <row r="97" spans="1:20" s="31" customFormat="1" ht="15.75" customHeight="1" x14ac:dyDescent="0.3">
      <c r="A97" s="97" t="s">
        <v>73</v>
      </c>
      <c r="B97" s="97"/>
      <c r="C97" s="97"/>
      <c r="D97" s="97"/>
      <c r="E97" s="97"/>
      <c r="F97" s="97"/>
      <c r="G97" s="97"/>
      <c r="H97" s="97"/>
      <c r="J97" s="53" t="s">
        <v>197</v>
      </c>
      <c r="K97" s="31" t="s">
        <v>198</v>
      </c>
      <c r="L97" s="31" t="s">
        <v>110</v>
      </c>
      <c r="M97" s="31" t="s">
        <v>189</v>
      </c>
      <c r="N97" s="31" t="s">
        <v>199</v>
      </c>
    </row>
    <row r="98" spans="1:20" s="31" customFormat="1" ht="15.75" customHeight="1" x14ac:dyDescent="0.3">
      <c r="A98" s="100" t="s">
        <v>52</v>
      </c>
      <c r="B98" s="100"/>
      <c r="C98" s="98" t="s">
        <v>76</v>
      </c>
      <c r="D98" s="98"/>
      <c r="E98" s="99" t="s">
        <v>53</v>
      </c>
      <c r="F98" s="99"/>
      <c r="G98" s="100" t="s">
        <v>54</v>
      </c>
      <c r="H98" s="100"/>
      <c r="J98" s="52">
        <v>15350</v>
      </c>
      <c r="K98" s="52" t="e">
        <f>10800000/#REF!</f>
        <v>#REF!</v>
      </c>
      <c r="L98" s="54" t="e">
        <f>10000000/#REF!</f>
        <v>#REF!</v>
      </c>
      <c r="M98" s="54" t="e">
        <f>14100000/#REF!</f>
        <v>#REF!</v>
      </c>
      <c r="N98" s="59">
        <v>8500</v>
      </c>
    </row>
    <row r="99" spans="1:20" s="31" customFormat="1" x14ac:dyDescent="0.3">
      <c r="A99" s="128" t="s">
        <v>238</v>
      </c>
      <c r="B99" s="128"/>
      <c r="C99" s="131">
        <f>COUNT(D115:D127)</f>
        <v>13</v>
      </c>
      <c r="D99" s="94"/>
      <c r="E99" s="131">
        <f>SUM(F115:F127)</f>
        <v>10771.853862899998</v>
      </c>
      <c r="F99" s="94"/>
      <c r="G99" s="131">
        <f>SUM(H115:H127)</f>
        <v>16696.373487494999</v>
      </c>
      <c r="H99" s="94"/>
      <c r="K99" s="52"/>
      <c r="L99" s="54"/>
    </row>
    <row r="100" spans="1:20" s="31" customFormat="1" hidden="1" x14ac:dyDescent="0.3">
      <c r="A100" s="128"/>
      <c r="B100" s="128"/>
      <c r="C100" s="94"/>
      <c r="D100" s="94"/>
      <c r="E100" s="95"/>
      <c r="F100" s="95"/>
      <c r="G100" s="96"/>
      <c r="H100" s="96"/>
      <c r="K100" s="52"/>
      <c r="L100" s="54"/>
    </row>
    <row r="101" spans="1:20" s="31" customFormat="1" hidden="1" x14ac:dyDescent="0.3">
      <c r="A101" s="97" t="s">
        <v>149</v>
      </c>
      <c r="B101" s="97"/>
      <c r="C101" s="98"/>
      <c r="D101" s="98"/>
      <c r="E101" s="99"/>
      <c r="F101" s="99"/>
      <c r="G101" s="100"/>
      <c r="H101" s="100"/>
      <c r="J101" s="57">
        <f>J98/1.5</f>
        <v>10233.333333333334</v>
      </c>
      <c r="K101" s="52" t="e">
        <f>12000000/#REF!</f>
        <v>#REF!</v>
      </c>
      <c r="L101" s="54" t="e">
        <f>15200000/#REF!</f>
        <v>#REF!</v>
      </c>
    </row>
    <row r="102" spans="1:20" s="31" customFormat="1" ht="16.2" thickBot="1" x14ac:dyDescent="0.35">
      <c r="A102" s="87" t="s">
        <v>239</v>
      </c>
      <c r="B102" s="87"/>
      <c r="C102" s="88">
        <f>COUNT(D129:D137)</f>
        <v>9</v>
      </c>
      <c r="D102" s="89"/>
      <c r="E102" s="88">
        <f>SUM(F129:F137)</f>
        <v>7049.8606307999999</v>
      </c>
      <c r="F102" s="89"/>
      <c r="G102" s="88">
        <f>SUM(H129:H137)</f>
        <v>10927.28397774</v>
      </c>
      <c r="H102" s="89"/>
      <c r="K102" s="52"/>
      <c r="L102" s="54"/>
    </row>
    <row r="103" spans="1:20" s="31" customFormat="1" ht="16.2" thickBot="1" x14ac:dyDescent="0.35">
      <c r="A103" s="153" t="s">
        <v>149</v>
      </c>
      <c r="B103" s="154"/>
      <c r="C103" s="155">
        <f>C99+C102</f>
        <v>22</v>
      </c>
      <c r="D103" s="156"/>
      <c r="E103" s="155">
        <f>E99+E102</f>
        <v>17821.714493699998</v>
      </c>
      <c r="F103" s="156"/>
      <c r="G103" s="155">
        <f>G99+G102</f>
        <v>27623.657465234999</v>
      </c>
      <c r="H103" s="157"/>
      <c r="K103" s="52"/>
      <c r="L103" s="54"/>
    </row>
    <row r="104" spans="1:20" s="31" customFormat="1" x14ac:dyDescent="0.3">
      <c r="A104" s="129" t="s">
        <v>67</v>
      </c>
      <c r="B104" s="129"/>
      <c r="C104" s="129"/>
      <c r="D104" s="129"/>
      <c r="E104" s="129"/>
      <c r="F104" s="129"/>
      <c r="G104" s="129"/>
      <c r="H104" s="129"/>
      <c r="K104" s="55" t="e">
        <f>AVERAGE(K98:K101)</f>
        <v>#REF!</v>
      </c>
      <c r="L104" s="56" t="e">
        <f>AVERAGE(L98:L101)</f>
        <v>#REF!</v>
      </c>
      <c r="M104" s="58" t="e">
        <f>AVERAGE(K104:L104,J101)</f>
        <v>#REF!</v>
      </c>
    </row>
    <row r="105" spans="1:20" s="31" customFormat="1" ht="15.75" customHeight="1" x14ac:dyDescent="0.3">
      <c r="A105" s="100" t="s">
        <v>52</v>
      </c>
      <c r="B105" s="100"/>
      <c r="C105" s="98" t="s">
        <v>76</v>
      </c>
      <c r="D105" s="98"/>
      <c r="E105" s="99" t="s">
        <v>53</v>
      </c>
      <c r="F105" s="99"/>
      <c r="G105" s="100" t="s">
        <v>54</v>
      </c>
      <c r="H105" s="100"/>
    </row>
    <row r="106" spans="1:20" s="31" customFormat="1" x14ac:dyDescent="0.3">
      <c r="A106" s="128" t="s">
        <v>240</v>
      </c>
      <c r="B106" s="128"/>
      <c r="C106" s="94">
        <f>COUNT(D144:D150)*5+COUNT(D153:D160)*19</f>
        <v>187</v>
      </c>
      <c r="D106" s="94"/>
      <c r="E106" s="131">
        <f t="shared" ref="E106" si="0">SUM(F144:F150)*5+SUM(F153:F160)*19</f>
        <v>134314.37603999997</v>
      </c>
      <c r="F106" s="131"/>
      <c r="G106" s="131">
        <f t="shared" ref="G106" si="1">SUM(H144:H150)*5+SUM(H153:H160)*19</f>
        <v>201471.56406</v>
      </c>
      <c r="H106" s="131"/>
    </row>
    <row r="107" spans="1:20" s="31" customFormat="1" ht="16.2" thickBot="1" x14ac:dyDescent="0.35">
      <c r="A107" s="145" t="s">
        <v>168</v>
      </c>
      <c r="B107" s="146"/>
      <c r="C107" s="147">
        <f>C106+C103</f>
        <v>209</v>
      </c>
      <c r="D107" s="148"/>
      <c r="E107" s="149">
        <f>E106+E103</f>
        <v>152136.09053369996</v>
      </c>
      <c r="F107" s="150"/>
      <c r="G107" s="151">
        <f>G106+G103</f>
        <v>229095.22152523501</v>
      </c>
      <c r="H107" s="152"/>
    </row>
    <row r="108" spans="1:20" s="30" customFormat="1" x14ac:dyDescent="0.3">
      <c r="A108" s="159" t="s">
        <v>211</v>
      </c>
      <c r="B108" s="159"/>
      <c r="C108" s="159"/>
      <c r="D108" s="159"/>
      <c r="E108" s="159"/>
      <c r="F108" s="159"/>
      <c r="G108" s="159"/>
      <c r="H108" s="159"/>
      <c r="T108" s="31"/>
    </row>
    <row r="109" spans="1:20" x14ac:dyDescent="0.3">
      <c r="A109" s="121" t="s">
        <v>212</v>
      </c>
      <c r="B109" s="121"/>
      <c r="C109" s="121"/>
      <c r="D109" s="121"/>
      <c r="E109" s="121"/>
      <c r="F109" s="121"/>
      <c r="G109" s="121"/>
      <c r="H109" s="121"/>
      <c r="T109" s="31"/>
    </row>
    <row r="110" spans="1:20" ht="33.6" customHeight="1" x14ac:dyDescent="0.3">
      <c r="A110" s="160" t="s">
        <v>217</v>
      </c>
      <c r="B110" s="160" t="s">
        <v>213</v>
      </c>
      <c r="C110" s="160" t="s">
        <v>55</v>
      </c>
      <c r="D110" s="160" t="s">
        <v>214</v>
      </c>
      <c r="E110" s="162" t="s">
        <v>155</v>
      </c>
      <c r="F110" s="160" t="s">
        <v>56</v>
      </c>
      <c r="G110" s="162" t="s">
        <v>57</v>
      </c>
      <c r="H110" s="62" t="s">
        <v>147</v>
      </c>
      <c r="T110" s="31"/>
    </row>
    <row r="111" spans="1:20" s="33" customFormat="1" x14ac:dyDescent="0.3">
      <c r="A111" s="161"/>
      <c r="B111" s="161"/>
      <c r="C111" s="161"/>
      <c r="D111" s="161"/>
      <c r="E111" s="163"/>
      <c r="F111" s="161"/>
      <c r="G111" s="163"/>
      <c r="H111" s="63">
        <v>0.55000000000000004</v>
      </c>
      <c r="T111" s="31"/>
    </row>
    <row r="112" spans="1:20" s="33" customFormat="1" x14ac:dyDescent="0.3">
      <c r="A112" s="76" t="s">
        <v>171</v>
      </c>
      <c r="B112" s="77"/>
      <c r="C112" s="77"/>
      <c r="D112" s="77"/>
      <c r="E112" s="77"/>
      <c r="F112" s="77"/>
      <c r="G112" s="77"/>
      <c r="H112" s="78"/>
      <c r="J112" s="49" t="s">
        <v>195</v>
      </c>
      <c r="K112" s="50"/>
      <c r="L112" s="50"/>
    </row>
    <row r="113" spans="1:20" s="33" customFormat="1" x14ac:dyDescent="0.3">
      <c r="A113" s="76" t="s">
        <v>190</v>
      </c>
      <c r="B113" s="77"/>
      <c r="C113" s="77"/>
      <c r="D113" s="77"/>
      <c r="E113" s="77"/>
      <c r="F113" s="77"/>
      <c r="G113" s="77"/>
      <c r="H113" s="78"/>
      <c r="J113" s="32"/>
    </row>
    <row r="114" spans="1:20" s="33" customFormat="1" ht="15.6" customHeight="1" x14ac:dyDescent="0.3">
      <c r="A114" s="76" t="s">
        <v>241</v>
      </c>
      <c r="B114" s="77"/>
      <c r="C114" s="77"/>
      <c r="D114" s="77"/>
      <c r="E114" s="77"/>
      <c r="F114" s="77"/>
      <c r="G114" s="77"/>
      <c r="H114" s="78"/>
      <c r="J114" s="32"/>
      <c r="T114" s="31"/>
    </row>
    <row r="115" spans="1:20" s="33" customFormat="1" ht="15.75" customHeight="1" x14ac:dyDescent="0.3">
      <c r="A115" s="172">
        <v>1</v>
      </c>
      <c r="B115" s="173"/>
      <c r="C115" s="64" t="s">
        <v>189</v>
      </c>
      <c r="D115" s="64">
        <f>(28.9)*10.764</f>
        <v>311.07959999999997</v>
      </c>
      <c r="E115" s="64">
        <f>D115/2</f>
        <v>155.53979999999999</v>
      </c>
      <c r="F115" s="64">
        <f>D115+(IF(E115&lt;201,E115,IF(E115&lt;301,E115/2,E115/3)))</f>
        <v>466.61939999999993</v>
      </c>
      <c r="G115" s="64">
        <v>0</v>
      </c>
      <c r="H115" s="64">
        <f>(F115+(IF(G115&lt;101,G115,IF(G115&lt;201,G115/2,IF(G115&lt;=301,G115/3,G115/4)))))*(($H$111)+1)</f>
        <v>723.26006999999993</v>
      </c>
      <c r="I115" s="32"/>
      <c r="L115" s="92"/>
      <c r="M115" s="92"/>
      <c r="N115" s="32"/>
      <c r="T115" s="31"/>
    </row>
    <row r="116" spans="1:20" s="33" customFormat="1" ht="15.75" customHeight="1" x14ac:dyDescent="0.3">
      <c r="A116" s="172">
        <f>A115+1</f>
        <v>2</v>
      </c>
      <c r="B116" s="173"/>
      <c r="C116" s="64" t="s">
        <v>189</v>
      </c>
      <c r="D116" s="64">
        <f>(23.24)*10.764</f>
        <v>250.15535999999997</v>
      </c>
      <c r="E116" s="64">
        <f t="shared" ref="E116:E127" si="2">D116/2</f>
        <v>125.07767999999999</v>
      </c>
      <c r="F116" s="64">
        <f>D116+(IF(E116&lt;201,E116,IF(E116&lt;301,E116/2,E116/3)))</f>
        <v>375.23303999999996</v>
      </c>
      <c r="G116" s="64">
        <v>0</v>
      </c>
      <c r="H116" s="64">
        <f>(F116+(IF(G116&lt;101,G116,IF(G116&lt;201,G116/2,IF(G116&lt;=301,G116/3,G116/4)))))*(($H$111)+1)</f>
        <v>581.61121199999991</v>
      </c>
      <c r="I116" s="32"/>
      <c r="L116" s="92"/>
      <c r="M116" s="92"/>
      <c r="N116" s="32"/>
      <c r="T116" s="30"/>
    </row>
    <row r="117" spans="1:20" s="33" customFormat="1" ht="15.75" customHeight="1" x14ac:dyDescent="0.3">
      <c r="A117" s="74">
        <f>A116+1</f>
        <v>3</v>
      </c>
      <c r="B117" s="75"/>
      <c r="C117" s="38" t="s">
        <v>189</v>
      </c>
      <c r="D117" s="38">
        <f>(23.34)*10.764</f>
        <v>251.23175999999998</v>
      </c>
      <c r="E117" s="64">
        <f t="shared" si="2"/>
        <v>125.61587999999999</v>
      </c>
      <c r="F117" s="38">
        <f>D117+(IF(E117&lt;201,E117,IF(E117&lt;301,E117/2,E117/3)))</f>
        <v>376.84763999999996</v>
      </c>
      <c r="G117" s="38">
        <v>0</v>
      </c>
      <c r="H117" s="64">
        <f>(F117+(IF(G117&lt;101,G117,IF(G117&lt;201,G117/2,IF(G117&lt;=301,G117/3,G117/4)))))*(($H$111)+1)</f>
        <v>584.11384199999998</v>
      </c>
      <c r="I117" s="32"/>
      <c r="L117" s="92"/>
      <c r="M117" s="92"/>
      <c r="N117" s="32"/>
      <c r="T117" s="17"/>
    </row>
    <row r="118" spans="1:20" s="33" customFormat="1" ht="15.75" customHeight="1" x14ac:dyDescent="0.3">
      <c r="A118" s="74">
        <f>A117+1</f>
        <v>4</v>
      </c>
      <c r="B118" s="75"/>
      <c r="C118" s="38" t="s">
        <v>189</v>
      </c>
      <c r="D118" s="38">
        <f>(62.69)*10.764</f>
        <v>674.7951599999999</v>
      </c>
      <c r="E118" s="64">
        <f t="shared" si="2"/>
        <v>337.39757999999995</v>
      </c>
      <c r="F118" s="38">
        <f>D118+(IF(E118&lt;201,E118,IF(E118&lt;301,E118/2,E118/3)))</f>
        <v>787.26101999999992</v>
      </c>
      <c r="G118" s="38">
        <v>0</v>
      </c>
      <c r="H118" s="64">
        <f>(F118+(IF(G118&lt;101,G118,IF(G118&lt;201,G118/2,IF(G118&lt;=301,G118/3,G118/4)))))*(($H$111)+1)</f>
        <v>1220.2545809999999</v>
      </c>
      <c r="I118" s="32"/>
      <c r="L118" s="92"/>
      <c r="M118" s="92"/>
      <c r="N118" s="32"/>
      <c r="T118" s="17"/>
    </row>
    <row r="119" spans="1:20" s="33" customFormat="1" ht="15.75" customHeight="1" x14ac:dyDescent="0.3">
      <c r="A119" s="74">
        <f t="shared" ref="A119:A126" si="3">A118+1</f>
        <v>5</v>
      </c>
      <c r="B119" s="75"/>
      <c r="C119" s="38" t="s">
        <v>189</v>
      </c>
      <c r="D119" s="38">
        <f>(31.06)*10.764</f>
        <v>334.32983999999999</v>
      </c>
      <c r="E119" s="64">
        <f t="shared" si="2"/>
        <v>167.16492</v>
      </c>
      <c r="F119" s="38">
        <f t="shared" ref="F119:F126" si="4">D119+(IF(E119&lt;201,E119,IF(E119&lt;301,E119/2,E119/3)))</f>
        <v>501.49475999999999</v>
      </c>
      <c r="G119" s="38">
        <v>0</v>
      </c>
      <c r="H119" s="64">
        <f t="shared" ref="H119:H126" si="5">(F119+(IF(G119&lt;101,G119,IF(G119&lt;201,G119/2,IF(G119&lt;=301,G119/3,G119/4)))))*(($H$111)+1)</f>
        <v>777.31687799999997</v>
      </c>
      <c r="I119" s="32"/>
      <c r="L119" s="92"/>
      <c r="M119" s="92"/>
      <c r="N119" s="32"/>
      <c r="T119" s="17"/>
    </row>
    <row r="120" spans="1:20" s="33" customFormat="1" ht="15.75" customHeight="1" x14ac:dyDescent="0.3">
      <c r="A120" s="74" t="s">
        <v>221</v>
      </c>
      <c r="B120" s="75"/>
      <c r="C120" s="38" t="s">
        <v>189</v>
      </c>
      <c r="D120" s="38">
        <f>(4.34*5.51+2.84*2.5+1.2*1.8)*10.764</f>
        <v>357.07847759999999</v>
      </c>
      <c r="E120" s="64">
        <f t="shared" si="2"/>
        <v>178.53923879999999</v>
      </c>
      <c r="F120" s="38">
        <f t="shared" si="4"/>
        <v>535.61771639999995</v>
      </c>
      <c r="G120" s="38">
        <v>0</v>
      </c>
      <c r="H120" s="64">
        <f t="shared" si="5"/>
        <v>830.20746041999996</v>
      </c>
      <c r="I120" s="32"/>
      <c r="L120" s="92"/>
      <c r="M120" s="92"/>
      <c r="N120" s="32"/>
      <c r="T120" s="17"/>
    </row>
    <row r="121" spans="1:20" s="33" customFormat="1" ht="15.75" customHeight="1" x14ac:dyDescent="0.3">
      <c r="A121" s="74" t="s">
        <v>222</v>
      </c>
      <c r="B121" s="75"/>
      <c r="C121" s="38" t="s">
        <v>189</v>
      </c>
      <c r="D121" s="38">
        <f>(9.2*8.36+1.645*2.55)*10.764</f>
        <v>873.03305699999987</v>
      </c>
      <c r="E121" s="64">
        <f t="shared" si="2"/>
        <v>436.51652849999994</v>
      </c>
      <c r="F121" s="38">
        <f t="shared" ref="F121" si="6">D121+(IF(E121&lt;201,E121,IF(E121&lt;301,E121/2,E121/3)))</f>
        <v>1018.5385664999999</v>
      </c>
      <c r="G121" s="38">
        <v>0</v>
      </c>
      <c r="H121" s="64">
        <f t="shared" ref="H121" si="7">(F121+(IF(G121&lt;101,G121,IF(G121&lt;201,G121/2,IF(G121&lt;=301,G121/3,G121/4)))))*(($H$111)+1)</f>
        <v>1578.7347780749999</v>
      </c>
      <c r="I121" s="32"/>
      <c r="L121" s="92"/>
      <c r="M121" s="92"/>
      <c r="N121" s="32"/>
      <c r="T121" s="17"/>
    </row>
    <row r="122" spans="1:20" s="33" customFormat="1" ht="15.75" customHeight="1" x14ac:dyDescent="0.3">
      <c r="A122" s="74">
        <v>7</v>
      </c>
      <c r="B122" s="75"/>
      <c r="C122" s="38" t="s">
        <v>189</v>
      </c>
      <c r="D122" s="38">
        <f>(101.97)*10.764</f>
        <v>1097.6050799999998</v>
      </c>
      <c r="E122" s="64">
        <f t="shared" si="2"/>
        <v>548.80253999999991</v>
      </c>
      <c r="F122" s="38">
        <f t="shared" si="4"/>
        <v>1280.5392599999998</v>
      </c>
      <c r="G122" s="38">
        <v>0</v>
      </c>
      <c r="H122" s="64">
        <f t="shared" si="5"/>
        <v>1984.8358529999998</v>
      </c>
      <c r="I122" s="32"/>
      <c r="L122" s="92"/>
      <c r="M122" s="92"/>
      <c r="N122" s="32"/>
      <c r="T122" s="17"/>
    </row>
    <row r="123" spans="1:20" s="33" customFormat="1" ht="15.75" customHeight="1" x14ac:dyDescent="0.3">
      <c r="A123" s="74">
        <f t="shared" si="3"/>
        <v>8</v>
      </c>
      <c r="B123" s="75"/>
      <c r="C123" s="38" t="s">
        <v>189</v>
      </c>
      <c r="D123" s="38">
        <f>(101.18)*10.764</f>
        <v>1089.1015199999999</v>
      </c>
      <c r="E123" s="64">
        <f t="shared" si="2"/>
        <v>544.55075999999997</v>
      </c>
      <c r="F123" s="38">
        <f t="shared" si="4"/>
        <v>1270.61844</v>
      </c>
      <c r="G123" s="38">
        <v>0</v>
      </c>
      <c r="H123" s="64">
        <f t="shared" si="5"/>
        <v>1969.458582</v>
      </c>
      <c r="I123" s="32"/>
      <c r="L123" s="92"/>
      <c r="M123" s="92"/>
      <c r="N123" s="32"/>
      <c r="T123" s="17"/>
    </row>
    <row r="124" spans="1:20" s="33" customFormat="1" ht="15.75" customHeight="1" x14ac:dyDescent="0.3">
      <c r="A124" s="74">
        <f t="shared" si="3"/>
        <v>9</v>
      </c>
      <c r="B124" s="75"/>
      <c r="C124" s="38" t="s">
        <v>189</v>
      </c>
      <c r="D124" s="38">
        <f>(101.18)*10.764</f>
        <v>1089.1015199999999</v>
      </c>
      <c r="E124" s="64">
        <f t="shared" si="2"/>
        <v>544.55075999999997</v>
      </c>
      <c r="F124" s="38">
        <f t="shared" si="4"/>
        <v>1270.61844</v>
      </c>
      <c r="G124" s="38">
        <v>0</v>
      </c>
      <c r="H124" s="64">
        <f t="shared" si="5"/>
        <v>1969.458582</v>
      </c>
      <c r="I124" s="32"/>
      <c r="L124" s="92"/>
      <c r="M124" s="92"/>
      <c r="N124" s="32"/>
      <c r="T124" s="17"/>
    </row>
    <row r="125" spans="1:20" s="33" customFormat="1" ht="15.75" customHeight="1" x14ac:dyDescent="0.3">
      <c r="A125" s="74">
        <f t="shared" si="3"/>
        <v>10</v>
      </c>
      <c r="B125" s="75"/>
      <c r="C125" s="38" t="s">
        <v>189</v>
      </c>
      <c r="D125" s="38">
        <f>(76.89)*10.764</f>
        <v>827.64395999999999</v>
      </c>
      <c r="E125" s="64">
        <f t="shared" si="2"/>
        <v>413.82198</v>
      </c>
      <c r="F125" s="38">
        <f t="shared" si="4"/>
        <v>965.58461999999997</v>
      </c>
      <c r="G125" s="38">
        <v>0</v>
      </c>
      <c r="H125" s="64">
        <f t="shared" si="5"/>
        <v>1496.6561610000001</v>
      </c>
      <c r="I125" s="32"/>
      <c r="L125" s="92"/>
      <c r="M125" s="92"/>
      <c r="N125" s="32"/>
      <c r="T125" s="17"/>
    </row>
    <row r="126" spans="1:20" s="33" customFormat="1" ht="15.75" customHeight="1" x14ac:dyDescent="0.3">
      <c r="A126" s="74">
        <f t="shared" si="3"/>
        <v>11</v>
      </c>
      <c r="B126" s="75"/>
      <c r="C126" s="38" t="s">
        <v>189</v>
      </c>
      <c r="D126" s="38">
        <f>(76.56)*10.764</f>
        <v>824.09183999999993</v>
      </c>
      <c r="E126" s="64">
        <f t="shared" si="2"/>
        <v>412.04591999999997</v>
      </c>
      <c r="F126" s="38">
        <f t="shared" si="4"/>
        <v>961.44047999999998</v>
      </c>
      <c r="G126" s="38">
        <v>0</v>
      </c>
      <c r="H126" s="64">
        <f t="shared" si="5"/>
        <v>1490.2327439999999</v>
      </c>
      <c r="I126" s="32"/>
      <c r="L126" s="92"/>
      <c r="M126" s="92"/>
      <c r="N126" s="32"/>
      <c r="T126" s="17"/>
    </row>
    <row r="127" spans="1:20" s="33" customFormat="1" ht="15.75" customHeight="1" x14ac:dyDescent="0.3">
      <c r="A127" s="74">
        <f t="shared" ref="A127" si="8">A126+1</f>
        <v>12</v>
      </c>
      <c r="B127" s="75"/>
      <c r="C127" s="38" t="s">
        <v>189</v>
      </c>
      <c r="D127" s="38">
        <f>(76.56)*10.764</f>
        <v>824.09183999999993</v>
      </c>
      <c r="E127" s="64">
        <f t="shared" si="2"/>
        <v>412.04591999999997</v>
      </c>
      <c r="F127" s="38">
        <f t="shared" ref="F127" si="9">D127+(IF(E127&lt;201,E127,IF(E127&lt;301,E127/2,E127/3)))</f>
        <v>961.44047999999998</v>
      </c>
      <c r="G127" s="38">
        <v>0</v>
      </c>
      <c r="H127" s="64">
        <f t="shared" ref="H127" si="10">(F127+(IF(G127&lt;101,G127,IF(G127&lt;201,G127/2,IF(G127&lt;=301,G127/3,G127/4)))))*(($H$111)+1)</f>
        <v>1490.2327439999999</v>
      </c>
      <c r="I127" s="32"/>
      <c r="L127" s="92"/>
      <c r="M127" s="92"/>
      <c r="N127" s="32"/>
      <c r="T127" s="17"/>
    </row>
    <row r="128" spans="1:20" s="33" customFormat="1" ht="15.6" customHeight="1" x14ac:dyDescent="0.3">
      <c r="A128" s="76" t="s">
        <v>219</v>
      </c>
      <c r="B128" s="77"/>
      <c r="C128" s="77"/>
      <c r="D128" s="77"/>
      <c r="E128" s="77"/>
      <c r="F128" s="77"/>
      <c r="G128" s="77"/>
      <c r="H128" s="78"/>
      <c r="I128" s="33">
        <v>1</v>
      </c>
      <c r="J128" s="32"/>
      <c r="T128" s="31"/>
    </row>
    <row r="129" spans="1:20" s="33" customFormat="1" ht="15.75" customHeight="1" x14ac:dyDescent="0.3">
      <c r="A129" s="172">
        <v>1</v>
      </c>
      <c r="B129" s="173"/>
      <c r="C129" s="64" t="s">
        <v>237</v>
      </c>
      <c r="D129" s="64">
        <f>(28.66)*10.764</f>
        <v>308.49624</v>
      </c>
      <c r="E129" s="64">
        <f>D129/2</f>
        <v>154.24812</v>
      </c>
      <c r="F129" s="64">
        <f>D129+(IF(E129&lt;201,E129,IF(E129&lt;301,E129/2,E129/3)))</f>
        <v>462.74436000000003</v>
      </c>
      <c r="G129" s="64">
        <v>0</v>
      </c>
      <c r="H129" s="64">
        <f>(F129+(IF(G129&lt;101,G129,IF(G129&lt;201,G129/2,IF(G129&lt;=301,G129/3,G129/4)))))*(($H$111)+1)</f>
        <v>717.25375800000006</v>
      </c>
      <c r="I129" s="32"/>
      <c r="L129" s="92"/>
      <c r="M129" s="92"/>
      <c r="N129" s="32"/>
      <c r="T129" s="31"/>
    </row>
    <row r="130" spans="1:20" s="33" customFormat="1" ht="15.75" customHeight="1" x14ac:dyDescent="0.3">
      <c r="A130" s="172">
        <f>A129+1</f>
        <v>2</v>
      </c>
      <c r="B130" s="173"/>
      <c r="C130" s="64" t="s">
        <v>237</v>
      </c>
      <c r="D130" s="64">
        <f>(18.62)*10.764</f>
        <v>200.42568</v>
      </c>
      <c r="E130" s="64">
        <f t="shared" ref="E130:E137" si="11">D130/2</f>
        <v>100.21284</v>
      </c>
      <c r="F130" s="64">
        <f>D130+(IF(E130&lt;201,E130,IF(E130&lt;301,E130/2,E130/3)))</f>
        <v>300.63851999999997</v>
      </c>
      <c r="G130" s="64">
        <v>0</v>
      </c>
      <c r="H130" s="64">
        <f>(F130+(IF(G130&lt;101,G130,IF(G130&lt;201,G130/2,IF(G130&lt;=301,G130/3,G130/4)))))*(($H$111)+1)</f>
        <v>465.98970599999996</v>
      </c>
      <c r="I130" s="32"/>
      <c r="L130" s="92"/>
      <c r="M130" s="92"/>
      <c r="N130" s="32"/>
      <c r="T130" s="30"/>
    </row>
    <row r="131" spans="1:20" s="33" customFormat="1" ht="15.75" customHeight="1" x14ac:dyDescent="0.3">
      <c r="A131" s="74">
        <f>A130+1</f>
        <v>3</v>
      </c>
      <c r="B131" s="75"/>
      <c r="C131" s="64" t="s">
        <v>237</v>
      </c>
      <c r="D131" s="38">
        <f>(18.62)*10.764</f>
        <v>200.42568</v>
      </c>
      <c r="E131" s="64">
        <f t="shared" si="11"/>
        <v>100.21284</v>
      </c>
      <c r="F131" s="38">
        <f>D131+(IF(E131&lt;201,E131,IF(E131&lt;301,E131/2,E131/3)))</f>
        <v>300.63851999999997</v>
      </c>
      <c r="G131" s="38">
        <v>0</v>
      </c>
      <c r="H131" s="64">
        <f>(F131+(IF(G131&lt;101,G131,IF(G131&lt;201,G131/2,IF(G131&lt;=301,G131/3,G131/4)))))*(($H$111)+1)</f>
        <v>465.98970599999996</v>
      </c>
      <c r="I131" s="32"/>
      <c r="L131" s="92"/>
      <c r="M131" s="92"/>
      <c r="N131" s="32"/>
      <c r="T131" s="17"/>
    </row>
    <row r="132" spans="1:20" s="33" customFormat="1" ht="15.75" customHeight="1" x14ac:dyDescent="0.3">
      <c r="A132" s="74">
        <f>A131+1</f>
        <v>4</v>
      </c>
      <c r="B132" s="75"/>
      <c r="C132" s="64" t="s">
        <v>237</v>
      </c>
      <c r="D132" s="38">
        <f>(54.32)*10.764</f>
        <v>584.70047999999997</v>
      </c>
      <c r="E132" s="64">
        <f t="shared" si="11"/>
        <v>292.35023999999999</v>
      </c>
      <c r="F132" s="38">
        <f>D132+(IF(E132&lt;201,E132,IF(E132&lt;301,E132/2,E132/3)))</f>
        <v>730.87559999999996</v>
      </c>
      <c r="G132" s="38">
        <v>0</v>
      </c>
      <c r="H132" s="64">
        <f>(F132+(IF(G132&lt;101,G132,IF(G132&lt;201,G132/2,IF(G132&lt;=301,G132/3,G132/4)))))*(($H$111)+1)</f>
        <v>1132.85718</v>
      </c>
      <c r="I132" s="32"/>
      <c r="L132" s="92"/>
      <c r="M132" s="92"/>
      <c r="N132" s="32"/>
      <c r="T132" s="17"/>
    </row>
    <row r="133" spans="1:20" s="33" customFormat="1" ht="15.75" customHeight="1" x14ac:dyDescent="0.3">
      <c r="A133" s="74">
        <f t="shared" ref="A133:A137" si="12">A132+1</f>
        <v>5</v>
      </c>
      <c r="B133" s="75"/>
      <c r="C133" s="64" t="s">
        <v>237</v>
      </c>
      <c r="D133" s="38">
        <f>(26.33)*10.764</f>
        <v>283.41611999999998</v>
      </c>
      <c r="E133" s="64">
        <f t="shared" si="11"/>
        <v>141.70805999999999</v>
      </c>
      <c r="F133" s="38">
        <f t="shared" ref="F133:F137" si="13">D133+(IF(E133&lt;201,E133,IF(E133&lt;301,E133/2,E133/3)))</f>
        <v>425.12417999999997</v>
      </c>
      <c r="G133" s="38">
        <v>0</v>
      </c>
      <c r="H133" s="64">
        <f t="shared" ref="H133:H137" si="14">(F133+(IF(G133&lt;101,G133,IF(G133&lt;201,G133/2,IF(G133&lt;=301,G133/3,G133/4)))))*(($H$111)+1)</f>
        <v>658.94247899999993</v>
      </c>
      <c r="I133" s="32"/>
      <c r="L133" s="92"/>
      <c r="M133" s="92"/>
      <c r="N133" s="32"/>
      <c r="T133" s="17"/>
    </row>
    <row r="134" spans="1:20" s="33" customFormat="1" ht="15.75" customHeight="1" x14ac:dyDescent="0.3">
      <c r="A134" s="74">
        <f t="shared" si="12"/>
        <v>6</v>
      </c>
      <c r="B134" s="75"/>
      <c r="C134" s="64" t="s">
        <v>237</v>
      </c>
      <c r="D134" s="38">
        <f>(10.06*8.36+1.35*3.81+1.65*1.55+1.2*1.8+1.5*3.7)*10.764</f>
        <v>1071.1536263999999</v>
      </c>
      <c r="E134" s="64">
        <f t="shared" si="11"/>
        <v>535.57681319999995</v>
      </c>
      <c r="F134" s="38">
        <f t="shared" si="13"/>
        <v>1249.6792307999999</v>
      </c>
      <c r="G134" s="38">
        <v>0</v>
      </c>
      <c r="H134" s="64">
        <f t="shared" si="14"/>
        <v>1937.00280774</v>
      </c>
      <c r="I134" s="32"/>
      <c r="L134" s="92"/>
      <c r="M134" s="92"/>
      <c r="N134" s="32"/>
      <c r="T134" s="17"/>
    </row>
    <row r="135" spans="1:20" s="33" customFormat="1" ht="15.75" customHeight="1" x14ac:dyDescent="0.3">
      <c r="A135" s="74">
        <f t="shared" si="12"/>
        <v>7</v>
      </c>
      <c r="B135" s="75"/>
      <c r="C135" s="64" t="s">
        <v>237</v>
      </c>
      <c r="D135" s="38">
        <f>(92.3)*10.764</f>
        <v>993.51719999999989</v>
      </c>
      <c r="E135" s="64">
        <f t="shared" si="11"/>
        <v>496.75859999999994</v>
      </c>
      <c r="F135" s="38">
        <f t="shared" si="13"/>
        <v>1159.1034</v>
      </c>
      <c r="G135" s="38">
        <v>0</v>
      </c>
      <c r="H135" s="64">
        <f t="shared" si="14"/>
        <v>1796.6102699999999</v>
      </c>
      <c r="I135" s="32"/>
      <c r="L135" s="92"/>
      <c r="M135" s="92"/>
      <c r="N135" s="32"/>
      <c r="T135" s="17"/>
    </row>
    <row r="136" spans="1:20" s="33" customFormat="1" ht="15.75" customHeight="1" x14ac:dyDescent="0.3">
      <c r="A136" s="74">
        <f t="shared" si="12"/>
        <v>8</v>
      </c>
      <c r="B136" s="75"/>
      <c r="C136" s="64" t="s">
        <v>237</v>
      </c>
      <c r="D136" s="38">
        <f>(91.58)*10.764</f>
        <v>985.76711999999998</v>
      </c>
      <c r="E136" s="64">
        <f t="shared" si="11"/>
        <v>492.88355999999999</v>
      </c>
      <c r="F136" s="38">
        <f t="shared" si="13"/>
        <v>1150.0616399999999</v>
      </c>
      <c r="G136" s="38">
        <v>0</v>
      </c>
      <c r="H136" s="64">
        <f t="shared" si="14"/>
        <v>1782.5955419999998</v>
      </c>
      <c r="I136" s="32"/>
      <c r="L136" s="92"/>
      <c r="M136" s="92"/>
      <c r="N136" s="32"/>
      <c r="T136" s="17"/>
    </row>
    <row r="137" spans="1:20" s="33" customFormat="1" ht="15.75" customHeight="1" x14ac:dyDescent="0.3">
      <c r="A137" s="74">
        <f t="shared" si="12"/>
        <v>9</v>
      </c>
      <c r="B137" s="75"/>
      <c r="C137" s="64" t="s">
        <v>237</v>
      </c>
      <c r="D137" s="38">
        <f>(101.21)*10.764</f>
        <v>1089.4244399999998</v>
      </c>
      <c r="E137" s="64">
        <f t="shared" si="11"/>
        <v>544.71221999999989</v>
      </c>
      <c r="F137" s="38">
        <f t="shared" si="13"/>
        <v>1270.9951799999997</v>
      </c>
      <c r="G137" s="38">
        <v>0</v>
      </c>
      <c r="H137" s="64">
        <f t="shared" si="14"/>
        <v>1970.0425289999996</v>
      </c>
      <c r="I137" s="32"/>
      <c r="L137" s="92"/>
      <c r="M137" s="92"/>
      <c r="N137" s="32"/>
      <c r="T137" s="17"/>
    </row>
    <row r="138" spans="1:20" s="33" customFormat="1" x14ac:dyDescent="0.3">
      <c r="A138" s="74"/>
      <c r="B138" s="175"/>
      <c r="C138" s="175"/>
      <c r="D138" s="175"/>
      <c r="E138" s="175"/>
      <c r="F138" s="175"/>
      <c r="G138" s="175"/>
      <c r="H138" s="75"/>
      <c r="I138" s="32"/>
      <c r="N138" s="32"/>
    </row>
    <row r="139" spans="1:20" ht="32.4" customHeight="1" x14ac:dyDescent="0.3">
      <c r="A139" s="176" t="s">
        <v>218</v>
      </c>
      <c r="B139" s="160" t="s">
        <v>215</v>
      </c>
      <c r="C139" s="160" t="s">
        <v>55</v>
      </c>
      <c r="D139" s="160" t="s">
        <v>216</v>
      </c>
      <c r="E139" s="160" t="s">
        <v>243</v>
      </c>
      <c r="F139" s="160" t="s">
        <v>56</v>
      </c>
      <c r="G139" s="162" t="s">
        <v>57</v>
      </c>
      <c r="H139" s="62" t="s">
        <v>147</v>
      </c>
      <c r="I139" s="32"/>
      <c r="T139" s="33"/>
    </row>
    <row r="140" spans="1:20" s="33" customFormat="1" x14ac:dyDescent="0.3">
      <c r="A140" s="177"/>
      <c r="B140" s="161"/>
      <c r="C140" s="161"/>
      <c r="D140" s="161"/>
      <c r="E140" s="161"/>
      <c r="F140" s="161"/>
      <c r="G140" s="163"/>
      <c r="H140" s="63">
        <v>0.5</v>
      </c>
      <c r="I140" s="32"/>
    </row>
    <row r="141" spans="1:20" s="33" customFormat="1" x14ac:dyDescent="0.3">
      <c r="A141" s="178" t="s">
        <v>171</v>
      </c>
      <c r="B141" s="178"/>
      <c r="C141" s="178"/>
      <c r="D141" s="178"/>
      <c r="E141" s="178"/>
      <c r="F141" s="178"/>
      <c r="G141" s="178"/>
      <c r="H141" s="178"/>
      <c r="J141" s="32"/>
    </row>
    <row r="142" spans="1:20" s="33" customFormat="1" x14ac:dyDescent="0.3">
      <c r="A142" s="178" t="s">
        <v>191</v>
      </c>
      <c r="B142" s="178"/>
      <c r="C142" s="178"/>
      <c r="D142" s="178"/>
      <c r="E142" s="178"/>
      <c r="F142" s="178"/>
      <c r="G142" s="178"/>
      <c r="H142" s="178"/>
      <c r="I142" s="33">
        <v>4</v>
      </c>
      <c r="J142" s="32"/>
    </row>
    <row r="143" spans="1:20" s="33" customFormat="1" ht="15.6" customHeight="1" x14ac:dyDescent="0.3">
      <c r="A143" s="178" t="s">
        <v>220</v>
      </c>
      <c r="B143" s="178"/>
      <c r="C143" s="178"/>
      <c r="D143" s="178"/>
      <c r="E143" s="178"/>
      <c r="F143" s="178"/>
      <c r="G143" s="178"/>
      <c r="H143" s="178"/>
      <c r="I143" s="33">
        <v>5</v>
      </c>
      <c r="J143" s="32"/>
    </row>
    <row r="144" spans="1:20" s="33" customFormat="1" ht="15.75" customHeight="1" x14ac:dyDescent="0.3">
      <c r="A144" s="172">
        <v>1</v>
      </c>
      <c r="B144" s="173"/>
      <c r="C144" s="64" t="s">
        <v>192</v>
      </c>
      <c r="D144" s="64">
        <f>(63.13)*10.764</f>
        <v>679.53131999999994</v>
      </c>
      <c r="E144" s="64">
        <f>(3.05)*10.764</f>
        <v>32.830199999999998</v>
      </c>
      <c r="F144" s="64">
        <f>D144+E144</f>
        <v>712.36151999999993</v>
      </c>
      <c r="G144" s="64">
        <v>0</v>
      </c>
      <c r="H144" s="64">
        <f>F144*(($H$140)+1)+(IF(G144&lt;101,G144,IF(G144&lt;201,G144/2,IF(G144&lt;=301,G144/3,G144/4))))</f>
        <v>1068.5422799999999</v>
      </c>
      <c r="I144" s="32"/>
      <c r="L144" s="92"/>
      <c r="M144" s="92"/>
      <c r="N144" s="32"/>
    </row>
    <row r="145" spans="1:20" s="33" customFormat="1" ht="15.75" customHeight="1" x14ac:dyDescent="0.3">
      <c r="A145" s="172">
        <f>A144+1</f>
        <v>2</v>
      </c>
      <c r="B145" s="173"/>
      <c r="C145" s="64" t="s">
        <v>192</v>
      </c>
      <c r="D145" s="64">
        <f t="shared" ref="D145:D149" si="15">(63.13)*10.764</f>
        <v>679.53131999999994</v>
      </c>
      <c r="E145" s="64">
        <f t="shared" ref="E145:E149" si="16">(3.05)*10.764</f>
        <v>32.830199999999998</v>
      </c>
      <c r="F145" s="64">
        <f>D145+E145</f>
        <v>712.36151999999993</v>
      </c>
      <c r="G145" s="64">
        <v>0</v>
      </c>
      <c r="H145" s="64">
        <f t="shared" ref="H145:H147" si="17">F145*(($H$140)+1)+(IF(G145&lt;101,G145,IF(G145&lt;201,G145/2,IF(G145&lt;=301,G145/3,G145/4))))</f>
        <v>1068.5422799999999</v>
      </c>
      <c r="I145" s="32"/>
      <c r="L145" s="92">
        <f>9500</f>
        <v>9500</v>
      </c>
      <c r="M145" s="92"/>
      <c r="N145" s="32">
        <f>L145*H145</f>
        <v>10151151.659999998</v>
      </c>
    </row>
    <row r="146" spans="1:20" s="33" customFormat="1" ht="15.75" customHeight="1" x14ac:dyDescent="0.3">
      <c r="A146" s="172">
        <f>A145+1</f>
        <v>3</v>
      </c>
      <c r="B146" s="173"/>
      <c r="C146" s="64" t="s">
        <v>192</v>
      </c>
      <c r="D146" s="64">
        <f t="shared" si="15"/>
        <v>679.53131999999994</v>
      </c>
      <c r="E146" s="64">
        <f t="shared" si="16"/>
        <v>32.830199999999998</v>
      </c>
      <c r="F146" s="64">
        <f>D146+E146</f>
        <v>712.36151999999993</v>
      </c>
      <c r="G146" s="64">
        <v>0</v>
      </c>
      <c r="H146" s="64">
        <f t="shared" si="17"/>
        <v>1068.5422799999999</v>
      </c>
      <c r="I146" s="32"/>
      <c r="L146" s="92"/>
      <c r="M146" s="92"/>
      <c r="N146" s="32">
        <f>N145+500000</f>
        <v>10651151.659999998</v>
      </c>
    </row>
    <row r="147" spans="1:20" s="33" customFormat="1" ht="15.75" customHeight="1" x14ac:dyDescent="0.3">
      <c r="A147" s="172">
        <f>A146+1</f>
        <v>4</v>
      </c>
      <c r="B147" s="173"/>
      <c r="C147" s="64" t="s">
        <v>192</v>
      </c>
      <c r="D147" s="64">
        <f t="shared" si="15"/>
        <v>679.53131999999994</v>
      </c>
      <c r="E147" s="64">
        <f t="shared" si="16"/>
        <v>32.830199999999998</v>
      </c>
      <c r="F147" s="64">
        <f>D147+E147</f>
        <v>712.36151999999993</v>
      </c>
      <c r="G147" s="64">
        <v>0</v>
      </c>
      <c r="H147" s="64">
        <f t="shared" si="17"/>
        <v>1068.5422799999999</v>
      </c>
      <c r="I147" s="32"/>
      <c r="L147" s="92"/>
      <c r="M147" s="92"/>
      <c r="N147" s="32"/>
      <c r="T147" s="17"/>
    </row>
    <row r="148" spans="1:20" s="33" customFormat="1" ht="15.75" customHeight="1" x14ac:dyDescent="0.3">
      <c r="A148" s="172">
        <f t="shared" ref="A148:A151" si="18">A147+1</f>
        <v>5</v>
      </c>
      <c r="B148" s="173"/>
      <c r="C148" s="64" t="s">
        <v>192</v>
      </c>
      <c r="D148" s="64">
        <f t="shared" si="15"/>
        <v>679.53131999999994</v>
      </c>
      <c r="E148" s="64">
        <f t="shared" si="16"/>
        <v>32.830199999999998</v>
      </c>
      <c r="F148" s="64">
        <f t="shared" ref="F148:F150" si="19">D148+E148</f>
        <v>712.36151999999993</v>
      </c>
      <c r="G148" s="64">
        <v>0</v>
      </c>
      <c r="H148" s="64">
        <f t="shared" ref="H148:H150" si="20">F148*(($H$140)+1)+(IF(G148&lt;101,G148,IF(G148&lt;201,G148/2,IF(G148&lt;=301,G148/3,G148/4))))</f>
        <v>1068.5422799999999</v>
      </c>
      <c r="I148" s="32"/>
      <c r="L148" s="92"/>
      <c r="M148" s="92"/>
      <c r="N148" s="32"/>
      <c r="T148" s="17"/>
    </row>
    <row r="149" spans="1:20" s="33" customFormat="1" ht="15.75" customHeight="1" x14ac:dyDescent="0.3">
      <c r="A149" s="172">
        <f t="shared" si="18"/>
        <v>6</v>
      </c>
      <c r="B149" s="173"/>
      <c r="C149" s="64" t="s">
        <v>192</v>
      </c>
      <c r="D149" s="64">
        <f t="shared" si="15"/>
        <v>679.53131999999994</v>
      </c>
      <c r="E149" s="64">
        <f t="shared" si="16"/>
        <v>32.830199999999998</v>
      </c>
      <c r="F149" s="64">
        <f t="shared" si="19"/>
        <v>712.36151999999993</v>
      </c>
      <c r="G149" s="64">
        <v>0</v>
      </c>
      <c r="H149" s="64">
        <f t="shared" si="20"/>
        <v>1068.5422799999999</v>
      </c>
      <c r="I149" s="32"/>
      <c r="L149" s="92"/>
      <c r="M149" s="92"/>
      <c r="N149" s="32"/>
      <c r="T149" s="17"/>
    </row>
    <row r="150" spans="1:20" s="33" customFormat="1" ht="15.75" customHeight="1" x14ac:dyDescent="0.3">
      <c r="A150" s="172">
        <f t="shared" si="18"/>
        <v>7</v>
      </c>
      <c r="B150" s="173"/>
      <c r="C150" s="64" t="s">
        <v>196</v>
      </c>
      <c r="D150" s="64">
        <f>(80.57)*10.764</f>
        <v>867.25547999999992</v>
      </c>
      <c r="E150" s="64">
        <f>(6.1)*10.764</f>
        <v>65.660399999999996</v>
      </c>
      <c r="F150" s="64">
        <f t="shared" si="19"/>
        <v>932.9158799999999</v>
      </c>
      <c r="G150" s="64">
        <v>0</v>
      </c>
      <c r="H150" s="64">
        <f t="shared" si="20"/>
        <v>1399.3738199999998</v>
      </c>
      <c r="I150" s="32"/>
      <c r="L150" s="92"/>
      <c r="M150" s="92"/>
      <c r="N150" s="32"/>
      <c r="T150" s="17"/>
    </row>
    <row r="151" spans="1:20" s="33" customFormat="1" ht="15.75" customHeight="1" x14ac:dyDescent="0.3">
      <c r="A151" s="172">
        <f t="shared" si="18"/>
        <v>8</v>
      </c>
      <c r="B151" s="173"/>
      <c r="C151" s="172" t="s">
        <v>193</v>
      </c>
      <c r="D151" s="174"/>
      <c r="E151" s="174"/>
      <c r="F151" s="174"/>
      <c r="G151" s="174"/>
      <c r="H151" s="173"/>
      <c r="I151" s="32"/>
      <c r="L151" s="92"/>
      <c r="M151" s="92"/>
      <c r="N151" s="32"/>
      <c r="T151" s="17"/>
    </row>
    <row r="152" spans="1:20" s="33" customFormat="1" x14ac:dyDescent="0.3">
      <c r="A152" s="179" t="s">
        <v>194</v>
      </c>
      <c r="B152" s="179"/>
      <c r="C152" s="179"/>
      <c r="D152" s="179"/>
      <c r="E152" s="179"/>
      <c r="F152" s="179"/>
      <c r="G152" s="179"/>
      <c r="H152" s="179"/>
      <c r="I152" s="32">
        <f>1+3+4+4+4+3</f>
        <v>19</v>
      </c>
      <c r="L152" s="92"/>
      <c r="M152" s="92"/>
    </row>
    <row r="153" spans="1:20" s="33" customFormat="1" x14ac:dyDescent="0.3">
      <c r="A153" s="133">
        <v>1</v>
      </c>
      <c r="B153" s="133"/>
      <c r="C153" s="64" t="s">
        <v>192</v>
      </c>
      <c r="D153" s="64">
        <f t="shared" ref="D153:D158" si="21">(63.13)*10.764</f>
        <v>679.53131999999994</v>
      </c>
      <c r="E153" s="64">
        <f t="shared" ref="E153:E158" si="22">(3.05)*10.764</f>
        <v>32.830199999999998</v>
      </c>
      <c r="F153" s="64">
        <f>D153+E153</f>
        <v>712.36151999999993</v>
      </c>
      <c r="G153" s="64">
        <v>0</v>
      </c>
      <c r="H153" s="64">
        <f t="shared" ref="H153:H157" si="23">F153*(($H$140)+1)+(IF(G153&lt;101,G153,IF(G153&lt;201,G153/2,IF(G153&lt;=301,G153/3,G153/4))))</f>
        <v>1068.5422799999999</v>
      </c>
      <c r="I153" s="32"/>
      <c r="N153" s="32"/>
    </row>
    <row r="154" spans="1:20" s="33" customFormat="1" x14ac:dyDescent="0.3">
      <c r="A154" s="133">
        <f>A153+1</f>
        <v>2</v>
      </c>
      <c r="B154" s="133"/>
      <c r="C154" s="64" t="s">
        <v>192</v>
      </c>
      <c r="D154" s="64">
        <f t="shared" si="21"/>
        <v>679.53131999999994</v>
      </c>
      <c r="E154" s="64">
        <f t="shared" si="22"/>
        <v>32.830199999999998</v>
      </c>
      <c r="F154" s="64">
        <f>D154+E154</f>
        <v>712.36151999999993</v>
      </c>
      <c r="G154" s="64">
        <v>0</v>
      </c>
      <c r="H154" s="64">
        <f t="shared" si="23"/>
        <v>1068.5422799999999</v>
      </c>
      <c r="I154" s="32"/>
      <c r="N154" s="32"/>
    </row>
    <row r="155" spans="1:20" s="33" customFormat="1" x14ac:dyDescent="0.3">
      <c r="A155" s="133">
        <f>A154+1</f>
        <v>3</v>
      </c>
      <c r="B155" s="133"/>
      <c r="C155" s="64" t="s">
        <v>192</v>
      </c>
      <c r="D155" s="64">
        <f t="shared" si="21"/>
        <v>679.53131999999994</v>
      </c>
      <c r="E155" s="64">
        <f t="shared" si="22"/>
        <v>32.830199999999998</v>
      </c>
      <c r="F155" s="64">
        <f>D155+E155</f>
        <v>712.36151999999993</v>
      </c>
      <c r="G155" s="64">
        <v>0</v>
      </c>
      <c r="H155" s="64">
        <f t="shared" si="23"/>
        <v>1068.5422799999999</v>
      </c>
      <c r="I155" s="32"/>
      <c r="N155" s="32"/>
    </row>
    <row r="156" spans="1:20" s="33" customFormat="1" x14ac:dyDescent="0.3">
      <c r="A156" s="133">
        <f>A155+1</f>
        <v>4</v>
      </c>
      <c r="B156" s="133"/>
      <c r="C156" s="64" t="s">
        <v>192</v>
      </c>
      <c r="D156" s="64">
        <f t="shared" si="21"/>
        <v>679.53131999999994</v>
      </c>
      <c r="E156" s="64">
        <f t="shared" si="22"/>
        <v>32.830199999999998</v>
      </c>
      <c r="F156" s="64">
        <f>D156+E156</f>
        <v>712.36151999999993</v>
      </c>
      <c r="G156" s="64">
        <v>0</v>
      </c>
      <c r="H156" s="64">
        <f t="shared" si="23"/>
        <v>1068.5422799999999</v>
      </c>
      <c r="I156" s="32"/>
      <c r="N156" s="32"/>
    </row>
    <row r="157" spans="1:20" s="33" customFormat="1" x14ac:dyDescent="0.3">
      <c r="A157" s="133">
        <f>A156+1</f>
        <v>5</v>
      </c>
      <c r="B157" s="133"/>
      <c r="C157" s="64" t="s">
        <v>192</v>
      </c>
      <c r="D157" s="64">
        <f t="shared" si="21"/>
        <v>679.53131999999994</v>
      </c>
      <c r="E157" s="64">
        <f t="shared" si="22"/>
        <v>32.830199999999998</v>
      </c>
      <c r="F157" s="64">
        <f>D157+E157</f>
        <v>712.36151999999993</v>
      </c>
      <c r="G157" s="64">
        <v>0</v>
      </c>
      <c r="H157" s="64">
        <f t="shared" si="23"/>
        <v>1068.5422799999999</v>
      </c>
      <c r="I157" s="32"/>
      <c r="N157" s="32"/>
    </row>
    <row r="158" spans="1:20" s="33" customFormat="1" x14ac:dyDescent="0.3">
      <c r="A158" s="133">
        <f t="shared" ref="A158:A160" si="24">A157+1</f>
        <v>6</v>
      </c>
      <c r="B158" s="133"/>
      <c r="C158" s="64" t="s">
        <v>192</v>
      </c>
      <c r="D158" s="64">
        <f t="shared" si="21"/>
        <v>679.53131999999994</v>
      </c>
      <c r="E158" s="64">
        <f t="shared" si="22"/>
        <v>32.830199999999998</v>
      </c>
      <c r="F158" s="64">
        <f t="shared" ref="F158:F160" si="25">D158+E158</f>
        <v>712.36151999999993</v>
      </c>
      <c r="G158" s="64">
        <v>0</v>
      </c>
      <c r="H158" s="64">
        <f t="shared" ref="H158:H160" si="26">F158*(($H$140)+1)+(IF(G158&lt;101,G158,IF(G158&lt;201,G158/2,IF(G158&lt;=301,G158/3,G158/4))))</f>
        <v>1068.5422799999999</v>
      </c>
      <c r="I158" s="32"/>
      <c r="N158" s="32"/>
    </row>
    <row r="159" spans="1:20" s="33" customFormat="1" x14ac:dyDescent="0.3">
      <c r="A159" s="133">
        <f t="shared" si="24"/>
        <v>7</v>
      </c>
      <c r="B159" s="133"/>
      <c r="C159" s="64" t="s">
        <v>192</v>
      </c>
      <c r="D159" s="64">
        <f t="shared" ref="D159:D160" si="27">(63.13)*10.764</f>
        <v>679.53131999999994</v>
      </c>
      <c r="E159" s="64">
        <f>(3.05)*10.764</f>
        <v>32.830199999999998</v>
      </c>
      <c r="F159" s="64">
        <f t="shared" si="25"/>
        <v>712.36151999999993</v>
      </c>
      <c r="G159" s="64">
        <v>0</v>
      </c>
      <c r="H159" s="64">
        <f t="shared" si="26"/>
        <v>1068.5422799999999</v>
      </c>
      <c r="I159" s="32"/>
      <c r="N159" s="32"/>
    </row>
    <row r="160" spans="1:20" s="33" customFormat="1" x14ac:dyDescent="0.3">
      <c r="A160" s="133">
        <f t="shared" si="24"/>
        <v>8</v>
      </c>
      <c r="B160" s="133"/>
      <c r="C160" s="64" t="s">
        <v>192</v>
      </c>
      <c r="D160" s="64">
        <f t="shared" si="27"/>
        <v>679.53131999999994</v>
      </c>
      <c r="E160" s="64">
        <f>(3.05)*10.764</f>
        <v>32.830199999999998</v>
      </c>
      <c r="F160" s="64">
        <f t="shared" si="25"/>
        <v>712.36151999999993</v>
      </c>
      <c r="G160" s="64">
        <v>0</v>
      </c>
      <c r="H160" s="64">
        <f t="shared" si="26"/>
        <v>1068.5422799999999</v>
      </c>
      <c r="I160" s="32"/>
      <c r="N160" s="32"/>
    </row>
    <row r="161" spans="1:9" s="33" customFormat="1" ht="15.75" hidden="1" customHeight="1" x14ac:dyDescent="0.3">
      <c r="A161" s="76" t="s">
        <v>148</v>
      </c>
      <c r="B161" s="77"/>
      <c r="C161" s="77"/>
      <c r="D161" s="77"/>
      <c r="E161" s="77"/>
      <c r="F161" s="77"/>
      <c r="G161" s="77"/>
      <c r="H161" s="78"/>
      <c r="I161" s="32"/>
    </row>
    <row r="162" spans="1:9" s="33" customFormat="1" hidden="1" x14ac:dyDescent="0.3">
      <c r="A162" s="74" t="str">
        <f ca="1">(SUMPRODUCT(MID(0&amp;(LEFT(A161,SUM(LEN(A161)-LEN(SUBSTITUTE(A161,{"0","1","2"},""))))), LARGE(INDEX(ISNUMBER(--MID((LEFT(A161,SUM(LEN(A161)-LEN(SUBSTITUTE(A161,{"0","1","2"},""))))), ROW(INDIRECT("1:"&amp;LEN((LEFT(A161,SUM(LEN(A161)-LEN(SUBSTITUTE(A161,{"0","1","2"},"")))))))), 1)) * ROW(INDIRECT("1:"&amp;LEN((LEFT(A161,SUM(LEN(A161)-LEN(SUBSTITUTE(A161,{"0","1","2"},"")))))))), 0), ROW(INDIRECT("1:"&amp;LEN((LEFT(A161,SUM(LEN(A161)-LEN(SUBSTITUTE(A161,{"0","1","2"},"")))))))))+1, 1) * 10^ROW(INDIRECT("1:"&amp;LEN((LEFT(A161,SUM(LEN(A161)-LEN(SUBSTITUTE(A161,{"0","1","2"},""))))))))/10))*100+1&amp;""&amp;" ,.., "&amp;""&amp;(SUMPRODUCT(MID(0&amp;(--TRIM(RIGHT(SUBSTITUTE(LEFT(A161,_xlfn.AGGREGATE(16,6,FIND({0,1,2,3,4,5,6,7,8,9},A161,ROW(INDIRECT("1:"&amp;LEN(A161)))),1))," ",REPT(" ",LEN(A161))),LEN(A161)))), LARGE(INDEX(ISNUMBER(--MID((--TRIM(RIGHT(SUBSTITUTE(LEFT(A161,_xlfn.AGGREGATE(16,6,FIND({0,1,2,3,4,5,6,7,8,9},A161,ROW(INDIRECT("1:"&amp;LEN(A161)))),1))," ",REPT(" ",LEN(A161))),LEN(A161)))), ROW(INDIRECT("1:"&amp;LEN((--TRIM(RIGHT(SUBSTITUTE(LEFT(A161,_xlfn.AGGREGATE(16,6,FIND({0,1,2,3,4,5,6,7,8,9},A161,ROW(INDIRECT("1:"&amp;LEN(A161)))),1))," ",REPT(" ",LEN(A161))),LEN(A161))))))), 1)) * ROW(INDIRECT("1:"&amp;LEN((--TRIM(RIGHT(SUBSTITUTE(LEFT(A161,_xlfn.AGGREGATE(16,6,FIND({0,1,2,3,4,5,6,7,8,9},A161,ROW(INDIRECT("1:"&amp;LEN(A161)))),1))," ",REPT(" ",LEN(A161))),LEN(A161))))))), 0), ROW(INDIRECT("1:"&amp;LEN((--TRIM(RIGHT(SUBSTITUTE(LEFT(A161,_xlfn.AGGREGATE(16,6,FIND({0,1,2,3,4,5,6,7,8,9},A161,ROW(INDIRECT("1:"&amp;LEN(A161)))),1))," ",REPT(" ",LEN(A161))),LEN(A161))))))))+1, 1) * 10^ROW(INDIRECT("1:"&amp;LEN((--TRIM(RIGHT(SUBSTITUTE(LEFT(A161,_xlfn.AGGREGATE(16,6,FIND({0,1,2,3,4,5,6,7,8,9},A161,ROW(INDIRECT("1:"&amp;LEN(A161)))),1))," ",REPT(" ",LEN(A161))),LEN(A161)))))))/10))*100+1</f>
        <v>301 ,.., 1501</v>
      </c>
      <c r="B162" s="75"/>
      <c r="C162" s="38"/>
      <c r="D162" s="38"/>
      <c r="E162" s="38">
        <v>0</v>
      </c>
      <c r="F162" s="38" t="e">
        <f>D162*((#REF!)+1)+(IF(E162&lt;101,E162,IF(E162&lt;201,E162/2,IF(E162&lt;=301,E162/3,E162/4))))</f>
        <v>#REF!</v>
      </c>
      <c r="G162" s="74" t="str">
        <f>A161</f>
        <v>3rd, 5th, 7th, 9th, 11th, 13th, 15th Floor</v>
      </c>
      <c r="H162" s="75"/>
      <c r="I162" s="32"/>
    </row>
    <row r="163" spans="1:9" s="33" customFormat="1" hidden="1" x14ac:dyDescent="0.3">
      <c r="A163" s="74" t="str">
        <f ca="1">(SUMPRODUCT(MID(0&amp;(LEFT(A162,SUM(LEN(A162)-LEN(SUBSTITUTE(A162,{"0","1","2"},""))))), LARGE(INDEX(ISNUMBER(--MID((LEFT(A162,SUM(LEN(A162)-LEN(SUBSTITUTE(A162,{"0","1","2"},""))))), ROW(INDIRECT("1:"&amp;LEN((LEFT(A162,SUM(LEN(A162)-LEN(SUBSTITUTE(A162,{"0","1","2"},"")))))))), 1)) * ROW(INDIRECT("1:"&amp;LEN((LEFT(A162,SUM(LEN(A162)-LEN(SUBSTITUTE(A162,{"0","1","2"},"")))))))), 0), ROW(INDIRECT("1:"&amp;LEN((LEFT(A162,SUM(LEN(A162)-LEN(SUBSTITUTE(A162,{"0","1","2"},"")))))))))+1, 1) * 10^ROW(INDIRECT("1:"&amp;LEN((LEFT(A162,SUM(LEN(A162)-LEN(SUBSTITUTE(A162,{"0","1","2"},""))))))))/10))*1+1&amp;""&amp;" ,.., "&amp;""&amp;(SUMPRODUCT(MID(0&amp;(--TRIM(RIGHT(SUBSTITUTE(LEFT(A162,_xlfn.AGGREGATE(16,6,FIND({0,1,2,3,4,5,6,7,8,9},A162,ROW(INDIRECT("1:"&amp;LEN(A162)))),1))," ",REPT(" ",LEN(A162))),LEN(A162)))), LARGE(INDEX(ISNUMBER(--MID((--TRIM(RIGHT(SUBSTITUTE(LEFT(A162,_xlfn.AGGREGATE(16,6,FIND({0,1,2,3,4,5,6,7,8,9},A162,ROW(INDIRECT("1:"&amp;LEN(A162)))),1))," ",REPT(" ",LEN(A162))),LEN(A162)))), ROW(INDIRECT("1:"&amp;LEN((--TRIM(RIGHT(SUBSTITUTE(LEFT(A162,_xlfn.AGGREGATE(16,6,FIND({0,1,2,3,4,5,6,7,8,9},A162,ROW(INDIRECT("1:"&amp;LEN(A162)))),1))," ",REPT(" ",LEN(A162))),LEN(A162))))))), 1)) * ROW(INDIRECT("1:"&amp;LEN((--TRIM(RIGHT(SUBSTITUTE(LEFT(A162,_xlfn.AGGREGATE(16,6,FIND({0,1,2,3,4,5,6,7,8,9},A162,ROW(INDIRECT("1:"&amp;LEN(A162)))),1))," ",REPT(" ",LEN(A162))),LEN(A162))))))), 0), ROW(INDIRECT("1:"&amp;LEN((--TRIM(RIGHT(SUBSTITUTE(LEFT(A162,_xlfn.AGGREGATE(16,6,FIND({0,1,2,3,4,5,6,7,8,9},A162,ROW(INDIRECT("1:"&amp;LEN(A162)))),1))," ",REPT(" ",LEN(A162))),LEN(A162))))))))+1, 1) * 10^ROW(INDIRECT("1:"&amp;LEN((--TRIM(RIGHT(SUBSTITUTE(LEFT(A162,_xlfn.AGGREGATE(16,6,FIND({0,1,2,3,4,5,6,7,8,9},A162,ROW(INDIRECT("1:"&amp;LEN(A162)))),1))," ",REPT(" ",LEN(A162))),LEN(A162)))))))/10))*1+1</f>
        <v>302 ,.., 1502</v>
      </c>
      <c r="B163" s="75"/>
      <c r="C163" s="38"/>
      <c r="D163" s="38"/>
      <c r="E163" s="38">
        <v>0</v>
      </c>
      <c r="F163" s="38" t="e">
        <f>D163*((#REF!)+1)+(IF(E163&lt;101,E163,IF(E163&lt;201,E163/2,IF(E163&lt;=301,E163/3,E163/4))))</f>
        <v>#REF!</v>
      </c>
      <c r="G163" s="74" t="str">
        <f>G162</f>
        <v>3rd, 5th, 7th, 9th, 11th, 13th, 15th Floor</v>
      </c>
      <c r="H163" s="75"/>
      <c r="I163" s="32"/>
    </row>
    <row r="164" spans="1:9" s="33" customFormat="1" ht="15.75" hidden="1" customHeight="1" x14ac:dyDescent="0.3">
      <c r="A164" s="74" t="str">
        <f ca="1">(SUMPRODUCT(MID(0&amp;(LEFT(A163,SUM(LEN(A163)-LEN(SUBSTITUTE(A163,{"0","1","2"},""))))), LARGE(INDEX(ISNUMBER(--MID((LEFT(A163,SUM(LEN(A163)-LEN(SUBSTITUTE(A163,{"0","1","2"},""))))), ROW(INDIRECT("1:"&amp;LEN((LEFT(A163,SUM(LEN(A163)-LEN(SUBSTITUTE(A163,{"0","1","2"},"")))))))), 1)) * ROW(INDIRECT("1:"&amp;LEN((LEFT(A163,SUM(LEN(A163)-LEN(SUBSTITUTE(A163,{"0","1","2"},"")))))))), 0), ROW(INDIRECT("1:"&amp;LEN((LEFT(A163,SUM(LEN(A163)-LEN(SUBSTITUTE(A163,{"0","1","2"},"")))))))))+1, 1) * 10^ROW(INDIRECT("1:"&amp;LEN((LEFT(A163,SUM(LEN(A163)-LEN(SUBSTITUTE(A163,{"0","1","2"},""))))))))/10))*1+1&amp;""&amp;" ,.., "&amp;""&amp;(SUMPRODUCT(MID(0&amp;(--TRIM(RIGHT(SUBSTITUTE(LEFT(A163,_xlfn.AGGREGATE(16,6,FIND({0,1,2,3,4,5,6,7,8,9},A163,ROW(INDIRECT("1:"&amp;LEN(A163)))),1))," ",REPT(" ",LEN(A163))),LEN(A163)))), LARGE(INDEX(ISNUMBER(--MID((--TRIM(RIGHT(SUBSTITUTE(LEFT(A163,_xlfn.AGGREGATE(16,6,FIND({0,1,2,3,4,5,6,7,8,9},A163,ROW(INDIRECT("1:"&amp;LEN(A163)))),1))," ",REPT(" ",LEN(A163))),LEN(A163)))), ROW(INDIRECT("1:"&amp;LEN((--TRIM(RIGHT(SUBSTITUTE(LEFT(A163,_xlfn.AGGREGATE(16,6,FIND({0,1,2,3,4,5,6,7,8,9},A163,ROW(INDIRECT("1:"&amp;LEN(A163)))),1))," ",REPT(" ",LEN(A163))),LEN(A163))))))), 1)) * ROW(INDIRECT("1:"&amp;LEN((--TRIM(RIGHT(SUBSTITUTE(LEFT(A163,_xlfn.AGGREGATE(16,6,FIND({0,1,2,3,4,5,6,7,8,9},A163,ROW(INDIRECT("1:"&amp;LEN(A163)))),1))," ",REPT(" ",LEN(A163))),LEN(A163))))))), 0), ROW(INDIRECT("1:"&amp;LEN((--TRIM(RIGHT(SUBSTITUTE(LEFT(A163,_xlfn.AGGREGATE(16,6,FIND({0,1,2,3,4,5,6,7,8,9},A163,ROW(INDIRECT("1:"&amp;LEN(A163)))),1))," ",REPT(" ",LEN(A163))),LEN(A163))))))))+1, 1) * 10^ROW(INDIRECT("1:"&amp;LEN((--TRIM(RIGHT(SUBSTITUTE(LEFT(A163,_xlfn.AGGREGATE(16,6,FIND({0,1,2,3,4,5,6,7,8,9},A163,ROW(INDIRECT("1:"&amp;LEN(A163)))),1))," ",REPT(" ",LEN(A163))),LEN(A163)))))))/10))*1+1</f>
        <v>303 ,.., 1503</v>
      </c>
      <c r="B164" s="75"/>
      <c r="C164" s="38"/>
      <c r="D164" s="38"/>
      <c r="E164" s="38">
        <v>0</v>
      </c>
      <c r="F164" s="38" t="e">
        <f>D164*((#REF!)+1)+(IF(E164&lt;101,E164,IF(E164&lt;201,E164/2,IF(E164&lt;=301,E164/3,E164/4))))</f>
        <v>#REF!</v>
      </c>
      <c r="G164" s="74" t="str">
        <f>G163</f>
        <v>3rd, 5th, 7th, 9th, 11th, 13th, 15th Floor</v>
      </c>
      <c r="H164" s="75"/>
      <c r="I164" s="32"/>
    </row>
    <row r="165" spans="1:9" s="33" customFormat="1" ht="15.75" hidden="1" customHeight="1" x14ac:dyDescent="0.3">
      <c r="A165" s="74" t="str">
        <f ca="1">(SUMPRODUCT(MID(0&amp;(LEFT(A164,SUM(LEN(A164)-LEN(SUBSTITUTE(A164,{"0","1","2"},""))))), LARGE(INDEX(ISNUMBER(--MID((LEFT(A164,SUM(LEN(A164)-LEN(SUBSTITUTE(A164,{"0","1","2"},""))))), ROW(INDIRECT("1:"&amp;LEN((LEFT(A164,SUM(LEN(A164)-LEN(SUBSTITUTE(A164,{"0","1","2"},"")))))))), 1)) * ROW(INDIRECT("1:"&amp;LEN((LEFT(A164,SUM(LEN(A164)-LEN(SUBSTITUTE(A164,{"0","1","2"},"")))))))), 0), ROW(INDIRECT("1:"&amp;LEN((LEFT(A164,SUM(LEN(A164)-LEN(SUBSTITUTE(A164,{"0","1","2"},"")))))))))+1, 1) * 10^ROW(INDIRECT("1:"&amp;LEN((LEFT(A164,SUM(LEN(A164)-LEN(SUBSTITUTE(A164,{"0","1","2"},""))))))))/10))*1+1&amp;""&amp;" ,.., "&amp;""&amp;(SUMPRODUCT(MID(0&amp;(--TRIM(RIGHT(SUBSTITUTE(LEFT(A164,_xlfn.AGGREGATE(16,6,FIND({0,1,2,3,4,5,6,7,8,9},A164,ROW(INDIRECT("1:"&amp;LEN(A164)))),1))," ",REPT(" ",LEN(A164))),LEN(A164)))), LARGE(INDEX(ISNUMBER(--MID((--TRIM(RIGHT(SUBSTITUTE(LEFT(A164,_xlfn.AGGREGATE(16,6,FIND({0,1,2,3,4,5,6,7,8,9},A164,ROW(INDIRECT("1:"&amp;LEN(A164)))),1))," ",REPT(" ",LEN(A164))),LEN(A164)))), ROW(INDIRECT("1:"&amp;LEN((--TRIM(RIGHT(SUBSTITUTE(LEFT(A164,_xlfn.AGGREGATE(16,6,FIND({0,1,2,3,4,5,6,7,8,9},A164,ROW(INDIRECT("1:"&amp;LEN(A164)))),1))," ",REPT(" ",LEN(A164))),LEN(A164))))))), 1)) * ROW(INDIRECT("1:"&amp;LEN((--TRIM(RIGHT(SUBSTITUTE(LEFT(A164,_xlfn.AGGREGATE(16,6,FIND({0,1,2,3,4,5,6,7,8,9},A164,ROW(INDIRECT("1:"&amp;LEN(A164)))),1))," ",REPT(" ",LEN(A164))),LEN(A164))))))), 0), ROW(INDIRECT("1:"&amp;LEN((--TRIM(RIGHT(SUBSTITUTE(LEFT(A164,_xlfn.AGGREGATE(16,6,FIND({0,1,2,3,4,5,6,7,8,9},A164,ROW(INDIRECT("1:"&amp;LEN(A164)))),1))," ",REPT(" ",LEN(A164))),LEN(A164))))))))+1, 1) * 10^ROW(INDIRECT("1:"&amp;LEN((--TRIM(RIGHT(SUBSTITUTE(LEFT(A164,_xlfn.AGGREGATE(16,6,FIND({0,1,2,3,4,5,6,7,8,9},A164,ROW(INDIRECT("1:"&amp;LEN(A164)))),1))," ",REPT(" ",LEN(A164))),LEN(A164)))))))/10))*1+1</f>
        <v>304 ,.., 1504</v>
      </c>
      <c r="B165" s="75"/>
      <c r="C165" s="38"/>
      <c r="D165" s="38"/>
      <c r="E165" s="38">
        <v>0</v>
      </c>
      <c r="F165" s="38" t="e">
        <f>D165*((#REF!)+1)+(IF(E165&lt;101,E165,IF(E165&lt;201,E165/2,IF(E165&lt;=301,E165/3,E165/4))))</f>
        <v>#REF!</v>
      </c>
      <c r="G165" s="74" t="str">
        <f>G164</f>
        <v>3rd, 5th, 7th, 9th, 11th, 13th, 15th Floor</v>
      </c>
      <c r="H165" s="75"/>
      <c r="I165" s="32"/>
    </row>
    <row r="166" spans="1:9" s="33" customFormat="1" ht="15.75" hidden="1" customHeight="1" x14ac:dyDescent="0.3">
      <c r="A166" s="74" t="str">
        <f ca="1">(SUMPRODUCT(MID(0&amp;(LEFT(A165,SUM(LEN(A165)-LEN(SUBSTITUTE(A165,{"0","1","2"},""))))), LARGE(INDEX(ISNUMBER(--MID((LEFT(A165,SUM(LEN(A165)-LEN(SUBSTITUTE(A165,{"0","1","2"},""))))), ROW(INDIRECT("1:"&amp;LEN((LEFT(A165,SUM(LEN(A165)-LEN(SUBSTITUTE(A165,{"0","1","2"},"")))))))), 1)) * ROW(INDIRECT("1:"&amp;LEN((LEFT(A165,SUM(LEN(A165)-LEN(SUBSTITUTE(A165,{"0","1","2"},"")))))))), 0), ROW(INDIRECT("1:"&amp;LEN((LEFT(A165,SUM(LEN(A165)-LEN(SUBSTITUTE(A165,{"0","1","2"},"")))))))))+1, 1) * 10^ROW(INDIRECT("1:"&amp;LEN((LEFT(A165,SUM(LEN(A165)-LEN(SUBSTITUTE(A165,{"0","1","2"},""))))))))/10))*1+1&amp;""&amp;" ,.., "&amp;""&amp;(SUMPRODUCT(MID(0&amp;(--TRIM(RIGHT(SUBSTITUTE(LEFT(A165,_xlfn.AGGREGATE(16,6,FIND({0,1,2,3,4,5,6,7,8,9},A165,ROW(INDIRECT("1:"&amp;LEN(A165)))),1))," ",REPT(" ",LEN(A165))),LEN(A165)))), LARGE(INDEX(ISNUMBER(--MID((--TRIM(RIGHT(SUBSTITUTE(LEFT(A165,_xlfn.AGGREGATE(16,6,FIND({0,1,2,3,4,5,6,7,8,9},A165,ROW(INDIRECT("1:"&amp;LEN(A165)))),1))," ",REPT(" ",LEN(A165))),LEN(A165)))), ROW(INDIRECT("1:"&amp;LEN((--TRIM(RIGHT(SUBSTITUTE(LEFT(A165,_xlfn.AGGREGATE(16,6,FIND({0,1,2,3,4,5,6,7,8,9},A165,ROW(INDIRECT("1:"&amp;LEN(A165)))),1))," ",REPT(" ",LEN(A165))),LEN(A165))))))), 1)) * ROW(INDIRECT("1:"&amp;LEN((--TRIM(RIGHT(SUBSTITUTE(LEFT(A165,_xlfn.AGGREGATE(16,6,FIND({0,1,2,3,4,5,6,7,8,9},A165,ROW(INDIRECT("1:"&amp;LEN(A165)))),1))," ",REPT(" ",LEN(A165))),LEN(A165))))))), 0), ROW(INDIRECT("1:"&amp;LEN((--TRIM(RIGHT(SUBSTITUTE(LEFT(A165,_xlfn.AGGREGATE(16,6,FIND({0,1,2,3,4,5,6,7,8,9},A165,ROW(INDIRECT("1:"&amp;LEN(A165)))),1))," ",REPT(" ",LEN(A165))),LEN(A165))))))))+1, 1) * 10^ROW(INDIRECT("1:"&amp;LEN((--TRIM(RIGHT(SUBSTITUTE(LEFT(A165,_xlfn.AGGREGATE(16,6,FIND({0,1,2,3,4,5,6,7,8,9},A165,ROW(INDIRECT("1:"&amp;LEN(A165)))),1))," ",REPT(" ",LEN(A165))),LEN(A165)))))))/10))*1+1</f>
        <v>305 ,.., 1505</v>
      </c>
      <c r="B166" s="75"/>
      <c r="C166" s="38"/>
      <c r="D166" s="38"/>
      <c r="E166" s="38">
        <v>0</v>
      </c>
      <c r="F166" s="38" t="e">
        <f>D166*((#REF!)+1)+(IF(E166&lt;101,E166,IF(E166&lt;201,E166/2,IF(E166&lt;=301,E166/3,E166/4))))</f>
        <v>#REF!</v>
      </c>
      <c r="G166" s="74" t="str">
        <f>G165</f>
        <v>3rd, 5th, 7th, 9th, 11th, 13th, 15th Floor</v>
      </c>
      <c r="H166" s="75"/>
      <c r="I166" s="32"/>
    </row>
    <row r="167" spans="1:9" s="33" customFormat="1" hidden="1" x14ac:dyDescent="0.3">
      <c r="A167" s="76" t="s">
        <v>142</v>
      </c>
      <c r="B167" s="77"/>
      <c r="C167" s="77"/>
      <c r="D167" s="77"/>
      <c r="E167" s="77"/>
      <c r="F167" s="77"/>
      <c r="G167" s="77"/>
      <c r="H167" s="78"/>
      <c r="I167" s="32"/>
    </row>
    <row r="168" spans="1:9" s="33" customFormat="1" hidden="1" x14ac:dyDescent="0.3">
      <c r="A168" s="74" t="str">
        <f ca="1">(SUMPRODUCT(MID(0&amp;(LEFT(A167,SUM(LEN(A167)-LEN(SUBSTITUTE(A167,{"0","1","2"},""))))), LARGE(INDEX(ISNUMBER(--MID((LEFT(A167,SUM(LEN(A167)-LEN(SUBSTITUTE(A167,{"0","1","2"},""))))), ROW(INDIRECT("1:"&amp;LEN((LEFT(A167,SUM(LEN(A167)-LEN(SUBSTITUTE(A167,{"0","1","2"},"")))))))), 1)) * ROW(INDIRECT("1:"&amp;LEN((LEFT(A167,SUM(LEN(A167)-LEN(SUBSTITUTE(A167,{"0","1","2"},"")))))))), 0), ROW(INDIRECT("1:"&amp;LEN((LEFT(A167,SUM(LEN(A167)-LEN(SUBSTITUTE(A167,{"0","1","2"},"")))))))))+1, 1) * 10^ROW(INDIRECT("1:"&amp;LEN((LEFT(A167,SUM(LEN(A167)-LEN(SUBSTITUTE(A167,{"0","1","2"},""))))))))/10))*100+1&amp;""&amp;" to "&amp;""&amp;(SUMPRODUCT(MID(0&amp;(--TRIM(RIGHT(SUBSTITUTE(LEFT(A167,_xlfn.AGGREGATE(16,6,FIND({0,1,2,3,4,5,6,7,8,9},A167,ROW(INDIRECT("1:"&amp;LEN(A167)))),1))," ",REPT(" ",LEN(A167))),LEN(A167)))), LARGE(INDEX(ISNUMBER(--MID((--TRIM(RIGHT(SUBSTITUTE(LEFT(A167,_xlfn.AGGREGATE(16,6,FIND({0,1,2,3,4,5,6,7,8,9},A167,ROW(INDIRECT("1:"&amp;LEN(A167)))),1))," ",REPT(" ",LEN(A167))),LEN(A167)))), ROW(INDIRECT("1:"&amp;LEN((--TRIM(RIGHT(SUBSTITUTE(LEFT(A167,_xlfn.AGGREGATE(16,6,FIND({0,1,2,3,4,5,6,7,8,9},A167,ROW(INDIRECT("1:"&amp;LEN(A167)))),1))," ",REPT(" ",LEN(A167))),LEN(A167))))))), 1)) * ROW(INDIRECT("1:"&amp;LEN((--TRIM(RIGHT(SUBSTITUTE(LEFT(A167,_xlfn.AGGREGATE(16,6,FIND({0,1,2,3,4,5,6,7,8,9},A167,ROW(INDIRECT("1:"&amp;LEN(A167)))),1))," ",REPT(" ",LEN(A167))),LEN(A167))))))), 0), ROW(INDIRECT("1:"&amp;LEN((--TRIM(RIGHT(SUBSTITUTE(LEFT(A167,_xlfn.AGGREGATE(16,6,FIND({0,1,2,3,4,5,6,7,8,9},A167,ROW(INDIRECT("1:"&amp;LEN(A167)))),1))," ",REPT(" ",LEN(A167))),LEN(A167))))))))+1, 1) * 10^ROW(INDIRECT("1:"&amp;LEN((--TRIM(RIGHT(SUBSTITUTE(LEFT(A167,_xlfn.AGGREGATE(16,6,FIND({0,1,2,3,4,5,6,7,8,9},A167,ROW(INDIRECT("1:"&amp;LEN(A167)))),1))," ",REPT(" ",LEN(A167))),LEN(A167)))))))/10))*100+1</f>
        <v>201 to 501</v>
      </c>
      <c r="B168" s="75"/>
      <c r="C168" s="38"/>
      <c r="D168" s="38"/>
      <c r="E168" s="38">
        <v>0</v>
      </c>
      <c r="F168" s="38" t="e">
        <f>D168*((#REF!)+1)+(IF(E168&lt;101,E168,IF(E168&lt;201,E168/2,IF(E168&lt;=301,E168/3,E168/4))))</f>
        <v>#REF!</v>
      </c>
      <c r="G168" s="74" t="str">
        <f>A167</f>
        <v>2nd to 5th Floor</v>
      </c>
      <c r="H168" s="75"/>
      <c r="I168" s="32"/>
    </row>
    <row r="169" spans="1:9" s="33" customFormat="1" hidden="1" x14ac:dyDescent="0.3">
      <c r="A169" s="74" t="str">
        <f ca="1">(SUMPRODUCT(MID(0&amp;(LEFT(A168,SUM(LEN(A168)-LEN(SUBSTITUTE(A168,{"0","1","2"},""))))), LARGE(INDEX(ISNUMBER(--MID((LEFT(A168,SUM(LEN(A168)-LEN(SUBSTITUTE(A168,{"0","1","2"},""))))), ROW(INDIRECT("1:"&amp;LEN((LEFT(A168,SUM(LEN(A168)-LEN(SUBSTITUTE(A168,{"0","1","2"},"")))))))), 1)) * ROW(INDIRECT("1:"&amp;LEN((LEFT(A168,SUM(LEN(A168)-LEN(SUBSTITUTE(A168,{"0","1","2"},"")))))))), 0), ROW(INDIRECT("1:"&amp;LEN((LEFT(A168,SUM(LEN(A168)-LEN(SUBSTITUTE(A168,{"0","1","2"},"")))))))))+1, 1) * 10^ROW(INDIRECT("1:"&amp;LEN((LEFT(A168,SUM(LEN(A168)-LEN(SUBSTITUTE(A168,{"0","1","2"},""))))))))/10))*1+1&amp;""&amp;" to "&amp;""&amp;(SUMPRODUCT(MID(0&amp;(--TRIM(RIGHT(SUBSTITUTE(LEFT(A168,_xlfn.AGGREGATE(16,6,FIND({0,1,2,3,4,5,6,7,8,9},A168,ROW(INDIRECT("1:"&amp;LEN(A168)))),1))," ",REPT(" ",LEN(A168))),LEN(A168)))), LARGE(INDEX(ISNUMBER(--MID((--TRIM(RIGHT(SUBSTITUTE(LEFT(A168,_xlfn.AGGREGATE(16,6,FIND({0,1,2,3,4,5,6,7,8,9},A168,ROW(INDIRECT("1:"&amp;LEN(A168)))),1))," ",REPT(" ",LEN(A168))),LEN(A168)))), ROW(INDIRECT("1:"&amp;LEN((--TRIM(RIGHT(SUBSTITUTE(LEFT(A168,_xlfn.AGGREGATE(16,6,FIND({0,1,2,3,4,5,6,7,8,9},A168,ROW(INDIRECT("1:"&amp;LEN(A168)))),1))," ",REPT(" ",LEN(A168))),LEN(A168))))))), 1)) * ROW(INDIRECT("1:"&amp;LEN((--TRIM(RIGHT(SUBSTITUTE(LEFT(A168,_xlfn.AGGREGATE(16,6,FIND({0,1,2,3,4,5,6,7,8,9},A168,ROW(INDIRECT("1:"&amp;LEN(A168)))),1))," ",REPT(" ",LEN(A168))),LEN(A168))))))), 0), ROW(INDIRECT("1:"&amp;LEN((--TRIM(RIGHT(SUBSTITUTE(LEFT(A168,_xlfn.AGGREGATE(16,6,FIND({0,1,2,3,4,5,6,7,8,9},A168,ROW(INDIRECT("1:"&amp;LEN(A168)))),1))," ",REPT(" ",LEN(A168))),LEN(A168))))))))+1, 1) * 10^ROW(INDIRECT("1:"&amp;LEN((--TRIM(RIGHT(SUBSTITUTE(LEFT(A168,_xlfn.AGGREGATE(16,6,FIND({0,1,2,3,4,5,6,7,8,9},A168,ROW(INDIRECT("1:"&amp;LEN(A168)))),1))," ",REPT(" ",LEN(A168))),LEN(A168)))))))/10))*1+1</f>
        <v>202 to 502</v>
      </c>
      <c r="B169" s="75"/>
      <c r="C169" s="38"/>
      <c r="D169" s="38"/>
      <c r="E169" s="38">
        <v>0</v>
      </c>
      <c r="F169" s="38" t="e">
        <f>D169*((#REF!)+1)+(IF(E169&lt;101,E169,IF(E169&lt;201,E169/2,IF(E169&lt;=301,E169/3,E169/4))))</f>
        <v>#REF!</v>
      </c>
      <c r="G169" s="74" t="str">
        <f>G168</f>
        <v>2nd to 5th Floor</v>
      </c>
      <c r="H169" s="75"/>
      <c r="I169" s="32"/>
    </row>
    <row r="170" spans="1:9" s="33" customFormat="1" hidden="1" x14ac:dyDescent="0.3">
      <c r="A170" s="74" t="str">
        <f ca="1">(SUMPRODUCT(MID(0&amp;(LEFT(A169,SUM(LEN(A169)-LEN(SUBSTITUTE(A169,{"0","1","2"},""))))), LARGE(INDEX(ISNUMBER(--MID((LEFT(A169,SUM(LEN(A169)-LEN(SUBSTITUTE(A169,{"0","1","2"},""))))), ROW(INDIRECT("1:"&amp;LEN((LEFT(A169,SUM(LEN(A169)-LEN(SUBSTITUTE(A169,{"0","1","2"},"")))))))), 1)) * ROW(INDIRECT("1:"&amp;LEN((LEFT(A169,SUM(LEN(A169)-LEN(SUBSTITUTE(A169,{"0","1","2"},"")))))))), 0), ROW(INDIRECT("1:"&amp;LEN((LEFT(A169,SUM(LEN(A169)-LEN(SUBSTITUTE(A169,{"0","1","2"},"")))))))))+1, 1) * 10^ROW(INDIRECT("1:"&amp;LEN((LEFT(A169,SUM(LEN(A169)-LEN(SUBSTITUTE(A169,{"0","1","2"},""))))))))/10))*1+1&amp;""&amp;" to "&amp;""&amp;(SUMPRODUCT(MID(0&amp;(--TRIM(RIGHT(SUBSTITUTE(LEFT(A169,_xlfn.AGGREGATE(16,6,FIND({0,1,2,3,4,5,6,7,8,9},A169,ROW(INDIRECT("1:"&amp;LEN(A169)))),1))," ",REPT(" ",LEN(A169))),LEN(A169)))), LARGE(INDEX(ISNUMBER(--MID((--TRIM(RIGHT(SUBSTITUTE(LEFT(A169,_xlfn.AGGREGATE(16,6,FIND({0,1,2,3,4,5,6,7,8,9},A169,ROW(INDIRECT("1:"&amp;LEN(A169)))),1))," ",REPT(" ",LEN(A169))),LEN(A169)))), ROW(INDIRECT("1:"&amp;LEN((--TRIM(RIGHT(SUBSTITUTE(LEFT(A169,_xlfn.AGGREGATE(16,6,FIND({0,1,2,3,4,5,6,7,8,9},A169,ROW(INDIRECT("1:"&amp;LEN(A169)))),1))," ",REPT(" ",LEN(A169))),LEN(A169))))))), 1)) * ROW(INDIRECT("1:"&amp;LEN((--TRIM(RIGHT(SUBSTITUTE(LEFT(A169,_xlfn.AGGREGATE(16,6,FIND({0,1,2,3,4,5,6,7,8,9},A169,ROW(INDIRECT("1:"&amp;LEN(A169)))),1))," ",REPT(" ",LEN(A169))),LEN(A169))))))), 0), ROW(INDIRECT("1:"&amp;LEN((--TRIM(RIGHT(SUBSTITUTE(LEFT(A169,_xlfn.AGGREGATE(16,6,FIND({0,1,2,3,4,5,6,7,8,9},A169,ROW(INDIRECT("1:"&amp;LEN(A169)))),1))," ",REPT(" ",LEN(A169))),LEN(A169))))))))+1, 1) * 10^ROW(INDIRECT("1:"&amp;LEN((--TRIM(RIGHT(SUBSTITUTE(LEFT(A169,_xlfn.AGGREGATE(16,6,FIND({0,1,2,3,4,5,6,7,8,9},A169,ROW(INDIRECT("1:"&amp;LEN(A169)))),1))," ",REPT(" ",LEN(A169))),LEN(A169)))))))/10))*1+1</f>
        <v>203 to 503</v>
      </c>
      <c r="B170" s="75"/>
      <c r="C170" s="38"/>
      <c r="D170" s="38"/>
      <c r="E170" s="38">
        <v>0</v>
      </c>
      <c r="F170" s="38" t="e">
        <f>D170*((#REF!)+1)+(IF(E170&lt;101,E170,IF(E170&lt;201,E170/2,IF(E170&lt;=301,E170/3,E170/4))))</f>
        <v>#REF!</v>
      </c>
      <c r="G170" s="74" t="str">
        <f>G169</f>
        <v>2nd to 5th Floor</v>
      </c>
      <c r="H170" s="75"/>
      <c r="I170" s="32"/>
    </row>
    <row r="171" spans="1:9" s="33" customFormat="1" hidden="1" x14ac:dyDescent="0.3">
      <c r="A171" s="74" t="str">
        <f ca="1">(SUMPRODUCT(MID(0&amp;(LEFT(A170,SUM(LEN(A170)-LEN(SUBSTITUTE(A170,{"0","1","2"},""))))), LARGE(INDEX(ISNUMBER(--MID((LEFT(A170,SUM(LEN(A170)-LEN(SUBSTITUTE(A170,{"0","1","2"},""))))), ROW(INDIRECT("1:"&amp;LEN((LEFT(A170,SUM(LEN(A170)-LEN(SUBSTITUTE(A170,{"0","1","2"},"")))))))), 1)) * ROW(INDIRECT("1:"&amp;LEN((LEFT(A170,SUM(LEN(A170)-LEN(SUBSTITUTE(A170,{"0","1","2"},"")))))))), 0), ROW(INDIRECT("1:"&amp;LEN((LEFT(A170,SUM(LEN(A170)-LEN(SUBSTITUTE(A170,{"0","1","2"},"")))))))))+1, 1) * 10^ROW(INDIRECT("1:"&amp;LEN((LEFT(A170,SUM(LEN(A170)-LEN(SUBSTITUTE(A170,{"0","1","2"},""))))))))/10))*1+1&amp;""&amp;" to "&amp;""&amp;(SUMPRODUCT(MID(0&amp;(--TRIM(RIGHT(SUBSTITUTE(LEFT(A170,_xlfn.AGGREGATE(16,6,FIND({0,1,2,3,4,5,6,7,8,9},A170,ROW(INDIRECT("1:"&amp;LEN(A170)))),1))," ",REPT(" ",LEN(A170))),LEN(A170)))), LARGE(INDEX(ISNUMBER(--MID((--TRIM(RIGHT(SUBSTITUTE(LEFT(A170,_xlfn.AGGREGATE(16,6,FIND({0,1,2,3,4,5,6,7,8,9},A170,ROW(INDIRECT("1:"&amp;LEN(A170)))),1))," ",REPT(" ",LEN(A170))),LEN(A170)))), ROW(INDIRECT("1:"&amp;LEN((--TRIM(RIGHT(SUBSTITUTE(LEFT(A170,_xlfn.AGGREGATE(16,6,FIND({0,1,2,3,4,5,6,7,8,9},A170,ROW(INDIRECT("1:"&amp;LEN(A170)))),1))," ",REPT(" ",LEN(A170))),LEN(A170))))))), 1)) * ROW(INDIRECT("1:"&amp;LEN((--TRIM(RIGHT(SUBSTITUTE(LEFT(A170,_xlfn.AGGREGATE(16,6,FIND({0,1,2,3,4,5,6,7,8,9},A170,ROW(INDIRECT("1:"&amp;LEN(A170)))),1))," ",REPT(" ",LEN(A170))),LEN(A170))))))), 0), ROW(INDIRECT("1:"&amp;LEN((--TRIM(RIGHT(SUBSTITUTE(LEFT(A170,_xlfn.AGGREGATE(16,6,FIND({0,1,2,3,4,5,6,7,8,9},A170,ROW(INDIRECT("1:"&amp;LEN(A170)))),1))," ",REPT(" ",LEN(A170))),LEN(A170))))))))+1, 1) * 10^ROW(INDIRECT("1:"&amp;LEN((--TRIM(RIGHT(SUBSTITUTE(LEFT(A170,_xlfn.AGGREGATE(16,6,FIND({0,1,2,3,4,5,6,7,8,9},A170,ROW(INDIRECT("1:"&amp;LEN(A170)))),1))," ",REPT(" ",LEN(A170))),LEN(A170)))))))/10))*1+1</f>
        <v>204 to 504</v>
      </c>
      <c r="B171" s="75"/>
      <c r="C171" s="38"/>
      <c r="D171" s="38"/>
      <c r="E171" s="38">
        <v>0</v>
      </c>
      <c r="F171" s="38" t="e">
        <f>D171*((#REF!)+1)+(IF(E171&lt;101,E171,IF(E171&lt;201,E171/2,IF(E171&lt;=301,E171/3,E171/4))))</f>
        <v>#REF!</v>
      </c>
      <c r="G171" s="74" t="str">
        <f>G170</f>
        <v>2nd to 5th Floor</v>
      </c>
      <c r="H171" s="75"/>
      <c r="I171" s="32"/>
    </row>
    <row r="172" spans="1:9" s="33" customFormat="1" hidden="1" x14ac:dyDescent="0.3">
      <c r="A172" s="74" t="str">
        <f ca="1">(SUMPRODUCT(MID(0&amp;(LEFT(A171,SUM(LEN(A171)-LEN(SUBSTITUTE(A171,{"0","1","2"},""))))), LARGE(INDEX(ISNUMBER(--MID((LEFT(A171,SUM(LEN(A171)-LEN(SUBSTITUTE(A171,{"0","1","2"},""))))), ROW(INDIRECT("1:"&amp;LEN((LEFT(A171,SUM(LEN(A171)-LEN(SUBSTITUTE(A171,{"0","1","2"},"")))))))), 1)) * ROW(INDIRECT("1:"&amp;LEN((LEFT(A171,SUM(LEN(A171)-LEN(SUBSTITUTE(A171,{"0","1","2"},"")))))))), 0), ROW(INDIRECT("1:"&amp;LEN((LEFT(A171,SUM(LEN(A171)-LEN(SUBSTITUTE(A171,{"0","1","2"},"")))))))))+1, 1) * 10^ROW(INDIRECT("1:"&amp;LEN((LEFT(A171,SUM(LEN(A171)-LEN(SUBSTITUTE(A171,{"0","1","2"},""))))))))/10))*1+1&amp;""&amp;" to "&amp;""&amp;(SUMPRODUCT(MID(0&amp;(--TRIM(RIGHT(SUBSTITUTE(LEFT(A171,_xlfn.AGGREGATE(16,6,FIND({0,1,2,3,4,5,6,7,8,9},A171,ROW(INDIRECT("1:"&amp;LEN(A171)))),1))," ",REPT(" ",LEN(A171))),LEN(A171)))), LARGE(INDEX(ISNUMBER(--MID((--TRIM(RIGHT(SUBSTITUTE(LEFT(A171,_xlfn.AGGREGATE(16,6,FIND({0,1,2,3,4,5,6,7,8,9},A171,ROW(INDIRECT("1:"&amp;LEN(A171)))),1))," ",REPT(" ",LEN(A171))),LEN(A171)))), ROW(INDIRECT("1:"&amp;LEN((--TRIM(RIGHT(SUBSTITUTE(LEFT(A171,_xlfn.AGGREGATE(16,6,FIND({0,1,2,3,4,5,6,7,8,9},A171,ROW(INDIRECT("1:"&amp;LEN(A171)))),1))," ",REPT(" ",LEN(A171))),LEN(A171))))))), 1)) * ROW(INDIRECT("1:"&amp;LEN((--TRIM(RIGHT(SUBSTITUTE(LEFT(A171,_xlfn.AGGREGATE(16,6,FIND({0,1,2,3,4,5,6,7,8,9},A171,ROW(INDIRECT("1:"&amp;LEN(A171)))),1))," ",REPT(" ",LEN(A171))),LEN(A171))))))), 0), ROW(INDIRECT("1:"&amp;LEN((--TRIM(RIGHT(SUBSTITUTE(LEFT(A171,_xlfn.AGGREGATE(16,6,FIND({0,1,2,3,4,5,6,7,8,9},A171,ROW(INDIRECT("1:"&amp;LEN(A171)))),1))," ",REPT(" ",LEN(A171))),LEN(A171))))))))+1, 1) * 10^ROW(INDIRECT("1:"&amp;LEN((--TRIM(RIGHT(SUBSTITUTE(LEFT(A171,_xlfn.AGGREGATE(16,6,FIND({0,1,2,3,4,5,6,7,8,9},A171,ROW(INDIRECT("1:"&amp;LEN(A171)))),1))," ",REPT(" ",LEN(A171))),LEN(A171)))))))/10))*1+1</f>
        <v>205 to 505</v>
      </c>
      <c r="B172" s="75"/>
      <c r="C172" s="38"/>
      <c r="D172" s="38"/>
      <c r="E172" s="38">
        <v>0</v>
      </c>
      <c r="F172" s="38" t="e">
        <f>D172*((#REF!)+1)+(IF(E172&lt;101,E172,IF(E172&lt;201,E172/2,IF(E172&lt;=301,E172/3,E172/4))))</f>
        <v>#REF!</v>
      </c>
      <c r="G172" s="74" t="str">
        <f>G171</f>
        <v>2nd to 5th Floor</v>
      </c>
      <c r="H172" s="75"/>
      <c r="I172" s="32"/>
    </row>
    <row r="173" spans="1:9" s="33" customFormat="1" hidden="1" x14ac:dyDescent="0.3">
      <c r="A173" s="76" t="s">
        <v>143</v>
      </c>
      <c r="B173" s="77"/>
      <c r="C173" s="77"/>
      <c r="D173" s="77"/>
      <c r="E173" s="77"/>
      <c r="F173" s="77"/>
      <c r="G173" s="77"/>
      <c r="H173" s="78"/>
      <c r="I173" s="32"/>
    </row>
    <row r="174" spans="1:9" s="33" customFormat="1" hidden="1" x14ac:dyDescent="0.3">
      <c r="A174" s="74" t="str">
        <f ca="1">(SUMPRODUCT(MID(0&amp;(LEFT(A173,SUM(LEN(A173)-LEN(SUBSTITUTE(A173,{"0","1","2"},""))))), LARGE(INDEX(ISNUMBER(--MID((LEFT(A173,SUM(LEN(A173)-LEN(SUBSTITUTE(A173,{"0","1","2"},""))))), ROW(INDIRECT("1:"&amp;LEN((LEFT(A173,SUM(LEN(A173)-LEN(SUBSTITUTE(A173,{"0","1","2"},"")))))))), 1)) * ROW(INDIRECT("1:"&amp;LEN((LEFT(A173,SUM(LEN(A173)-LEN(SUBSTITUTE(A173,{"0","1","2"},"")))))))), 0), ROW(INDIRECT("1:"&amp;LEN((LEFT(A173,SUM(LEN(A173)-LEN(SUBSTITUTE(A173,{"0","1","2"},"")))))))))+1, 1) * 10^ROW(INDIRECT("1:"&amp;LEN((LEFT(A173,SUM(LEN(A173)-LEN(SUBSTITUTE(A173,{"0","1","2"},""))))))))/10))*100+1&amp;""&amp;" &amp; "&amp;""&amp;(SUMPRODUCT(MID(0&amp;(--TRIM(RIGHT(SUBSTITUTE(LEFT(A173,_xlfn.AGGREGATE(16,6,FIND({0,1,2,3,4,5,6,7,8,9},A173,ROW(INDIRECT("1:"&amp;LEN(A173)))),1))," ",REPT(" ",LEN(A173))),LEN(A173)))), LARGE(INDEX(ISNUMBER(--MID((--TRIM(RIGHT(SUBSTITUTE(LEFT(A173,_xlfn.AGGREGATE(16,6,FIND({0,1,2,3,4,5,6,7,8,9},A173,ROW(INDIRECT("1:"&amp;LEN(A173)))),1))," ",REPT(" ",LEN(A173))),LEN(A173)))), ROW(INDIRECT("1:"&amp;LEN((--TRIM(RIGHT(SUBSTITUTE(LEFT(A173,_xlfn.AGGREGATE(16,6,FIND({0,1,2,3,4,5,6,7,8,9},A173,ROW(INDIRECT("1:"&amp;LEN(A173)))),1))," ",REPT(" ",LEN(A173))),LEN(A173))))))), 1)) * ROW(INDIRECT("1:"&amp;LEN((--TRIM(RIGHT(SUBSTITUTE(LEFT(A173,_xlfn.AGGREGATE(16,6,FIND({0,1,2,3,4,5,6,7,8,9},A173,ROW(INDIRECT("1:"&amp;LEN(A173)))),1))," ",REPT(" ",LEN(A173))),LEN(A173))))))), 0), ROW(INDIRECT("1:"&amp;LEN((--TRIM(RIGHT(SUBSTITUTE(LEFT(A173,_xlfn.AGGREGATE(16,6,FIND({0,1,2,3,4,5,6,7,8,9},A173,ROW(INDIRECT("1:"&amp;LEN(A173)))),1))," ",REPT(" ",LEN(A173))),LEN(A173))))))))+1, 1) * 10^ROW(INDIRECT("1:"&amp;LEN((--TRIM(RIGHT(SUBSTITUTE(LEFT(A173,_xlfn.AGGREGATE(16,6,FIND({0,1,2,3,4,5,6,7,8,9},A173,ROW(INDIRECT("1:"&amp;LEN(A173)))),1))," ",REPT(" ",LEN(A173))),LEN(A173)))))))/10))*100+1</f>
        <v>201 &amp; 501</v>
      </c>
      <c r="B174" s="75"/>
      <c r="C174" s="38"/>
      <c r="D174" s="38"/>
      <c r="E174" s="38">
        <v>0</v>
      </c>
      <c r="F174" s="38" t="e">
        <f>D174*((#REF!)+1)+(IF(E174&lt;101,E174,IF(E174&lt;201,E174/2,IF(E174&lt;=301,E174/3,E174/4))))</f>
        <v>#REF!</v>
      </c>
      <c r="G174" s="74" t="str">
        <f>A173</f>
        <v>2nd &amp; 5th Floor</v>
      </c>
      <c r="H174" s="75"/>
      <c r="I174" s="32"/>
    </row>
    <row r="175" spans="1:9" s="33" customFormat="1" hidden="1" x14ac:dyDescent="0.3">
      <c r="A175" s="74" t="str">
        <f ca="1">(SUMPRODUCT(MID(0&amp;(LEFT(A174,SUM(LEN(A174)-LEN(SUBSTITUTE(A174,{"0","1","2"},""))))), LARGE(INDEX(ISNUMBER(--MID((LEFT(A174,SUM(LEN(A174)-LEN(SUBSTITUTE(A174,{"0","1","2"},""))))), ROW(INDIRECT("1:"&amp;LEN((LEFT(A174,SUM(LEN(A174)-LEN(SUBSTITUTE(A174,{"0","1","2"},"")))))))), 1)) * ROW(INDIRECT("1:"&amp;LEN((LEFT(A174,SUM(LEN(A174)-LEN(SUBSTITUTE(A174,{"0","1","2"},"")))))))), 0), ROW(INDIRECT("1:"&amp;LEN((LEFT(A174,SUM(LEN(A174)-LEN(SUBSTITUTE(A174,{"0","1","2"},"")))))))))+1, 1) * 10^ROW(INDIRECT("1:"&amp;LEN((LEFT(A174,SUM(LEN(A174)-LEN(SUBSTITUTE(A174,{"0","1","2"},""))))))))/10))*1+1&amp;""&amp;" &amp; "&amp;""&amp;(SUMPRODUCT(MID(0&amp;(--TRIM(RIGHT(SUBSTITUTE(LEFT(A174,_xlfn.AGGREGATE(16,6,FIND({0,1,2,3,4,5,6,7,8,9},A174,ROW(INDIRECT("1:"&amp;LEN(A174)))),1))," ",REPT(" ",LEN(A174))),LEN(A174)))), LARGE(INDEX(ISNUMBER(--MID((--TRIM(RIGHT(SUBSTITUTE(LEFT(A174,_xlfn.AGGREGATE(16,6,FIND({0,1,2,3,4,5,6,7,8,9},A174,ROW(INDIRECT("1:"&amp;LEN(A174)))),1))," ",REPT(" ",LEN(A174))),LEN(A174)))), ROW(INDIRECT("1:"&amp;LEN((--TRIM(RIGHT(SUBSTITUTE(LEFT(A174,_xlfn.AGGREGATE(16,6,FIND({0,1,2,3,4,5,6,7,8,9},A174,ROW(INDIRECT("1:"&amp;LEN(A174)))),1))," ",REPT(" ",LEN(A174))),LEN(A174))))))), 1)) * ROW(INDIRECT("1:"&amp;LEN((--TRIM(RIGHT(SUBSTITUTE(LEFT(A174,_xlfn.AGGREGATE(16,6,FIND({0,1,2,3,4,5,6,7,8,9},A174,ROW(INDIRECT("1:"&amp;LEN(A174)))),1))," ",REPT(" ",LEN(A174))),LEN(A174))))))), 0), ROW(INDIRECT("1:"&amp;LEN((--TRIM(RIGHT(SUBSTITUTE(LEFT(A174,_xlfn.AGGREGATE(16,6,FIND({0,1,2,3,4,5,6,7,8,9},A174,ROW(INDIRECT("1:"&amp;LEN(A174)))),1))," ",REPT(" ",LEN(A174))),LEN(A174))))))))+1, 1) * 10^ROW(INDIRECT("1:"&amp;LEN((--TRIM(RIGHT(SUBSTITUTE(LEFT(A174,_xlfn.AGGREGATE(16,6,FIND({0,1,2,3,4,5,6,7,8,9},A174,ROW(INDIRECT("1:"&amp;LEN(A174)))),1))," ",REPT(" ",LEN(A174))),LEN(A174)))))))/10))*1+1</f>
        <v>202 &amp; 502</v>
      </c>
      <c r="B175" s="75"/>
      <c r="C175" s="38"/>
      <c r="D175" s="38"/>
      <c r="E175" s="38">
        <v>0</v>
      </c>
      <c r="F175" s="38" t="e">
        <f>D175*((#REF!)+1)+(IF(E175&lt;101,E175,IF(E175&lt;201,E175/2,IF(E175&lt;=301,E175/3,E175/4))))</f>
        <v>#REF!</v>
      </c>
      <c r="G175" s="74" t="str">
        <f t="shared" ref="G175:G178" si="28">G174</f>
        <v>2nd &amp; 5th Floor</v>
      </c>
      <c r="H175" s="75"/>
      <c r="I175" s="32"/>
    </row>
    <row r="176" spans="1:9" s="33" customFormat="1" hidden="1" x14ac:dyDescent="0.3">
      <c r="A176" s="74" t="str">
        <f ca="1">(SUMPRODUCT(MID(0&amp;(LEFT(A175,SUM(LEN(A175)-LEN(SUBSTITUTE(A175,{"0","1","2"},""))))), LARGE(INDEX(ISNUMBER(--MID((LEFT(A175,SUM(LEN(A175)-LEN(SUBSTITUTE(A175,{"0","1","2"},""))))), ROW(INDIRECT("1:"&amp;LEN((LEFT(A175,SUM(LEN(A175)-LEN(SUBSTITUTE(A175,{"0","1","2"},"")))))))), 1)) * ROW(INDIRECT("1:"&amp;LEN((LEFT(A175,SUM(LEN(A175)-LEN(SUBSTITUTE(A175,{"0","1","2"},"")))))))), 0), ROW(INDIRECT("1:"&amp;LEN((LEFT(A175,SUM(LEN(A175)-LEN(SUBSTITUTE(A175,{"0","1","2"},"")))))))))+1, 1) * 10^ROW(INDIRECT("1:"&amp;LEN((LEFT(A175,SUM(LEN(A175)-LEN(SUBSTITUTE(A175,{"0","1","2"},""))))))))/10))*1+1&amp;""&amp;" &amp; "&amp;""&amp;(SUMPRODUCT(MID(0&amp;(--TRIM(RIGHT(SUBSTITUTE(LEFT(A175,_xlfn.AGGREGATE(16,6,FIND({0,1,2,3,4,5,6,7,8,9},A175,ROW(INDIRECT("1:"&amp;LEN(A175)))),1))," ",REPT(" ",LEN(A175))),LEN(A175)))), LARGE(INDEX(ISNUMBER(--MID((--TRIM(RIGHT(SUBSTITUTE(LEFT(A175,_xlfn.AGGREGATE(16,6,FIND({0,1,2,3,4,5,6,7,8,9},A175,ROW(INDIRECT("1:"&amp;LEN(A175)))),1))," ",REPT(" ",LEN(A175))),LEN(A175)))), ROW(INDIRECT("1:"&amp;LEN((--TRIM(RIGHT(SUBSTITUTE(LEFT(A175,_xlfn.AGGREGATE(16,6,FIND({0,1,2,3,4,5,6,7,8,9},A175,ROW(INDIRECT("1:"&amp;LEN(A175)))),1))," ",REPT(" ",LEN(A175))),LEN(A175))))))), 1)) * ROW(INDIRECT("1:"&amp;LEN((--TRIM(RIGHT(SUBSTITUTE(LEFT(A175,_xlfn.AGGREGATE(16,6,FIND({0,1,2,3,4,5,6,7,8,9},A175,ROW(INDIRECT("1:"&amp;LEN(A175)))),1))," ",REPT(" ",LEN(A175))),LEN(A175))))))), 0), ROW(INDIRECT("1:"&amp;LEN((--TRIM(RIGHT(SUBSTITUTE(LEFT(A175,_xlfn.AGGREGATE(16,6,FIND({0,1,2,3,4,5,6,7,8,9},A175,ROW(INDIRECT("1:"&amp;LEN(A175)))),1))," ",REPT(" ",LEN(A175))),LEN(A175))))))))+1, 1) * 10^ROW(INDIRECT("1:"&amp;LEN((--TRIM(RIGHT(SUBSTITUTE(LEFT(A175,_xlfn.AGGREGATE(16,6,FIND({0,1,2,3,4,5,6,7,8,9},A175,ROW(INDIRECT("1:"&amp;LEN(A175)))),1))," ",REPT(" ",LEN(A175))),LEN(A175)))))))/10))*1+1</f>
        <v>203 &amp; 503</v>
      </c>
      <c r="B176" s="75"/>
      <c r="C176" s="38"/>
      <c r="D176" s="38"/>
      <c r="E176" s="38">
        <v>0</v>
      </c>
      <c r="F176" s="38" t="e">
        <f>D176*((#REF!)+1)+(IF(E176&lt;101,E176,IF(E176&lt;201,E176/2,IF(E176&lt;=301,E176/3,E176/4))))</f>
        <v>#REF!</v>
      </c>
      <c r="G176" s="74" t="str">
        <f t="shared" si="28"/>
        <v>2nd &amp; 5th Floor</v>
      </c>
      <c r="H176" s="75"/>
      <c r="I176" s="32"/>
    </row>
    <row r="177" spans="1:9" s="33" customFormat="1" hidden="1" x14ac:dyDescent="0.3">
      <c r="A177" s="74" t="str">
        <f ca="1">(SUMPRODUCT(MID(0&amp;(LEFT(A176,SUM(LEN(A176)-LEN(SUBSTITUTE(A176,{"0","1","2"},""))))), LARGE(INDEX(ISNUMBER(--MID((LEFT(A176,SUM(LEN(A176)-LEN(SUBSTITUTE(A176,{"0","1","2"},""))))), ROW(INDIRECT("1:"&amp;LEN((LEFT(A176,SUM(LEN(A176)-LEN(SUBSTITUTE(A176,{"0","1","2"},"")))))))), 1)) * ROW(INDIRECT("1:"&amp;LEN((LEFT(A176,SUM(LEN(A176)-LEN(SUBSTITUTE(A176,{"0","1","2"},"")))))))), 0), ROW(INDIRECT("1:"&amp;LEN((LEFT(A176,SUM(LEN(A176)-LEN(SUBSTITUTE(A176,{"0","1","2"},"")))))))))+1, 1) * 10^ROW(INDIRECT("1:"&amp;LEN((LEFT(A176,SUM(LEN(A176)-LEN(SUBSTITUTE(A176,{"0","1","2"},""))))))))/10))*1+1&amp;""&amp;" &amp; "&amp;""&amp;(SUMPRODUCT(MID(0&amp;(--TRIM(RIGHT(SUBSTITUTE(LEFT(A176,_xlfn.AGGREGATE(16,6,FIND({0,1,2,3,4,5,6,7,8,9},A176,ROW(INDIRECT("1:"&amp;LEN(A176)))),1))," ",REPT(" ",LEN(A176))),LEN(A176)))), LARGE(INDEX(ISNUMBER(--MID((--TRIM(RIGHT(SUBSTITUTE(LEFT(A176,_xlfn.AGGREGATE(16,6,FIND({0,1,2,3,4,5,6,7,8,9},A176,ROW(INDIRECT("1:"&amp;LEN(A176)))),1))," ",REPT(" ",LEN(A176))),LEN(A176)))), ROW(INDIRECT("1:"&amp;LEN((--TRIM(RIGHT(SUBSTITUTE(LEFT(A176,_xlfn.AGGREGATE(16,6,FIND({0,1,2,3,4,5,6,7,8,9},A176,ROW(INDIRECT("1:"&amp;LEN(A176)))),1))," ",REPT(" ",LEN(A176))),LEN(A176))))))), 1)) * ROW(INDIRECT("1:"&amp;LEN((--TRIM(RIGHT(SUBSTITUTE(LEFT(A176,_xlfn.AGGREGATE(16,6,FIND({0,1,2,3,4,5,6,7,8,9},A176,ROW(INDIRECT("1:"&amp;LEN(A176)))),1))," ",REPT(" ",LEN(A176))),LEN(A176))))))), 0), ROW(INDIRECT("1:"&amp;LEN((--TRIM(RIGHT(SUBSTITUTE(LEFT(A176,_xlfn.AGGREGATE(16,6,FIND({0,1,2,3,4,5,6,7,8,9},A176,ROW(INDIRECT("1:"&amp;LEN(A176)))),1))," ",REPT(" ",LEN(A176))),LEN(A176))))))))+1, 1) * 10^ROW(INDIRECT("1:"&amp;LEN((--TRIM(RIGHT(SUBSTITUTE(LEFT(A176,_xlfn.AGGREGATE(16,6,FIND({0,1,2,3,4,5,6,7,8,9},A176,ROW(INDIRECT("1:"&amp;LEN(A176)))),1))," ",REPT(" ",LEN(A176))),LEN(A176)))))))/10))*1+1</f>
        <v>204 &amp; 504</v>
      </c>
      <c r="B177" s="75"/>
      <c r="C177" s="38"/>
      <c r="D177" s="38"/>
      <c r="E177" s="38">
        <v>0</v>
      </c>
      <c r="F177" s="38" t="e">
        <f>D177*((#REF!)+1)+(IF(E177&lt;101,E177,IF(E177&lt;201,E177/2,IF(E177&lt;=301,E177/3,E177/4))))</f>
        <v>#REF!</v>
      </c>
      <c r="G177" s="74" t="str">
        <f t="shared" si="28"/>
        <v>2nd &amp; 5th Floor</v>
      </c>
      <c r="H177" s="75"/>
      <c r="I177" s="32"/>
    </row>
    <row r="178" spans="1:9" s="33" customFormat="1" hidden="1" x14ac:dyDescent="0.3">
      <c r="A178" s="74" t="str">
        <f ca="1">(SUMPRODUCT(MID(0&amp;(LEFT(A177,SUM(LEN(A177)-LEN(SUBSTITUTE(A177,{"0","1","2"},""))))), LARGE(INDEX(ISNUMBER(--MID((LEFT(A177,SUM(LEN(A177)-LEN(SUBSTITUTE(A177,{"0","1","2"},""))))), ROW(INDIRECT("1:"&amp;LEN((LEFT(A177,SUM(LEN(A177)-LEN(SUBSTITUTE(A177,{"0","1","2"},"")))))))), 1)) * ROW(INDIRECT("1:"&amp;LEN((LEFT(A177,SUM(LEN(A177)-LEN(SUBSTITUTE(A177,{"0","1","2"},"")))))))), 0), ROW(INDIRECT("1:"&amp;LEN((LEFT(A177,SUM(LEN(A177)-LEN(SUBSTITUTE(A177,{"0","1","2"},"")))))))))+1, 1) * 10^ROW(INDIRECT("1:"&amp;LEN((LEFT(A177,SUM(LEN(A177)-LEN(SUBSTITUTE(A177,{"0","1","2"},""))))))))/10))*1+1&amp;""&amp;" &amp; "&amp;""&amp;(SUMPRODUCT(MID(0&amp;(--TRIM(RIGHT(SUBSTITUTE(LEFT(A177,_xlfn.AGGREGATE(16,6,FIND({0,1,2,3,4,5,6,7,8,9},A177,ROW(INDIRECT("1:"&amp;LEN(A177)))),1))," ",REPT(" ",LEN(A177))),LEN(A177)))), LARGE(INDEX(ISNUMBER(--MID((--TRIM(RIGHT(SUBSTITUTE(LEFT(A177,_xlfn.AGGREGATE(16,6,FIND({0,1,2,3,4,5,6,7,8,9},A177,ROW(INDIRECT("1:"&amp;LEN(A177)))),1))," ",REPT(" ",LEN(A177))),LEN(A177)))), ROW(INDIRECT("1:"&amp;LEN((--TRIM(RIGHT(SUBSTITUTE(LEFT(A177,_xlfn.AGGREGATE(16,6,FIND({0,1,2,3,4,5,6,7,8,9},A177,ROW(INDIRECT("1:"&amp;LEN(A177)))),1))," ",REPT(" ",LEN(A177))),LEN(A177))))))), 1)) * ROW(INDIRECT("1:"&amp;LEN((--TRIM(RIGHT(SUBSTITUTE(LEFT(A177,_xlfn.AGGREGATE(16,6,FIND({0,1,2,3,4,5,6,7,8,9},A177,ROW(INDIRECT("1:"&amp;LEN(A177)))),1))," ",REPT(" ",LEN(A177))),LEN(A177))))))), 0), ROW(INDIRECT("1:"&amp;LEN((--TRIM(RIGHT(SUBSTITUTE(LEFT(A177,_xlfn.AGGREGATE(16,6,FIND({0,1,2,3,4,5,6,7,8,9},A177,ROW(INDIRECT("1:"&amp;LEN(A177)))),1))," ",REPT(" ",LEN(A177))),LEN(A177))))))))+1, 1) * 10^ROW(INDIRECT("1:"&amp;LEN((--TRIM(RIGHT(SUBSTITUTE(LEFT(A177,_xlfn.AGGREGATE(16,6,FIND({0,1,2,3,4,5,6,7,8,9},A177,ROW(INDIRECT("1:"&amp;LEN(A177)))),1))," ",REPT(" ",LEN(A177))),LEN(A177)))))))/10))*1+1</f>
        <v>205 &amp; 505</v>
      </c>
      <c r="B178" s="75"/>
      <c r="C178" s="38"/>
      <c r="D178" s="38"/>
      <c r="E178" s="38">
        <v>0</v>
      </c>
      <c r="F178" s="38" t="e">
        <f>D178*((#REF!)+1)+(IF(E178&lt;101,E178,IF(E178&lt;201,E178/2,IF(E178&lt;=301,E178/3,E178/4))))</f>
        <v>#REF!</v>
      </c>
      <c r="G178" s="74" t="str">
        <f t="shared" si="28"/>
        <v>2nd &amp; 5th Floor</v>
      </c>
      <c r="H178" s="75"/>
      <c r="I178" s="32"/>
    </row>
    <row r="179" spans="1:9" s="31" customFormat="1" x14ac:dyDescent="0.3">
      <c r="A179" s="132" t="s">
        <v>65</v>
      </c>
      <c r="B179" s="132"/>
      <c r="C179" s="132"/>
      <c r="D179" s="132"/>
      <c r="E179" s="132"/>
      <c r="F179" s="132"/>
      <c r="G179" s="132"/>
      <c r="H179" s="132"/>
    </row>
    <row r="180" spans="1:9" s="31" customFormat="1" x14ac:dyDescent="0.3">
      <c r="A180" s="39" t="s">
        <v>152</v>
      </c>
      <c r="B180" s="65" t="s">
        <v>205</v>
      </c>
      <c r="C180" s="66"/>
      <c r="D180" s="66"/>
      <c r="E180" s="66"/>
      <c r="F180" s="66"/>
      <c r="G180" s="66"/>
      <c r="H180" s="67"/>
    </row>
    <row r="181" spans="1:9" s="31" customFormat="1" x14ac:dyDescent="0.3">
      <c r="A181" s="39" t="s">
        <v>152</v>
      </c>
      <c r="B181" s="65" t="str">
        <f>(IF(H139="Saleable area Loading :","We have considered Saleable area of Flats as per our Calculation.","We considered Saleable area of Flat as per Builder area Sheet."))</f>
        <v>We have considered Saleable area of Flats as per our Calculation.</v>
      </c>
      <c r="C181" s="66"/>
      <c r="D181" s="66"/>
      <c r="E181" s="66"/>
      <c r="F181" s="66"/>
      <c r="G181" s="66"/>
      <c r="H181" s="67"/>
    </row>
    <row r="182" spans="1:9" s="31" customFormat="1" x14ac:dyDescent="0.3">
      <c r="A182" s="39" t="s">
        <v>152</v>
      </c>
      <c r="B182" s="65" t="str">
        <f>(IF(H110="Saleable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82" s="66"/>
      <c r="D182" s="66"/>
      <c r="E182" s="66"/>
      <c r="F182" s="66"/>
      <c r="G182" s="66"/>
      <c r="H182" s="67"/>
    </row>
    <row r="183" spans="1:9" s="31" customFormat="1" x14ac:dyDescent="0.3">
      <c r="A183" s="39" t="s">
        <v>152</v>
      </c>
      <c r="B183" s="65" t="s">
        <v>119</v>
      </c>
      <c r="C183" s="66"/>
      <c r="D183" s="66"/>
      <c r="E183" s="66"/>
      <c r="F183" s="66"/>
      <c r="G183" s="66"/>
      <c r="H183" s="67"/>
    </row>
    <row r="184" spans="1:9" s="31" customFormat="1" x14ac:dyDescent="0.3">
      <c r="A184" s="39" t="s">
        <v>152</v>
      </c>
      <c r="B184" s="65" t="s">
        <v>242</v>
      </c>
      <c r="C184" s="66"/>
      <c r="D184" s="66"/>
      <c r="E184" s="66"/>
      <c r="F184" s="66"/>
      <c r="G184" s="66"/>
      <c r="H184" s="67"/>
    </row>
    <row r="185" spans="1:9" s="31" customFormat="1" x14ac:dyDescent="0.3">
      <c r="A185" s="39" t="s">
        <v>152</v>
      </c>
      <c r="B185" s="65" t="s">
        <v>151</v>
      </c>
      <c r="C185" s="66"/>
      <c r="D185" s="66"/>
      <c r="E185" s="66"/>
      <c r="F185" s="66"/>
      <c r="G185" s="66"/>
      <c r="H185" s="67"/>
    </row>
    <row r="186" spans="1:9" s="31" customFormat="1" x14ac:dyDescent="0.3">
      <c r="A186" s="39" t="s">
        <v>152</v>
      </c>
      <c r="B186" s="65" t="s">
        <v>120</v>
      </c>
      <c r="C186" s="66"/>
      <c r="D186" s="66"/>
      <c r="E186" s="66"/>
      <c r="F186" s="66"/>
      <c r="G186" s="66"/>
      <c r="H186" s="67"/>
    </row>
    <row r="187" spans="1:9" s="31" customFormat="1" ht="34.5" customHeight="1" x14ac:dyDescent="0.3">
      <c r="A187" s="39" t="s">
        <v>152</v>
      </c>
      <c r="B187" s="65" t="s">
        <v>153</v>
      </c>
      <c r="C187" s="66"/>
      <c r="D187" s="66"/>
      <c r="E187" s="66"/>
      <c r="F187" s="66"/>
      <c r="G187" s="66"/>
      <c r="H187" s="67"/>
    </row>
    <row r="188" spans="1:9" s="31" customFormat="1" x14ac:dyDescent="0.3">
      <c r="A188" s="39" t="s">
        <v>152</v>
      </c>
      <c r="B188" s="65" t="s">
        <v>121</v>
      </c>
      <c r="C188" s="66"/>
      <c r="D188" s="66"/>
      <c r="E188" s="66"/>
      <c r="F188" s="66"/>
      <c r="G188" s="66"/>
      <c r="H188" s="67"/>
    </row>
    <row r="189" spans="1:9" s="31" customFormat="1" ht="36.6" customHeight="1" x14ac:dyDescent="0.3">
      <c r="A189" s="39" t="s">
        <v>152</v>
      </c>
      <c r="B189" s="65" t="s">
        <v>244</v>
      </c>
      <c r="C189" s="66"/>
      <c r="D189" s="66"/>
      <c r="E189" s="66"/>
      <c r="F189" s="66"/>
      <c r="G189" s="66"/>
      <c r="H189" s="67"/>
    </row>
    <row r="190" spans="1:9" x14ac:dyDescent="0.3">
      <c r="A190" s="130" t="s">
        <v>58</v>
      </c>
      <c r="B190" s="130"/>
      <c r="C190" s="130"/>
      <c r="D190" s="130"/>
      <c r="E190" s="130"/>
      <c r="F190" s="130"/>
      <c r="G190" s="130"/>
      <c r="H190" s="130"/>
    </row>
    <row r="191" spans="1:9" x14ac:dyDescent="0.3">
      <c r="A191" s="73" t="s">
        <v>59</v>
      </c>
      <c r="B191" s="73"/>
      <c r="C191" s="73"/>
      <c r="D191" s="73"/>
      <c r="E191" s="73"/>
      <c r="F191" s="73"/>
      <c r="G191" s="73"/>
      <c r="H191" s="73"/>
    </row>
    <row r="192" spans="1:9" ht="15.75" customHeight="1" x14ac:dyDescent="0.3">
      <c r="A192" s="158" t="s">
        <v>60</v>
      </c>
      <c r="B192" s="158"/>
      <c r="C192" s="158"/>
      <c r="D192" s="158"/>
      <c r="E192" s="158"/>
      <c r="F192" s="158"/>
      <c r="G192" s="158"/>
      <c r="H192" s="158"/>
    </row>
    <row r="193" spans="1:8" x14ac:dyDescent="0.3">
      <c r="A193" s="73" t="s">
        <v>61</v>
      </c>
      <c r="B193" s="73"/>
      <c r="C193" s="73"/>
      <c r="D193" s="73"/>
      <c r="E193" s="73"/>
      <c r="F193" s="73"/>
      <c r="G193" s="73"/>
      <c r="H193" s="73"/>
    </row>
    <row r="194" spans="1:8" x14ac:dyDescent="0.3">
      <c r="A194" s="73" t="s">
        <v>62</v>
      </c>
      <c r="B194" s="73"/>
      <c r="C194" s="73"/>
      <c r="D194" s="73"/>
      <c r="E194" s="73"/>
      <c r="F194" s="73"/>
      <c r="G194" s="73"/>
      <c r="H194" s="73"/>
    </row>
    <row r="195" spans="1:8" x14ac:dyDescent="0.3">
      <c r="A195" s="73" t="s">
        <v>122</v>
      </c>
      <c r="B195" s="73"/>
      <c r="C195" s="73"/>
      <c r="D195" s="73"/>
      <c r="E195" s="73"/>
      <c r="F195" s="73"/>
      <c r="G195" s="73"/>
      <c r="H195" s="73"/>
    </row>
    <row r="196" spans="1:8" ht="34.799999999999997" customHeight="1" x14ac:dyDescent="0.3">
      <c r="A196" s="110" t="s">
        <v>123</v>
      </c>
      <c r="B196" s="110"/>
      <c r="C196" s="110"/>
      <c r="D196" s="110"/>
      <c r="E196" s="110"/>
      <c r="F196" s="110"/>
      <c r="G196" s="110"/>
      <c r="H196" s="110"/>
    </row>
    <row r="197" spans="1:8" x14ac:dyDescent="0.3">
      <c r="A197" s="127" t="s">
        <v>75</v>
      </c>
      <c r="B197" s="127"/>
      <c r="C197" s="127" t="s">
        <v>207</v>
      </c>
      <c r="D197" s="127"/>
      <c r="E197" s="127" t="s">
        <v>104</v>
      </c>
      <c r="F197" s="127"/>
      <c r="G197" s="127" t="s">
        <v>206</v>
      </c>
      <c r="H197" s="127"/>
    </row>
    <row r="198" spans="1:8" x14ac:dyDescent="0.3">
      <c r="A198" s="126" t="s">
        <v>77</v>
      </c>
      <c r="B198" s="126"/>
      <c r="C198" s="126"/>
      <c r="D198" s="126"/>
      <c r="E198" s="126"/>
      <c r="F198" s="126"/>
      <c r="G198" s="126"/>
      <c r="H198" s="126"/>
    </row>
    <row r="199" spans="1:8" x14ac:dyDescent="0.3">
      <c r="A199" s="126"/>
      <c r="B199" s="126"/>
      <c r="C199" s="126"/>
      <c r="D199" s="126"/>
      <c r="E199" s="126"/>
      <c r="F199" s="126"/>
      <c r="G199" s="126"/>
      <c r="H199" s="126"/>
    </row>
    <row r="200" spans="1:8" x14ac:dyDescent="0.3">
      <c r="A200" s="126"/>
      <c r="B200" s="126"/>
      <c r="C200" s="126"/>
      <c r="D200" s="126"/>
      <c r="E200" s="126"/>
      <c r="F200" s="126"/>
      <c r="G200" s="126"/>
      <c r="H200" s="126"/>
    </row>
    <row r="201" spans="1:8" x14ac:dyDescent="0.3">
      <c r="A201" s="126"/>
      <c r="B201" s="126"/>
      <c r="C201" s="126"/>
      <c r="D201" s="126"/>
      <c r="E201" s="126"/>
      <c r="F201" s="126"/>
      <c r="G201" s="126"/>
      <c r="H201" s="126"/>
    </row>
    <row r="202" spans="1:8" x14ac:dyDescent="0.3">
      <c r="A202" s="34" t="s">
        <v>63</v>
      </c>
      <c r="B202" s="35"/>
      <c r="C202" s="35"/>
      <c r="D202" s="34" t="str">
        <f>E9</f>
        <v>Urban Grandeur Bldg 2</v>
      </c>
      <c r="F202" s="35"/>
      <c r="G202" s="35"/>
      <c r="H202" s="35"/>
    </row>
    <row r="203" spans="1:8" x14ac:dyDescent="0.3">
      <c r="A203" s="35"/>
      <c r="B203" s="35"/>
      <c r="C203" s="35"/>
      <c r="D203" s="35"/>
      <c r="E203" s="35"/>
      <c r="F203" s="35"/>
      <c r="G203" s="35"/>
      <c r="H203" s="35"/>
    </row>
    <row r="204" spans="1:8" x14ac:dyDescent="0.3">
      <c r="A204" s="35"/>
      <c r="B204" s="35"/>
      <c r="C204" s="35"/>
      <c r="D204" s="35"/>
      <c r="E204" s="35"/>
      <c r="F204" s="35"/>
      <c r="G204" s="35"/>
      <c r="H204" s="35"/>
    </row>
    <row r="205" spans="1:8" ht="15" customHeight="1" x14ac:dyDescent="0.3"/>
    <row r="246" spans="1:1" x14ac:dyDescent="0.3">
      <c r="A246" s="37" t="s">
        <v>165</v>
      </c>
    </row>
    <row r="290" spans="1:1" x14ac:dyDescent="0.3">
      <c r="A290" s="37" t="s">
        <v>64</v>
      </c>
    </row>
  </sheetData>
  <mergeCells count="383">
    <mergeCell ref="L132:M132"/>
    <mergeCell ref="A133:B133"/>
    <mergeCell ref="L133:M133"/>
    <mergeCell ref="A141:H141"/>
    <mergeCell ref="A142:H142"/>
    <mergeCell ref="A148:B148"/>
    <mergeCell ref="L148:M148"/>
    <mergeCell ref="A134:B134"/>
    <mergeCell ref="L134:M134"/>
    <mergeCell ref="A135:B135"/>
    <mergeCell ref="L135:M135"/>
    <mergeCell ref="A136:B136"/>
    <mergeCell ref="L136:M136"/>
    <mergeCell ref="A137:B137"/>
    <mergeCell ref="L137:M137"/>
    <mergeCell ref="L144:M144"/>
    <mergeCell ref="L145:M145"/>
    <mergeCell ref="L146:M146"/>
    <mergeCell ref="L147:M147"/>
    <mergeCell ref="A129:B129"/>
    <mergeCell ref="L129:M129"/>
    <mergeCell ref="A130:B130"/>
    <mergeCell ref="L130:M130"/>
    <mergeCell ref="A131:B131"/>
    <mergeCell ref="L131:M131"/>
    <mergeCell ref="L124:M124"/>
    <mergeCell ref="A125:B125"/>
    <mergeCell ref="L125:M125"/>
    <mergeCell ref="A126:B126"/>
    <mergeCell ref="L126:M126"/>
    <mergeCell ref="A127:B127"/>
    <mergeCell ref="L127:M127"/>
    <mergeCell ref="A128:H128"/>
    <mergeCell ref="A112:H112"/>
    <mergeCell ref="A113:H113"/>
    <mergeCell ref="A119:B119"/>
    <mergeCell ref="L119:M119"/>
    <mergeCell ref="A120:B120"/>
    <mergeCell ref="L120:M120"/>
    <mergeCell ref="A122:B122"/>
    <mergeCell ref="L122:M122"/>
    <mergeCell ref="A123:B123"/>
    <mergeCell ref="L123:M123"/>
    <mergeCell ref="A114:H114"/>
    <mergeCell ref="A115:B115"/>
    <mergeCell ref="L115:M115"/>
    <mergeCell ref="A116:B116"/>
    <mergeCell ref="L116:M116"/>
    <mergeCell ref="A117:B117"/>
    <mergeCell ref="L117:M117"/>
    <mergeCell ref="A118:B118"/>
    <mergeCell ref="L118:M118"/>
    <mergeCell ref="L152:M152"/>
    <mergeCell ref="A149:B149"/>
    <mergeCell ref="L149:M149"/>
    <mergeCell ref="A150:B150"/>
    <mergeCell ref="L150:M150"/>
    <mergeCell ref="A151:B151"/>
    <mergeCell ref="L151:M151"/>
    <mergeCell ref="C151:H151"/>
    <mergeCell ref="A138:H138"/>
    <mergeCell ref="A139:A140"/>
    <mergeCell ref="B139:B140"/>
    <mergeCell ref="C139:C140"/>
    <mergeCell ref="D139:D140"/>
    <mergeCell ref="E139:E140"/>
    <mergeCell ref="F139:F140"/>
    <mergeCell ref="G139:G140"/>
    <mergeCell ref="A143:H143"/>
    <mergeCell ref="A144:B144"/>
    <mergeCell ref="A145:B145"/>
    <mergeCell ref="A146:B146"/>
    <mergeCell ref="A147:B147"/>
    <mergeCell ref="A152:H152"/>
    <mergeCell ref="B110:B111"/>
    <mergeCell ref="C110:C111"/>
    <mergeCell ref="D110:D111"/>
    <mergeCell ref="E110:E111"/>
    <mergeCell ref="F110:F111"/>
    <mergeCell ref="G110:G111"/>
    <mergeCell ref="A100:B100"/>
    <mergeCell ref="C105:D105"/>
    <mergeCell ref="D61:H61"/>
    <mergeCell ref="A195:H195"/>
    <mergeCell ref="A192:H192"/>
    <mergeCell ref="G171:H171"/>
    <mergeCell ref="A105:B105"/>
    <mergeCell ref="A78:B78"/>
    <mergeCell ref="F84:H84"/>
    <mergeCell ref="G99:H99"/>
    <mergeCell ref="A49:B49"/>
    <mergeCell ref="C49:E49"/>
    <mergeCell ref="G49:H49"/>
    <mergeCell ref="G52:H52"/>
    <mergeCell ref="D58:H58"/>
    <mergeCell ref="C52:E52"/>
    <mergeCell ref="A61:C61"/>
    <mergeCell ref="F93:H93"/>
    <mergeCell ref="E98:F98"/>
    <mergeCell ref="A98:B98"/>
    <mergeCell ref="A153:B153"/>
    <mergeCell ref="A154:B154"/>
    <mergeCell ref="A155:B155"/>
    <mergeCell ref="A156:B156"/>
    <mergeCell ref="A157:B157"/>
    <mergeCell ref="A158:B158"/>
    <mergeCell ref="A159:B159"/>
    <mergeCell ref="F89:H89"/>
    <mergeCell ref="A90:E90"/>
    <mergeCell ref="F86:H86"/>
    <mergeCell ref="A86:E86"/>
    <mergeCell ref="A83:E83"/>
    <mergeCell ref="I11:L11"/>
    <mergeCell ref="A107:B107"/>
    <mergeCell ref="C107:D107"/>
    <mergeCell ref="E107:F107"/>
    <mergeCell ref="G107:H107"/>
    <mergeCell ref="E42:H42"/>
    <mergeCell ref="A42:D42"/>
    <mergeCell ref="A103:B103"/>
    <mergeCell ref="C103:D103"/>
    <mergeCell ref="E103:F103"/>
    <mergeCell ref="G103:H103"/>
    <mergeCell ref="A17:B17"/>
    <mergeCell ref="C17:H17"/>
    <mergeCell ref="A12:D12"/>
    <mergeCell ref="E12:H12"/>
    <mergeCell ref="A16:B16"/>
    <mergeCell ref="A13:D13"/>
    <mergeCell ref="E13:H13"/>
    <mergeCell ref="A14:D14"/>
    <mergeCell ref="G172:H172"/>
    <mergeCell ref="A171:B171"/>
    <mergeCell ref="A172:B172"/>
    <mergeCell ref="G170:H170"/>
    <mergeCell ref="A170:B170"/>
    <mergeCell ref="G168:H168"/>
    <mergeCell ref="A65:C65"/>
    <mergeCell ref="D65:H65"/>
    <mergeCell ref="A68:C68"/>
    <mergeCell ref="D68:H68"/>
    <mergeCell ref="A66:C66"/>
    <mergeCell ref="D66:H66"/>
    <mergeCell ref="A67:C67"/>
    <mergeCell ref="D67:H67"/>
    <mergeCell ref="A73:B73"/>
    <mergeCell ref="G72:H72"/>
    <mergeCell ref="E73:F82"/>
    <mergeCell ref="G73:H82"/>
    <mergeCell ref="A81:B81"/>
    <mergeCell ref="A82:B82"/>
    <mergeCell ref="A80:B80"/>
    <mergeCell ref="F90:H90"/>
    <mergeCell ref="A84:E84"/>
    <mergeCell ref="A89:E89"/>
    <mergeCell ref="A168:B168"/>
    <mergeCell ref="F91:H91"/>
    <mergeCell ref="C98:D98"/>
    <mergeCell ref="G169:H169"/>
    <mergeCell ref="F94:H94"/>
    <mergeCell ref="F92:H92"/>
    <mergeCell ref="A163:B163"/>
    <mergeCell ref="G98:H98"/>
    <mergeCell ref="A93:E93"/>
    <mergeCell ref="C99:D99"/>
    <mergeCell ref="E99:F99"/>
    <mergeCell ref="A165:B165"/>
    <mergeCell ref="A162:B162"/>
    <mergeCell ref="A92:E92"/>
    <mergeCell ref="A91:E91"/>
    <mergeCell ref="G105:H105"/>
    <mergeCell ref="A160:B160"/>
    <mergeCell ref="A124:B124"/>
    <mergeCell ref="A132:B132"/>
    <mergeCell ref="E102:F102"/>
    <mergeCell ref="G102:H102"/>
    <mergeCell ref="A108:H108"/>
    <mergeCell ref="A109:H109"/>
    <mergeCell ref="A110:A111"/>
    <mergeCell ref="B186:H186"/>
    <mergeCell ref="B182:H182"/>
    <mergeCell ref="A176:B176"/>
    <mergeCell ref="G176:H176"/>
    <mergeCell ref="G175:H175"/>
    <mergeCell ref="A173:H173"/>
    <mergeCell ref="A174:B174"/>
    <mergeCell ref="A175:B175"/>
    <mergeCell ref="A178:B178"/>
    <mergeCell ref="G178:H178"/>
    <mergeCell ref="A177:B177"/>
    <mergeCell ref="B183:H183"/>
    <mergeCell ref="B184:H184"/>
    <mergeCell ref="G174:H174"/>
    <mergeCell ref="A179:H179"/>
    <mergeCell ref="B180:H180"/>
    <mergeCell ref="B181:H181"/>
    <mergeCell ref="G177:H177"/>
    <mergeCell ref="A198:H201"/>
    <mergeCell ref="A197:B197"/>
    <mergeCell ref="E197:F197"/>
    <mergeCell ref="C197:D197"/>
    <mergeCell ref="G197:H197"/>
    <mergeCell ref="A97:H97"/>
    <mergeCell ref="A95:E95"/>
    <mergeCell ref="F95:H95"/>
    <mergeCell ref="A96:E96"/>
    <mergeCell ref="F96:H96"/>
    <mergeCell ref="A106:B106"/>
    <mergeCell ref="A164:B164"/>
    <mergeCell ref="A99:B99"/>
    <mergeCell ref="A193:H193"/>
    <mergeCell ref="A104:H104"/>
    <mergeCell ref="A196:H196"/>
    <mergeCell ref="A194:H194"/>
    <mergeCell ref="A190:H190"/>
    <mergeCell ref="A191:H191"/>
    <mergeCell ref="E105:F105"/>
    <mergeCell ref="B188:H188"/>
    <mergeCell ref="C106:D106"/>
    <mergeCell ref="E106:F106"/>
    <mergeCell ref="G106:H106"/>
    <mergeCell ref="A1:H1"/>
    <mergeCell ref="A2:H2"/>
    <mergeCell ref="A3:D3"/>
    <mergeCell ref="E3:H3"/>
    <mergeCell ref="A4:D4"/>
    <mergeCell ref="A9:D9"/>
    <mergeCell ref="E9:H9"/>
    <mergeCell ref="A10:D10"/>
    <mergeCell ref="E10:H10"/>
    <mergeCell ref="E4:H4"/>
    <mergeCell ref="A6:D6"/>
    <mergeCell ref="E6:H6"/>
    <mergeCell ref="A7:D7"/>
    <mergeCell ref="E7:H7"/>
    <mergeCell ref="A8:D8"/>
    <mergeCell ref="E8:H8"/>
    <mergeCell ref="A5:D5"/>
    <mergeCell ref="E5:H5"/>
    <mergeCell ref="A11:D11"/>
    <mergeCell ref="E11:H11"/>
    <mergeCell ref="A22:D23"/>
    <mergeCell ref="E22:H23"/>
    <mergeCell ref="E14:H14"/>
    <mergeCell ref="A15:B15"/>
    <mergeCell ref="C15:H15"/>
    <mergeCell ref="C16:H16"/>
    <mergeCell ref="A24:D24"/>
    <mergeCell ref="E24:H24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A21:B21"/>
    <mergeCell ref="C21:D21"/>
    <mergeCell ref="E21:F21"/>
    <mergeCell ref="G21:H21"/>
    <mergeCell ref="E26:H26"/>
    <mergeCell ref="A28:D28"/>
    <mergeCell ref="E28:H28"/>
    <mergeCell ref="A25:D25"/>
    <mergeCell ref="E25:H25"/>
    <mergeCell ref="A29:D29"/>
    <mergeCell ref="E29:H29"/>
    <mergeCell ref="A26:D26"/>
    <mergeCell ref="A30:D30"/>
    <mergeCell ref="E30:H30"/>
    <mergeCell ref="A31:D31"/>
    <mergeCell ref="E31:H31"/>
    <mergeCell ref="A27:D27"/>
    <mergeCell ref="E27:H27"/>
    <mergeCell ref="C32:E32"/>
    <mergeCell ref="F35:H35"/>
    <mergeCell ref="F32:H32"/>
    <mergeCell ref="A33:B33"/>
    <mergeCell ref="A32:B32"/>
    <mergeCell ref="C33:E33"/>
    <mergeCell ref="A34:B34"/>
    <mergeCell ref="C34:E34"/>
    <mergeCell ref="A37:H37"/>
    <mergeCell ref="A36:B36"/>
    <mergeCell ref="C36:E36"/>
    <mergeCell ref="A41:D41"/>
    <mergeCell ref="E41:H41"/>
    <mergeCell ref="F33:H33"/>
    <mergeCell ref="F34:H34"/>
    <mergeCell ref="A40:H40"/>
    <mergeCell ref="A62:C62"/>
    <mergeCell ref="A44:D44"/>
    <mergeCell ref="F36:H36"/>
    <mergeCell ref="A46:D46"/>
    <mergeCell ref="A47:H47"/>
    <mergeCell ref="D60:H60"/>
    <mergeCell ref="A60:C60"/>
    <mergeCell ref="G50:H50"/>
    <mergeCell ref="A52:B53"/>
    <mergeCell ref="D62:H62"/>
    <mergeCell ref="A38:B38"/>
    <mergeCell ref="C38:H38"/>
    <mergeCell ref="A35:B35"/>
    <mergeCell ref="C35:E35"/>
    <mergeCell ref="E45:H45"/>
    <mergeCell ref="E46:H46"/>
    <mergeCell ref="A43:D43"/>
    <mergeCell ref="A79:B79"/>
    <mergeCell ref="A72:B72"/>
    <mergeCell ref="A75:B75"/>
    <mergeCell ref="A71:B71"/>
    <mergeCell ref="A69:B69"/>
    <mergeCell ref="C69:H69"/>
    <mergeCell ref="A77:B77"/>
    <mergeCell ref="A64:C64"/>
    <mergeCell ref="D64:H64"/>
    <mergeCell ref="C71:H71"/>
    <mergeCell ref="A74:B74"/>
    <mergeCell ref="A76:B76"/>
    <mergeCell ref="E72:F72"/>
    <mergeCell ref="C50:E50"/>
    <mergeCell ref="A56:B56"/>
    <mergeCell ref="C56:E56"/>
    <mergeCell ref="A50:B50"/>
    <mergeCell ref="A57:H57"/>
    <mergeCell ref="A58:C58"/>
    <mergeCell ref="A59:C59"/>
    <mergeCell ref="D59:H59"/>
    <mergeCell ref="G56:H56"/>
    <mergeCell ref="C53:H53"/>
    <mergeCell ref="C102:D102"/>
    <mergeCell ref="A45:D45"/>
    <mergeCell ref="A63:C63"/>
    <mergeCell ref="A166:B166"/>
    <mergeCell ref="A169:B169"/>
    <mergeCell ref="G166:H166"/>
    <mergeCell ref="G165:H165"/>
    <mergeCell ref="J12:M12"/>
    <mergeCell ref="F87:H87"/>
    <mergeCell ref="A88:E88"/>
    <mergeCell ref="A39:B39"/>
    <mergeCell ref="C39:H39"/>
    <mergeCell ref="L121:M121"/>
    <mergeCell ref="F83:H83"/>
    <mergeCell ref="F88:H88"/>
    <mergeCell ref="A94:E94"/>
    <mergeCell ref="C100:D100"/>
    <mergeCell ref="E100:F100"/>
    <mergeCell ref="G100:H100"/>
    <mergeCell ref="A101:B101"/>
    <mergeCell ref="C101:D101"/>
    <mergeCell ref="E101:F101"/>
    <mergeCell ref="G101:H101"/>
    <mergeCell ref="D63:H63"/>
    <mergeCell ref="B189:H189"/>
    <mergeCell ref="E43:H43"/>
    <mergeCell ref="E44:H44"/>
    <mergeCell ref="B187:H187"/>
    <mergeCell ref="A48:B48"/>
    <mergeCell ref="C48:H48"/>
    <mergeCell ref="B185:H185"/>
    <mergeCell ref="F85:H85"/>
    <mergeCell ref="A85:E85"/>
    <mergeCell ref="G163:H163"/>
    <mergeCell ref="A87:E87"/>
    <mergeCell ref="A167:H167"/>
    <mergeCell ref="A161:H161"/>
    <mergeCell ref="G164:H164"/>
    <mergeCell ref="G162:H162"/>
    <mergeCell ref="A121:B121"/>
    <mergeCell ref="A51:B51"/>
    <mergeCell ref="C51:E51"/>
    <mergeCell ref="G51:H51"/>
    <mergeCell ref="A54:B55"/>
    <mergeCell ref="C54:E54"/>
    <mergeCell ref="G54:H54"/>
    <mergeCell ref="C55:H55"/>
    <mergeCell ref="A102:B102"/>
  </mergeCells>
  <dataValidations count="8">
    <dataValidation type="list" allowBlank="1" showInputMessage="1" showErrorMessage="1" sqref="D139:D140" xr:uid="{5F343C74-FB11-46FE-9F19-21BC3FF565E0}">
      <formula1>"Carpet Area,Carpet + Encl Balcony Area,RERA Carpet area"</formula1>
    </dataValidation>
    <dataValidation type="list" allowBlank="1" showInputMessage="1" showErrorMessage="1" sqref="D110:D111" xr:uid="{44B9044D-873D-484A-9247-0A4F66797737}">
      <formula1>"Carpet area,RERA Carpet area"</formula1>
    </dataValidation>
    <dataValidation type="list" allowBlank="1" showInputMessage="1" showErrorMessage="1" sqref="H110 H139" xr:uid="{20AFAE74-28AC-4707-A585-7CB7D8676222}">
      <formula1>"Saleable area Loading :,Builder Saleable Area"</formula1>
    </dataValidation>
    <dataValidation type="list" allowBlank="1" showInputMessage="1" showErrorMessage="1" sqref="H111 H140" xr:uid="{6F95100F-2BC9-4DF7-A31F-D7AB5A6FDB8E}">
      <formula1>".45,.50,.55,.60"</formula1>
    </dataValidation>
    <dataValidation type="list" allowBlank="1" showInputMessage="1" showErrorMessage="1" sqref="E139:E140" xr:uid="{44FC92A0-FC31-43A8-9D44-547881F5AE0C}">
      <formula1>"Fungible area,Balcony Area,Chajja Area,Cornice Area,AP Area,WS Area,Balcony + Chajja Area"</formula1>
    </dataValidation>
    <dataValidation type="list" allowBlank="1" showInputMessage="1" showErrorMessage="1" sqref="B139:B140" xr:uid="{528730DC-FB86-43FE-883D-4210846675B7}">
      <formula1>"Flat No. (Sale Plan),Sale / Rehab,Sale / Mhada"</formula1>
    </dataValidation>
    <dataValidation type="list" allowBlank="1" showInputMessage="1" showErrorMessage="1" sqref="B110:B111" xr:uid="{8BE811F7-EF49-489D-90A1-C3D8D7374965}">
      <formula1>"Shop No. (Sale Plan),Sale / Rehab,Sale / Mhada"</formula1>
    </dataValidation>
    <dataValidation type="list" allowBlank="1" showInputMessage="1" showErrorMessage="1" sqref="E110:E111" xr:uid="{1D1DDF21-251D-406C-A12A-7A6249943D1C}">
      <formula1>"Attached Loft area,Attached Otla area,Attached Mezzanine area"</formula1>
    </dataValidation>
  </dataValidations>
  <hyperlinks>
    <hyperlink ref="C39" r:id="rId1" xr:uid="{00000000-0004-0000-0000-000000000000}"/>
  </hyperlinks>
  <printOptions horizontalCentered="1"/>
  <pageMargins left="0.39370078740157499" right="0.39370078740157499" top="0.82677165354330695" bottom="0.78740157480314998" header="0.15748031496063" footer="0.196850393700787"/>
  <pageSetup paperSize="2" scale="9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3" manualBreakCount="3">
    <brk id="201" max="16383" man="1"/>
    <brk id="245" max="16383" man="1"/>
    <brk id="289" max="16383" man="1"/>
  </rowBreaks>
  <drawing r:id="rId3"/>
  <legacyDrawing r:id="rId4"/>
  <legacyDrawingHF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I16"/>
  <sheetViews>
    <sheetView zoomScale="85" zoomScaleNormal="85" workbookViewId="0">
      <selection activeCell="C20" sqref="C20"/>
    </sheetView>
  </sheetViews>
  <sheetFormatPr defaultColWidth="8.77734375" defaultRowHeight="14.4" x14ac:dyDescent="0.3"/>
  <cols>
    <col min="1" max="1" width="8.77734375" style="1"/>
    <col min="2" max="2" width="22.21875" style="1" customWidth="1"/>
    <col min="3" max="3" width="37" style="1" customWidth="1"/>
    <col min="4" max="5" width="11.44140625" style="1" customWidth="1"/>
    <col min="6" max="6" width="14" style="1" customWidth="1"/>
    <col min="7" max="7" width="20" style="1" customWidth="1"/>
    <col min="8" max="8" width="16.44140625" style="1" customWidth="1"/>
    <col min="9" max="16384" width="8.77734375" style="1"/>
  </cols>
  <sheetData>
    <row r="1" spans="1:9" ht="15" customHeight="1" x14ac:dyDescent="0.3"/>
    <row r="2" spans="1:9" ht="15" customHeight="1" x14ac:dyDescent="0.3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">
      <c r="A3" s="2"/>
      <c r="B3" s="180" t="s">
        <v>105</v>
      </c>
      <c r="C3" s="180"/>
      <c r="D3" s="180"/>
      <c r="E3" s="180"/>
      <c r="F3" s="180"/>
      <c r="G3" s="180"/>
      <c r="H3" s="180"/>
    </row>
    <row r="4" spans="1:9" x14ac:dyDescent="0.3">
      <c r="A4" s="2"/>
      <c r="B4" s="3" t="s">
        <v>106</v>
      </c>
      <c r="C4" s="3" t="s">
        <v>107</v>
      </c>
      <c r="D4" s="3" t="s">
        <v>66</v>
      </c>
      <c r="E4" s="3" t="s">
        <v>108</v>
      </c>
      <c r="F4" s="3" t="s">
        <v>114</v>
      </c>
      <c r="G4" s="3" t="s">
        <v>115</v>
      </c>
      <c r="H4" s="3" t="s">
        <v>109</v>
      </c>
    </row>
    <row r="5" spans="1:9" ht="15" customHeight="1" x14ac:dyDescent="0.3">
      <c r="A5" s="2"/>
      <c r="B5" s="5" t="s">
        <v>110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">
      <c r="A6" s="2"/>
      <c r="B6" s="5" t="s">
        <v>110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">
      <c r="A7" s="2"/>
      <c r="B7" s="5" t="s">
        <v>110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">
      <c r="A8" s="2"/>
      <c r="B8" s="5" t="s">
        <v>110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">
      <c r="A9" s="2"/>
      <c r="B9" s="5" t="s">
        <v>110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">
      <c r="A10" s="2"/>
      <c r="B10" s="5" t="s">
        <v>111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">
      <c r="A11" s="2"/>
      <c r="B11" s="5" t="s">
        <v>111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">
      <c r="A12" s="2"/>
      <c r="B12" s="10" t="s">
        <v>112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">
      <c r="B13" s="10" t="s">
        <v>113</v>
      </c>
      <c r="C13" s="5"/>
      <c r="D13" s="5"/>
      <c r="E13" s="5"/>
      <c r="F13" s="12"/>
      <c r="G13" s="10"/>
      <c r="H13" s="10"/>
      <c r="I13" s="4"/>
    </row>
    <row r="14" spans="1:9" ht="15" customHeight="1" x14ac:dyDescent="0.3"/>
    <row r="15" spans="1:9" ht="15" customHeight="1" x14ac:dyDescent="0.3"/>
    <row r="16" spans="1:9" ht="15" customHeight="1" x14ac:dyDescent="0.3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topLeftCell="A7" zoomScale="70" zoomScaleNormal="70" workbookViewId="0">
      <selection activeCell="J17" sqref="J17"/>
    </sheetView>
  </sheetViews>
  <sheetFormatPr defaultRowHeight="14.4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USER</cp:lastModifiedBy>
  <cp:lastPrinted>2025-08-30T13:40:32Z</cp:lastPrinted>
  <dcterms:created xsi:type="dcterms:W3CDTF">2019-07-16T09:29:46Z</dcterms:created>
  <dcterms:modified xsi:type="dcterms:W3CDTF">2025-08-30T13:45:13Z</dcterms:modified>
</cp:coreProperties>
</file>