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unal\Aug 25\Axis\Old\New folder\"/>
    </mc:Choice>
  </mc:AlternateContent>
  <xr:revisionPtr revIDLastSave="0" documentId="13_ncr:1_{63E5A834-DE70-4EBA-A523-9F0A24C88322}" xr6:coauthVersionLast="47" xr6:coauthVersionMax="47" xr10:uidLastSave="{00000000-0000-0000-0000-000000000000}"/>
  <bookViews>
    <workbookView xWindow="-108" yWindow="-108" windowWidth="23256" windowHeight="12456" xr2:uid="{00000000-000D-0000-FFFF-FFFF00000000}"/>
  </bookViews>
  <sheets>
    <sheet name="Sheet1" sheetId="1" r:id="rId1"/>
    <sheet name="Note" sheetId="16" r:id="rId2"/>
    <sheet name="C %" sheetId="14" r:id="rId3"/>
    <sheet name="D %" sheetId="15" r:id="rId4"/>
    <sheet name="Wing A" sheetId="11" r:id="rId5"/>
    <sheet name="Wing B" sheetId="12" r:id="rId6"/>
    <sheet name="Wing C" sheetId="13" r:id="rId7"/>
  </sheets>
  <definedNames>
    <definedName name="_xlnm.Print_Area" localSheetId="0">Sheet1!$A$1:$J$302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1" l="1"/>
  <c r="I47" i="1" l="1"/>
  <c r="K153" i="1" l="1"/>
  <c r="C85" i="1" l="1"/>
  <c r="C71" i="1"/>
  <c r="F204" i="1" l="1"/>
  <c r="D212" i="1"/>
  <c r="D211" i="1"/>
  <c r="D210" i="1"/>
  <c r="D209" i="1"/>
  <c r="D208" i="1"/>
  <c r="D207" i="1"/>
  <c r="D206" i="1"/>
  <c r="D204" i="1"/>
  <c r="D203" i="1"/>
  <c r="D202" i="1"/>
  <c r="D201" i="1"/>
  <c r="D200" i="1"/>
  <c r="D199" i="1"/>
  <c r="D198" i="1"/>
  <c r="D195" i="1"/>
  <c r="D194" i="1"/>
  <c r="D193" i="1"/>
  <c r="D192" i="1"/>
  <c r="D191" i="1"/>
  <c r="D190" i="1"/>
  <c r="D187" i="1"/>
  <c r="D186" i="1"/>
  <c r="D185" i="1"/>
  <c r="D184" i="1"/>
  <c r="D183" i="1"/>
  <c r="D182" i="1"/>
  <c r="D177" i="1"/>
  <c r="D176" i="1"/>
  <c r="D175" i="1"/>
  <c r="D174" i="1"/>
  <c r="D166" i="1"/>
  <c r="D167" i="1"/>
  <c r="F154" i="1"/>
  <c r="D154" i="1"/>
  <c r="D150" i="1"/>
  <c r="M122" i="1"/>
  <c r="L122" i="1"/>
  <c r="M123" i="1" s="1"/>
  <c r="D161" i="1"/>
  <c r="D160" i="1"/>
  <c r="D159" i="1"/>
  <c r="D158" i="1"/>
  <c r="D157" i="1"/>
  <c r="D156" i="1"/>
  <c r="D151" i="1"/>
  <c r="D153" i="1"/>
  <c r="D152" i="1"/>
  <c r="D149" i="1"/>
  <c r="D148" i="1"/>
  <c r="D145" i="1"/>
  <c r="D144" i="1"/>
  <c r="D143" i="1"/>
  <c r="D142" i="1"/>
  <c r="D141" i="1"/>
  <c r="D140" i="1"/>
  <c r="D137" i="1"/>
  <c r="D136" i="1"/>
  <c r="D135" i="1"/>
  <c r="D134" i="1"/>
  <c r="D133" i="1"/>
  <c r="D132" i="1"/>
  <c r="D127" i="1"/>
  <c r="D126" i="1"/>
  <c r="D125" i="1"/>
  <c r="D124" i="1"/>
  <c r="D118" i="1"/>
  <c r="D117" i="1"/>
  <c r="D116" i="1"/>
  <c r="L118" i="1"/>
  <c r="M118" i="1"/>
  <c r="L119" i="1" s="1"/>
  <c r="L116" i="1"/>
  <c r="F3" i="1" l="1"/>
  <c r="F7" i="1" l="1"/>
  <c r="D226" i="1"/>
  <c r="D180" i="1"/>
  <c r="G180" i="1" s="1"/>
  <c r="G177" i="1"/>
  <c r="G176" i="1"/>
  <c r="G175" i="1"/>
  <c r="I174" i="1"/>
  <c r="G174" i="1"/>
  <c r="D172" i="1"/>
  <c r="G172" i="1" s="1"/>
  <c r="D168" i="1"/>
  <c r="G167" i="1"/>
  <c r="L166" i="1"/>
  <c r="G166" i="1"/>
  <c r="G212" i="1"/>
  <c r="G211" i="1"/>
  <c r="G210" i="1"/>
  <c r="G209" i="1"/>
  <c r="G208" i="1"/>
  <c r="G207" i="1"/>
  <c r="I206" i="1"/>
  <c r="G206" i="1"/>
  <c r="G204" i="1"/>
  <c r="G203" i="1"/>
  <c r="G202" i="1"/>
  <c r="G201" i="1"/>
  <c r="G200" i="1"/>
  <c r="G199" i="1"/>
  <c r="I198" i="1"/>
  <c r="G198" i="1"/>
  <c r="G195" i="1"/>
  <c r="G194" i="1"/>
  <c r="G193" i="1"/>
  <c r="G192" i="1"/>
  <c r="G191" i="1"/>
  <c r="I190" i="1"/>
  <c r="G190" i="1"/>
  <c r="D188" i="1"/>
  <c r="G188" i="1" s="1"/>
  <c r="G187" i="1"/>
  <c r="G186" i="1"/>
  <c r="G185" i="1"/>
  <c r="G184" i="1"/>
  <c r="G183" i="1"/>
  <c r="I182" i="1"/>
  <c r="D162" i="1"/>
  <c r="G161" i="1"/>
  <c r="G159" i="1"/>
  <c r="G158" i="1"/>
  <c r="G157" i="1"/>
  <c r="D138" i="1"/>
  <c r="D130" i="1"/>
  <c r="D122" i="1"/>
  <c r="G160" i="1"/>
  <c r="I156" i="1"/>
  <c r="G156" i="1"/>
  <c r="G168" i="1" l="1"/>
  <c r="C107" i="1"/>
  <c r="E107" i="1"/>
  <c r="C106" i="1"/>
  <c r="G182" i="1"/>
  <c r="H107" i="1" s="1"/>
  <c r="E106" i="1"/>
  <c r="G162" i="1"/>
  <c r="C108" i="1" l="1"/>
  <c r="E108" i="1"/>
  <c r="L89" i="1" l="1"/>
  <c r="L75" i="1"/>
  <c r="L74" i="1"/>
  <c r="I79" i="1"/>
  <c r="I65" i="1"/>
  <c r="L84" i="1" l="1"/>
  <c r="L85" i="1" s="1"/>
  <c r="L90" i="1" s="1"/>
  <c r="D84" i="1"/>
  <c r="L82" i="1"/>
  <c r="D91" i="1"/>
  <c r="D90" i="1"/>
  <c r="D89" i="1"/>
  <c r="D88" i="1"/>
  <c r="D87" i="1"/>
  <c r="D86" i="1"/>
  <c r="D85" i="1"/>
  <c r="L83" i="1"/>
  <c r="C82" i="1" s="1"/>
  <c r="L81" i="1"/>
  <c r="L70" i="1"/>
  <c r="L71" i="1" s="1"/>
  <c r="L76" i="1" s="1"/>
  <c r="D70" i="1"/>
  <c r="L68" i="1"/>
  <c r="D77" i="1"/>
  <c r="D76" i="1"/>
  <c r="D75" i="1"/>
  <c r="D74" i="1"/>
  <c r="D73" i="1"/>
  <c r="D72" i="1"/>
  <c r="D71" i="1"/>
  <c r="L69" i="1"/>
  <c r="C68" i="1" s="1"/>
  <c r="L67" i="1"/>
  <c r="C6" i="14"/>
  <c r="D11" i="15"/>
  <c r="D10" i="15"/>
  <c r="D9" i="15"/>
  <c r="C8" i="15"/>
  <c r="D6" i="15"/>
  <c r="D5" i="15"/>
  <c r="D11" i="14"/>
  <c r="D10" i="14"/>
  <c r="D9" i="14"/>
  <c r="C8" i="14"/>
  <c r="D5" i="14"/>
  <c r="G150" i="1"/>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F41" i="1"/>
  <c r="F42" i="1" s="1"/>
  <c r="C47" i="1"/>
  <c r="D53" i="1"/>
  <c r="G98" i="1"/>
  <c r="G116" i="1"/>
  <c r="G117" i="1"/>
  <c r="G118" i="1"/>
  <c r="G122" i="1"/>
  <c r="G124" i="1"/>
  <c r="I124" i="1"/>
  <c r="G125" i="1"/>
  <c r="G126" i="1"/>
  <c r="G127" i="1"/>
  <c r="G130" i="1"/>
  <c r="G132" i="1"/>
  <c r="I132" i="1"/>
  <c r="G133" i="1"/>
  <c r="G134" i="1"/>
  <c r="G135" i="1"/>
  <c r="G136" i="1"/>
  <c r="G137" i="1"/>
  <c r="G138" i="1"/>
  <c r="G140" i="1"/>
  <c r="I140" i="1"/>
  <c r="G141" i="1"/>
  <c r="G142" i="1"/>
  <c r="G143" i="1"/>
  <c r="G144" i="1"/>
  <c r="G145" i="1"/>
  <c r="G148" i="1"/>
  <c r="I148" i="1"/>
  <c r="G149" i="1"/>
  <c r="G151" i="1"/>
  <c r="G152" i="1"/>
  <c r="G153" i="1"/>
  <c r="G154" i="1"/>
  <c r="I1" i="14" l="1"/>
  <c r="C3" i="14" s="1"/>
  <c r="E5" i="14" s="1"/>
  <c r="E13" i="14" s="1"/>
  <c r="L72" i="1"/>
  <c r="L73" i="1" s="1"/>
  <c r="H106" i="1"/>
  <c r="H108" i="1" s="1"/>
  <c r="L86" i="1"/>
  <c r="L87" i="1" s="1"/>
  <c r="L88" i="1" s="1"/>
  <c r="N35" i="13"/>
  <c r="M35" i="13" s="1"/>
  <c r="F35" i="12"/>
  <c r="E35" i="12" s="1"/>
  <c r="M34" i="11"/>
  <c r="L34" i="11" s="1"/>
  <c r="J34" i="11"/>
  <c r="I34" i="11" s="1"/>
  <c r="K35" i="13"/>
  <c r="J35" i="13" s="1"/>
  <c r="M35" i="12"/>
  <c r="L35" i="12" s="1"/>
  <c r="J35" i="12"/>
  <c r="I35" i="12" s="1"/>
  <c r="F34" i="11"/>
  <c r="E34" i="11" s="1"/>
  <c r="G35" i="13"/>
  <c r="F35" i="13" s="1"/>
  <c r="D82" i="1"/>
  <c r="D68" i="1"/>
  <c r="C101" i="1"/>
  <c r="D102" i="1"/>
  <c r="I1" i="15"/>
  <c r="C3" i="15" s="1"/>
  <c r="E5" i="15" s="1"/>
  <c r="E13" i="15" s="1"/>
  <c r="D8" i="15"/>
  <c r="G5" i="15"/>
  <c r="G13" i="15" s="1"/>
  <c r="D7" i="15"/>
  <c r="G5" i="14"/>
  <c r="G13" i="14" s="1"/>
  <c r="D8" i="14"/>
  <c r="D6" i="14"/>
  <c r="D7" i="14"/>
  <c r="G101" i="1"/>
  <c r="C102" i="1"/>
  <c r="D101" i="1"/>
  <c r="G102" i="1"/>
  <c r="L77" i="1" l="1"/>
  <c r="C69" i="1" s="1"/>
  <c r="L91" i="1"/>
  <c r="C83" i="1" s="1"/>
  <c r="C103" i="1"/>
  <c r="D103" i="1"/>
  <c r="G103" i="1"/>
  <c r="D69" i="1" l="1"/>
  <c r="H68" i="1"/>
  <c r="F68" i="1"/>
  <c r="K64" i="1" s="1"/>
  <c r="F82" i="1"/>
  <c r="K78" i="1" s="1"/>
  <c r="C80" i="1" s="1"/>
  <c r="D83" i="1"/>
  <c r="H82" i="1"/>
</calcChain>
</file>

<file path=xl/sharedStrings.xml><?xml version="1.0" encoding="utf-8"?>
<sst xmlns="http://schemas.openxmlformats.org/spreadsheetml/2006/main" count="608" uniqueCount="253">
  <si>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</si>
  <si>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</si>
  <si>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</si>
  <si>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</si>
  <si>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</si>
  <si>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</si>
  <si>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</si>
  <si>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</si>
  <si>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</si>
  <si>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</si>
  <si>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</si>
  <si>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</si>
  <si>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</si>
  <si>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</si>
  <si>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</si>
  <si>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</si>
  <si>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</si>
  <si>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</si>
  <si>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</si>
  <si>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</si>
  <si>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</si>
  <si>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</si>
  <si>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</si>
  <si>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</si>
  <si>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</si>
  <si>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</si>
  <si>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</si>
  <si>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</si>
  <si>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</si>
  <si>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</si>
  <si>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</si>
  <si>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</si>
  <si>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</si>
  <si>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</si>
  <si>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</si>
  <si>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</si>
  <si>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Brick</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</si>
  <si>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</si>
  <si>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</si>
  <si>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</si>
  <si>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</si>
  <si>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</si>
  <si>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</si>
  <si>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</si>
  <si>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Painting &amp; Wooden Work</t>
  </si>
  <si>
    <t>Finishing</t>
  </si>
  <si>
    <t xml:space="preserve">Valuation Report </t>
  </si>
  <si>
    <t xml:space="preserve">Details of Flats in Building   </t>
  </si>
  <si>
    <t>Yes</t>
  </si>
  <si>
    <t>NA</t>
  </si>
  <si>
    <t>South</t>
  </si>
  <si>
    <t xml:space="preserve">Distance from city centre: </t>
  </si>
  <si>
    <t>Plane</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</si>
  <si>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</si>
  <si>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</si>
  <si>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</si>
  <si>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</si>
  <si>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</si>
  <si>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</si>
  <si>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</si>
  <si>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</si>
  <si>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</si>
  <si>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</si>
  <si>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</si>
  <si>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</si>
  <si>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</si>
  <si>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</si>
  <si>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</si>
  <si>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Floors</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</si>
  <si>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</si>
  <si>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</si>
  <si>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</si>
  <si>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</si>
  <si>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</si>
  <si>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</si>
  <si>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</si>
  <si>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</si>
  <si>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</si>
  <si>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</si>
  <si>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</si>
  <si>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</si>
  <si>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</si>
  <si>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</si>
  <si>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</si>
  <si>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</si>
  <si>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</si>
  <si>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</si>
  <si>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</si>
  <si>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</si>
  <si>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</si>
  <si>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</si>
  <si>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</si>
  <si>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</si>
  <si>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</si>
  <si>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</si>
  <si>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</si>
  <si>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O. Certificate No.: </t>
  </si>
  <si>
    <t xml:space="preserve">Date of approval: </t>
  </si>
  <si>
    <t>Does property have Electricity / Water / Drainage Connection</t>
  </si>
  <si>
    <t>Distressed valuation of the Property</t>
  </si>
  <si>
    <t>Building details Floor Wise</t>
  </si>
  <si>
    <t>Floor</t>
  </si>
  <si>
    <t>Type of Structure : RCC Frame Structure</t>
  </si>
  <si>
    <t>Approved no of units</t>
  </si>
  <si>
    <t>Google Map :</t>
  </si>
  <si>
    <t>Approved Layout, Approved Building Plan, CC</t>
  </si>
  <si>
    <t>RERA No.</t>
  </si>
  <si>
    <t>Recommended rate of the flat Per Sq. Ft. ( on Saleable area)</t>
  </si>
  <si>
    <t>Gross Carpet area</t>
  </si>
  <si>
    <t>Commencement Certificate No.</t>
  </si>
  <si>
    <t xml:space="preserve">Approved Floor plan No.  </t>
  </si>
  <si>
    <t>Accessibility to the Project from the City:
(Proximity to civic amenities like school, hospital, market)</t>
  </si>
  <si>
    <t>Name / No of the Building</t>
  </si>
  <si>
    <t xml:space="preserve">PHOTOGRAPHS OF PROPERTY : 
</t>
  </si>
  <si>
    <t>Mumbai</t>
  </si>
  <si>
    <t>Powai</t>
  </si>
  <si>
    <t>Tirandaz</t>
  </si>
  <si>
    <t>CTS No.</t>
  </si>
  <si>
    <t>Hiranandani hospital Road</t>
  </si>
  <si>
    <t>Sri Ayyappa Vishnu Temple</t>
  </si>
  <si>
    <t>About 3.4 Km from kanjur Marg Railway Station</t>
  </si>
  <si>
    <t>Upper Class</t>
  </si>
  <si>
    <t>Developed</t>
  </si>
  <si>
    <t>Open</t>
  </si>
  <si>
    <t>CE/1193/BPES/AS</t>
  </si>
  <si>
    <t xml:space="preserve">Approved usage of the Property: Residential
(Restrictive Covenants in regard to Land Use, if any)                                                                                                                                                </t>
  </si>
  <si>
    <t>Building no.2</t>
  </si>
  <si>
    <t>Ground Floor</t>
  </si>
  <si>
    <t>N</t>
  </si>
  <si>
    <t>Ground</t>
  </si>
  <si>
    <t>Refuge Area</t>
  </si>
  <si>
    <t>Basement, 1st to 3rd Podium Floor for Parking</t>
  </si>
  <si>
    <t>3 BHK</t>
  </si>
  <si>
    <t>bal</t>
  </si>
  <si>
    <t>Entrance Lobby</t>
  </si>
  <si>
    <t>Electricity &amp; Water Connection</t>
  </si>
  <si>
    <t>50,000/-</t>
  </si>
  <si>
    <t>5000/-</t>
  </si>
  <si>
    <t>Podium</t>
  </si>
  <si>
    <t>Excavation in process</t>
  </si>
  <si>
    <t>Excavation Completed</t>
  </si>
  <si>
    <t>Footing in Process</t>
  </si>
  <si>
    <t>Footing Completed</t>
  </si>
  <si>
    <t>Plinth in process</t>
  </si>
  <si>
    <t>Plinth completed</t>
  </si>
  <si>
    <t>1st Floor</t>
  </si>
  <si>
    <t>Residential Area Details :</t>
  </si>
  <si>
    <t>Building &amp; Wing</t>
  </si>
  <si>
    <t>Total Carpet Area</t>
  </si>
  <si>
    <t>Total Saleable Area</t>
  </si>
  <si>
    <t>C</t>
  </si>
  <si>
    <t>No. of Flats</t>
  </si>
  <si>
    <t>D</t>
  </si>
  <si>
    <t>Axis Goregaon</t>
  </si>
  <si>
    <t>17/03/2020.</t>
  </si>
  <si>
    <t>Asmita</t>
  </si>
  <si>
    <t>OLD APF</t>
  </si>
  <si>
    <t>In previous report : We considered rate as per Builder cost sheet.</t>
  </si>
  <si>
    <t>Saleable area
(60%)</t>
  </si>
  <si>
    <t>31/08/2020.</t>
  </si>
  <si>
    <t>Vishal demand for 18000</t>
  </si>
  <si>
    <t>Basement Slab + 2nd Podium Floor's Slab Completed. 3rd Podium Floor's Slab work is in process…</t>
  </si>
  <si>
    <t>05/02/2021.</t>
  </si>
  <si>
    <t>Pratiksha</t>
  </si>
  <si>
    <t>Floors</t>
  </si>
  <si>
    <t>All work Completed. Wait For OC.</t>
  </si>
  <si>
    <t xml:space="preserve">Stage of construction: </t>
  </si>
  <si>
    <t>All work Completed. Provide OC.</t>
  </si>
  <si>
    <t>Completed Slab/Floor</t>
  </si>
  <si>
    <t>Complition %</t>
  </si>
  <si>
    <t>Progress %</t>
  </si>
  <si>
    <t>Disbursement %</t>
  </si>
  <si>
    <t>All work Completed. OC Received.</t>
  </si>
  <si>
    <t>RCC Slab</t>
  </si>
  <si>
    <r>
      <t xml:space="preserve">Construction details: </t>
    </r>
    <r>
      <rPr>
        <b/>
        <sz val="12"/>
        <color indexed="10"/>
        <rFont val="Times New Roman"/>
        <family val="1"/>
      </rPr>
      <t>Building No.  =</t>
    </r>
    <r>
      <rPr>
        <b/>
        <sz val="12"/>
        <color indexed="8"/>
        <rFont val="Times New Roman"/>
        <family val="1"/>
      </rPr>
      <t xml:space="preserve"> C</t>
    </r>
  </si>
  <si>
    <r>
      <t xml:space="preserve">Construction details: </t>
    </r>
    <r>
      <rPr>
        <b/>
        <sz val="12"/>
        <color indexed="10"/>
        <rFont val="Times New Roman"/>
        <family val="1"/>
      </rPr>
      <t>Building No.  =</t>
    </r>
    <r>
      <rPr>
        <b/>
        <sz val="12"/>
        <color indexed="8"/>
        <rFont val="Times New Roman"/>
        <family val="1"/>
      </rPr>
      <t xml:space="preserve"> D</t>
    </r>
  </si>
  <si>
    <t>Proposed no of Floors</t>
  </si>
  <si>
    <t>Construction details:</t>
  </si>
  <si>
    <t>Basement</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</si>
  <si>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</si>
  <si>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</si>
  <si>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</si>
  <si>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</si>
  <si>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</si>
  <si>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</si>
  <si>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</si>
  <si>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</si>
  <si>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</si>
  <si>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</si>
  <si>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</si>
  <si>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</si>
  <si>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</si>
  <si>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</si>
  <si>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</si>
  <si>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</si>
  <si>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</si>
  <si>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24th Floor (Part Refuge Area)</t>
  </si>
  <si>
    <t>No. of Units</t>
  </si>
  <si>
    <t xml:space="preserve">Total </t>
  </si>
  <si>
    <t>Legal Charges incl. Scanning &amp; Documentation</t>
  </si>
  <si>
    <t>Wing E</t>
  </si>
  <si>
    <t>Wing F</t>
  </si>
  <si>
    <t>Wing E = B + 3P + 1st to 24th Floor</t>
  </si>
  <si>
    <t>Wing F = B + 3P + 1st to 24th Floor</t>
  </si>
  <si>
    <t>3BHK</t>
  </si>
  <si>
    <t>2BHK</t>
  </si>
  <si>
    <t>2nd, 4th to 8th, 12th to 15th, 19th to 22nd Floor</t>
  </si>
  <si>
    <t>3rd, 10th, 17th Floor (Part Refuge Area)</t>
  </si>
  <si>
    <t>9th, 11th, 16th, 18th, 23rd Floor</t>
  </si>
  <si>
    <t>Ground Floor for Residential</t>
  </si>
  <si>
    <t>Wing F is also drafted.</t>
  </si>
  <si>
    <t>M/s.Kanakia Future Realty Private Limited</t>
  </si>
  <si>
    <t>Old Name of the Project</t>
  </si>
  <si>
    <t>Wing E &amp; F</t>
  </si>
  <si>
    <t>Kanakia Future City E &amp; F</t>
  </si>
  <si>
    <t xml:space="preserve">02 Building </t>
  </si>
  <si>
    <t>19.1190233,72.9199069</t>
  </si>
  <si>
    <t xml:space="preserve">Location Link </t>
  </si>
  <si>
    <t>https://goo.gl/maps/S1wteK37Br2cRYQv8</t>
  </si>
  <si>
    <t>Contact Details ( Name &amp; Contact No.)</t>
  </si>
  <si>
    <t>Site Meet Person Contact Details ( Name &amp; Contact No.)</t>
  </si>
  <si>
    <t>1200000/-</t>
  </si>
  <si>
    <t>21100 to 22000</t>
  </si>
  <si>
    <t xml:space="preserve">Smith </t>
  </si>
  <si>
    <t>verbal case E1106</t>
  </si>
  <si>
    <t>value 3.98</t>
  </si>
  <si>
    <t>Office No. 1031, Wing J, Akshar Business Park, Plot No. 03 Sector 25, Near APMC Market,
Vashi, Navi Mumbai, Maharashtra 400703 TEL: 022-46090378/79/80                                                                                                     Email : vsjcapf@gmail.com. Web site : www.vsjadon.com</t>
  </si>
  <si>
    <t>Codename Future City E &amp; F</t>
  </si>
  <si>
    <t>Codename Future by Kanakia, Building no.2 - Wing C &amp; D, CTS No. 101, S.No.38(Pt.) of village-Tirandaz, Behind Dr L.H. Hiranandani Hospital, Ramabai Ambedkar Nagar, Powai, Mumbai - 400076</t>
  </si>
  <si>
    <t>CTS No. 101, S.No. 38(Pt.)</t>
  </si>
  <si>
    <t>Codename Future City E
Kanakia Silicon Valley F</t>
  </si>
  <si>
    <t>Name of the Project as per RERA</t>
  </si>
  <si>
    <t xml:space="preserve">Projected life of the structure: </t>
  </si>
  <si>
    <t xml:space="preserve">Quality of construction: </t>
  </si>
  <si>
    <t>Material laying at Site: :</t>
  </si>
  <si>
    <t xml:space="preserve">Wheather the construction is as per approved Building plan : </t>
  </si>
  <si>
    <t xml:space="preserve">Violations Observed if any : </t>
  </si>
  <si>
    <t xml:space="preserve">Proposed Amenities : </t>
  </si>
  <si>
    <t>1.Vitrified tiles flooring 2. Granite Kitchen Platform  3. Decorative Enternace  etc.</t>
  </si>
  <si>
    <t>Codename Future City E =  P51800034748
Kanakia Silicon Valley F =  P51800047422</t>
  </si>
  <si>
    <t xml:space="preserve">Valid Up to: </t>
  </si>
  <si>
    <t>Full C.C. is granted for Wing E up to 24th upper floor, for Wing F up to 24th upper floor including OHT &amp; LMR as per approved amended plans dated 17.10.2023 subject to timely renewal of B.G, SWM NOC, Workmen’s compensation policy, as per height permissible as per Civil Aviation NOC dated 12.03.2018 and taking all sorts of precautions during construction and for air pollution.</t>
  </si>
  <si>
    <t xml:space="preserve">CE/1193/BPES/AS/FCC/10/Amend
</t>
  </si>
  <si>
    <t xml:space="preserve">Valid Upto Date : </t>
  </si>
  <si>
    <t>CE/1193/BPES/AS/OCC/2/New
Approved upto : Full occupation for wing E &amp; F except occupation for lift no. 2 &amp; 6 in wing ‘E’ and lift no. 6 in wing ‘F’.</t>
  </si>
  <si>
    <t xml:space="preserve">Part O. Certificate No.: </t>
  </si>
  <si>
    <t>CE/1193/BPES/AS/OCC/3/New
Approved upto : Part occupation i.e.occupation permission of lift No.2 &amp; S1E (i.e. lift No .6) in Wing E and lift No.S1F(i.e.lift No.6) in Wing F of building No.2 Alongwith occupation granted for Wing E &amp; F of building No. 2 on 05.12.2024.</t>
  </si>
  <si>
    <t>Mr. Shaikh : 9967715516</t>
  </si>
  <si>
    <t>Wing E &amp; F = B + 3P + 1st to 24th Floor</t>
  </si>
  <si>
    <t xml:space="preserve">Remarks:  
1. All work Completed. OC received.
2. We considered Saleable area as per our calculation.
3. We considered Carpet area as per Approved Plan.
4. We have considered rate by verifying it from market inquire.
5. Recommended rate should be considered as all inclusive rate if other charges are not mentioned. (Excluding GST &amp; other government Taxes)
6. We have considered Other charges from cost sheet.
7. Car parking is subjected to authentic documentation.
8. We update revised Approved plans (on 29/10/2021)
9. We have updated revised CC from MCGM Site (on 30/06/2022).
10. We have Updated CC &amp; Approved Floor plan of Wing E &amp; F (on20/12/2022)
11. We have updated approved CC for Wing E &amp; F from MCGM site (on 12/07/2024).
12. Name of the project Kanakia Future City F name has been changed to Kanakia Silicon Valley F as per the rera.
13. We have updated OC from MCGM site (On 24/01/2025).
</t>
  </si>
  <si>
    <t>As per RERA -
Codename Future City E = Completed
Kanakia Silicon Valley F = Completed</t>
  </si>
  <si>
    <t>60 Years</t>
  </si>
  <si>
    <t>Nothing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</si>
</sst>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24"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name val="Times New Roman"/>
      <family val="1"/>
    </font>
    <font>
      <sz val="11"/>
      <name val="Times New Roman"/>
      <family val="1"/>
    </font>
    <font>
      <sz val="12"/>
      <color indexed="8"/>
      <name val="Times New Roman"/>
      <family val="1"/>
    </font>
    <font>
      <b/>
      <sz val="10"/>
      <color indexed="8"/>
      <name val="Times New Roman"/>
      <family val="1"/>
    </font>
    <font>
      <b/>
      <sz val="12"/>
      <name val="Times New Roman"/>
      <family val="1"/>
    </font>
    <font>
      <b/>
      <sz val="11"/>
      <color theme="1"/>
      <name val="Calibri"/>
      <family val="2"/>
      <scheme val="minor"/>
    </font>
    <font>
      <sz val="11"/>
      <color theme="1"/>
      <name val="Times New Roman"/>
      <family val="1"/>
    </font>
    <font>
      <b/>
      <sz val="11"/>
      <color theme="1"/>
      <name val="Times New Roman"/>
      <family val="1"/>
    </font>
    <font>
      <sz val="11"/>
      <color rgb="FF000000"/>
      <name val="Times New Roman"/>
      <family val="1"/>
    </font>
    <font>
      <sz val="12"/>
      <color theme="1"/>
      <name val="Times New Roman"/>
      <family val="1"/>
    </font>
    <font>
      <b/>
      <sz val="12"/>
      <color theme="1"/>
      <name val="Times New Roman"/>
      <family val="1"/>
    </font>
    <font>
      <sz val="11"/>
      <color theme="1"/>
      <name val="Calibri"/>
      <family val="2"/>
      <scheme val="minor"/>
    </font>
    <font>
      <b/>
      <sz val="12"/>
      <color indexed="10"/>
      <name val="Times New Roman"/>
      <family val="1"/>
    </font>
    <font>
      <sz val="12"/>
      <color rgb="FFFF0000"/>
      <name val="Times New Roman"/>
      <family val="1"/>
    </font>
    <font>
      <sz val="12"/>
      <name val="Times New Roman"/>
      <family val="1"/>
    </font>
    <font>
      <b/>
      <sz val="11"/>
      <color indexed="8"/>
      <name val="Calibri"/>
      <family val="2"/>
    </font>
    <font>
      <sz val="11"/>
      <color rgb="FFFF0000"/>
      <name val="Calibri"/>
      <family val="2"/>
      <scheme val="minor"/>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8">
    <xf numFmtId="0" fontId="0" fillId="0" borderId="0"/>
    <xf numFmtId="0" fontId="1" fillId="0" borderId="0"/>
    <xf numFmtId="0" fontId="17" fillId="0" borderId="0"/>
    <xf numFmtId="0" fontId="23" fillId="0" borderId="0" applyNumberFormat="0" applyFill="0" applyBorder="0" applyAlignment="0" applyProtection="0"/>
    <xf numFmtId="43" fontId="1" fillId="0" borderId="0" applyFont="0" applyFill="0" applyBorder="0" applyAlignment="0" applyProtection="0"/>
    <xf numFmtId="0" fontId="1" fillId="0" borderId="0"/>
    <xf numFmtId="0" fontId="17" fillId="0" borderId="0"/>
    <xf numFmtId="9" fontId="1" fillId="0" borderId="0" applyFont="0" applyFill="0" applyBorder="0" applyAlignment="0" applyProtection="0"/>
  </cellStyleXfs>
  <cellXfs count="288">
    <xf numFmtId="0" fontId="0" fillId="0" borderId="0" xfId="0"/>
    <xf numFmtId="0" fontId="0" fillId="0" borderId="2" xfId="0" applyBorder="1"/>
    <xf numFmtId="0" fontId="11" fillId="0" borderId="2" xfId="0" applyFont="1" applyBorder="1"/>
    <xf numFmtId="0" fontId="0" fillId="0" borderId="3" xfId="0" applyBorder="1"/>
    <xf numFmtId="0" fontId="0" fillId="3" borderId="2" xfId="0" applyFill="1" applyBorder="1"/>
    <xf numFmtId="0" fontId="11" fillId="0" borderId="2" xfId="0" applyFont="1" applyBorder="1" applyAlignment="1">
      <alignment horizontal="center"/>
    </xf>
    <xf numFmtId="14" fontId="0" fillId="0" borderId="0" xfId="0" applyNumberFormat="1"/>
    <xf numFmtId="0" fontId="15" fillId="0" borderId="16" xfId="2" applyFont="1" applyBorder="1" applyProtection="1">
      <protection hidden="1"/>
    </xf>
    <xf numFmtId="0" fontId="15" fillId="0" borderId="17" xfId="2" applyFont="1" applyBorder="1" applyProtection="1">
      <protection hidden="1"/>
    </xf>
    <xf numFmtId="0" fontId="15" fillId="0" borderId="18" xfId="2" applyFont="1" applyBorder="1" applyProtection="1">
      <protection hidden="1"/>
    </xf>
    <xf numFmtId="0" fontId="20" fillId="0" borderId="2" xfId="2" applyFont="1" applyBorder="1" applyAlignment="1" applyProtection="1">
      <alignment horizontal="center" vertical="top"/>
      <protection locked="0"/>
    </xf>
    <xf numFmtId="0" fontId="19" fillId="0" borderId="2" xfId="2" applyFont="1" applyBorder="1" applyAlignment="1" applyProtection="1">
      <alignment horizontal="center" vertical="top"/>
      <protection locked="0"/>
    </xf>
    <xf numFmtId="0" fontId="8" fillId="0" borderId="2" xfId="2" applyFont="1" applyBorder="1" applyAlignment="1" applyProtection="1">
      <alignment horizontal="center" vertical="top"/>
      <protection locked="0"/>
    </xf>
    <xf numFmtId="0" fontId="19" fillId="0" borderId="19" xfId="2" applyFont="1" applyBorder="1" applyAlignment="1" applyProtection="1">
      <alignment horizontal="center" vertical="top"/>
      <protection locked="0"/>
    </xf>
    <xf numFmtId="0" fontId="15" fillId="0" borderId="20" xfId="2" applyFont="1" applyBorder="1" applyProtection="1">
      <protection hidden="1"/>
    </xf>
    <xf numFmtId="0" fontId="15" fillId="0" borderId="0" xfId="2" applyFont="1" applyProtection="1">
      <protection hidden="1"/>
    </xf>
    <xf numFmtId="0" fontId="15" fillId="0" borderId="21" xfId="2" applyFont="1" applyBorder="1" applyProtection="1">
      <protection hidden="1"/>
    </xf>
    <xf numFmtId="0" fontId="15" fillId="0" borderId="2" xfId="2" applyFont="1" applyBorder="1" applyAlignment="1" applyProtection="1">
      <alignment horizontal="center" vertical="top" wrapText="1"/>
      <protection locked="0"/>
    </xf>
    <xf numFmtId="0" fontId="15" fillId="0" borderId="0" xfId="2" applyFont="1"/>
    <xf numFmtId="0" fontId="15" fillId="0" borderId="21" xfId="2" applyFont="1" applyBorder="1"/>
    <xf numFmtId="0" fontId="19" fillId="0" borderId="2" xfId="2" applyFont="1" applyBorder="1" applyAlignment="1" applyProtection="1">
      <alignment horizontal="center" wrapText="1"/>
      <protection locked="0"/>
    </xf>
    <xf numFmtId="9" fontId="15" fillId="2" borderId="2" xfId="2" applyNumberFormat="1" applyFont="1" applyFill="1" applyBorder="1" applyAlignment="1" applyProtection="1">
      <alignment horizontal="center" vertical="center" wrapText="1"/>
      <protection hidden="1"/>
    </xf>
    <xf numFmtId="0" fontId="15" fillId="0" borderId="20" xfId="2" applyFont="1" applyBorder="1"/>
    <xf numFmtId="1" fontId="19" fillId="0" borderId="2" xfId="2" applyNumberFormat="1" applyFont="1" applyBorder="1" applyAlignment="1" applyProtection="1">
      <alignment horizontal="center" wrapText="1"/>
      <protection locked="0"/>
    </xf>
    <xf numFmtId="0" fontId="14" fillId="0" borderId="20" xfId="0" applyFont="1" applyBorder="1" applyProtection="1">
      <protection hidden="1"/>
    </xf>
    <xf numFmtId="9" fontId="14" fillId="0" borderId="0" xfId="0" applyNumberFormat="1" applyFont="1" applyProtection="1">
      <protection hidden="1"/>
    </xf>
    <xf numFmtId="9" fontId="14" fillId="0" borderId="21" xfId="0" applyNumberFormat="1" applyFont="1" applyBorder="1" applyProtection="1">
      <protection hidden="1"/>
    </xf>
    <xf numFmtId="0" fontId="19" fillId="0" borderId="25" xfId="2" applyFont="1" applyBorder="1" applyAlignment="1" applyProtection="1">
      <alignment horizontal="center" wrapText="1"/>
      <protection locked="0"/>
    </xf>
    <xf numFmtId="9" fontId="15" fillId="2" borderId="25" xfId="2" applyNumberFormat="1" applyFont="1" applyFill="1" applyBorder="1" applyAlignment="1" applyProtection="1">
      <alignment horizontal="center" vertical="center" wrapText="1"/>
      <protection hidden="1"/>
    </xf>
    <xf numFmtId="0" fontId="14" fillId="0" borderId="29" xfId="0" applyFont="1" applyBorder="1" applyProtection="1">
      <protection hidden="1"/>
    </xf>
    <xf numFmtId="9" fontId="14" fillId="0" borderId="30" xfId="0" applyNumberFormat="1" applyFont="1" applyBorder="1" applyProtection="1">
      <protection hidden="1"/>
    </xf>
    <xf numFmtId="9" fontId="14" fillId="0" borderId="28" xfId="0" applyNumberFormat="1" applyFont="1" applyBorder="1" applyProtection="1">
      <protection hidden="1"/>
    </xf>
    <xf numFmtId="0" fontId="15" fillId="0" borderId="0" xfId="2" applyFont="1" applyAlignment="1" applyProtection="1">
      <alignment horizontal="center" vertical="top" wrapText="1"/>
      <protection locked="0"/>
    </xf>
    <xf numFmtId="0" fontId="19" fillId="0" borderId="0" xfId="2" applyFont="1" applyAlignment="1" applyProtection="1">
      <alignment horizontal="center" wrapText="1"/>
      <protection locked="0"/>
    </xf>
    <xf numFmtId="9" fontId="15" fillId="2" borderId="0" xfId="2" applyNumberFormat="1" applyFont="1" applyFill="1" applyAlignment="1" applyProtection="1">
      <alignment horizontal="center" vertical="center" wrapText="1"/>
      <protection hidden="1"/>
    </xf>
    <xf numFmtId="0" fontId="14" fillId="0" borderId="0" xfId="0" applyFont="1" applyProtection="1">
      <protection hidden="1"/>
    </xf>
    <xf numFmtId="9" fontId="11" fillId="0" borderId="0" xfId="0" applyNumberFormat="1" applyFont="1" applyAlignment="1">
      <alignment horizontal="center"/>
    </xf>
    <xf numFmtId="9" fontId="0" fillId="0" borderId="0" xfId="0" applyNumberFormat="1"/>
    <xf numFmtId="0" fontId="7" fillId="0" borderId="22" xfId="2" applyFont="1" applyBorder="1" applyAlignment="1" applyProtection="1">
      <alignment horizontal="center" vertical="top"/>
      <protection locked="0"/>
    </xf>
    <xf numFmtId="0" fontId="7" fillId="0" borderId="2" xfId="2" applyFont="1" applyBorder="1" applyAlignment="1" applyProtection="1">
      <alignment horizontal="center" vertical="top"/>
      <protection locked="0"/>
    </xf>
    <xf numFmtId="0" fontId="7" fillId="0" borderId="2" xfId="2" applyFont="1" applyBorder="1" applyAlignment="1" applyProtection="1">
      <alignment horizontal="center" vertical="top" wrapText="1"/>
      <protection locked="0"/>
    </xf>
    <xf numFmtId="0" fontId="7" fillId="0" borderId="2" xfId="2" applyFont="1" applyBorder="1" applyAlignment="1" applyProtection="1">
      <alignment horizontal="center" wrapText="1"/>
      <protection locked="0"/>
    </xf>
    <xf numFmtId="0" fontId="14" fillId="0" borderId="21" xfId="0" applyFont="1" applyBorder="1" applyProtection="1">
      <protection hidden="1"/>
    </xf>
    <xf numFmtId="1" fontId="7" fillId="0" borderId="2" xfId="2" applyNumberFormat="1" applyFont="1" applyBorder="1" applyAlignment="1" applyProtection="1">
      <alignment horizontal="center" wrapText="1"/>
      <protection locked="0"/>
    </xf>
    <xf numFmtId="1" fontId="0" fillId="0" borderId="21" xfId="0" applyNumberFormat="1" applyBorder="1"/>
    <xf numFmtId="1" fontId="0" fillId="0" borderId="21" xfId="0" applyNumberFormat="1" applyBorder="1" applyAlignment="1">
      <alignment horizontal="right"/>
    </xf>
    <xf numFmtId="0" fontId="7" fillId="0" borderId="25" xfId="2" applyFont="1" applyBorder="1" applyAlignment="1" applyProtection="1">
      <alignment horizontal="center" wrapText="1"/>
      <protection locked="0"/>
    </xf>
    <xf numFmtId="0" fontId="14" fillId="0" borderId="30" xfId="0" applyFont="1" applyBorder="1" applyProtection="1">
      <protection hidden="1"/>
    </xf>
    <xf numFmtId="1" fontId="0" fillId="0" borderId="28" xfId="0" applyNumberFormat="1" applyBorder="1"/>
    <xf numFmtId="0" fontId="1" fillId="0" borderId="0" xfId="1"/>
    <xf numFmtId="0" fontId="15" fillId="0" borderId="0" xfId="0" applyFont="1" applyAlignment="1">
      <alignment horizontal="center" vertical="center"/>
    </xf>
    <xf numFmtId="0" fontId="13" fillId="0" borderId="2" xfId="0" applyFont="1" applyBorder="1" applyAlignment="1">
      <alignment horizontal="center" vertical="center"/>
    </xf>
    <xf numFmtId="0" fontId="12" fillId="0" borderId="2" xfId="0" applyFont="1" applyBorder="1" applyAlignment="1">
      <alignment horizontal="center" vertical="center"/>
    </xf>
    <xf numFmtId="0" fontId="16" fillId="0" borderId="0" xfId="0" applyFont="1" applyAlignment="1">
      <alignment horizontal="center" vertical="center"/>
    </xf>
    <xf numFmtId="0" fontId="21" fillId="0" borderId="0" xfId="1" applyFont="1"/>
    <xf numFmtId="1" fontId="2" fillId="0" borderId="2" xfId="0" applyNumberFormat="1" applyFont="1" applyBorder="1" applyAlignment="1">
      <alignment horizontal="center" vertical="top" wrapText="1"/>
    </xf>
    <xf numFmtId="1" fontId="3" fillId="0" borderId="2" xfId="0" applyNumberFormat="1" applyFont="1" applyBorder="1" applyAlignment="1">
      <alignment horizontal="center" vertical="center" wrapText="1"/>
    </xf>
    <xf numFmtId="1" fontId="12" fillId="0" borderId="1" xfId="0" applyNumberFormat="1" applyFont="1" applyBorder="1" applyAlignment="1">
      <alignment horizontal="center"/>
    </xf>
    <xf numFmtId="0" fontId="22" fillId="0" borderId="0" xfId="0" applyFont="1"/>
    <xf numFmtId="0" fontId="9"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13" fillId="0" borderId="0" xfId="0" applyFont="1"/>
    <xf numFmtId="0" fontId="0" fillId="3" borderId="0" xfId="0" applyFill="1"/>
    <xf numFmtId="14" fontId="0" fillId="3" borderId="0" xfId="0" applyNumberFormat="1" applyFill="1"/>
    <xf numFmtId="0" fontId="3" fillId="0" borderId="2" xfId="0" applyFont="1" applyBorder="1" applyAlignment="1">
      <alignment horizontal="left" vertical="top"/>
    </xf>
    <xf numFmtId="0" fontId="3" fillId="0" borderId="2" xfId="0" applyFont="1" applyBorder="1" applyAlignment="1">
      <alignment horizontal="left" vertical="top" wrapText="1"/>
    </xf>
    <xf numFmtId="0" fontId="2" fillId="0" borderId="2" xfId="0" applyFont="1" applyBorder="1" applyAlignment="1">
      <alignment vertical="top"/>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2" xfId="0" applyNumberFormat="1" applyFont="1" applyBorder="1" applyAlignment="1">
      <alignment horizontal="left" vertical="top"/>
    </xf>
    <xf numFmtId="0" fontId="2" fillId="0" borderId="2" xfId="0" applyFont="1" applyBorder="1" applyAlignment="1">
      <alignment horizontal="left" vertical="top"/>
    </xf>
    <xf numFmtId="1" fontId="0" fillId="0" borderId="2" xfId="0" applyNumberFormat="1" applyBorder="1" applyAlignment="1">
      <alignment horizontal="center"/>
    </xf>
    <xf numFmtId="1" fontId="2" fillId="0" borderId="6" xfId="0" applyNumberFormat="1" applyFont="1" applyBorder="1" applyAlignment="1">
      <alignment horizontal="center" vertical="center" wrapText="1"/>
    </xf>
    <xf numFmtId="1" fontId="2" fillId="0" borderId="12" xfId="0" applyNumberFormat="1" applyFont="1" applyBorder="1" applyAlignment="1">
      <alignment horizontal="center" vertical="center" wrapText="1"/>
    </xf>
    <xf numFmtId="1" fontId="2" fillId="0" borderId="7" xfId="0"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1" fontId="3" fillId="0" borderId="9" xfId="0" applyNumberFormat="1" applyFont="1" applyBorder="1" applyAlignment="1">
      <alignment horizontal="center" vertical="center" wrapText="1"/>
    </xf>
    <xf numFmtId="1" fontId="3" fillId="0" borderId="10"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1" fontId="3" fillId="0" borderId="12" xfId="0" applyNumberFormat="1" applyFont="1" applyBorder="1" applyAlignment="1">
      <alignment horizontal="center" vertical="center" wrapText="1"/>
    </xf>
    <xf numFmtId="1" fontId="3" fillId="0" borderId="0" xfId="0" applyNumberFormat="1" applyFont="1" applyAlignment="1">
      <alignment horizontal="center" vertical="center" wrapText="1"/>
    </xf>
    <xf numFmtId="1" fontId="3" fillId="0" borderId="3"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17" fillId="0" borderId="2" xfId="0" applyNumberFormat="1" applyFont="1" applyBorder="1" applyAlignment="1">
      <alignment horizontal="center"/>
    </xf>
    <xf numFmtId="1" fontId="2" fillId="0" borderId="1"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1" fontId="12" fillId="0" borderId="1" xfId="0" applyNumberFormat="1" applyFont="1" applyBorder="1" applyAlignment="1">
      <alignment horizontal="center"/>
    </xf>
    <xf numFmtId="1" fontId="12" fillId="0" borderId="4" xfId="0" applyNumberFormat="1" applyFont="1" applyBorder="1" applyAlignment="1">
      <alignment horizontal="center"/>
    </xf>
    <xf numFmtId="1" fontId="3" fillId="0" borderId="45" xfId="0" applyNumberFormat="1" applyFont="1" applyBorder="1" applyAlignment="1">
      <alignment horizontal="center" vertical="center" wrapText="1"/>
    </xf>
    <xf numFmtId="1" fontId="3" fillId="0" borderId="46" xfId="0" applyNumberFormat="1" applyFont="1" applyBorder="1" applyAlignment="1">
      <alignment horizontal="center" vertical="center" wrapText="1"/>
    </xf>
    <xf numFmtId="0" fontId="12" fillId="0" borderId="46" xfId="0" applyFont="1" applyBorder="1" applyAlignment="1">
      <alignment horizontal="center" vertical="center"/>
    </xf>
    <xf numFmtId="1" fontId="7" fillId="0" borderId="46" xfId="0" applyNumberFormat="1" applyFont="1" applyBorder="1" applyAlignment="1">
      <alignment horizontal="center" vertical="top" wrapText="1"/>
    </xf>
    <xf numFmtId="0" fontId="7" fillId="0" borderId="2" xfId="2" applyFont="1" applyBorder="1" applyAlignment="1" applyProtection="1">
      <alignment horizontal="center" vertical="top" wrapText="1"/>
      <protection locked="0"/>
    </xf>
    <xf numFmtId="0" fontId="7" fillId="0" borderId="19" xfId="2" applyFont="1" applyBorder="1" applyAlignment="1" applyProtection="1">
      <alignment horizontal="center" vertical="top" wrapText="1"/>
      <protection locked="0"/>
    </xf>
    <xf numFmtId="0" fontId="7" fillId="0" borderId="22" xfId="2" applyFont="1" applyBorder="1" applyAlignment="1" applyProtection="1">
      <alignment horizontal="center" vertical="top" wrapText="1"/>
      <protection locked="0"/>
    </xf>
    <xf numFmtId="9" fontId="7" fillId="0" borderId="1" xfId="2" applyNumberFormat="1" applyFont="1" applyBorder="1" applyAlignment="1" applyProtection="1">
      <alignment horizontal="center" vertical="center" wrapText="1"/>
      <protection hidden="1"/>
    </xf>
    <xf numFmtId="9" fontId="7" fillId="0" borderId="4" xfId="2" applyNumberFormat="1" applyFont="1" applyBorder="1" applyAlignment="1" applyProtection="1">
      <alignment horizontal="center" vertical="center" wrapText="1"/>
      <protection hidden="1"/>
    </xf>
    <xf numFmtId="9" fontId="7" fillId="0" borderId="2" xfId="2" applyNumberFormat="1" applyFont="1" applyBorder="1" applyAlignment="1" applyProtection="1">
      <alignment horizontal="center" vertical="center" wrapText="1"/>
      <protection hidden="1"/>
    </xf>
    <xf numFmtId="9" fontId="7" fillId="0" borderId="25" xfId="2" applyNumberFormat="1" applyFont="1" applyBorder="1" applyAlignment="1" applyProtection="1">
      <alignment horizontal="center" vertical="center" wrapText="1"/>
      <protection hidden="1"/>
    </xf>
    <xf numFmtId="9" fontId="7" fillId="0" borderId="6" xfId="2" applyNumberFormat="1" applyFont="1" applyBorder="1" applyAlignment="1" applyProtection="1">
      <alignment horizontal="center" vertical="center" wrapText="1"/>
      <protection hidden="1"/>
    </xf>
    <xf numFmtId="9" fontId="7" fillId="0" borderId="12" xfId="2" applyNumberFormat="1" applyFont="1" applyBorder="1" applyAlignment="1" applyProtection="1">
      <alignment horizontal="center" vertical="center" wrapText="1"/>
      <protection hidden="1"/>
    </xf>
    <xf numFmtId="9" fontId="7" fillId="0" borderId="23" xfId="2" applyNumberFormat="1" applyFont="1" applyBorder="1" applyAlignment="1" applyProtection="1">
      <alignment horizontal="center" vertical="center" wrapText="1"/>
      <protection hidden="1"/>
    </xf>
    <xf numFmtId="9" fontId="7" fillId="0" borderId="8" xfId="2" applyNumberFormat="1" applyFont="1" applyBorder="1" applyAlignment="1" applyProtection="1">
      <alignment horizontal="center" vertical="center" wrapText="1"/>
      <protection hidden="1"/>
    </xf>
    <xf numFmtId="9" fontId="7" fillId="0" borderId="0" xfId="2" applyNumberFormat="1" applyFont="1" applyAlignment="1" applyProtection="1">
      <alignment horizontal="center" vertical="center" wrapText="1"/>
      <protection hidden="1"/>
    </xf>
    <xf numFmtId="9" fontId="7" fillId="0" borderId="21" xfId="2" applyNumberFormat="1" applyFont="1" applyBorder="1" applyAlignment="1" applyProtection="1">
      <alignment horizontal="center" vertical="center" wrapText="1"/>
      <protection hidden="1"/>
    </xf>
    <xf numFmtId="9" fontId="7" fillId="0" borderId="26" xfId="2" applyNumberFormat="1" applyFont="1" applyBorder="1" applyAlignment="1" applyProtection="1">
      <alignment horizontal="center" vertical="center" wrapText="1"/>
      <protection hidden="1"/>
    </xf>
    <xf numFmtId="9" fontId="7" fillId="0" borderId="30" xfId="2" applyNumberFormat="1" applyFont="1" applyBorder="1" applyAlignment="1" applyProtection="1">
      <alignment horizontal="center" vertical="center" wrapText="1"/>
      <protection hidden="1"/>
    </xf>
    <xf numFmtId="9" fontId="7" fillId="0" borderId="28" xfId="2" applyNumberFormat="1" applyFont="1" applyBorder="1" applyAlignment="1" applyProtection="1">
      <alignment horizontal="center" vertical="center" wrapText="1"/>
      <protection hidden="1"/>
    </xf>
    <xf numFmtId="1" fontId="3" fillId="0" borderId="5"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0" fontId="12" fillId="0" borderId="2" xfId="0" applyFont="1" applyBorder="1" applyAlignment="1">
      <alignment horizontal="center" vertical="center"/>
    </xf>
    <xf numFmtId="1" fontId="7" fillId="0" borderId="2" xfId="0" applyNumberFormat="1" applyFont="1" applyBorder="1" applyAlignment="1">
      <alignment horizontal="center" vertical="top" wrapText="1"/>
    </xf>
    <xf numFmtId="1" fontId="2" fillId="0" borderId="1" xfId="0" applyNumberFormat="1" applyFont="1" applyBorder="1" applyAlignment="1">
      <alignment horizontal="center" vertical="top" wrapText="1"/>
    </xf>
    <xf numFmtId="1" fontId="2" fillId="0" borderId="4" xfId="0" applyNumberFormat="1" applyFont="1" applyBorder="1" applyAlignment="1">
      <alignment horizontal="center" vertical="top" wrapText="1"/>
    </xf>
    <xf numFmtId="1" fontId="2" fillId="0" borderId="43" xfId="0" applyNumberFormat="1" applyFont="1" applyBorder="1" applyAlignment="1">
      <alignment horizontal="center" vertical="center" wrapText="1"/>
    </xf>
    <xf numFmtId="1" fontId="2" fillId="0" borderId="44" xfId="0" applyNumberFormat="1" applyFont="1" applyBorder="1" applyAlignment="1">
      <alignment horizontal="center" vertical="center" wrapText="1"/>
    </xf>
    <xf numFmtId="0" fontId="13" fillId="0" borderId="44" xfId="0" applyFont="1" applyBorder="1" applyAlignment="1">
      <alignment horizontal="center" vertical="center"/>
    </xf>
    <xf numFmtId="1" fontId="6" fillId="0" borderId="44" xfId="0" applyNumberFormat="1" applyFont="1" applyBorder="1" applyAlignment="1">
      <alignment horizontal="center" vertical="top" wrapText="1"/>
    </xf>
    <xf numFmtId="0" fontId="6" fillId="0" borderId="2" xfId="2" applyFont="1" applyBorder="1" applyAlignment="1" applyProtection="1">
      <alignment horizontal="center" vertical="top" wrapText="1"/>
      <protection locked="0"/>
    </xf>
    <xf numFmtId="0" fontId="6" fillId="0" borderId="2" xfId="2" applyFont="1" applyBorder="1" applyAlignment="1" applyProtection="1">
      <alignment horizontal="left" vertical="top" wrapText="1"/>
      <protection locked="0"/>
    </xf>
    <xf numFmtId="0" fontId="7" fillId="0" borderId="2" xfId="2" applyFont="1" applyBorder="1" applyAlignment="1" applyProtection="1">
      <alignment horizontal="center" vertical="top"/>
      <protection locked="0"/>
    </xf>
    <xf numFmtId="0" fontId="6" fillId="0" borderId="22" xfId="2" applyFont="1" applyBorder="1" applyAlignment="1" applyProtection="1">
      <alignment horizontal="left" vertical="top"/>
      <protection locked="0"/>
    </xf>
    <xf numFmtId="0" fontId="6" fillId="0" borderId="2" xfId="2" applyFont="1" applyBorder="1" applyAlignment="1" applyProtection="1">
      <alignment horizontal="left" vertical="top"/>
      <protection locked="0"/>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4" xfId="0" applyFont="1" applyBorder="1" applyAlignment="1">
      <alignment horizontal="left" vertical="top" wrapText="1"/>
    </xf>
    <xf numFmtId="1" fontId="2" fillId="0" borderId="40" xfId="0" applyNumberFormat="1" applyFont="1" applyBorder="1" applyAlignment="1">
      <alignment horizontal="center" vertical="center" wrapText="1"/>
    </xf>
    <xf numFmtId="1" fontId="2" fillId="0" borderId="41" xfId="0" applyNumberFormat="1" applyFont="1" applyBorder="1" applyAlignment="1">
      <alignment horizontal="center" vertical="center" wrapText="1"/>
    </xf>
    <xf numFmtId="0" fontId="13" fillId="0" borderId="41" xfId="0" applyFont="1" applyBorder="1" applyAlignment="1">
      <alignment horizontal="center" vertical="center"/>
    </xf>
    <xf numFmtId="1" fontId="6" fillId="0" borderId="41" xfId="0" applyNumberFormat="1" applyFont="1" applyBorder="1" applyAlignment="1">
      <alignment horizontal="center" vertical="top" wrapText="1"/>
    </xf>
    <xf numFmtId="1" fontId="2" fillId="0" borderId="41" xfId="0" applyNumberFormat="1" applyFont="1" applyBorder="1" applyAlignment="1">
      <alignment horizontal="center" vertical="top" wrapText="1"/>
    </xf>
    <xf numFmtId="1" fontId="2" fillId="0" borderId="42" xfId="0" applyNumberFormat="1" applyFont="1" applyBorder="1" applyAlignment="1">
      <alignment horizontal="center" vertical="top" wrapText="1"/>
    </xf>
    <xf numFmtId="1" fontId="3" fillId="0" borderId="1" xfId="0" applyNumberFormat="1" applyFont="1" applyBorder="1" applyAlignment="1">
      <alignment horizontal="center" vertical="top" wrapText="1"/>
    </xf>
    <xf numFmtId="1" fontId="3" fillId="0" borderId="5" xfId="0" applyNumberFormat="1" applyFont="1" applyBorder="1" applyAlignment="1">
      <alignment horizontal="center" vertical="top" wrapText="1"/>
    </xf>
    <xf numFmtId="1" fontId="3" fillId="0" borderId="4" xfId="0" applyNumberFormat="1" applyFont="1" applyBorder="1" applyAlignment="1">
      <alignment horizontal="center" vertical="top" wrapText="1"/>
    </xf>
    <xf numFmtId="0" fontId="6" fillId="0" borderId="1" xfId="2" applyFont="1" applyBorder="1" applyAlignment="1" applyProtection="1">
      <alignment horizontal="left" vertical="top" wrapText="1"/>
      <protection locked="0"/>
    </xf>
    <xf numFmtId="0" fontId="6" fillId="0" borderId="5" xfId="2" applyFont="1" applyBorder="1" applyAlignment="1" applyProtection="1">
      <alignment horizontal="left" vertical="top" wrapText="1"/>
      <protection locked="0"/>
    </xf>
    <xf numFmtId="0" fontId="6" fillId="0" borderId="36" xfId="2" applyFont="1" applyBorder="1" applyAlignment="1" applyProtection="1">
      <alignment horizontal="left" vertical="top" wrapText="1"/>
      <protection locked="0"/>
    </xf>
    <xf numFmtId="0" fontId="7" fillId="0" borderId="37" xfId="2" applyFont="1" applyBorder="1" applyAlignment="1" applyProtection="1">
      <alignment horizontal="center" vertical="top" wrapText="1"/>
      <protection locked="0"/>
    </xf>
    <xf numFmtId="0" fontId="7" fillId="0" borderId="4" xfId="2" applyFont="1" applyBorder="1" applyAlignment="1" applyProtection="1">
      <alignment horizontal="center" vertical="top" wrapText="1"/>
      <protection locked="0"/>
    </xf>
    <xf numFmtId="0" fontId="7" fillId="0" borderId="1" xfId="0" applyFont="1" applyBorder="1" applyAlignment="1">
      <alignment horizontal="left" vertical="top"/>
    </xf>
    <xf numFmtId="0" fontId="7" fillId="0" borderId="5" xfId="0" applyFont="1" applyBorder="1" applyAlignment="1">
      <alignment horizontal="left" vertical="top"/>
    </xf>
    <xf numFmtId="0" fontId="7" fillId="0" borderId="4" xfId="0" applyFont="1" applyBorder="1" applyAlignment="1">
      <alignment horizontal="left" vertical="top"/>
    </xf>
    <xf numFmtId="0" fontId="2" fillId="0" borderId="1" xfId="0" applyFont="1" applyBorder="1" applyAlignment="1">
      <alignment horizontal="left" vertical="top"/>
    </xf>
    <xf numFmtId="0" fontId="2" fillId="0" borderId="5" xfId="0" applyFont="1" applyBorder="1" applyAlignment="1">
      <alignment horizontal="left" vertical="top"/>
    </xf>
    <xf numFmtId="0" fontId="2" fillId="0" borderId="4" xfId="0" applyFont="1" applyBorder="1" applyAlignment="1">
      <alignment horizontal="left" vertical="top"/>
    </xf>
    <xf numFmtId="0" fontId="7" fillId="0" borderId="1" xfId="2" applyFont="1" applyBorder="1" applyAlignment="1" applyProtection="1">
      <alignment horizontal="center" vertical="top"/>
      <protection locked="0"/>
    </xf>
    <xf numFmtId="0" fontId="7" fillId="0" borderId="36" xfId="2" applyFont="1" applyBorder="1" applyAlignment="1" applyProtection="1">
      <alignment horizontal="center" vertical="top"/>
      <protection locked="0"/>
    </xf>
    <xf numFmtId="0" fontId="7" fillId="0" borderId="24" xfId="2" applyFont="1" applyBorder="1" applyAlignment="1" applyProtection="1">
      <alignment horizontal="center" vertical="top" wrapText="1"/>
      <protection locked="0"/>
    </xf>
    <xf numFmtId="0" fontId="7" fillId="0" borderId="25" xfId="2" applyFont="1" applyBorder="1" applyAlignment="1" applyProtection="1">
      <alignment horizontal="center" vertical="top" wrapText="1"/>
      <protection locked="0"/>
    </xf>
    <xf numFmtId="9" fontId="7" fillId="0" borderId="38" xfId="2" applyNumberFormat="1" applyFont="1" applyBorder="1" applyAlignment="1" applyProtection="1">
      <alignment horizontal="center" vertical="center" wrapText="1"/>
      <protection hidden="1"/>
    </xf>
    <xf numFmtId="9" fontId="7" fillId="0" borderId="39" xfId="2" applyNumberFormat="1" applyFont="1" applyBorder="1" applyAlignment="1" applyProtection="1">
      <alignment horizontal="center" vertical="center" wrapText="1"/>
      <protection hidden="1"/>
    </xf>
    <xf numFmtId="0" fontId="2" fillId="0" borderId="1" xfId="0" applyFont="1" applyBorder="1" applyAlignment="1">
      <alignment vertical="top"/>
    </xf>
    <xf numFmtId="0" fontId="2" fillId="0" borderId="5" xfId="0" applyFont="1" applyBorder="1" applyAlignment="1">
      <alignment vertical="top"/>
    </xf>
    <xf numFmtId="0" fontId="2" fillId="0" borderId="4" xfId="0" applyFont="1" applyBorder="1" applyAlignment="1">
      <alignment vertical="top"/>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4" xfId="0" applyFont="1" applyBorder="1" applyAlignment="1">
      <alignment horizontal="left" vertical="top"/>
    </xf>
    <xf numFmtId="0" fontId="3" fillId="0" borderId="2" xfId="0" applyFont="1" applyBorder="1" applyAlignment="1">
      <alignment horizontal="left" vertical="top" wrapText="1"/>
    </xf>
    <xf numFmtId="14" fontId="3" fillId="0" borderId="2" xfId="0" applyNumberFormat="1" applyFont="1" applyBorder="1" applyAlignment="1">
      <alignment horizontal="left" vertical="top" wrapText="1"/>
    </xf>
    <xf numFmtId="0" fontId="3" fillId="0" borderId="4" xfId="0" applyFont="1" applyBorder="1" applyAlignment="1">
      <alignment horizontal="left" vertical="top"/>
    </xf>
    <xf numFmtId="0" fontId="3" fillId="0" borderId="2" xfId="0" applyFont="1" applyBorder="1" applyAlignment="1">
      <alignment horizontal="left" vertical="top"/>
    </xf>
    <xf numFmtId="0" fontId="2" fillId="0" borderId="1" xfId="0" applyFont="1" applyBorder="1" applyAlignment="1">
      <alignment horizontal="center" vertical="top"/>
    </xf>
    <xf numFmtId="0" fontId="2" fillId="0" borderId="5" xfId="0" applyFont="1" applyBorder="1" applyAlignment="1">
      <alignment horizontal="center" vertical="top"/>
    </xf>
    <xf numFmtId="0" fontId="2" fillId="0" borderId="4" xfId="0" applyFont="1" applyBorder="1" applyAlignment="1">
      <alignment horizontal="center" vertical="top"/>
    </xf>
    <xf numFmtId="14" fontId="7" fillId="0" borderId="1" xfId="0" applyNumberFormat="1" applyFont="1" applyBorder="1" applyAlignment="1">
      <alignment horizontal="left" vertical="top"/>
    </xf>
    <xf numFmtId="14" fontId="7" fillId="0" borderId="5" xfId="0" applyNumberFormat="1" applyFont="1" applyBorder="1" applyAlignment="1">
      <alignment horizontal="left" vertical="top"/>
    </xf>
    <xf numFmtId="14" fontId="7" fillId="0" borderId="4" xfId="0" applyNumberFormat="1" applyFont="1" applyBorder="1" applyAlignment="1">
      <alignment horizontal="left" vertical="top"/>
    </xf>
    <xf numFmtId="0" fontId="7" fillId="0" borderId="1" xfId="0" applyFont="1" applyBorder="1" applyAlignment="1">
      <alignment horizontal="left" vertical="top" wrapText="1"/>
    </xf>
    <xf numFmtId="0" fontId="7" fillId="0" borderId="5" xfId="0" applyFont="1" applyBorder="1" applyAlignment="1">
      <alignment horizontal="left" vertical="top" wrapText="1"/>
    </xf>
    <xf numFmtId="0" fontId="7" fillId="0" borderId="4" xfId="0" applyFont="1" applyBorder="1" applyAlignment="1">
      <alignment horizontal="left" vertical="top" wrapText="1"/>
    </xf>
    <xf numFmtId="0" fontId="3" fillId="0" borderId="1" xfId="0" applyFont="1" applyBorder="1" applyAlignment="1">
      <alignment horizontal="center" vertical="top"/>
    </xf>
    <xf numFmtId="0" fontId="3" fillId="0" borderId="4" xfId="0" applyFont="1" applyBorder="1" applyAlignment="1">
      <alignment horizontal="center" vertical="top"/>
    </xf>
    <xf numFmtId="0" fontId="6" fillId="0" borderId="1" xfId="0" applyFont="1" applyBorder="1" applyAlignment="1">
      <alignment horizontal="left" vertical="top"/>
    </xf>
    <xf numFmtId="0" fontId="6" fillId="0" borderId="5" xfId="0" applyFont="1" applyBorder="1" applyAlignment="1">
      <alignment horizontal="left" vertical="top"/>
    </xf>
    <xf numFmtId="0" fontId="6" fillId="0" borderId="4" xfId="0" applyFont="1" applyBorder="1" applyAlignment="1">
      <alignment horizontal="left" vertical="top"/>
    </xf>
    <xf numFmtId="0" fontId="3" fillId="0" borderId="1" xfId="0" applyFont="1" applyBorder="1" applyAlignment="1">
      <alignment vertical="top"/>
    </xf>
    <xf numFmtId="0" fontId="4" fillId="0" borderId="5" xfId="0" applyFont="1" applyBorder="1" applyAlignment="1">
      <alignment vertical="top"/>
    </xf>
    <xf numFmtId="0" fontId="4" fillId="0" borderId="4" xfId="0" applyFont="1" applyBorder="1" applyAlignment="1">
      <alignment vertical="top"/>
    </xf>
    <xf numFmtId="0" fontId="7" fillId="0" borderId="1" xfId="0" applyFont="1" applyBorder="1" applyAlignment="1">
      <alignment vertical="top" wrapText="1"/>
    </xf>
    <xf numFmtId="0" fontId="7" fillId="0" borderId="5" xfId="0" applyFont="1" applyBorder="1" applyAlignment="1">
      <alignment vertical="top" wrapText="1"/>
    </xf>
    <xf numFmtId="0" fontId="7" fillId="0" borderId="4" xfId="0" applyFont="1" applyBorder="1" applyAlignment="1">
      <alignment vertical="top" wrapText="1"/>
    </xf>
    <xf numFmtId="0" fontId="4" fillId="0" borderId="1" xfId="0" applyFont="1" applyBorder="1" applyAlignment="1">
      <alignment horizontal="center" vertical="top"/>
    </xf>
    <xf numFmtId="0" fontId="4" fillId="0" borderId="4" xfId="0" applyFont="1" applyBorder="1" applyAlignment="1">
      <alignment horizontal="center" vertical="top"/>
    </xf>
    <xf numFmtId="0" fontId="7" fillId="0" borderId="1" xfId="0" applyFont="1" applyBorder="1" applyAlignment="1">
      <alignment vertical="top"/>
    </xf>
    <xf numFmtId="0" fontId="7" fillId="0" borderId="5" xfId="0" applyFont="1" applyBorder="1" applyAlignment="1">
      <alignment vertical="top"/>
    </xf>
    <xf numFmtId="0" fontId="7" fillId="0" borderId="4" xfId="0" applyFont="1" applyBorder="1" applyAlignment="1">
      <alignment vertical="top"/>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left" vertical="top" wrapText="1"/>
    </xf>
    <xf numFmtId="0" fontId="3" fillId="0" borderId="6" xfId="0" applyFont="1" applyBorder="1" applyAlignment="1">
      <alignment horizontal="left" vertical="top"/>
    </xf>
    <xf numFmtId="0" fontId="3" fillId="0" borderId="12" xfId="0" applyFont="1" applyBorder="1" applyAlignment="1">
      <alignment horizontal="left" vertical="top"/>
    </xf>
    <xf numFmtId="0" fontId="3" fillId="0" borderId="7" xfId="0" applyFont="1" applyBorder="1" applyAlignment="1">
      <alignment horizontal="left" vertical="top"/>
    </xf>
    <xf numFmtId="0" fontId="3" fillId="0" borderId="10" xfId="0" applyFont="1" applyBorder="1" applyAlignment="1">
      <alignment horizontal="left" vertical="top"/>
    </xf>
    <xf numFmtId="0" fontId="3" fillId="0" borderId="3" xfId="0" applyFont="1" applyBorder="1" applyAlignment="1">
      <alignment horizontal="left" vertical="top"/>
    </xf>
    <xf numFmtId="0" fontId="3" fillId="0" borderId="11" xfId="0" applyFont="1" applyBorder="1" applyAlignment="1">
      <alignment horizontal="left" vertical="top"/>
    </xf>
    <xf numFmtId="0" fontId="4" fillId="0" borderId="1" xfId="0" applyFont="1" applyBorder="1" applyAlignment="1">
      <alignment vertical="top"/>
    </xf>
    <xf numFmtId="0" fontId="2" fillId="0" borderId="1" xfId="1" applyFont="1" applyBorder="1" applyAlignment="1">
      <alignment horizontal="left" vertical="top" wrapText="1"/>
    </xf>
    <xf numFmtId="0" fontId="2" fillId="0" borderId="5" xfId="1" applyFont="1" applyBorder="1" applyAlignment="1">
      <alignment horizontal="left" vertical="top" wrapText="1"/>
    </xf>
    <xf numFmtId="0" fontId="2" fillId="0" borderId="4" xfId="1" applyFont="1" applyBorder="1" applyAlignment="1">
      <alignment horizontal="left" vertical="top" wrapText="1"/>
    </xf>
    <xf numFmtId="1" fontId="6" fillId="0" borderId="6"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2" fillId="0" borderId="6" xfId="0" applyFont="1" applyBorder="1" applyAlignment="1">
      <alignment horizontal="center" vertical="top" wrapText="1"/>
    </xf>
    <xf numFmtId="0" fontId="2" fillId="0" borderId="12"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0" xfId="0" applyFont="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3" xfId="0" applyFont="1" applyBorder="1" applyAlignment="1">
      <alignment horizontal="center" vertical="top" wrapText="1"/>
    </xf>
    <xf numFmtId="0" fontId="2" fillId="0" borderId="11" xfId="0" applyFont="1" applyBorder="1" applyAlignment="1">
      <alignment horizontal="center" vertical="top" wrapText="1"/>
    </xf>
    <xf numFmtId="0" fontId="2" fillId="0" borderId="10" xfId="0" applyFont="1" applyBorder="1" applyAlignment="1">
      <alignment horizontal="center" vertical="top"/>
    </xf>
    <xf numFmtId="0" fontId="2" fillId="0" borderId="3" xfId="0" applyFont="1" applyBorder="1" applyAlignment="1">
      <alignment horizontal="center" vertical="top"/>
    </xf>
    <xf numFmtId="0" fontId="2" fillId="0" borderId="11" xfId="0" applyFont="1" applyBorder="1" applyAlignment="1">
      <alignment horizontal="center" vertical="top"/>
    </xf>
    <xf numFmtId="1" fontId="2" fillId="0" borderId="5"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1" fontId="6" fillId="0" borderId="4"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horizontal="center" vertical="top" wrapText="1"/>
    </xf>
    <xf numFmtId="164" fontId="3" fillId="0" borderId="1" xfId="0" applyNumberFormat="1" applyFont="1" applyBorder="1" applyAlignment="1">
      <alignment horizontal="left" vertical="top"/>
    </xf>
    <xf numFmtId="164" fontId="3" fillId="0" borderId="5" xfId="0" applyNumberFormat="1" applyFont="1" applyBorder="1" applyAlignment="1">
      <alignment horizontal="left" vertical="top"/>
    </xf>
    <xf numFmtId="164" fontId="3" fillId="0" borderId="4" xfId="0" applyNumberFormat="1" applyFont="1" applyBorder="1" applyAlignment="1">
      <alignment horizontal="left" vertical="top"/>
    </xf>
    <xf numFmtId="0" fontId="7" fillId="0" borderId="6" xfId="0" applyFont="1" applyBorder="1" applyAlignment="1">
      <alignment horizontal="left" vertical="top" wrapText="1"/>
    </xf>
    <xf numFmtId="0" fontId="7" fillId="0" borderId="12" xfId="0" applyFont="1" applyBorder="1" applyAlignment="1">
      <alignment horizontal="left" vertical="top" wrapText="1"/>
    </xf>
    <xf numFmtId="0" fontId="7" fillId="0" borderId="7" xfId="0" applyFont="1" applyBorder="1" applyAlignment="1">
      <alignment horizontal="left" vertical="top" wrapText="1"/>
    </xf>
    <xf numFmtId="0" fontId="7" fillId="0" borderId="10" xfId="0" applyFont="1" applyBorder="1" applyAlignment="1">
      <alignment horizontal="left" vertical="top" wrapText="1"/>
    </xf>
    <xf numFmtId="0" fontId="7" fillId="0" borderId="3" xfId="0" applyFont="1" applyBorder="1" applyAlignment="1">
      <alignment horizontal="left" vertical="top" wrapText="1"/>
    </xf>
    <xf numFmtId="0" fontId="7" fillId="0" borderId="11" xfId="0" applyFont="1" applyBorder="1" applyAlignment="1">
      <alignment horizontal="left" vertical="top" wrapText="1"/>
    </xf>
    <xf numFmtId="1" fontId="12" fillId="0" borderId="1" xfId="0" applyNumberFormat="1" applyFont="1" applyBorder="1" applyAlignment="1">
      <alignment horizontal="center" vertical="top" wrapText="1"/>
    </xf>
    <xf numFmtId="1" fontId="12" fillId="0" borderId="5" xfId="0" applyNumberFormat="1" applyFont="1" applyBorder="1" applyAlignment="1">
      <alignment horizontal="center" vertical="top" wrapText="1"/>
    </xf>
    <xf numFmtId="1" fontId="12" fillId="0" borderId="4" xfId="0" applyNumberFormat="1" applyFont="1" applyBorder="1" applyAlignment="1">
      <alignment horizontal="center" vertical="top" wrapText="1"/>
    </xf>
    <xf numFmtId="0" fontId="6" fillId="0" borderId="31" xfId="2" applyFont="1" applyBorder="1" applyAlignment="1" applyProtection="1">
      <alignment horizontal="center" vertical="top" wrapText="1"/>
      <protection locked="0"/>
    </xf>
    <xf numFmtId="0" fontId="6" fillId="0" borderId="32" xfId="2" applyFont="1" applyBorder="1" applyAlignment="1" applyProtection="1">
      <alignment horizontal="center" vertical="top" wrapText="1"/>
      <protection locked="0"/>
    </xf>
    <xf numFmtId="0" fontId="6" fillId="0" borderId="33" xfId="2" applyFont="1" applyBorder="1" applyAlignment="1" applyProtection="1">
      <alignment horizontal="left" vertical="top" wrapText="1"/>
      <protection locked="0"/>
    </xf>
    <xf numFmtId="0" fontId="6" fillId="0" borderId="34" xfId="2" applyFont="1" applyBorder="1" applyAlignment="1" applyProtection="1">
      <alignment horizontal="left" vertical="top" wrapText="1"/>
      <protection locked="0"/>
    </xf>
    <xf numFmtId="0" fontId="6" fillId="0" borderId="35" xfId="2" applyFont="1" applyBorder="1" applyAlignment="1" applyProtection="1">
      <alignment horizontal="left" vertical="top" wrapText="1"/>
      <protection locked="0"/>
    </xf>
    <xf numFmtId="0" fontId="7" fillId="0" borderId="4" xfId="2" applyFont="1" applyBorder="1" applyAlignment="1" applyProtection="1">
      <alignment horizontal="center" vertical="top"/>
      <protection locked="0"/>
    </xf>
    <xf numFmtId="0" fontId="13" fillId="0" borderId="1" xfId="0" applyFont="1" applyBorder="1" applyAlignment="1">
      <alignment horizontal="center" vertical="top" wrapText="1"/>
    </xf>
    <xf numFmtId="0" fontId="13" fillId="0" borderId="5" xfId="0" applyFont="1" applyBorder="1" applyAlignment="1">
      <alignment horizontal="center" vertical="top" wrapText="1"/>
    </xf>
    <xf numFmtId="0" fontId="13" fillId="0" borderId="4" xfId="0" applyFont="1" applyBorder="1" applyAlignment="1">
      <alignment horizontal="center" vertical="top" wrapText="1"/>
    </xf>
    <xf numFmtId="0" fontId="23" fillId="0" borderId="1" xfId="3" applyFill="1" applyBorder="1" applyAlignment="1">
      <alignment horizontal="left" vertical="top"/>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5" fillId="0" borderId="13" xfId="2" applyFont="1" applyBorder="1" applyAlignment="1" applyProtection="1">
      <alignment horizontal="left" vertical="top" wrapText="1"/>
      <protection locked="0"/>
    </xf>
    <xf numFmtId="0" fontId="5" fillId="0" borderId="14" xfId="2" applyFont="1" applyBorder="1" applyAlignment="1" applyProtection="1">
      <alignment horizontal="left" vertical="top" wrapText="1"/>
      <protection locked="0"/>
    </xf>
    <xf numFmtId="0" fontId="5" fillId="0" borderId="15" xfId="2" applyFont="1" applyBorder="1" applyAlignment="1" applyProtection="1">
      <alignment horizontal="left" vertical="top" wrapText="1"/>
      <protection locked="0"/>
    </xf>
    <xf numFmtId="0" fontId="8" fillId="0" borderId="1" xfId="2" applyFont="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9" fillId="0" borderId="1" xfId="2" applyFont="1" applyBorder="1" applyAlignment="1" applyProtection="1">
      <alignment horizontal="center" vertical="top"/>
      <protection locked="0"/>
    </xf>
    <xf numFmtId="0" fontId="19" fillId="0" borderId="4" xfId="2" applyFont="1" applyBorder="1" applyAlignment="1" applyProtection="1">
      <alignment horizontal="center" vertical="top"/>
      <protection locked="0"/>
    </xf>
    <xf numFmtId="0" fontId="10" fillId="0" borderId="22" xfId="2" applyFont="1" applyBorder="1" applyAlignment="1" applyProtection="1">
      <alignment horizontal="center" vertical="top"/>
      <protection locked="0"/>
    </xf>
    <xf numFmtId="0" fontId="10" fillId="0" borderId="2" xfId="2" applyFont="1" applyBorder="1" applyAlignment="1" applyProtection="1">
      <alignment horizontal="center" vertical="top"/>
      <protection locked="0"/>
    </xf>
    <xf numFmtId="0" fontId="10" fillId="0" borderId="2"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5" fillId="0" borderId="22" xfId="2" applyFont="1" applyBorder="1" applyAlignment="1" applyProtection="1">
      <alignment horizontal="center" vertical="top" wrapText="1"/>
      <protection locked="0"/>
    </xf>
    <xf numFmtId="0" fontId="15" fillId="0" borderId="2" xfId="2" applyFont="1" applyBorder="1" applyAlignment="1" applyProtection="1">
      <alignment horizontal="center" vertical="top" wrapText="1"/>
      <protection locked="0"/>
    </xf>
    <xf numFmtId="0" fontId="15" fillId="0" borderId="2" xfId="2" applyFont="1" applyBorder="1" applyAlignment="1" applyProtection="1">
      <alignment horizontal="center" vertical="center" wrapText="1"/>
      <protection locked="0"/>
    </xf>
    <xf numFmtId="0" fontId="15" fillId="0" borderId="19" xfId="2" applyFont="1" applyBorder="1" applyAlignment="1" applyProtection="1">
      <alignment horizontal="center" vertical="center" wrapText="1"/>
      <protection locked="0"/>
    </xf>
    <xf numFmtId="9" fontId="15" fillId="2" borderId="6" xfId="2" applyNumberFormat="1" applyFont="1" applyFill="1" applyBorder="1" applyAlignment="1" applyProtection="1">
      <alignment horizontal="center" vertical="center" wrapText="1"/>
      <protection hidden="1"/>
    </xf>
    <xf numFmtId="9" fontId="15" fillId="2" borderId="7" xfId="2" applyNumberFormat="1" applyFont="1" applyFill="1" applyBorder="1" applyAlignment="1" applyProtection="1">
      <alignment horizontal="center" vertical="center" wrapText="1"/>
      <protection hidden="1"/>
    </xf>
    <xf numFmtId="9" fontId="15" fillId="2" borderId="8" xfId="2" applyNumberFormat="1" applyFont="1" applyFill="1" applyBorder="1" applyAlignment="1" applyProtection="1">
      <alignment horizontal="center" vertical="center" wrapText="1"/>
      <protection hidden="1"/>
    </xf>
    <xf numFmtId="9" fontId="15" fillId="2" borderId="9" xfId="2" applyNumberFormat="1" applyFont="1" applyFill="1" applyBorder="1" applyAlignment="1" applyProtection="1">
      <alignment horizontal="center" vertical="center" wrapText="1"/>
      <protection hidden="1"/>
    </xf>
    <xf numFmtId="9" fontId="15" fillId="2" borderId="26" xfId="2" applyNumberFormat="1" applyFont="1" applyFill="1" applyBorder="1" applyAlignment="1" applyProtection="1">
      <alignment horizontal="center" vertical="center" wrapText="1"/>
      <protection hidden="1"/>
    </xf>
    <xf numFmtId="9" fontId="15" fillId="2" borderId="27" xfId="2" applyNumberFormat="1" applyFont="1" applyFill="1" applyBorder="1" applyAlignment="1" applyProtection="1">
      <alignment horizontal="center" vertical="center" wrapText="1"/>
      <protection hidden="1"/>
    </xf>
    <xf numFmtId="9" fontId="15" fillId="2" borderId="23" xfId="2" applyNumberFormat="1" applyFont="1" applyFill="1" applyBorder="1" applyAlignment="1" applyProtection="1">
      <alignment horizontal="center" vertical="center" wrapText="1"/>
      <protection hidden="1"/>
    </xf>
    <xf numFmtId="9" fontId="15" fillId="2" borderId="21" xfId="2" applyNumberFormat="1" applyFont="1" applyFill="1" applyBorder="1" applyAlignment="1" applyProtection="1">
      <alignment horizontal="center" vertical="center" wrapText="1"/>
      <protection hidden="1"/>
    </xf>
    <xf numFmtId="9" fontId="15" fillId="2" borderId="28" xfId="2" applyNumberFormat="1" applyFont="1" applyFill="1" applyBorder="1" applyAlignment="1" applyProtection="1">
      <alignment horizontal="center" vertical="center" wrapText="1"/>
      <protection hidden="1"/>
    </xf>
    <xf numFmtId="0" fontId="15" fillId="0" borderId="24" xfId="2" applyFont="1" applyBorder="1" applyAlignment="1" applyProtection="1">
      <alignment horizontal="center" vertical="top" wrapText="1"/>
      <protection locked="0"/>
    </xf>
    <xf numFmtId="0" fontId="15" fillId="0" borderId="25" xfId="2" applyFont="1" applyBorder="1" applyAlignment="1" applyProtection="1">
      <alignment horizontal="center" vertical="top" wrapText="1"/>
      <protection locked="0"/>
    </xf>
    <xf numFmtId="0" fontId="0" fillId="3" borderId="2" xfId="0" applyFill="1" applyBorder="1" applyAlignment="1">
      <alignment horizontal="center" wrapText="1"/>
    </xf>
    <xf numFmtId="0" fontId="11" fillId="0" borderId="2" xfId="0" applyFont="1" applyBorder="1" applyAlignment="1">
      <alignment horizontal="center"/>
    </xf>
  </cellXfs>
  <cellStyles count="8">
    <cellStyle name="Comma 2" xfId="4" xr:uid="{00000000-0005-0000-0000-000000000000}"/>
    <cellStyle name="Excel Built-in Normal" xfId="1" xr:uid="{00000000-0005-0000-0000-000001000000}"/>
    <cellStyle name="Excel Built-in Normal 2" xfId="5" xr:uid="{00000000-0005-0000-0000-000002000000}"/>
    <cellStyle name="Hyperlink" xfId="3" builtinId="8"/>
    <cellStyle name="Normal" xfId="0" builtinId="0"/>
    <cellStyle name="Normal 3" xfId="2" xr:uid="{00000000-0005-0000-0000-000005000000}"/>
    <cellStyle name="Normal 4" xfId="6"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7" Type="http://schemas.openxmlformats.org/officeDocument/2006/relationships/image" Target="../media/image20.png"/><Relationship Id="rId2" Type="http://schemas.openxmlformats.org/officeDocument/2006/relationships/image" Target="../media/image15.jpe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media/image22.jpeg"/><Relationship Id="rId1" Type="http://schemas.openxmlformats.org/officeDocument/2006/relationships/image" Target="../media/image2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media/image22.jpeg"/><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324140</xdr:colOff>
      <xdr:row>270</xdr:row>
      <xdr:rowOff>8659</xdr:rowOff>
    </xdr:from>
    <xdr:to>
      <xdr:col>8</xdr:col>
      <xdr:colOff>343963</xdr:colOff>
      <xdr:row>285</xdr:row>
      <xdr:rowOff>31159</xdr:rowOff>
    </xdr:to>
    <xdr:pic>
      <xdr:nvPicPr>
        <xdr:cNvPr id="1943" name="Picture 1">
          <a:extLst>
            <a:ext uri="{FF2B5EF4-FFF2-40B4-BE49-F238E27FC236}">
              <a16:creationId xmlns:a16="http://schemas.microsoft.com/office/drawing/2014/main" id="{00000000-0008-0000-0000-00009707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904299" y="84105750"/>
          <a:ext cx="4448948"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343189</xdr:colOff>
      <xdr:row>285</xdr:row>
      <xdr:rowOff>145184</xdr:rowOff>
    </xdr:from>
    <xdr:to>
      <xdr:col>8</xdr:col>
      <xdr:colOff>305263</xdr:colOff>
      <xdr:row>300</xdr:row>
      <xdr:rowOff>167684</xdr:rowOff>
    </xdr:to>
    <xdr:pic>
      <xdr:nvPicPr>
        <xdr:cNvPr id="1944" name="Picture 2">
          <a:extLst>
            <a:ext uri="{FF2B5EF4-FFF2-40B4-BE49-F238E27FC236}">
              <a16:creationId xmlns:a16="http://schemas.microsoft.com/office/drawing/2014/main" id="{00000000-0008-0000-0000-00009807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923348" y="87099775"/>
          <a:ext cx="4391199"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996950</xdr:colOff>
      <xdr:row>225</xdr:row>
      <xdr:rowOff>78740</xdr:rowOff>
    </xdr:from>
    <xdr:to>
      <xdr:col>20</xdr:col>
      <xdr:colOff>85598</xdr:colOff>
      <xdr:row>259</xdr:row>
      <xdr:rowOff>62539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512050" y="46370240"/>
          <a:ext cx="5969508" cy="6201719"/>
          <a:chOff x="273050" y="46793150"/>
          <a:chExt cx="6072378" cy="6244899"/>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375428" y="46793150"/>
            <a:ext cx="2970000" cy="3960000"/>
          </a:xfrm>
          <a:prstGeom prst="rect">
            <a:avLst/>
          </a:prstGeom>
          <a:ln>
            <a:solidFill>
              <a:schemeClr val="tx1"/>
            </a:solidFill>
          </a:ln>
        </xdr:spPr>
      </xdr:pic>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07160" y="50878049"/>
            <a:ext cx="1620000" cy="2160000"/>
          </a:xfrm>
          <a:prstGeom prst="rect">
            <a:avLst/>
          </a:prstGeom>
          <a:ln>
            <a:solidFill>
              <a:schemeClr val="tx1"/>
            </a:solidFill>
          </a:ln>
        </xdr:spPr>
      </xdr:pic>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384351" y="50878049"/>
            <a:ext cx="1620000" cy="2160000"/>
          </a:xfrm>
          <a:prstGeom prst="rect">
            <a:avLst/>
          </a:prstGeom>
          <a:ln>
            <a:solidFill>
              <a:schemeClr val="tx1"/>
            </a:solidFill>
          </a:ln>
        </xdr:spPr>
      </xdr:pic>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161542" y="50878049"/>
            <a:ext cx="1620000" cy="2160000"/>
          </a:xfrm>
          <a:prstGeom prst="rect">
            <a:avLst/>
          </a:prstGeom>
          <a:ln>
            <a:solidFill>
              <a:schemeClr val="tx1"/>
            </a:solidFill>
          </a:ln>
        </xdr:spPr>
      </xdr:pic>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73050" y="46793150"/>
            <a:ext cx="2970000" cy="3960000"/>
          </a:xfrm>
          <a:prstGeom prst="rect">
            <a:avLst/>
          </a:prstGeom>
          <a:ln>
            <a:solidFill>
              <a:schemeClr val="tx1"/>
            </a:solidFill>
          </a:ln>
        </xdr:spPr>
      </xdr:pic>
    </xdr:grpSp>
    <xdr:clientData/>
  </xdr:twoCellAnchor>
  <xdr:twoCellAnchor>
    <xdr:from>
      <xdr:col>0</xdr:col>
      <xdr:colOff>312420</xdr:colOff>
      <xdr:row>227</xdr:row>
      <xdr:rowOff>38100</xdr:rowOff>
    </xdr:from>
    <xdr:to>
      <xdr:col>9</xdr:col>
      <xdr:colOff>261176</xdr:colOff>
      <xdr:row>253</xdr:row>
      <xdr:rowOff>120998</xdr:rowOff>
    </xdr:to>
    <xdr:grpSp>
      <xdr:nvGrpSpPr>
        <xdr:cNvPr id="3" name="Group 2">
          <a:extLst>
            <a:ext uri="{FF2B5EF4-FFF2-40B4-BE49-F238E27FC236}">
              <a16:creationId xmlns:a16="http://schemas.microsoft.com/office/drawing/2014/main" id="{373E22F2-0AD0-C5DE-D0A8-4EB4A3BBBC06}"/>
            </a:ext>
          </a:extLst>
        </xdr:cNvPr>
        <xdr:cNvGrpSpPr/>
      </xdr:nvGrpSpPr>
      <xdr:grpSpPr>
        <a:xfrm>
          <a:off x="312420" y="46695360"/>
          <a:ext cx="5884736" cy="4837778"/>
          <a:chOff x="241744" y="350222"/>
          <a:chExt cx="5884736" cy="4837778"/>
        </a:xfrm>
      </xdr:grpSpPr>
      <xdr:grpSp>
        <xdr:nvGrpSpPr>
          <xdr:cNvPr id="4" name="Group 3">
            <a:extLst>
              <a:ext uri="{FF2B5EF4-FFF2-40B4-BE49-F238E27FC236}">
                <a16:creationId xmlns:a16="http://schemas.microsoft.com/office/drawing/2014/main" id="{E969BC97-B6C1-23AD-47FD-881F6F17A487}"/>
              </a:ext>
            </a:extLst>
          </xdr:cNvPr>
          <xdr:cNvGrpSpPr/>
        </xdr:nvGrpSpPr>
        <xdr:grpSpPr>
          <a:xfrm>
            <a:off x="988512" y="3388000"/>
            <a:ext cx="4294394" cy="1800000"/>
            <a:chOff x="2100944" y="3216318"/>
            <a:chExt cx="4294394" cy="1800000"/>
          </a:xfrm>
        </xdr:grpSpPr>
        <xdr:pic>
          <xdr:nvPicPr>
            <xdr:cNvPr id="15" name="Picture 14">
              <a:extLst>
                <a:ext uri="{FF2B5EF4-FFF2-40B4-BE49-F238E27FC236}">
                  <a16:creationId xmlns:a16="http://schemas.microsoft.com/office/drawing/2014/main" id="{E4083CDF-76BF-41A7-7947-CD230A4F06C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b="5352"/>
            <a:stretch/>
          </xdr:blipFill>
          <xdr:spPr>
            <a:xfrm>
              <a:off x="4597004" y="3216318"/>
              <a:ext cx="1798334" cy="1800000"/>
            </a:xfrm>
            <a:prstGeom prst="rect">
              <a:avLst/>
            </a:prstGeom>
            <a:ln>
              <a:solidFill>
                <a:schemeClr val="tx1"/>
              </a:solidFill>
            </a:ln>
          </xdr:spPr>
        </xdr:pic>
        <xdr:pic>
          <xdr:nvPicPr>
            <xdr:cNvPr id="16" name="Picture 15">
              <a:extLst>
                <a:ext uri="{FF2B5EF4-FFF2-40B4-BE49-F238E27FC236}">
                  <a16:creationId xmlns:a16="http://schemas.microsoft.com/office/drawing/2014/main" id="{1F3CC5CE-BB90-D48F-D332-9DA6AFA6E15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00944" y="3216318"/>
              <a:ext cx="2388930" cy="180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BB45E134-3D99-D2C1-FE32-E4152FD1F333}"/>
              </a:ext>
            </a:extLst>
          </xdr:cNvPr>
          <xdr:cNvGrpSpPr/>
        </xdr:nvGrpSpPr>
        <xdr:grpSpPr>
          <a:xfrm>
            <a:off x="241744" y="350222"/>
            <a:ext cx="5884736" cy="2880000"/>
            <a:chOff x="241744" y="350222"/>
            <a:chExt cx="5884736" cy="2880000"/>
          </a:xfrm>
        </xdr:grpSpPr>
        <xdr:pic>
          <xdr:nvPicPr>
            <xdr:cNvPr id="6" name="Picture 5">
              <a:extLst>
                <a:ext uri="{FF2B5EF4-FFF2-40B4-BE49-F238E27FC236}">
                  <a16:creationId xmlns:a16="http://schemas.microsoft.com/office/drawing/2014/main" id="{0F6E8477-6502-C901-B45D-635DFB5E163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249146" y="350222"/>
              <a:ext cx="2877334" cy="2880000"/>
            </a:xfrm>
            <a:prstGeom prst="rect">
              <a:avLst/>
            </a:prstGeom>
            <a:ln>
              <a:solidFill>
                <a:schemeClr val="tx1"/>
              </a:solidFill>
            </a:ln>
          </xdr:spPr>
        </xdr:pic>
        <xdr:pic>
          <xdr:nvPicPr>
            <xdr:cNvPr id="7" name="Picture 6">
              <a:extLst>
                <a:ext uri="{FF2B5EF4-FFF2-40B4-BE49-F238E27FC236}">
                  <a16:creationId xmlns:a16="http://schemas.microsoft.com/office/drawing/2014/main" id="{95673C52-4041-2304-F646-A5794E5A783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41744" y="350222"/>
              <a:ext cx="2877334" cy="2880000"/>
            </a:xfrm>
            <a:prstGeom prst="rect">
              <a:avLst/>
            </a:prstGeom>
            <a:ln>
              <a:solidFill>
                <a:schemeClr val="tx1"/>
              </a:solidFill>
            </a:ln>
          </xdr:spPr>
        </xdr:pic>
        <xdr:sp macro="" textlink="">
          <xdr:nvSpPr>
            <xdr:cNvPr id="8" name="TextBox 12">
              <a:extLst>
                <a:ext uri="{FF2B5EF4-FFF2-40B4-BE49-F238E27FC236}">
                  <a16:creationId xmlns:a16="http://schemas.microsoft.com/office/drawing/2014/main" id="{B18F29E0-3CAF-D50E-B4A8-6D15228B076C}"/>
                </a:ext>
              </a:extLst>
            </xdr:cNvPr>
            <xdr:cNvSpPr txBox="1"/>
          </xdr:nvSpPr>
          <xdr:spPr>
            <a:xfrm>
              <a:off x="2496945" y="877332"/>
              <a:ext cx="29687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E</a:t>
              </a:r>
              <a:endParaRPr lang="en-IN" b="1"/>
            </a:p>
          </xdr:txBody>
        </xdr:sp>
        <xdr:sp macro="" textlink="">
          <xdr:nvSpPr>
            <xdr:cNvPr id="9" name="TextBox 13">
              <a:extLst>
                <a:ext uri="{FF2B5EF4-FFF2-40B4-BE49-F238E27FC236}">
                  <a16:creationId xmlns:a16="http://schemas.microsoft.com/office/drawing/2014/main" id="{5DB35578-2B3A-534B-F5BA-28530CDD9834}"/>
                </a:ext>
              </a:extLst>
            </xdr:cNvPr>
            <xdr:cNvSpPr txBox="1"/>
          </xdr:nvSpPr>
          <xdr:spPr>
            <a:xfrm>
              <a:off x="843280" y="508000"/>
              <a:ext cx="29046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F</a:t>
              </a:r>
              <a:endParaRPr lang="en-IN" b="1"/>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5</xdr:col>
      <xdr:colOff>114300</xdr:colOff>
      <xdr:row>14</xdr:row>
      <xdr:rowOff>63500</xdr:rowOff>
    </xdr:to>
    <xdr:pic>
      <xdr:nvPicPr>
        <xdr:cNvPr id="5240" name="Picture 1">
          <a:extLst>
            <a:ext uri="{FF2B5EF4-FFF2-40B4-BE49-F238E27FC236}">
              <a16:creationId xmlns:a16="http://schemas.microsoft.com/office/drawing/2014/main" id="{00000000-0008-0000-0100-000078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144" t="11792" r="27956" b="5424"/>
        <a:stretch>
          <a:fillRect/>
        </a:stretch>
      </xdr:blipFill>
      <xdr:spPr bwMode="auto">
        <a:xfrm>
          <a:off x="1397000" y="552450"/>
          <a:ext cx="1943100" cy="208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393700</xdr:colOff>
      <xdr:row>3</xdr:row>
      <xdr:rowOff>0</xdr:rowOff>
    </xdr:from>
    <xdr:to>
      <xdr:col>7</xdr:col>
      <xdr:colOff>584200</xdr:colOff>
      <xdr:row>14</xdr:row>
      <xdr:rowOff>63500</xdr:rowOff>
    </xdr:to>
    <xdr:pic>
      <xdr:nvPicPr>
        <xdr:cNvPr id="5241" name="Picture 2">
          <a:extLst>
            <a:ext uri="{FF2B5EF4-FFF2-40B4-BE49-F238E27FC236}">
              <a16:creationId xmlns:a16="http://schemas.microsoft.com/office/drawing/2014/main" id="{00000000-0008-0000-0100-0000791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10335" b="22641"/>
        <a:stretch>
          <a:fillRect/>
        </a:stretch>
      </xdr:blipFill>
      <xdr:spPr bwMode="auto">
        <a:xfrm>
          <a:off x="3619500" y="552450"/>
          <a:ext cx="1409700" cy="208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247650</xdr:colOff>
      <xdr:row>14</xdr:row>
      <xdr:rowOff>177800</xdr:rowOff>
    </xdr:from>
    <xdr:to>
      <xdr:col>12</xdr:col>
      <xdr:colOff>552450</xdr:colOff>
      <xdr:row>33</xdr:row>
      <xdr:rowOff>158750</xdr:rowOff>
    </xdr:to>
    <xdr:pic>
      <xdr:nvPicPr>
        <xdr:cNvPr id="5242" name="Picture 1">
          <a:extLst>
            <a:ext uri="{FF2B5EF4-FFF2-40B4-BE49-F238E27FC236}">
              <a16:creationId xmlns:a16="http://schemas.microsoft.com/office/drawing/2014/main" id="{00000000-0008-0000-0100-00007A1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44650" y="2755900"/>
          <a:ext cx="6400800" cy="347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38</xdr:row>
      <xdr:rowOff>19050</xdr:rowOff>
    </xdr:from>
    <xdr:to>
      <xdr:col>7</xdr:col>
      <xdr:colOff>95250</xdr:colOff>
      <xdr:row>61</xdr:row>
      <xdr:rowOff>127000</xdr:rowOff>
    </xdr:to>
    <xdr:pic>
      <xdr:nvPicPr>
        <xdr:cNvPr id="5243" name="Picture 4">
          <a:extLst>
            <a:ext uri="{FF2B5EF4-FFF2-40B4-BE49-F238E27FC236}">
              <a16:creationId xmlns:a16="http://schemas.microsoft.com/office/drawing/2014/main" id="{00000000-0008-0000-0100-00007B1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37791" t="13838" r="32646" b="10422"/>
        <a:stretch>
          <a:fillRect/>
        </a:stretch>
      </xdr:blipFill>
      <xdr:spPr bwMode="auto">
        <a:xfrm>
          <a:off x="1549400" y="7016750"/>
          <a:ext cx="2990850" cy="4343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361950</xdr:colOff>
      <xdr:row>0</xdr:row>
      <xdr:rowOff>0</xdr:rowOff>
    </xdr:from>
    <xdr:to>
      <xdr:col>14</xdr:col>
      <xdr:colOff>407700</xdr:colOff>
      <xdr:row>15</xdr:row>
      <xdr:rowOff>22500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5381625" y="0"/>
          <a:ext cx="3703350" cy="2880000"/>
        </a:xfrm>
        <a:prstGeom prst="rect">
          <a:avLst/>
        </a:prstGeom>
      </xdr:spPr>
    </xdr:pic>
    <xdr:clientData/>
  </xdr:twoCellAnchor>
  <xdr:twoCellAnchor editAs="oneCell">
    <xdr:from>
      <xdr:col>15</xdr:col>
      <xdr:colOff>0</xdr:colOff>
      <xdr:row>1</xdr:row>
      <xdr:rowOff>0</xdr:rowOff>
    </xdr:from>
    <xdr:to>
      <xdr:col>21</xdr:col>
      <xdr:colOff>259122</xdr:colOff>
      <xdr:row>16</xdr:row>
      <xdr:rowOff>22500</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stretch>
          <a:fillRect/>
        </a:stretch>
      </xdr:blipFill>
      <xdr:spPr>
        <a:xfrm>
          <a:off x="9286875" y="190500"/>
          <a:ext cx="3916722" cy="2880000"/>
        </a:xfrm>
        <a:prstGeom prst="rect">
          <a:avLst/>
        </a:prstGeom>
      </xdr:spPr>
    </xdr:pic>
    <xdr:clientData/>
  </xdr:twoCellAnchor>
  <xdr:twoCellAnchor editAs="oneCell">
    <xdr:from>
      <xdr:col>14</xdr:col>
      <xdr:colOff>0</xdr:colOff>
      <xdr:row>17</xdr:row>
      <xdr:rowOff>0</xdr:rowOff>
    </xdr:from>
    <xdr:to>
      <xdr:col>19</xdr:col>
      <xdr:colOff>28190</xdr:colOff>
      <xdr:row>42</xdr:row>
      <xdr:rowOff>132738</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a:stretch>
          <a:fillRect/>
        </a:stretch>
      </xdr:blipFill>
      <xdr:spPr>
        <a:xfrm>
          <a:off x="8677275" y="3238500"/>
          <a:ext cx="3076190" cy="489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22</xdr:row>
      <xdr:rowOff>50800</xdr:rowOff>
    </xdr:from>
    <xdr:to>
      <xdr:col>15</xdr:col>
      <xdr:colOff>222250</xdr:colOff>
      <xdr:row>60</xdr:row>
      <xdr:rowOff>127000</xdr:rowOff>
    </xdr:to>
    <xdr:pic>
      <xdr:nvPicPr>
        <xdr:cNvPr id="2158" name="Picture 1">
          <a:extLst>
            <a:ext uri="{FF2B5EF4-FFF2-40B4-BE49-F238E27FC236}">
              <a16:creationId xmlns:a16="http://schemas.microsoft.com/office/drawing/2014/main" id="{00000000-0008-0000-0200-00006E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2400"/>
          <a:ext cx="13671550" cy="683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57150</xdr:rowOff>
    </xdr:from>
    <xdr:to>
      <xdr:col>18</xdr:col>
      <xdr:colOff>428625</xdr:colOff>
      <xdr:row>60</xdr:row>
      <xdr:rowOff>133350</xdr:rowOff>
    </xdr:to>
    <xdr:pic>
      <xdr:nvPicPr>
        <xdr:cNvPr id="5" name="Picture 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2000"/>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781050</xdr:colOff>
      <xdr:row>17</xdr:row>
      <xdr:rowOff>9525</xdr:rowOff>
    </xdr:from>
    <xdr:to>
      <xdr:col>8</xdr:col>
      <xdr:colOff>666750</xdr:colOff>
      <xdr:row>30</xdr:row>
      <xdr:rowOff>161925</xdr:rowOff>
    </xdr:to>
    <xdr:pic>
      <xdr:nvPicPr>
        <xdr:cNvPr id="6" name="Picture 2">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95925" y="3571875"/>
          <a:ext cx="1971675" cy="2628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95250</xdr:colOff>
      <xdr:row>17</xdr:row>
      <xdr:rowOff>0</xdr:rowOff>
    </xdr:from>
    <xdr:to>
      <xdr:col>10</xdr:col>
      <xdr:colOff>428625</xdr:colOff>
      <xdr:row>30</xdr:row>
      <xdr:rowOff>152400</xdr:rowOff>
    </xdr:to>
    <xdr:pic>
      <xdr:nvPicPr>
        <xdr:cNvPr id="7" name="Picture 3">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39050" y="3562350"/>
          <a:ext cx="1971675" cy="2628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57150</xdr:rowOff>
    </xdr:from>
    <xdr:to>
      <xdr:col>22</xdr:col>
      <xdr:colOff>47625</xdr:colOff>
      <xdr:row>60</xdr:row>
      <xdr:rowOff>133350</xdr:rowOff>
    </xdr:to>
    <xdr:pic>
      <xdr:nvPicPr>
        <xdr:cNvPr id="8" name="Picture 1">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2000"/>
          <a:ext cx="150685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22</xdr:row>
      <xdr:rowOff>50800</xdr:rowOff>
    </xdr:from>
    <xdr:to>
      <xdr:col>15</xdr:col>
      <xdr:colOff>222250</xdr:colOff>
      <xdr:row>60</xdr:row>
      <xdr:rowOff>127000</xdr:rowOff>
    </xdr:to>
    <xdr:pic>
      <xdr:nvPicPr>
        <xdr:cNvPr id="4147" name="Picture 1">
          <a:extLst>
            <a:ext uri="{FF2B5EF4-FFF2-40B4-BE49-F238E27FC236}">
              <a16:creationId xmlns:a16="http://schemas.microsoft.com/office/drawing/2014/main" id="{00000000-0008-0000-0300-000033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2400"/>
          <a:ext cx="13671550" cy="683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50800</xdr:rowOff>
    </xdr:from>
    <xdr:to>
      <xdr:col>15</xdr:col>
      <xdr:colOff>222250</xdr:colOff>
      <xdr:row>60</xdr:row>
      <xdr:rowOff>127000</xdr:rowOff>
    </xdr:to>
    <xdr:pic>
      <xdr:nvPicPr>
        <xdr:cNvPr id="3" name="Picture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65650"/>
          <a:ext cx="13033375"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57150</xdr:rowOff>
    </xdr:from>
    <xdr:to>
      <xdr:col>18</xdr:col>
      <xdr:colOff>428625</xdr:colOff>
      <xdr:row>60</xdr:row>
      <xdr:rowOff>133350</xdr:rowOff>
    </xdr:to>
    <xdr:pic>
      <xdr:nvPicPr>
        <xdr:cNvPr id="4" name="Picture 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2000"/>
          <a:ext cx="150685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781050</xdr:colOff>
      <xdr:row>17</xdr:row>
      <xdr:rowOff>9525</xdr:rowOff>
    </xdr:from>
    <xdr:to>
      <xdr:col>8</xdr:col>
      <xdr:colOff>666750</xdr:colOff>
      <xdr:row>30</xdr:row>
      <xdr:rowOff>161925</xdr:rowOff>
    </xdr:to>
    <xdr:pic>
      <xdr:nvPicPr>
        <xdr:cNvPr id="5" name="Picture 2">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95925" y="3571875"/>
          <a:ext cx="2714625" cy="2628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95250</xdr:colOff>
      <xdr:row>17</xdr:row>
      <xdr:rowOff>0</xdr:rowOff>
    </xdr:from>
    <xdr:to>
      <xdr:col>10</xdr:col>
      <xdr:colOff>428625</xdr:colOff>
      <xdr:row>30</xdr:row>
      <xdr:rowOff>152400</xdr:rowOff>
    </xdr:to>
    <xdr:pic>
      <xdr:nvPicPr>
        <xdr:cNvPr id="6" name="Picture 3">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39050" y="3562350"/>
          <a:ext cx="2219325" cy="2628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57150</xdr:rowOff>
    </xdr:from>
    <xdr:to>
      <xdr:col>22</xdr:col>
      <xdr:colOff>47625</xdr:colOff>
      <xdr:row>60</xdr:row>
      <xdr:rowOff>133350</xdr:rowOff>
    </xdr:to>
    <xdr:pic>
      <xdr:nvPicPr>
        <xdr:cNvPr id="7" name="Picture 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2000"/>
          <a:ext cx="171259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S1wteK37Br2cRYQv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270"/>
  <sheetViews>
    <sheetView tabSelected="1" view="pageBreakPreview" zoomScaleNormal="100" zoomScaleSheetLayoutView="100" workbookViewId="0">
      <selection activeCell="L11" sqref="L11"/>
    </sheetView>
  </sheetViews>
  <sheetFormatPr defaultColWidth="9.21875" defaultRowHeight="14.4" x14ac:dyDescent="0.3"/>
  <cols>
    <col min="1" max="1" width="8.77734375" customWidth="1"/>
    <col min="2" max="2" width="10.5546875" customWidth="1"/>
    <col min="3" max="3" width="14.44140625" customWidth="1"/>
    <col min="4" max="4" width="7.21875" customWidth="1"/>
    <col min="5" max="5" width="5.5546875" customWidth="1"/>
    <col min="6" max="6" width="9" customWidth="1"/>
    <col min="7" max="7" width="9.21875" customWidth="1"/>
    <col min="8" max="8" width="10.5546875" customWidth="1"/>
    <col min="9" max="9" width="11.21875" customWidth="1"/>
    <col min="10" max="10" width="8.44140625" customWidth="1"/>
    <col min="11" max="11" width="15.77734375" customWidth="1"/>
    <col min="16" max="16" width="10.77734375" bestFit="1" customWidth="1"/>
  </cols>
  <sheetData>
    <row r="1" spans="1:10" ht="43.95" customHeight="1" x14ac:dyDescent="0.3">
      <c r="A1" s="230" t="s">
        <v>226</v>
      </c>
      <c r="B1" s="231"/>
      <c r="C1" s="231"/>
      <c r="D1" s="231"/>
      <c r="E1" s="231"/>
      <c r="F1" s="231"/>
      <c r="G1" s="231"/>
      <c r="H1" s="231"/>
      <c r="I1" s="231"/>
      <c r="J1" s="232"/>
    </row>
    <row r="2" spans="1:10" x14ac:dyDescent="0.3">
      <c r="A2" s="170" t="s">
        <v>46</v>
      </c>
      <c r="B2" s="171"/>
      <c r="C2" s="171"/>
      <c r="D2" s="171"/>
      <c r="E2" s="171"/>
      <c r="F2" s="171"/>
      <c r="G2" s="171"/>
      <c r="H2" s="171"/>
      <c r="I2" s="171"/>
      <c r="J2" s="172"/>
    </row>
    <row r="3" spans="1:10" x14ac:dyDescent="0.3">
      <c r="A3" s="163" t="s">
        <v>0</v>
      </c>
      <c r="B3" s="164"/>
      <c r="C3" s="164"/>
      <c r="D3" s="164"/>
      <c r="E3" s="165"/>
      <c r="F3" s="173" t="str">
        <f ca="1">TEXT(TODAY(),"DD/MM/YYYY")</f>
        <v>30/08/2025</v>
      </c>
      <c r="G3" s="174"/>
      <c r="H3" s="174"/>
      <c r="I3" s="174"/>
      <c r="J3" s="175"/>
    </row>
    <row r="4" spans="1:10" x14ac:dyDescent="0.3">
      <c r="A4" s="163" t="s">
        <v>1</v>
      </c>
      <c r="B4" s="164"/>
      <c r="C4" s="164"/>
      <c r="D4" s="164"/>
      <c r="E4" s="165"/>
      <c r="F4" s="148" t="s">
        <v>153</v>
      </c>
      <c r="G4" s="149"/>
      <c r="H4" s="149"/>
      <c r="I4" s="149"/>
      <c r="J4" s="150"/>
    </row>
    <row r="5" spans="1:10" x14ac:dyDescent="0.3">
      <c r="A5" s="163" t="s">
        <v>2</v>
      </c>
      <c r="B5" s="164"/>
      <c r="C5" s="164"/>
      <c r="D5" s="164"/>
      <c r="E5" s="165"/>
      <c r="F5" s="173">
        <v>45899</v>
      </c>
      <c r="G5" s="174"/>
      <c r="H5" s="174"/>
      <c r="I5" s="174"/>
      <c r="J5" s="175"/>
    </row>
    <row r="6" spans="1:10" ht="16.5" customHeight="1" x14ac:dyDescent="0.3">
      <c r="A6" s="163" t="s">
        <v>3</v>
      </c>
      <c r="B6" s="164"/>
      <c r="C6" s="164"/>
      <c r="D6" s="164"/>
      <c r="E6" s="165"/>
      <c r="F6" s="176" t="s">
        <v>211</v>
      </c>
      <c r="G6" s="177"/>
      <c r="H6" s="177"/>
      <c r="I6" s="177"/>
      <c r="J6" s="178"/>
    </row>
    <row r="7" spans="1:10" ht="15" customHeight="1" x14ac:dyDescent="0.3">
      <c r="A7" s="163" t="s">
        <v>4</v>
      </c>
      <c r="B7" s="164"/>
      <c r="C7" s="164"/>
      <c r="D7" s="164"/>
      <c r="E7" s="165"/>
      <c r="F7" s="176" t="str">
        <f>F6</f>
        <v>M/s.Kanakia Future Realty Private Limited</v>
      </c>
      <c r="G7" s="177"/>
      <c r="H7" s="177"/>
      <c r="I7" s="177"/>
      <c r="J7" s="178"/>
    </row>
    <row r="8" spans="1:10" x14ac:dyDescent="0.3">
      <c r="A8" s="129" t="s">
        <v>5</v>
      </c>
      <c r="B8" s="164"/>
      <c r="C8" s="164"/>
      <c r="D8" s="164"/>
      <c r="E8" s="165"/>
      <c r="F8" s="181" t="s">
        <v>214</v>
      </c>
      <c r="G8" s="182"/>
      <c r="H8" s="182"/>
      <c r="I8" s="182"/>
      <c r="J8" s="183"/>
    </row>
    <row r="9" spans="1:10" x14ac:dyDescent="0.3">
      <c r="A9" s="129" t="s">
        <v>212</v>
      </c>
      <c r="B9" s="164"/>
      <c r="C9" s="164"/>
      <c r="D9" s="164"/>
      <c r="E9" s="165"/>
      <c r="F9" s="148" t="s">
        <v>227</v>
      </c>
      <c r="G9" s="149"/>
      <c r="H9" s="149"/>
      <c r="I9" s="149"/>
      <c r="J9" s="150"/>
    </row>
    <row r="10" spans="1:10" ht="31.5" customHeight="1" x14ac:dyDescent="0.3">
      <c r="A10" s="129" t="s">
        <v>231</v>
      </c>
      <c r="B10" s="164"/>
      <c r="C10" s="164"/>
      <c r="D10" s="164"/>
      <c r="E10" s="165"/>
      <c r="F10" s="176" t="s">
        <v>230</v>
      </c>
      <c r="G10" s="149"/>
      <c r="H10" s="149"/>
      <c r="I10" s="149"/>
      <c r="J10" s="150"/>
    </row>
    <row r="11" spans="1:10" x14ac:dyDescent="0.3">
      <c r="A11" s="129" t="s">
        <v>219</v>
      </c>
      <c r="B11" s="164"/>
      <c r="C11" s="164"/>
      <c r="D11" s="164"/>
      <c r="E11" s="165"/>
      <c r="F11" s="148">
        <v>2267267777</v>
      </c>
      <c r="G11" s="149"/>
      <c r="H11" s="149"/>
      <c r="I11" s="149"/>
      <c r="J11" s="150"/>
    </row>
    <row r="12" spans="1:10" x14ac:dyDescent="0.3">
      <c r="A12" s="129" t="s">
        <v>220</v>
      </c>
      <c r="B12" s="164"/>
      <c r="C12" s="164"/>
      <c r="D12" s="164"/>
      <c r="E12" s="165"/>
      <c r="F12" s="148" t="s">
        <v>247</v>
      </c>
      <c r="G12" s="149"/>
      <c r="H12" s="149"/>
      <c r="I12" s="149"/>
      <c r="J12" s="150"/>
    </row>
    <row r="13" spans="1:10" x14ac:dyDescent="0.3">
      <c r="A13" s="129" t="s">
        <v>112</v>
      </c>
      <c r="B13" s="130"/>
      <c r="C13" s="130"/>
      <c r="D13" s="130"/>
      <c r="E13" s="168"/>
      <c r="F13" s="148" t="s">
        <v>213</v>
      </c>
      <c r="G13" s="149"/>
      <c r="H13" s="149"/>
      <c r="I13" s="149"/>
      <c r="J13" s="150"/>
    </row>
    <row r="14" spans="1:10" x14ac:dyDescent="0.3">
      <c r="A14" s="163" t="s">
        <v>6</v>
      </c>
      <c r="B14" s="164"/>
      <c r="C14" s="164"/>
      <c r="D14" s="164"/>
      <c r="E14" s="165"/>
      <c r="F14" s="176" t="s">
        <v>105</v>
      </c>
      <c r="G14" s="177"/>
      <c r="H14" s="177"/>
      <c r="I14" s="177"/>
      <c r="J14" s="178"/>
    </row>
    <row r="15" spans="1:10" ht="30.75" customHeight="1" x14ac:dyDescent="0.3">
      <c r="A15" s="129" t="s">
        <v>106</v>
      </c>
      <c r="B15" s="130"/>
      <c r="C15" s="130"/>
      <c r="D15" s="130"/>
      <c r="E15" s="168"/>
      <c r="F15" s="176" t="s">
        <v>239</v>
      </c>
      <c r="G15" s="149"/>
      <c r="H15" s="149"/>
      <c r="I15" s="149"/>
      <c r="J15" s="150"/>
    </row>
    <row r="16" spans="1:10" ht="48" customHeight="1" x14ac:dyDescent="0.3">
      <c r="A16" s="169" t="s">
        <v>57</v>
      </c>
      <c r="B16" s="169"/>
      <c r="C16" s="131" t="s">
        <v>228</v>
      </c>
      <c r="D16" s="132"/>
      <c r="E16" s="132"/>
      <c r="F16" s="132"/>
      <c r="G16" s="132"/>
      <c r="H16" s="132"/>
      <c r="I16" s="132"/>
      <c r="J16" s="133"/>
    </row>
    <row r="17" spans="1:10" ht="15" customHeight="1" x14ac:dyDescent="0.3">
      <c r="A17" s="169" t="s">
        <v>117</v>
      </c>
      <c r="B17" s="169"/>
      <c r="C17" s="169" t="s">
        <v>229</v>
      </c>
      <c r="D17" s="169"/>
      <c r="E17" s="169"/>
      <c r="F17" s="131" t="s">
        <v>58</v>
      </c>
      <c r="G17" s="133"/>
      <c r="H17" s="131" t="s">
        <v>116</v>
      </c>
      <c r="I17" s="132"/>
      <c r="J17" s="133"/>
    </row>
    <row r="18" spans="1:10" x14ac:dyDescent="0.3">
      <c r="A18" s="169" t="s">
        <v>7</v>
      </c>
      <c r="B18" s="169"/>
      <c r="C18" s="169" t="s">
        <v>118</v>
      </c>
      <c r="D18" s="169"/>
      <c r="E18" s="169"/>
      <c r="F18" s="131" t="s">
        <v>59</v>
      </c>
      <c r="G18" s="133"/>
      <c r="H18" s="131" t="s">
        <v>114</v>
      </c>
      <c r="I18" s="132"/>
      <c r="J18" s="133"/>
    </row>
    <row r="19" spans="1:10" x14ac:dyDescent="0.3">
      <c r="A19" s="169" t="s">
        <v>8</v>
      </c>
      <c r="B19" s="169"/>
      <c r="C19" s="169" t="s">
        <v>115</v>
      </c>
      <c r="D19" s="169"/>
      <c r="E19" s="169"/>
      <c r="F19" s="131" t="s">
        <v>60</v>
      </c>
      <c r="G19" s="133"/>
      <c r="H19" s="131">
        <v>400076</v>
      </c>
      <c r="I19" s="132"/>
      <c r="J19" s="133"/>
    </row>
    <row r="20" spans="1:10" ht="32.25" customHeight="1" x14ac:dyDescent="0.3">
      <c r="A20" s="169" t="s">
        <v>61</v>
      </c>
      <c r="B20" s="169"/>
      <c r="C20" s="169" t="s">
        <v>119</v>
      </c>
      <c r="D20" s="169"/>
      <c r="E20" s="169"/>
      <c r="F20" s="131" t="s">
        <v>51</v>
      </c>
      <c r="G20" s="133"/>
      <c r="H20" s="131" t="s">
        <v>120</v>
      </c>
      <c r="I20" s="132"/>
      <c r="J20" s="133"/>
    </row>
    <row r="21" spans="1:10" ht="15" customHeight="1" x14ac:dyDescent="0.3">
      <c r="A21" s="195" t="s">
        <v>111</v>
      </c>
      <c r="B21" s="196"/>
      <c r="C21" s="196"/>
      <c r="D21" s="196"/>
      <c r="E21" s="197"/>
      <c r="F21" s="201" t="s">
        <v>55</v>
      </c>
      <c r="G21" s="202"/>
      <c r="H21" s="202"/>
      <c r="I21" s="202"/>
      <c r="J21" s="203"/>
    </row>
    <row r="22" spans="1:10" x14ac:dyDescent="0.3">
      <c r="A22" s="198"/>
      <c r="B22" s="199"/>
      <c r="C22" s="199"/>
      <c r="D22" s="199"/>
      <c r="E22" s="200"/>
      <c r="F22" s="204"/>
      <c r="G22" s="205"/>
      <c r="H22" s="205"/>
      <c r="I22" s="205"/>
      <c r="J22" s="206"/>
    </row>
    <row r="23" spans="1:10" ht="15" customHeight="1" x14ac:dyDescent="0.3">
      <c r="A23" s="195" t="s">
        <v>98</v>
      </c>
      <c r="B23" s="255"/>
      <c r="C23" s="255"/>
      <c r="D23" s="255"/>
      <c r="E23" s="256"/>
      <c r="F23" s="195" t="s">
        <v>48</v>
      </c>
      <c r="G23" s="196"/>
      <c r="H23" s="196"/>
      <c r="I23" s="196"/>
      <c r="J23" s="197"/>
    </row>
    <row r="24" spans="1:10" x14ac:dyDescent="0.3">
      <c r="A24" s="257"/>
      <c r="B24" s="258"/>
      <c r="C24" s="258"/>
      <c r="D24" s="258"/>
      <c r="E24" s="259"/>
      <c r="F24" s="198"/>
      <c r="G24" s="199"/>
      <c r="H24" s="199"/>
      <c r="I24" s="199"/>
      <c r="J24" s="200"/>
    </row>
    <row r="25" spans="1:10" x14ac:dyDescent="0.3">
      <c r="A25" s="163" t="s">
        <v>9</v>
      </c>
      <c r="B25" s="164"/>
      <c r="C25" s="164"/>
      <c r="D25" s="164"/>
      <c r="E25" s="165"/>
      <c r="F25" s="187" t="s">
        <v>121</v>
      </c>
      <c r="G25" s="188"/>
      <c r="H25" s="188"/>
      <c r="I25" s="188"/>
      <c r="J25" s="189"/>
    </row>
    <row r="26" spans="1:10" x14ac:dyDescent="0.3">
      <c r="A26" s="163" t="s">
        <v>10</v>
      </c>
      <c r="B26" s="164"/>
      <c r="C26" s="164"/>
      <c r="D26" s="164"/>
      <c r="E26" s="165"/>
      <c r="F26" s="192" t="s">
        <v>52</v>
      </c>
      <c r="G26" s="193"/>
      <c r="H26" s="193"/>
      <c r="I26" s="193"/>
      <c r="J26" s="194"/>
    </row>
    <row r="27" spans="1:10" x14ac:dyDescent="0.3">
      <c r="A27" s="163" t="s">
        <v>11</v>
      </c>
      <c r="B27" s="164"/>
      <c r="C27" s="164"/>
      <c r="D27" s="164"/>
      <c r="E27" s="165"/>
      <c r="F27" s="187" t="s">
        <v>122</v>
      </c>
      <c r="G27" s="188"/>
      <c r="H27" s="188"/>
      <c r="I27" s="188"/>
      <c r="J27" s="189"/>
    </row>
    <row r="28" spans="1:10" x14ac:dyDescent="0.3">
      <c r="A28" s="163" t="s">
        <v>28</v>
      </c>
      <c r="B28" s="164"/>
      <c r="C28" s="164"/>
      <c r="D28" s="164"/>
      <c r="E28" s="165"/>
      <c r="F28" s="184" t="s">
        <v>62</v>
      </c>
      <c r="G28" s="185"/>
      <c r="H28" s="185"/>
      <c r="I28" s="185"/>
      <c r="J28" s="186"/>
    </row>
    <row r="29" spans="1:10" x14ac:dyDescent="0.3">
      <c r="A29" s="190" t="s">
        <v>12</v>
      </c>
      <c r="B29" s="191"/>
      <c r="C29" s="190" t="s">
        <v>13</v>
      </c>
      <c r="D29" s="191"/>
      <c r="E29" s="179" t="s">
        <v>14</v>
      </c>
      <c r="F29" s="191"/>
      <c r="G29" s="179" t="s">
        <v>50</v>
      </c>
      <c r="H29" s="180"/>
      <c r="I29" s="190" t="s">
        <v>15</v>
      </c>
      <c r="J29" s="191"/>
    </row>
    <row r="30" spans="1:10" x14ac:dyDescent="0.3">
      <c r="A30" s="179" t="s">
        <v>16</v>
      </c>
      <c r="B30" s="180"/>
      <c r="C30" s="179" t="s">
        <v>49</v>
      </c>
      <c r="D30" s="180"/>
      <c r="E30" s="179" t="s">
        <v>49</v>
      </c>
      <c r="F30" s="180"/>
      <c r="G30" s="179" t="s">
        <v>49</v>
      </c>
      <c r="H30" s="180"/>
      <c r="I30" s="179" t="s">
        <v>49</v>
      </c>
      <c r="J30" s="180"/>
    </row>
    <row r="31" spans="1:10" x14ac:dyDescent="0.3">
      <c r="A31" s="190" t="s">
        <v>17</v>
      </c>
      <c r="B31" s="191"/>
      <c r="C31" s="179" t="s">
        <v>123</v>
      </c>
      <c r="D31" s="180"/>
      <c r="E31" s="179" t="s">
        <v>123</v>
      </c>
      <c r="F31" s="180"/>
      <c r="G31" s="179" t="s">
        <v>123</v>
      </c>
      <c r="H31" s="180"/>
      <c r="I31" s="179" t="s">
        <v>7</v>
      </c>
      <c r="J31" s="180"/>
    </row>
    <row r="32" spans="1:10" x14ac:dyDescent="0.3">
      <c r="A32" s="129" t="s">
        <v>54</v>
      </c>
      <c r="B32" s="130"/>
      <c r="C32" s="130"/>
      <c r="D32" s="130"/>
      <c r="E32" s="130"/>
      <c r="F32" s="130"/>
      <c r="G32" s="130"/>
      <c r="H32" s="130"/>
      <c r="I32" s="130"/>
      <c r="J32" s="168"/>
    </row>
    <row r="33" spans="1:10" x14ac:dyDescent="0.3">
      <c r="A33" s="129" t="s">
        <v>102</v>
      </c>
      <c r="B33" s="130"/>
      <c r="C33" s="130"/>
      <c r="D33" s="130"/>
      <c r="E33" s="130"/>
      <c r="F33" s="130"/>
      <c r="G33" s="130"/>
      <c r="H33" s="130"/>
      <c r="I33" s="130"/>
      <c r="J33" s="168"/>
    </row>
    <row r="34" spans="1:10" x14ac:dyDescent="0.3">
      <c r="A34" s="129" t="s">
        <v>42</v>
      </c>
      <c r="B34" s="168"/>
      <c r="C34" s="151" t="s">
        <v>216</v>
      </c>
      <c r="D34" s="152"/>
      <c r="E34" s="152"/>
      <c r="F34" s="152"/>
      <c r="G34" s="152"/>
      <c r="H34" s="152"/>
      <c r="I34" s="152"/>
      <c r="J34" s="153"/>
    </row>
    <row r="35" spans="1:10" x14ac:dyDescent="0.3">
      <c r="A35" s="129" t="s">
        <v>217</v>
      </c>
      <c r="B35" s="168"/>
      <c r="C35" s="254" t="s">
        <v>218</v>
      </c>
      <c r="D35" s="130"/>
      <c r="E35" s="130"/>
      <c r="F35" s="130"/>
      <c r="G35" s="130"/>
      <c r="H35" s="130"/>
      <c r="I35" s="130"/>
      <c r="J35" s="168"/>
    </row>
    <row r="36" spans="1:10" x14ac:dyDescent="0.3">
      <c r="A36" s="151" t="s">
        <v>18</v>
      </c>
      <c r="B36" s="152"/>
      <c r="C36" s="152"/>
      <c r="D36" s="152"/>
      <c r="E36" s="152"/>
      <c r="F36" s="152"/>
      <c r="G36" s="152"/>
      <c r="H36" s="152"/>
      <c r="I36" s="152"/>
      <c r="J36" s="153"/>
    </row>
    <row r="37" spans="1:10" ht="15" customHeight="1" x14ac:dyDescent="0.3">
      <c r="A37" s="236" t="s">
        <v>125</v>
      </c>
      <c r="B37" s="237"/>
      <c r="C37" s="237"/>
      <c r="D37" s="237"/>
      <c r="E37" s="237"/>
      <c r="F37" s="237"/>
      <c r="G37" s="237"/>
      <c r="H37" s="237"/>
      <c r="I37" s="237"/>
      <c r="J37" s="238"/>
    </row>
    <row r="38" spans="1:10" x14ac:dyDescent="0.3">
      <c r="A38" s="239"/>
      <c r="B38" s="240"/>
      <c r="C38" s="240"/>
      <c r="D38" s="240"/>
      <c r="E38" s="240"/>
      <c r="F38" s="240"/>
      <c r="G38" s="240"/>
      <c r="H38" s="240"/>
      <c r="I38" s="240"/>
      <c r="J38" s="241"/>
    </row>
    <row r="39" spans="1:10" ht="16.5" customHeight="1" x14ac:dyDescent="0.3">
      <c r="A39" s="129" t="s">
        <v>63</v>
      </c>
      <c r="B39" s="164"/>
      <c r="C39" s="164"/>
      <c r="D39" s="164"/>
      <c r="E39" s="165"/>
      <c r="F39" s="131">
        <v>37201.040000000001</v>
      </c>
      <c r="G39" s="132"/>
      <c r="H39" s="132"/>
      <c r="I39" s="132"/>
      <c r="J39" s="133"/>
    </row>
    <row r="40" spans="1:10" x14ac:dyDescent="0.3">
      <c r="A40" s="163" t="s">
        <v>19</v>
      </c>
      <c r="B40" s="164"/>
      <c r="C40" s="164"/>
      <c r="D40" s="164"/>
      <c r="E40" s="165"/>
      <c r="F40" s="129">
        <v>1</v>
      </c>
      <c r="G40" s="130"/>
      <c r="H40" s="130"/>
      <c r="I40" s="130"/>
      <c r="J40" s="168"/>
    </row>
    <row r="41" spans="1:10" x14ac:dyDescent="0.3">
      <c r="A41" s="163" t="s">
        <v>20</v>
      </c>
      <c r="B41" s="164"/>
      <c r="C41" s="164"/>
      <c r="D41" s="164"/>
      <c r="E41" s="165"/>
      <c r="F41" s="233">
        <f>F43/F39-F40</f>
        <v>0.56895129813575118</v>
      </c>
      <c r="G41" s="234"/>
      <c r="H41" s="234"/>
      <c r="I41" s="234"/>
      <c r="J41" s="235"/>
    </row>
    <row r="42" spans="1:10" x14ac:dyDescent="0.3">
      <c r="A42" s="163" t="s">
        <v>21</v>
      </c>
      <c r="B42" s="164"/>
      <c r="C42" s="164"/>
      <c r="D42" s="164"/>
      <c r="E42" s="165"/>
      <c r="F42" s="233">
        <f>F40+F41</f>
        <v>1.5689512981357512</v>
      </c>
      <c r="G42" s="234"/>
      <c r="H42" s="234"/>
      <c r="I42" s="234"/>
      <c r="J42" s="235"/>
    </row>
    <row r="43" spans="1:10" x14ac:dyDescent="0.3">
      <c r="A43" s="129" t="s">
        <v>64</v>
      </c>
      <c r="B43" s="164"/>
      <c r="C43" s="164"/>
      <c r="D43" s="164"/>
      <c r="E43" s="165"/>
      <c r="F43" s="129">
        <v>58366.62</v>
      </c>
      <c r="G43" s="130"/>
      <c r="H43" s="130"/>
      <c r="I43" s="130"/>
      <c r="J43" s="168"/>
    </row>
    <row r="44" spans="1:10" x14ac:dyDescent="0.3">
      <c r="A44" s="163" t="s">
        <v>22</v>
      </c>
      <c r="B44" s="164"/>
      <c r="C44" s="164"/>
      <c r="D44" s="164"/>
      <c r="E44" s="165"/>
      <c r="F44" s="129" t="s">
        <v>215</v>
      </c>
      <c r="G44" s="130"/>
      <c r="H44" s="130"/>
      <c r="I44" s="130"/>
      <c r="J44" s="168"/>
    </row>
    <row r="45" spans="1:10" x14ac:dyDescent="0.3">
      <c r="A45" s="151" t="s">
        <v>66</v>
      </c>
      <c r="B45" s="152"/>
      <c r="C45" s="152"/>
      <c r="D45" s="152"/>
      <c r="E45" s="152"/>
      <c r="F45" s="152"/>
      <c r="G45" s="152"/>
      <c r="H45" s="152"/>
      <c r="I45" s="152"/>
      <c r="J45" s="153"/>
    </row>
    <row r="46" spans="1:10" ht="16.5" customHeight="1" x14ac:dyDescent="0.3">
      <c r="A46" s="166" t="s">
        <v>65</v>
      </c>
      <c r="B46" s="166"/>
      <c r="C46" s="169" t="s">
        <v>124</v>
      </c>
      <c r="D46" s="169"/>
      <c r="E46" s="169"/>
      <c r="F46" s="169"/>
      <c r="G46" s="169"/>
      <c r="H46" s="65" t="s">
        <v>56</v>
      </c>
      <c r="I46" s="167">
        <v>44771</v>
      </c>
      <c r="J46" s="167"/>
    </row>
    <row r="47" spans="1:10" ht="15" customHeight="1" x14ac:dyDescent="0.3">
      <c r="A47" s="166" t="s">
        <v>110</v>
      </c>
      <c r="B47" s="166"/>
      <c r="C47" s="169" t="str">
        <f>C46</f>
        <v>CE/1193/BPES/AS</v>
      </c>
      <c r="D47" s="169"/>
      <c r="E47" s="169"/>
      <c r="F47" s="169"/>
      <c r="G47" s="169"/>
      <c r="H47" s="65" t="s">
        <v>56</v>
      </c>
      <c r="I47" s="167">
        <f>I46</f>
        <v>44771</v>
      </c>
      <c r="J47" s="167"/>
    </row>
    <row r="48" spans="1:10" ht="32.25" customHeight="1" x14ac:dyDescent="0.3">
      <c r="A48" s="166" t="s">
        <v>109</v>
      </c>
      <c r="B48" s="166"/>
      <c r="C48" s="166" t="s">
        <v>242</v>
      </c>
      <c r="D48" s="169"/>
      <c r="E48" s="169"/>
      <c r="F48" s="169"/>
      <c r="G48" s="169"/>
      <c r="H48" s="65" t="s">
        <v>56</v>
      </c>
      <c r="I48" s="167">
        <v>45370</v>
      </c>
      <c r="J48" s="167"/>
    </row>
    <row r="49" spans="1:12" ht="122.25" customHeight="1" x14ac:dyDescent="0.3">
      <c r="A49" s="166" t="s">
        <v>240</v>
      </c>
      <c r="B49" s="166"/>
      <c r="C49" s="166" t="s">
        <v>241</v>
      </c>
      <c r="D49" s="169"/>
      <c r="E49" s="169"/>
      <c r="F49" s="169"/>
      <c r="G49" s="169"/>
      <c r="H49" s="66" t="s">
        <v>243</v>
      </c>
      <c r="I49" s="167">
        <v>45688</v>
      </c>
      <c r="J49" s="167"/>
    </row>
    <row r="50" spans="1:12" ht="60.45" customHeight="1" x14ac:dyDescent="0.3">
      <c r="A50" s="68" t="s">
        <v>245</v>
      </c>
      <c r="B50" s="69"/>
      <c r="C50" s="68" t="s">
        <v>244</v>
      </c>
      <c r="D50" s="70"/>
      <c r="E50" s="70"/>
      <c r="F50" s="70" t="s">
        <v>97</v>
      </c>
      <c r="G50" s="69"/>
      <c r="H50" s="67" t="s">
        <v>56</v>
      </c>
      <c r="I50" s="71">
        <v>45631</v>
      </c>
      <c r="J50" s="72"/>
    </row>
    <row r="51" spans="1:12" ht="85.95" customHeight="1" x14ac:dyDescent="0.3">
      <c r="A51" s="68" t="s">
        <v>96</v>
      </c>
      <c r="B51" s="69"/>
      <c r="C51" s="68" t="s">
        <v>246</v>
      </c>
      <c r="D51" s="70"/>
      <c r="E51" s="70"/>
      <c r="F51" s="70" t="s">
        <v>97</v>
      </c>
      <c r="G51" s="69"/>
      <c r="H51" s="67" t="s">
        <v>56</v>
      </c>
      <c r="I51" s="71">
        <v>45666</v>
      </c>
      <c r="J51" s="72"/>
    </row>
    <row r="52" spans="1:12" x14ac:dyDescent="0.3">
      <c r="A52" s="160" t="s">
        <v>23</v>
      </c>
      <c r="B52" s="161"/>
      <c r="C52" s="161"/>
      <c r="D52" s="161"/>
      <c r="E52" s="161"/>
      <c r="F52" s="161"/>
      <c r="G52" s="161"/>
      <c r="H52" s="161"/>
      <c r="I52" s="161"/>
      <c r="J52" s="162"/>
    </row>
    <row r="53" spans="1:12" x14ac:dyDescent="0.3">
      <c r="A53" s="129" t="s">
        <v>95</v>
      </c>
      <c r="B53" s="130"/>
      <c r="C53" s="168"/>
      <c r="D53" s="129">
        <f>12796.05+13661.45</f>
        <v>26457.5</v>
      </c>
      <c r="E53" s="130"/>
      <c r="F53" s="130"/>
      <c r="G53" s="130"/>
      <c r="H53" s="130"/>
      <c r="I53" s="130"/>
      <c r="J53" s="168"/>
    </row>
    <row r="54" spans="1:12" x14ac:dyDescent="0.3">
      <c r="A54" s="129" t="s">
        <v>103</v>
      </c>
      <c r="B54" s="130"/>
      <c r="C54" s="168"/>
      <c r="D54" s="129">
        <v>334</v>
      </c>
      <c r="E54" s="130"/>
      <c r="F54" s="130"/>
      <c r="G54" s="130"/>
      <c r="H54" s="130"/>
      <c r="I54" s="130"/>
      <c r="J54" s="168"/>
    </row>
    <row r="55" spans="1:12" ht="15" customHeight="1" x14ac:dyDescent="0.3">
      <c r="A55" s="129" t="s">
        <v>68</v>
      </c>
      <c r="B55" s="130"/>
      <c r="C55" s="168"/>
      <c r="D55" s="129" t="s">
        <v>202</v>
      </c>
      <c r="E55" s="130"/>
      <c r="F55" s="130"/>
      <c r="G55" s="130"/>
      <c r="H55" s="130"/>
      <c r="I55" s="130"/>
      <c r="J55" s="168"/>
    </row>
    <row r="56" spans="1:12" ht="15" customHeight="1" x14ac:dyDescent="0.3">
      <c r="A56" s="129" t="s">
        <v>176</v>
      </c>
      <c r="B56" s="130"/>
      <c r="C56" s="168"/>
      <c r="D56" s="129" t="s">
        <v>202</v>
      </c>
      <c r="E56" s="130"/>
      <c r="F56" s="130"/>
      <c r="G56" s="130"/>
      <c r="H56" s="130"/>
      <c r="I56" s="130"/>
      <c r="J56" s="168"/>
    </row>
    <row r="57" spans="1:12" ht="48.75" customHeight="1" x14ac:dyDescent="0.3">
      <c r="A57" s="129" t="s">
        <v>67</v>
      </c>
      <c r="B57" s="130"/>
      <c r="C57" s="168"/>
      <c r="D57" s="131" t="s">
        <v>250</v>
      </c>
      <c r="E57" s="130"/>
      <c r="F57" s="130"/>
      <c r="G57" s="130"/>
      <c r="H57" s="130"/>
      <c r="I57" s="130"/>
      <c r="J57" s="168"/>
    </row>
    <row r="58" spans="1:12" ht="32.25" customHeight="1" x14ac:dyDescent="0.3">
      <c r="A58" s="129" t="s">
        <v>237</v>
      </c>
      <c r="B58" s="130"/>
      <c r="C58" s="168"/>
      <c r="D58" s="131" t="s">
        <v>238</v>
      </c>
      <c r="E58" s="132"/>
      <c r="F58" s="132"/>
      <c r="G58" s="132"/>
      <c r="H58" s="132"/>
      <c r="I58" s="132"/>
      <c r="J58" s="133"/>
    </row>
    <row r="59" spans="1:12" x14ac:dyDescent="0.3">
      <c r="A59" s="129" t="s">
        <v>233</v>
      </c>
      <c r="B59" s="130"/>
      <c r="C59" s="130"/>
      <c r="D59" s="131" t="s">
        <v>62</v>
      </c>
      <c r="E59" s="132"/>
      <c r="F59" s="132"/>
      <c r="G59" s="132"/>
      <c r="H59" s="132"/>
      <c r="I59" s="132"/>
      <c r="J59" s="133"/>
    </row>
    <row r="60" spans="1:12" x14ac:dyDescent="0.3">
      <c r="A60" s="129" t="s">
        <v>232</v>
      </c>
      <c r="B60" s="130"/>
      <c r="C60" s="130"/>
      <c r="D60" s="131" t="s">
        <v>251</v>
      </c>
      <c r="E60" s="132"/>
      <c r="F60" s="132"/>
      <c r="G60" s="132"/>
      <c r="H60" s="132"/>
      <c r="I60" s="132"/>
      <c r="J60" s="133"/>
    </row>
    <row r="61" spans="1:12" x14ac:dyDescent="0.3">
      <c r="A61" s="129" t="s">
        <v>234</v>
      </c>
      <c r="B61" s="130"/>
      <c r="C61" s="130"/>
      <c r="D61" s="131" t="s">
        <v>252</v>
      </c>
      <c r="E61" s="132"/>
      <c r="F61" s="132"/>
      <c r="G61" s="132"/>
      <c r="H61" s="132"/>
      <c r="I61" s="132"/>
      <c r="J61" s="133"/>
    </row>
    <row r="62" spans="1:12" x14ac:dyDescent="0.3">
      <c r="A62" s="129" t="s">
        <v>236</v>
      </c>
      <c r="B62" s="130"/>
      <c r="C62" s="130"/>
      <c r="D62" s="131" t="s">
        <v>49</v>
      </c>
      <c r="E62" s="132"/>
      <c r="F62" s="132"/>
      <c r="G62" s="132"/>
      <c r="H62" s="132"/>
      <c r="I62" s="132"/>
      <c r="J62" s="133"/>
    </row>
    <row r="63" spans="1:12" ht="32.25" customHeight="1" thickBot="1" x14ac:dyDescent="0.35">
      <c r="A63" s="166" t="s">
        <v>235</v>
      </c>
      <c r="B63" s="166"/>
      <c r="C63" s="166"/>
      <c r="D63" s="166" t="s">
        <v>48</v>
      </c>
      <c r="E63" s="166"/>
      <c r="F63" s="166"/>
      <c r="G63" s="166"/>
      <c r="H63" s="166"/>
      <c r="I63" s="166"/>
      <c r="J63" s="166"/>
    </row>
    <row r="64" spans="1:12" ht="15.75" customHeight="1" x14ac:dyDescent="0.3">
      <c r="A64" s="124" t="s">
        <v>177</v>
      </c>
      <c r="B64" s="124"/>
      <c r="C64" s="125" t="s">
        <v>248</v>
      </c>
      <c r="D64" s="125"/>
      <c r="E64" s="125"/>
      <c r="F64" s="125"/>
      <c r="G64" s="125"/>
      <c r="H64" s="125"/>
      <c r="I64" s="125"/>
      <c r="J64" s="125"/>
      <c r="K64" s="8" t="str">
        <f ca="1">(IF(F68&gt;99%,"All work completed. Please provide OC.",IF(F68&gt;89.8%,"Plinth, RCC, Brick, Plaster, Flooring, Painting work Completed. Finishing work is in process.",IF(F68&lt;94%,(IF(C68=0,"Work not yet Started.",IF(D68=25%,"Piling work in process",IF(D68=50%,"Excavation work in process",IF(D68=100%,"Excavation work Completed. ","0")))&amp;(IF(C69=0%,"",IF(C69=L70,"Footing work is process",IF(C69=L71,"Footing work Completed",IF(C69=L72,"1st Basement Completed",IF(C69=L73,"1st &amp; 2nd Basement Completed",IF(C69=L74,"1st to 3rd Basement Completed",IF(C69=L75,"1st to 4th Basement Completed",IF(C69=L76,"Plinth work is process",IF(C69=L77,"Plinth work completed","0")))))))))))&amp;(IF(C70=(D65+G65+I65),", RCC Slab",IF(C70&gt;0,", RCC upto "&amp;C70&amp;" Slab",""))&amp;(IF(C71=I65,", Brickwork",IF(C71&gt;0,", Brickwork upto "&amp;C71&amp;" Floor",""))&amp;(IF(C72=I65,", Internal Plaster",IF(C72&gt;0,", Internal Plaster upto "&amp;C72&amp;" Floor",""))&amp;(IF(C73=I65,", External Plaster",IF(C73&gt;0,", External Plaster upto "&amp;C73&amp;" Floor",""))&amp;(IF(C74=I65,", Flooring",IF(C74&gt;0,", Flooring upto "&amp;C74&amp;" Floor",""))&amp;(IF(C75=I65,", Painting",IF(C75&gt;0,", Painting upto "&amp;C75&amp;" Floor",""))&amp;(IF(C76&gt;0,", Finishing upto "&amp;C76&amp;" Floor","")&amp;(IF(C70&gt;0.5," Completed",""))))))))))))))</f>
        <v>All work completed. Please provide OC.</v>
      </c>
      <c r="L64" s="9"/>
    </row>
    <row r="65" spans="1:12" ht="15.6" x14ac:dyDescent="0.3">
      <c r="A65" s="39" t="s">
        <v>178</v>
      </c>
      <c r="B65" s="39">
        <v>0</v>
      </c>
      <c r="C65" s="39" t="s">
        <v>129</v>
      </c>
      <c r="D65" s="39">
        <v>1</v>
      </c>
      <c r="E65" s="126" t="s">
        <v>138</v>
      </c>
      <c r="F65" s="126"/>
      <c r="G65" s="39">
        <v>3</v>
      </c>
      <c r="H65" s="39" t="s">
        <v>164</v>
      </c>
      <c r="I65" s="126">
        <f ca="1">--TRIM(RIGHT(SUBSTITUTE(LEFT(C64,_xlfn.AGGREGATE(16,6,FIND({0,1,2,3,4,5,6,7,8,9},C64,ROW(INDIRECT("1:"&amp;LEN(C64)))),1))," ",REPT(" ",LEN(C64))),LEN(C64)))</f>
        <v>24</v>
      </c>
      <c r="J65" s="126"/>
      <c r="K65" s="15"/>
      <c r="L65" s="16"/>
    </row>
    <row r="66" spans="1:12" ht="15.6" x14ac:dyDescent="0.3">
      <c r="A66" s="127" t="s">
        <v>166</v>
      </c>
      <c r="B66" s="128"/>
      <c r="C66" s="143" t="str">
        <f>K66</f>
        <v>All work Completed. OC Received.</v>
      </c>
      <c r="D66" s="144"/>
      <c r="E66" s="144"/>
      <c r="F66" s="144"/>
      <c r="G66" s="144"/>
      <c r="H66" s="144"/>
      <c r="I66" s="144"/>
      <c r="J66" s="145"/>
      <c r="K66" s="15" t="s">
        <v>172</v>
      </c>
      <c r="L66" s="16"/>
    </row>
    <row r="67" spans="1:12" ht="15.75" customHeight="1" x14ac:dyDescent="0.3">
      <c r="A67" s="146" t="s">
        <v>34</v>
      </c>
      <c r="B67" s="147"/>
      <c r="C67" s="40" t="s">
        <v>179</v>
      </c>
      <c r="D67" s="98" t="s">
        <v>169</v>
      </c>
      <c r="E67" s="98"/>
      <c r="F67" s="98" t="s">
        <v>170</v>
      </c>
      <c r="G67" s="98"/>
      <c r="H67" s="98" t="s">
        <v>171</v>
      </c>
      <c r="I67" s="98"/>
      <c r="J67" s="99"/>
      <c r="K67" s="35" t="s">
        <v>180</v>
      </c>
      <c r="L67" s="19">
        <f ca="1">I65*25%</f>
        <v>6</v>
      </c>
    </row>
    <row r="68" spans="1:12" ht="15.75" customHeight="1" x14ac:dyDescent="0.3">
      <c r="A68" s="100" t="s">
        <v>181</v>
      </c>
      <c r="B68" s="98"/>
      <c r="C68" s="41">
        <f ca="1">L69</f>
        <v>24</v>
      </c>
      <c r="D68" s="101">
        <f ca="1">((100/I65)*C68)/100</f>
        <v>1</v>
      </c>
      <c r="E68" s="102"/>
      <c r="F68" s="103">
        <f ca="1">(((C69/I65*10)+(40/(D65+G65+I65)*C70)+(7.5/(I65)*C71)+(7.5/(I65)*C72)+(10/I65*C73)+(10/I65*C74)+(5/I65*C75)+(5/I65*C76)+(5/I65*C77))/100)</f>
        <v>1</v>
      </c>
      <c r="G68" s="103"/>
      <c r="H68" s="105">
        <f ca="1">((((C68/I65)*20)+((C69/I65)*25)+(30/(I65+G65+D65)*C70)+(5/I65*C71)+(5/I65*C72)+(5/I65*C73)+(5/I65*C74)+(0/I65*C75)+(0/I65*C76)+(5/I65*C77))/100)</f>
        <v>1</v>
      </c>
      <c r="I68" s="106"/>
      <c r="J68" s="107"/>
      <c r="K68" s="35" t="s">
        <v>139</v>
      </c>
      <c r="L68" s="42">
        <f ca="1">I65*50%</f>
        <v>12</v>
      </c>
    </row>
    <row r="69" spans="1:12" x14ac:dyDescent="0.3">
      <c r="A69" s="100" t="s">
        <v>35</v>
      </c>
      <c r="B69" s="98"/>
      <c r="C69" s="43">
        <f ca="1">L77</f>
        <v>24</v>
      </c>
      <c r="D69" s="101">
        <f ca="1">((100/I65)*C69)/100</f>
        <v>1</v>
      </c>
      <c r="E69" s="102"/>
      <c r="F69" s="103"/>
      <c r="G69" s="103"/>
      <c r="H69" s="108"/>
      <c r="I69" s="109"/>
      <c r="J69" s="110"/>
      <c r="K69" s="35" t="s">
        <v>140</v>
      </c>
      <c r="L69" s="42">
        <f ca="1">I65</f>
        <v>24</v>
      </c>
    </row>
    <row r="70" spans="1:12" ht="15.75" customHeight="1" x14ac:dyDescent="0.3">
      <c r="A70" s="100" t="s">
        <v>182</v>
      </c>
      <c r="B70" s="98"/>
      <c r="C70" s="43">
        <v>28</v>
      </c>
      <c r="D70" s="101">
        <f ca="1">((100/(D65+G65+I65))*C70)/100</f>
        <v>1</v>
      </c>
      <c r="E70" s="102"/>
      <c r="F70" s="103"/>
      <c r="G70" s="103"/>
      <c r="H70" s="108"/>
      <c r="I70" s="109"/>
      <c r="J70" s="110"/>
      <c r="K70" s="35" t="s">
        <v>141</v>
      </c>
      <c r="L70" s="44">
        <f ca="1">(IF(B65&gt;1,(I65/(B65+2)),I65/4))</f>
        <v>6</v>
      </c>
    </row>
    <row r="71" spans="1:12" ht="15.75" customHeight="1" x14ac:dyDescent="0.3">
      <c r="A71" s="100" t="s">
        <v>183</v>
      </c>
      <c r="B71" s="98" t="s">
        <v>184</v>
      </c>
      <c r="C71" s="43">
        <f>C70-4</f>
        <v>24</v>
      </c>
      <c r="D71" s="101">
        <f ca="1">((100/I65)*C71)/100</f>
        <v>1</v>
      </c>
      <c r="E71" s="102"/>
      <c r="F71" s="103"/>
      <c r="G71" s="103"/>
      <c r="H71" s="108"/>
      <c r="I71" s="109"/>
      <c r="J71" s="110"/>
      <c r="K71" s="35" t="s">
        <v>142</v>
      </c>
      <c r="L71" s="44">
        <f ca="1">(IF(B65&gt;1,(I65/(B65+2)+L70),I65/4+L70))</f>
        <v>12</v>
      </c>
    </row>
    <row r="72" spans="1:12" ht="15.75" customHeight="1" x14ac:dyDescent="0.3">
      <c r="A72" s="100" t="s">
        <v>185</v>
      </c>
      <c r="B72" s="98" t="s">
        <v>184</v>
      </c>
      <c r="C72" s="43">
        <v>24</v>
      </c>
      <c r="D72" s="101">
        <f ca="1">((100/I65)*C72)/100</f>
        <v>1</v>
      </c>
      <c r="E72" s="102"/>
      <c r="F72" s="103"/>
      <c r="G72" s="103"/>
      <c r="H72" s="108"/>
      <c r="I72" s="109"/>
      <c r="J72" s="110"/>
      <c r="K72" s="35" t="s">
        <v>186</v>
      </c>
      <c r="L72" s="44">
        <f>(IF(B65&gt;1,(I65/(B65+2)+L71),0))</f>
        <v>0</v>
      </c>
    </row>
    <row r="73" spans="1:12" ht="15.75" customHeight="1" x14ac:dyDescent="0.3">
      <c r="A73" s="100" t="s">
        <v>187</v>
      </c>
      <c r="B73" s="98" t="s">
        <v>188</v>
      </c>
      <c r="C73" s="43">
        <v>24</v>
      </c>
      <c r="D73" s="101">
        <f ca="1">((100/(I65))*C73)/100</f>
        <v>1</v>
      </c>
      <c r="E73" s="102"/>
      <c r="F73" s="103"/>
      <c r="G73" s="103"/>
      <c r="H73" s="108"/>
      <c r="I73" s="109"/>
      <c r="J73" s="110"/>
      <c r="K73" s="35" t="s">
        <v>189</v>
      </c>
      <c r="L73" s="44">
        <f>(IF(B65&gt;2,(I65/(B65+2)+L72),0))</f>
        <v>0</v>
      </c>
    </row>
    <row r="74" spans="1:12" ht="15.75" customHeight="1" x14ac:dyDescent="0.3">
      <c r="A74" s="100" t="s">
        <v>190</v>
      </c>
      <c r="B74" s="98" t="s">
        <v>190</v>
      </c>
      <c r="C74" s="43">
        <v>24</v>
      </c>
      <c r="D74" s="101">
        <f ca="1">((100/I65)*C74)/100</f>
        <v>1</v>
      </c>
      <c r="E74" s="102"/>
      <c r="F74" s="103"/>
      <c r="G74" s="103"/>
      <c r="H74" s="108"/>
      <c r="I74" s="109"/>
      <c r="J74" s="110"/>
      <c r="K74" s="35" t="s">
        <v>191</v>
      </c>
      <c r="L74" s="45">
        <f>(IF(B65&gt;3,(I65/(B65+2)+L73),0))</f>
        <v>0</v>
      </c>
    </row>
    <row r="75" spans="1:12" ht="15.75" customHeight="1" x14ac:dyDescent="0.3">
      <c r="A75" s="100" t="s">
        <v>192</v>
      </c>
      <c r="B75" s="98"/>
      <c r="C75" s="43">
        <v>24</v>
      </c>
      <c r="D75" s="101">
        <f ca="1">((100/I65)*C75)/100</f>
        <v>1</v>
      </c>
      <c r="E75" s="102"/>
      <c r="F75" s="103"/>
      <c r="G75" s="103"/>
      <c r="H75" s="108"/>
      <c r="I75" s="109"/>
      <c r="J75" s="110"/>
      <c r="K75" s="35" t="s">
        <v>193</v>
      </c>
      <c r="L75" s="44">
        <f>(IF(B65&gt;4,(I65/(B65+2)+L74),0))</f>
        <v>0</v>
      </c>
    </row>
    <row r="76" spans="1:12" ht="15.75" customHeight="1" x14ac:dyDescent="0.3">
      <c r="A76" s="100" t="s">
        <v>194</v>
      </c>
      <c r="B76" s="98" t="s">
        <v>194</v>
      </c>
      <c r="C76" s="43">
        <v>24</v>
      </c>
      <c r="D76" s="101">
        <f ca="1">((100/(I65))*C76)/100</f>
        <v>1</v>
      </c>
      <c r="E76" s="102"/>
      <c r="F76" s="103"/>
      <c r="G76" s="103"/>
      <c r="H76" s="108"/>
      <c r="I76" s="109"/>
      <c r="J76" s="110"/>
      <c r="K76" s="35" t="s">
        <v>143</v>
      </c>
      <c r="L76" s="44">
        <f ca="1">(IF(B65=1,(I65/(B65+3)+L71),IF(B65=0,(I65/4+L71),IF(B65&gt;1,0))))</f>
        <v>18</v>
      </c>
    </row>
    <row r="77" spans="1:12" ht="16.5" customHeight="1" thickBot="1" x14ac:dyDescent="0.35">
      <c r="A77" s="156" t="s">
        <v>195</v>
      </c>
      <c r="B77" s="157"/>
      <c r="C77" s="46">
        <v>24</v>
      </c>
      <c r="D77" s="158">
        <f ca="1">((100/(I65))*C77)/100</f>
        <v>1</v>
      </c>
      <c r="E77" s="159"/>
      <c r="F77" s="104"/>
      <c r="G77" s="104"/>
      <c r="H77" s="111"/>
      <c r="I77" s="112"/>
      <c r="J77" s="113"/>
      <c r="K77" s="47" t="s">
        <v>144</v>
      </c>
      <c r="L77" s="48">
        <f ca="1">(IF(B65&gt;1.5,(I65/(B65+2)+L71+MAX(0,L72-L71)+MAX(0,L73-L72)+MAX(0,L74-L73)+MAX(0,L75-L74)+MAX(0,L76-L75)),IF(B65=1,(I65/(B65+3)+L76),IF(B65=0,I65/4+L76))))</f>
        <v>24</v>
      </c>
    </row>
    <row r="78" spans="1:12" ht="15.75" hidden="1" customHeight="1" x14ac:dyDescent="0.3">
      <c r="A78" s="245" t="s">
        <v>177</v>
      </c>
      <c r="B78" s="246"/>
      <c r="C78" s="247" t="s">
        <v>203</v>
      </c>
      <c r="D78" s="248"/>
      <c r="E78" s="248"/>
      <c r="F78" s="248"/>
      <c r="G78" s="248"/>
      <c r="H78" s="248"/>
      <c r="I78" s="248"/>
      <c r="J78" s="249"/>
      <c r="K78" s="8" t="str">
        <f ca="1">(IF(F82&gt;99%,"All work completed. Please provide OC.",IF(F82&gt;89.8%,"Plinth, RCC, Brick, Plaster, Flooring, Painting work Completed. Finishing work is in process.",IF(F82&lt;94%,(IF(C82=0,"Work not yet Started.",IF(D82=25%,"Piling work in process",IF(D82=50%,"Excavation work in process",IF(D82=100%,"Excavation work Completed. ","0")))&amp;(IF(C83=0%,"",IF(C83=L84,"Footing work is process",IF(C83=L85,"Footing work Completed",IF(C83=L86,"1st Basement Completed",IF(C83=L87,"1st &amp; 2nd Basement Completed",IF(C83=L88,"1st to 3rd Basement Completed",IF(C83=L89,"1st to 4th Basement Completed",IF(C83=L90,"Plinth work is process",IF(C83=L91,"Plinth work completed","0")))))))))))&amp;(IF(C84=(D79+G79+I79),", RCC Slab",IF(C84&gt;0,", RCC upto "&amp;C84&amp;" Slab",""))&amp;(IF(C85=I79,", Brickwork",IF(C85&gt;0,", Brickwork upto "&amp;C85&amp;" Floor",""))&amp;(IF(C86=I79,", Internal Plaster",IF(C86&gt;0,", Internal Plaster upto "&amp;C86&amp;" Floor",""))&amp;(IF(C87=I79,", External Plaster",IF(C87&gt;0,", External Plaster upto "&amp;C87&amp;" Floor",""))&amp;(IF(C88=I79,", Flooring",IF(C88&gt;0,", Flooring upto "&amp;C88&amp;" Floor",""))&amp;(IF(C89=I79,", Painting",IF(C89&gt;0,", Painting upto "&amp;C89&amp;" Floor",""))&amp;(IF(C90&gt;0,", Finishing upto "&amp;C90&amp;" Floor","")&amp;(IF(C84&gt;0.5," Completed",""))))))))))))))</f>
        <v>Excavation work Completed. Plinth work completed, RCC Slab, Brickwork, Internal Plaster, External Plaster, Flooring upto 20 Floor, Painting upto 20 Floor, Finishing upto 3 Floor Completed</v>
      </c>
      <c r="L78" s="9"/>
    </row>
    <row r="79" spans="1:12" ht="15.6" hidden="1" x14ac:dyDescent="0.3">
      <c r="A79" s="38" t="s">
        <v>178</v>
      </c>
      <c r="B79" s="39">
        <v>0</v>
      </c>
      <c r="C79" s="39" t="s">
        <v>129</v>
      </c>
      <c r="D79" s="39">
        <v>1</v>
      </c>
      <c r="E79" s="154" t="s">
        <v>138</v>
      </c>
      <c r="F79" s="250"/>
      <c r="G79" s="39">
        <v>3</v>
      </c>
      <c r="H79" s="39" t="s">
        <v>164</v>
      </c>
      <c r="I79" s="154">
        <f ca="1">--TRIM(RIGHT(SUBSTITUTE(LEFT(C78,_xlfn.AGGREGATE(16,6,FIND({0,1,2,3,4,5,6,7,8,9},C78,ROW(INDIRECT("1:"&amp;LEN(C78)))),1))," ",REPT(" ",LEN(C78))),LEN(C78)))</f>
        <v>24</v>
      </c>
      <c r="J79" s="155"/>
      <c r="K79" s="15"/>
      <c r="L79" s="16"/>
    </row>
    <row r="80" spans="1:12" ht="45.45" hidden="1" customHeight="1" x14ac:dyDescent="0.3">
      <c r="A80" s="127" t="s">
        <v>166</v>
      </c>
      <c r="B80" s="128"/>
      <c r="C80" s="143" t="str">
        <f ca="1">K78</f>
        <v>Excavation work Completed. Plinth work completed, RCC Slab, Brickwork, Internal Plaster, External Plaster, Flooring upto 20 Floor, Painting upto 20 Floor, Finishing upto 3 Floor Completed</v>
      </c>
      <c r="D80" s="144"/>
      <c r="E80" s="144"/>
      <c r="F80" s="144"/>
      <c r="G80" s="144"/>
      <c r="H80" s="144"/>
      <c r="I80" s="144"/>
      <c r="J80" s="145"/>
      <c r="K80" s="15" t="s">
        <v>172</v>
      </c>
      <c r="L80" s="16"/>
    </row>
    <row r="81" spans="1:16" ht="15.75" hidden="1" customHeight="1" x14ac:dyDescent="0.3">
      <c r="A81" s="146" t="s">
        <v>34</v>
      </c>
      <c r="B81" s="147"/>
      <c r="C81" s="40" t="s">
        <v>179</v>
      </c>
      <c r="D81" s="98" t="s">
        <v>169</v>
      </c>
      <c r="E81" s="98"/>
      <c r="F81" s="98" t="s">
        <v>170</v>
      </c>
      <c r="G81" s="98"/>
      <c r="H81" s="98" t="s">
        <v>171</v>
      </c>
      <c r="I81" s="98"/>
      <c r="J81" s="99"/>
      <c r="K81" s="35" t="s">
        <v>180</v>
      </c>
      <c r="L81" s="19">
        <f ca="1">I79*25%</f>
        <v>6</v>
      </c>
    </row>
    <row r="82" spans="1:16" ht="15.75" hidden="1" customHeight="1" x14ac:dyDescent="0.3">
      <c r="A82" s="100" t="s">
        <v>181</v>
      </c>
      <c r="B82" s="98"/>
      <c r="C82" s="41">
        <f ca="1">L83</f>
        <v>24</v>
      </c>
      <c r="D82" s="101">
        <f ca="1">((100/I79)*C82)/100</f>
        <v>1</v>
      </c>
      <c r="E82" s="102"/>
      <c r="F82" s="103">
        <f ca="1">(((C83/I79*10)+(40/(D79+G79+I79)*C84)+(7.5/(I79)*C85)+(7.5/(I79)*C86)+(10/I79*C87)+(10/I79*C88)+(5/I79*C89)+(5/I79*C90)+(5/I79*C91))/100)</f>
        <v>0.88124999999999998</v>
      </c>
      <c r="G82" s="103"/>
      <c r="H82" s="105">
        <f ca="1">((((C82/I79)*20)+((C83/I79)*25)+(30/(I79+G79+D79)*C84)+(5/I79*C85)+(5/I79*C86)+(5/I79*C87)+(5/I79*C88)+(0/I79*C89)+(0/I79*C90)+(5/I79*C91))/100)</f>
        <v>0.94166666666666676</v>
      </c>
      <c r="I82" s="106"/>
      <c r="J82" s="107"/>
      <c r="K82" s="35" t="s">
        <v>139</v>
      </c>
      <c r="L82" s="42">
        <f ca="1">I79*50%</f>
        <v>12</v>
      </c>
    </row>
    <row r="83" spans="1:16" hidden="1" x14ac:dyDescent="0.3">
      <c r="A83" s="100" t="s">
        <v>35</v>
      </c>
      <c r="B83" s="98"/>
      <c r="C83" s="43">
        <f ca="1">L91</f>
        <v>24</v>
      </c>
      <c r="D83" s="101">
        <f ca="1">((100/I79)*C83)/100</f>
        <v>1</v>
      </c>
      <c r="E83" s="102"/>
      <c r="F83" s="103"/>
      <c r="G83" s="103"/>
      <c r="H83" s="108"/>
      <c r="I83" s="109"/>
      <c r="J83" s="110"/>
      <c r="K83" s="35" t="s">
        <v>140</v>
      </c>
      <c r="L83" s="42">
        <f ca="1">I79</f>
        <v>24</v>
      </c>
    </row>
    <row r="84" spans="1:16" ht="15.75" hidden="1" customHeight="1" x14ac:dyDescent="0.3">
      <c r="A84" s="100" t="s">
        <v>182</v>
      </c>
      <c r="B84" s="98"/>
      <c r="C84" s="43">
        <v>28</v>
      </c>
      <c r="D84" s="101">
        <f ca="1">((100/(D79+G79+I79))*C84)/100</f>
        <v>1</v>
      </c>
      <c r="E84" s="102"/>
      <c r="F84" s="103"/>
      <c r="G84" s="103"/>
      <c r="H84" s="108"/>
      <c r="I84" s="109"/>
      <c r="J84" s="110"/>
      <c r="K84" s="35" t="s">
        <v>141</v>
      </c>
      <c r="L84" s="44">
        <f ca="1">(IF(B79&gt;1,(I79/(B79+2)),I79/4))</f>
        <v>6</v>
      </c>
    </row>
    <row r="85" spans="1:16" ht="15.75" hidden="1" customHeight="1" x14ac:dyDescent="0.3">
      <c r="A85" s="100" t="s">
        <v>183</v>
      </c>
      <c r="B85" s="98" t="s">
        <v>184</v>
      </c>
      <c r="C85" s="43">
        <f>C84-4</f>
        <v>24</v>
      </c>
      <c r="D85" s="101">
        <f ca="1">((100/I79)*C85)/100</f>
        <v>1</v>
      </c>
      <c r="E85" s="102"/>
      <c r="F85" s="103"/>
      <c r="G85" s="103"/>
      <c r="H85" s="108"/>
      <c r="I85" s="109"/>
      <c r="J85" s="110"/>
      <c r="K85" s="35" t="s">
        <v>142</v>
      </c>
      <c r="L85" s="44">
        <f ca="1">(IF(B79&gt;1,(I79/(B79+2)+L84),I79/4+L84))</f>
        <v>12</v>
      </c>
    </row>
    <row r="86" spans="1:16" ht="15.75" hidden="1" customHeight="1" x14ac:dyDescent="0.3">
      <c r="A86" s="100" t="s">
        <v>185</v>
      </c>
      <c r="B86" s="98" t="s">
        <v>184</v>
      </c>
      <c r="C86" s="43">
        <v>24</v>
      </c>
      <c r="D86" s="101">
        <f ca="1">((100/I79)*C86)/100</f>
        <v>1</v>
      </c>
      <c r="E86" s="102"/>
      <c r="F86" s="103"/>
      <c r="G86" s="103"/>
      <c r="H86" s="108"/>
      <c r="I86" s="109"/>
      <c r="J86" s="110"/>
      <c r="K86" s="35" t="s">
        <v>186</v>
      </c>
      <c r="L86" s="44">
        <f>(IF(B79&gt;1,(I79/(B79+2)+L85),0))</f>
        <v>0</v>
      </c>
    </row>
    <row r="87" spans="1:16" ht="15.75" hidden="1" customHeight="1" x14ac:dyDescent="0.3">
      <c r="A87" s="100" t="s">
        <v>187</v>
      </c>
      <c r="B87" s="98" t="s">
        <v>188</v>
      </c>
      <c r="C87" s="43">
        <v>24</v>
      </c>
      <c r="D87" s="101">
        <f ca="1">((100/(I79))*C87)/100</f>
        <v>1</v>
      </c>
      <c r="E87" s="102"/>
      <c r="F87" s="103"/>
      <c r="G87" s="103"/>
      <c r="H87" s="108"/>
      <c r="I87" s="109"/>
      <c r="J87" s="110"/>
      <c r="K87" s="35" t="s">
        <v>189</v>
      </c>
      <c r="L87" s="44">
        <f>(IF(B79&gt;2,(I79/(B79+2)+L86),0))</f>
        <v>0</v>
      </c>
    </row>
    <row r="88" spans="1:16" ht="15.75" hidden="1" customHeight="1" x14ac:dyDescent="0.3">
      <c r="A88" s="100" t="s">
        <v>190</v>
      </c>
      <c r="B88" s="98" t="s">
        <v>190</v>
      </c>
      <c r="C88" s="41">
        <v>20</v>
      </c>
      <c r="D88" s="101">
        <f ca="1">((100/I79)*C88)/100</f>
        <v>0.83333333333333348</v>
      </c>
      <c r="E88" s="102"/>
      <c r="F88" s="103"/>
      <c r="G88" s="103"/>
      <c r="H88" s="108"/>
      <c r="I88" s="109"/>
      <c r="J88" s="110"/>
      <c r="K88" s="35" t="s">
        <v>191</v>
      </c>
      <c r="L88" s="45">
        <f>(IF(B79&gt;3,(I79/(B79+2)+L87),0))</f>
        <v>0</v>
      </c>
    </row>
    <row r="89" spans="1:16" ht="15.75" hidden="1" customHeight="1" x14ac:dyDescent="0.3">
      <c r="A89" s="100" t="s">
        <v>192</v>
      </c>
      <c r="B89" s="98"/>
      <c r="C89" s="41">
        <v>20</v>
      </c>
      <c r="D89" s="101">
        <f ca="1">((100/I79)*C89)/100</f>
        <v>0.83333333333333348</v>
      </c>
      <c r="E89" s="102"/>
      <c r="F89" s="103"/>
      <c r="G89" s="103"/>
      <c r="H89" s="108"/>
      <c r="I89" s="109"/>
      <c r="J89" s="110"/>
      <c r="K89" s="35" t="s">
        <v>193</v>
      </c>
      <c r="L89" s="44">
        <f>(IF(B79&gt;4,(I79/(B79+2)+L88),0))</f>
        <v>0</v>
      </c>
    </row>
    <row r="90" spans="1:16" ht="15.75" hidden="1" customHeight="1" x14ac:dyDescent="0.3">
      <c r="A90" s="100" t="s">
        <v>194</v>
      </c>
      <c r="B90" s="98" t="s">
        <v>194</v>
      </c>
      <c r="C90" s="41">
        <v>3</v>
      </c>
      <c r="D90" s="101">
        <f ca="1">((100/(I79))*C90)/100</f>
        <v>0.125</v>
      </c>
      <c r="E90" s="102"/>
      <c r="F90" s="103"/>
      <c r="G90" s="103"/>
      <c r="H90" s="108"/>
      <c r="I90" s="109"/>
      <c r="J90" s="110"/>
      <c r="K90" s="35" t="s">
        <v>143</v>
      </c>
      <c r="L90" s="44">
        <f ca="1">(IF(B79=1,(I79/(B79+3)+L85),IF(B79=0,(I79/4+L85),IF(B79&gt;1,0))))</f>
        <v>18</v>
      </c>
    </row>
    <row r="91" spans="1:16" ht="16.5" hidden="1" customHeight="1" thickBot="1" x14ac:dyDescent="0.35">
      <c r="A91" s="156" t="s">
        <v>195</v>
      </c>
      <c r="B91" s="157"/>
      <c r="C91" s="46">
        <v>0</v>
      </c>
      <c r="D91" s="158">
        <f ca="1">((100/(I79))*C91)/100</f>
        <v>0</v>
      </c>
      <c r="E91" s="159"/>
      <c r="F91" s="104"/>
      <c r="G91" s="104"/>
      <c r="H91" s="111"/>
      <c r="I91" s="112"/>
      <c r="J91" s="113"/>
      <c r="K91" s="47" t="s">
        <v>144</v>
      </c>
      <c r="L91" s="48">
        <f ca="1">(IF(B79&gt;1.5,(I79/(B79+2)+L85+MAX(0,L86-L85)+MAX(0,L87-L86)+MAX(0,L88-L87)+MAX(0,L89-L88)+MAX(0,L90-L89)),IF(B79=1,(I79/(B79+3)+L90),IF(B79=0,I79/4+L90))))</f>
        <v>24</v>
      </c>
    </row>
    <row r="92" spans="1:16" x14ac:dyDescent="0.3">
      <c r="A92" s="151" t="s">
        <v>24</v>
      </c>
      <c r="B92" s="152"/>
      <c r="C92" s="152"/>
      <c r="D92" s="152"/>
      <c r="E92" s="152"/>
      <c r="F92" s="152"/>
      <c r="G92" s="152"/>
      <c r="H92" s="152"/>
      <c r="I92" s="152"/>
      <c r="J92" s="153"/>
    </row>
    <row r="93" spans="1:16" x14ac:dyDescent="0.3">
      <c r="A93" s="148" t="s">
        <v>107</v>
      </c>
      <c r="B93" s="149"/>
      <c r="C93" s="149"/>
      <c r="D93" s="149"/>
      <c r="E93" s="149"/>
      <c r="F93" s="150"/>
      <c r="G93" s="151">
        <v>22000</v>
      </c>
      <c r="H93" s="152"/>
      <c r="I93" s="152"/>
      <c r="J93" s="153"/>
      <c r="K93" s="63" t="s">
        <v>222</v>
      </c>
      <c r="L93" s="63" t="s">
        <v>223</v>
      </c>
      <c r="M93" s="63" t="s">
        <v>224</v>
      </c>
      <c r="N93" s="63"/>
      <c r="O93" s="63" t="s">
        <v>225</v>
      </c>
      <c r="P93" s="64">
        <v>45259</v>
      </c>
    </row>
    <row r="94" spans="1:16" x14ac:dyDescent="0.3">
      <c r="A94" s="129" t="s">
        <v>135</v>
      </c>
      <c r="B94" s="130"/>
      <c r="C94" s="130"/>
      <c r="D94" s="130"/>
      <c r="E94" s="130"/>
      <c r="F94" s="168"/>
      <c r="G94" s="131" t="s">
        <v>136</v>
      </c>
      <c r="H94" s="132"/>
      <c r="I94" s="132"/>
      <c r="J94" s="133"/>
    </row>
    <row r="95" spans="1:16" hidden="1" x14ac:dyDescent="0.3">
      <c r="A95" s="129" t="s">
        <v>199</v>
      </c>
      <c r="B95" s="130"/>
      <c r="C95" s="130"/>
      <c r="D95" s="130"/>
      <c r="E95" s="130"/>
      <c r="F95" s="168"/>
      <c r="G95" s="131" t="s">
        <v>136</v>
      </c>
      <c r="H95" s="132"/>
      <c r="I95" s="132"/>
      <c r="J95" s="133"/>
    </row>
    <row r="96" spans="1:16" x14ac:dyDescent="0.3">
      <c r="A96" s="129" t="s">
        <v>69</v>
      </c>
      <c r="B96" s="130"/>
      <c r="C96" s="130"/>
      <c r="D96" s="130"/>
      <c r="E96" s="130"/>
      <c r="F96" s="168"/>
      <c r="G96" s="131" t="s">
        <v>137</v>
      </c>
      <c r="H96" s="132"/>
      <c r="I96" s="132"/>
      <c r="J96" s="133"/>
    </row>
    <row r="97" spans="1:256" x14ac:dyDescent="0.3">
      <c r="A97" s="129" t="s">
        <v>91</v>
      </c>
      <c r="B97" s="130"/>
      <c r="C97" s="130"/>
      <c r="D97" s="130"/>
      <c r="E97" s="130"/>
      <c r="F97" s="168"/>
      <c r="G97" s="131" t="s">
        <v>221</v>
      </c>
      <c r="H97" s="132"/>
      <c r="I97" s="132"/>
      <c r="J97" s="133"/>
    </row>
    <row r="98" spans="1:256" s="49" customFormat="1" ht="14.55" customHeight="1" x14ac:dyDescent="0.3">
      <c r="A98" s="151" t="s">
        <v>99</v>
      </c>
      <c r="B98" s="152"/>
      <c r="C98" s="152"/>
      <c r="D98" s="152"/>
      <c r="E98" s="152"/>
      <c r="F98" s="153"/>
      <c r="G98" s="129">
        <f>G93*0.8</f>
        <v>17600</v>
      </c>
      <c r="H98" s="130"/>
      <c r="I98" s="130"/>
      <c r="J98" s="168"/>
    </row>
    <row r="99" spans="1:256" s="49" customFormat="1" ht="14.55" hidden="1" customHeight="1" x14ac:dyDescent="0.3">
      <c r="A99" s="89" t="s">
        <v>146</v>
      </c>
      <c r="B99" s="90"/>
      <c r="C99" s="90"/>
      <c r="D99" s="90"/>
      <c r="E99" s="90"/>
      <c r="F99" s="90"/>
      <c r="G99" s="90"/>
      <c r="H99" s="90"/>
      <c r="I99" s="90"/>
      <c r="J99" s="91"/>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c r="BU99" s="50"/>
      <c r="BV99" s="50"/>
      <c r="BW99" s="50"/>
      <c r="BX99" s="50"/>
      <c r="BY99" s="50"/>
      <c r="BZ99" s="50"/>
      <c r="CA99" s="50"/>
      <c r="CB99" s="50"/>
      <c r="CC99" s="50"/>
      <c r="CD99" s="50"/>
      <c r="CE99" s="50"/>
      <c r="CF99" s="50"/>
      <c r="CG99" s="50"/>
      <c r="CH99" s="50"/>
      <c r="CI99" s="50"/>
      <c r="CJ99" s="50"/>
      <c r="CK99" s="50"/>
      <c r="CL99" s="50"/>
      <c r="CM99" s="50"/>
      <c r="CN99" s="50"/>
      <c r="CO99" s="50"/>
      <c r="CP99" s="50"/>
      <c r="CQ99" s="50"/>
      <c r="CR99" s="50"/>
      <c r="CS99" s="50"/>
      <c r="CT99" s="50"/>
      <c r="CU99" s="50"/>
      <c r="CV99" s="50"/>
      <c r="CW99" s="50"/>
      <c r="CX99" s="50"/>
      <c r="CY99" s="50"/>
      <c r="CZ99" s="50"/>
      <c r="DA99" s="50"/>
      <c r="DB99" s="50"/>
      <c r="DC99" s="50"/>
      <c r="DD99" s="50"/>
      <c r="DE99" s="50"/>
      <c r="DF99" s="50"/>
      <c r="DG99" s="50"/>
      <c r="DH99" s="50"/>
      <c r="DI99" s="50"/>
      <c r="DJ99" s="50"/>
      <c r="DK99" s="50"/>
      <c r="DL99" s="50"/>
      <c r="DM99" s="50"/>
      <c r="DN99" s="50"/>
      <c r="DO99" s="50"/>
      <c r="DP99" s="50"/>
      <c r="DQ99" s="50"/>
      <c r="DR99" s="50"/>
      <c r="DS99" s="50"/>
      <c r="DT99" s="50"/>
      <c r="DU99" s="50"/>
      <c r="DV99" s="50"/>
      <c r="DW99" s="50"/>
      <c r="DX99" s="50"/>
      <c r="DY99" s="50"/>
      <c r="DZ99" s="50"/>
      <c r="EA99" s="50"/>
      <c r="EB99" s="50"/>
      <c r="EC99" s="50"/>
      <c r="ED99" s="50"/>
      <c r="EE99" s="50"/>
      <c r="EF99" s="50"/>
      <c r="EG99" s="50"/>
      <c r="EH99" s="50"/>
      <c r="EI99" s="50"/>
      <c r="EJ99" s="50"/>
      <c r="EK99" s="50"/>
      <c r="EL99" s="50"/>
      <c r="EM99" s="50"/>
      <c r="EN99" s="50"/>
      <c r="EO99" s="50"/>
      <c r="EP99" s="50"/>
      <c r="EQ99" s="50"/>
      <c r="ER99" s="50"/>
      <c r="ES99" s="50"/>
      <c r="ET99" s="50"/>
      <c r="EU99" s="50"/>
      <c r="EV99" s="50"/>
      <c r="EW99" s="50"/>
      <c r="EX99" s="50"/>
      <c r="EY99" s="50"/>
      <c r="EZ99" s="50"/>
      <c r="FA99" s="50"/>
      <c r="FB99" s="50"/>
      <c r="FC99" s="50"/>
      <c r="FD99" s="50"/>
      <c r="FE99" s="50"/>
      <c r="FF99" s="50"/>
      <c r="FG99" s="50"/>
      <c r="FH99" s="50"/>
      <c r="FI99" s="50"/>
      <c r="FJ99" s="50"/>
      <c r="FK99" s="50"/>
      <c r="FL99" s="50"/>
      <c r="FM99" s="50"/>
      <c r="FN99" s="50"/>
      <c r="FO99" s="50"/>
      <c r="FP99" s="50"/>
      <c r="FQ99" s="50"/>
      <c r="FR99" s="50"/>
      <c r="FS99" s="50"/>
      <c r="FT99" s="50"/>
      <c r="FU99" s="50"/>
      <c r="FV99" s="50"/>
      <c r="FW99" s="50"/>
      <c r="FX99" s="50"/>
      <c r="FY99" s="50"/>
      <c r="FZ99" s="50"/>
      <c r="GA99" s="50"/>
      <c r="GB99" s="50"/>
      <c r="GC99" s="50"/>
      <c r="GD99" s="50"/>
      <c r="GE99" s="50"/>
      <c r="GF99" s="50"/>
      <c r="GG99" s="50"/>
      <c r="GH99" s="50"/>
      <c r="GI99" s="50"/>
      <c r="GJ99" s="50"/>
      <c r="GK99" s="50"/>
      <c r="GL99" s="50"/>
      <c r="GM99" s="50"/>
      <c r="GN99" s="50"/>
      <c r="GO99" s="50"/>
      <c r="GP99" s="50"/>
      <c r="GQ99" s="50"/>
      <c r="GR99" s="50"/>
      <c r="GS99" s="50"/>
      <c r="GT99" s="50"/>
      <c r="GU99" s="50"/>
      <c r="GV99" s="50"/>
      <c r="GW99" s="50"/>
      <c r="GX99" s="50"/>
      <c r="GY99" s="50"/>
      <c r="GZ99" s="50"/>
      <c r="HA99" s="50"/>
      <c r="HB99" s="50"/>
      <c r="HC99" s="50"/>
      <c r="HD99" s="50"/>
      <c r="HE99" s="50"/>
      <c r="HF99" s="50"/>
      <c r="HG99" s="50"/>
      <c r="HH99" s="50"/>
      <c r="HI99" s="50"/>
      <c r="HJ99" s="50"/>
      <c r="HK99" s="50"/>
      <c r="HL99" s="50"/>
      <c r="HM99" s="50"/>
      <c r="HN99" s="50"/>
      <c r="HO99" s="50"/>
      <c r="HP99" s="50"/>
      <c r="HQ99" s="50"/>
      <c r="HR99" s="50"/>
      <c r="HS99" s="50"/>
      <c r="HT99" s="50"/>
      <c r="HU99" s="50"/>
      <c r="HV99" s="50"/>
      <c r="HW99" s="50"/>
      <c r="HX99" s="50"/>
      <c r="HY99" s="50"/>
      <c r="HZ99" s="50"/>
      <c r="IA99" s="50"/>
      <c r="IB99" s="50"/>
      <c r="IC99" s="50"/>
      <c r="ID99" s="50"/>
      <c r="IE99" s="50"/>
      <c r="IF99" s="50"/>
      <c r="IG99" s="50"/>
      <c r="IH99" s="50"/>
      <c r="II99" s="50"/>
      <c r="IJ99" s="50"/>
      <c r="IK99" s="50"/>
      <c r="IL99" s="50"/>
      <c r="IM99" s="50"/>
      <c r="IN99" s="50"/>
      <c r="IO99" s="50"/>
      <c r="IP99" s="50"/>
      <c r="IQ99" s="50"/>
      <c r="IR99" s="50"/>
      <c r="IS99" s="50"/>
      <c r="IT99" s="50"/>
      <c r="IU99" s="50"/>
      <c r="IV99" s="50"/>
    </row>
    <row r="100" spans="1:256" s="49" customFormat="1" ht="14.55" hidden="1" customHeight="1" x14ac:dyDescent="0.3">
      <c r="A100" s="118" t="s">
        <v>147</v>
      </c>
      <c r="B100" s="119"/>
      <c r="C100" s="51" t="s">
        <v>151</v>
      </c>
      <c r="D100" s="251" t="s">
        <v>148</v>
      </c>
      <c r="E100" s="252"/>
      <c r="F100" s="253"/>
      <c r="G100" s="118" t="s">
        <v>149</v>
      </c>
      <c r="H100" s="226"/>
      <c r="I100" s="226"/>
      <c r="J100" s="119"/>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c r="BQ100" s="50"/>
      <c r="BR100" s="50"/>
      <c r="BS100" s="50"/>
      <c r="BT100" s="50"/>
      <c r="BU100" s="50"/>
      <c r="BV100" s="50"/>
      <c r="BW100" s="50"/>
      <c r="BX100" s="50"/>
      <c r="BY100" s="50"/>
      <c r="BZ100" s="50"/>
      <c r="CA100" s="50"/>
      <c r="CB100" s="50"/>
      <c r="CC100" s="50"/>
      <c r="CD100" s="50"/>
      <c r="CE100" s="50"/>
      <c r="CF100" s="50"/>
      <c r="CG100" s="50"/>
      <c r="CH100" s="50"/>
      <c r="CI100" s="50"/>
      <c r="CJ100" s="50"/>
      <c r="CK100" s="50"/>
      <c r="CL100" s="50"/>
      <c r="CM100" s="50"/>
      <c r="CN100" s="50"/>
      <c r="CO100" s="50"/>
      <c r="CP100" s="50"/>
      <c r="CQ100" s="50"/>
      <c r="CR100" s="50"/>
      <c r="CS100" s="50"/>
      <c r="CT100" s="50"/>
      <c r="CU100" s="50"/>
      <c r="CV100" s="50"/>
      <c r="CW100" s="50"/>
      <c r="CX100" s="50"/>
      <c r="CY100" s="50"/>
      <c r="CZ100" s="50"/>
      <c r="DA100" s="50"/>
      <c r="DB100" s="50"/>
      <c r="DC100" s="50"/>
      <c r="DD100" s="50"/>
      <c r="DE100" s="50"/>
      <c r="DF100" s="50"/>
      <c r="DG100" s="50"/>
      <c r="DH100" s="50"/>
      <c r="DI100" s="50"/>
      <c r="DJ100" s="50"/>
      <c r="DK100" s="50"/>
      <c r="DL100" s="50"/>
      <c r="DM100" s="50"/>
      <c r="DN100" s="50"/>
      <c r="DO100" s="50"/>
      <c r="DP100" s="50"/>
      <c r="DQ100" s="50"/>
      <c r="DR100" s="50"/>
      <c r="DS100" s="50"/>
      <c r="DT100" s="50"/>
      <c r="DU100" s="50"/>
      <c r="DV100" s="50"/>
      <c r="DW100" s="50"/>
      <c r="DX100" s="50"/>
      <c r="DY100" s="50"/>
      <c r="DZ100" s="50"/>
      <c r="EA100" s="50"/>
      <c r="EB100" s="50"/>
      <c r="EC100" s="50"/>
      <c r="ED100" s="50"/>
      <c r="EE100" s="50"/>
      <c r="EF100" s="50"/>
      <c r="EG100" s="50"/>
      <c r="EH100" s="50"/>
      <c r="EI100" s="50"/>
      <c r="EJ100" s="50"/>
      <c r="EK100" s="50"/>
      <c r="EL100" s="50"/>
      <c r="EM100" s="50"/>
      <c r="EN100" s="50"/>
      <c r="EO100" s="50"/>
      <c r="EP100" s="50"/>
      <c r="EQ100" s="50"/>
      <c r="ER100" s="50"/>
      <c r="ES100" s="50"/>
      <c r="ET100" s="50"/>
      <c r="EU100" s="50"/>
      <c r="EV100" s="50"/>
      <c r="EW100" s="50"/>
      <c r="EX100" s="50"/>
      <c r="EY100" s="50"/>
      <c r="EZ100" s="50"/>
      <c r="FA100" s="50"/>
      <c r="FB100" s="50"/>
      <c r="FC100" s="50"/>
      <c r="FD100" s="50"/>
      <c r="FE100" s="50"/>
      <c r="FF100" s="50"/>
      <c r="FG100" s="50"/>
      <c r="FH100" s="50"/>
      <c r="FI100" s="50"/>
      <c r="FJ100" s="50"/>
      <c r="FK100" s="50"/>
      <c r="FL100" s="50"/>
      <c r="FM100" s="50"/>
      <c r="FN100" s="50"/>
      <c r="FO100" s="50"/>
      <c r="FP100" s="50"/>
      <c r="FQ100" s="50"/>
      <c r="FR100" s="50"/>
      <c r="FS100" s="50"/>
      <c r="FT100" s="50"/>
      <c r="FU100" s="50"/>
      <c r="FV100" s="50"/>
      <c r="FW100" s="50"/>
      <c r="FX100" s="50"/>
      <c r="FY100" s="50"/>
      <c r="FZ100" s="50"/>
      <c r="GA100" s="50"/>
      <c r="GB100" s="50"/>
      <c r="GC100" s="50"/>
      <c r="GD100" s="50"/>
      <c r="GE100" s="50"/>
      <c r="GF100" s="50"/>
      <c r="GG100" s="50"/>
      <c r="GH100" s="50"/>
      <c r="GI100" s="50"/>
      <c r="GJ100" s="50"/>
      <c r="GK100" s="50"/>
      <c r="GL100" s="50"/>
      <c r="GM100" s="50"/>
      <c r="GN100" s="50"/>
      <c r="GO100" s="50"/>
      <c r="GP100" s="50"/>
      <c r="GQ100" s="50"/>
      <c r="GR100" s="50"/>
      <c r="GS100" s="50"/>
      <c r="GT100" s="50"/>
      <c r="GU100" s="50"/>
      <c r="GV100" s="50"/>
      <c r="GW100" s="50"/>
      <c r="GX100" s="50"/>
      <c r="GY100" s="50"/>
      <c r="GZ100" s="50"/>
      <c r="HA100" s="50"/>
      <c r="HB100" s="50"/>
      <c r="HC100" s="50"/>
      <c r="HD100" s="50"/>
      <c r="HE100" s="50"/>
      <c r="HF100" s="50"/>
      <c r="HG100" s="50"/>
      <c r="HH100" s="50"/>
      <c r="HI100" s="50"/>
      <c r="HJ100" s="50"/>
      <c r="HK100" s="50"/>
      <c r="HL100" s="50"/>
      <c r="HM100" s="50"/>
      <c r="HN100" s="50"/>
      <c r="HO100" s="50"/>
      <c r="HP100" s="50"/>
      <c r="HQ100" s="50"/>
      <c r="HR100" s="50"/>
      <c r="HS100" s="50"/>
      <c r="HT100" s="50"/>
      <c r="HU100" s="50"/>
      <c r="HV100" s="50"/>
      <c r="HW100" s="50"/>
      <c r="HX100" s="50"/>
      <c r="HY100" s="50"/>
      <c r="HZ100" s="50"/>
      <c r="IA100" s="50"/>
      <c r="IB100" s="50"/>
      <c r="IC100" s="50"/>
      <c r="ID100" s="50"/>
      <c r="IE100" s="50"/>
      <c r="IF100" s="50"/>
      <c r="IG100" s="50"/>
      <c r="IH100" s="50"/>
      <c r="II100" s="50"/>
      <c r="IJ100" s="50"/>
      <c r="IK100" s="50"/>
      <c r="IL100" s="50"/>
      <c r="IM100" s="50"/>
      <c r="IN100" s="50"/>
      <c r="IO100" s="50"/>
      <c r="IP100" s="50"/>
      <c r="IQ100" s="50"/>
      <c r="IR100" s="50"/>
      <c r="IS100" s="50"/>
      <c r="IT100" s="50"/>
      <c r="IU100" s="50"/>
      <c r="IV100" s="50"/>
    </row>
    <row r="101" spans="1:256" s="49" customFormat="1" ht="14.55" hidden="1" customHeight="1" x14ac:dyDescent="0.3">
      <c r="A101" s="86" t="s">
        <v>150</v>
      </c>
      <c r="B101" s="87"/>
      <c r="C101" s="52">
        <f>COUNT(D116:E118)+COUNT(D122:E122)+COUNT(D124:E130)+COUNT(D132:E138)*6+COUNT(D140:E145)+COUNT(D148:E154)*2+COUNT(#REF!)+COUNT(#REF!)*2+COUNT(#REF!)*2+COUNT(#REF!)+COUNT(#REF!)+COUNT(#REF!)+COUNT(#REF!)*2+COUNT(#REF!)</f>
        <v>71</v>
      </c>
      <c r="D101" s="242" t="e">
        <f>SUM(D116:E118)+SUM(D122:E122)+SUM(D124:E130)+SUM(D132:E138)*6+SUM(D140:E145)+SUM(D148:E154)*2+SUM(#REF!)+SUM(#REF!)*2+SUM(#REF!)*2+SUM(#REF!)+SUM(#REF!)+SUM(#REF!)+SUM(#REF!)*4+SUM(#REF!)</f>
        <v>#REF!</v>
      </c>
      <c r="E101" s="243"/>
      <c r="F101" s="244"/>
      <c r="G101" s="140" t="e">
        <f>SUM(G116:G118)+SUM(G122:G122)+SUM(G124:G130)+SUM(G132:G138)*6+SUM(G140:G145)+SUM(G148:G154)*2+SUM(#REF!)+SUM(#REF!)*2+SUM(#REF!)*2+SUM(#REF!)+SUM(#REF!)+SUM(#REF!)+SUM(#REF!)*2+SUM(#REF!)</f>
        <v>#REF!</v>
      </c>
      <c r="H101" s="141"/>
      <c r="I101" s="141"/>
      <c r="J101" s="142"/>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c r="BQ101" s="50"/>
      <c r="BR101" s="50"/>
      <c r="BS101" s="50"/>
      <c r="BT101" s="50"/>
      <c r="BU101" s="50"/>
      <c r="BV101" s="50"/>
      <c r="BW101" s="50"/>
      <c r="BX101" s="50"/>
      <c r="BY101" s="50"/>
      <c r="BZ101" s="50"/>
      <c r="CA101" s="50"/>
      <c r="CB101" s="50"/>
      <c r="CC101" s="50"/>
      <c r="CD101" s="50"/>
      <c r="CE101" s="50"/>
      <c r="CF101" s="50"/>
      <c r="CG101" s="50"/>
      <c r="CH101" s="50"/>
      <c r="CI101" s="50"/>
      <c r="CJ101" s="50"/>
      <c r="CK101" s="50"/>
      <c r="CL101" s="50"/>
      <c r="CM101" s="50"/>
      <c r="CN101" s="50"/>
      <c r="CO101" s="50"/>
      <c r="CP101" s="50"/>
      <c r="CQ101" s="50"/>
      <c r="CR101" s="50"/>
      <c r="CS101" s="50"/>
      <c r="CT101" s="50"/>
      <c r="CU101" s="50"/>
      <c r="CV101" s="50"/>
      <c r="CW101" s="50"/>
      <c r="CX101" s="50"/>
      <c r="CY101" s="50"/>
      <c r="CZ101" s="50"/>
      <c r="DA101" s="50"/>
      <c r="DB101" s="50"/>
      <c r="DC101" s="50"/>
      <c r="DD101" s="50"/>
      <c r="DE101" s="50"/>
      <c r="DF101" s="50"/>
      <c r="DG101" s="50"/>
      <c r="DH101" s="50"/>
      <c r="DI101" s="50"/>
      <c r="DJ101" s="50"/>
      <c r="DK101" s="50"/>
      <c r="DL101" s="50"/>
      <c r="DM101" s="50"/>
      <c r="DN101" s="50"/>
      <c r="DO101" s="50"/>
      <c r="DP101" s="50"/>
      <c r="DQ101" s="50"/>
      <c r="DR101" s="50"/>
      <c r="DS101" s="50"/>
      <c r="DT101" s="50"/>
      <c r="DU101" s="50"/>
      <c r="DV101" s="50"/>
      <c r="DW101" s="50"/>
      <c r="DX101" s="50"/>
      <c r="DY101" s="50"/>
      <c r="DZ101" s="50"/>
      <c r="EA101" s="50"/>
      <c r="EB101" s="50"/>
      <c r="EC101" s="50"/>
      <c r="ED101" s="50"/>
      <c r="EE101" s="50"/>
      <c r="EF101" s="50"/>
      <c r="EG101" s="50"/>
      <c r="EH101" s="50"/>
      <c r="EI101" s="50"/>
      <c r="EJ101" s="50"/>
      <c r="EK101" s="50"/>
      <c r="EL101" s="50"/>
      <c r="EM101" s="50"/>
      <c r="EN101" s="50"/>
      <c r="EO101" s="50"/>
      <c r="EP101" s="50"/>
      <c r="EQ101" s="50"/>
      <c r="ER101" s="50"/>
      <c r="ES101" s="50"/>
      <c r="ET101" s="50"/>
      <c r="EU101" s="50"/>
      <c r="EV101" s="50"/>
      <c r="EW101" s="50"/>
      <c r="EX101" s="50"/>
      <c r="EY101" s="50"/>
      <c r="EZ101" s="50"/>
      <c r="FA101" s="50"/>
      <c r="FB101" s="50"/>
      <c r="FC101" s="50"/>
      <c r="FD101" s="50"/>
      <c r="FE101" s="50"/>
      <c r="FF101" s="50"/>
      <c r="FG101" s="50"/>
      <c r="FH101" s="50"/>
      <c r="FI101" s="50"/>
      <c r="FJ101" s="50"/>
      <c r="FK101" s="50"/>
      <c r="FL101" s="50"/>
      <c r="FM101" s="50"/>
      <c r="FN101" s="50"/>
      <c r="FO101" s="50"/>
      <c r="FP101" s="50"/>
      <c r="FQ101" s="50"/>
      <c r="FR101" s="50"/>
      <c r="FS101" s="50"/>
      <c r="FT101" s="50"/>
      <c r="FU101" s="50"/>
      <c r="FV101" s="50"/>
      <c r="FW101" s="50"/>
      <c r="FX101" s="50"/>
      <c r="FY101" s="50"/>
      <c r="FZ101" s="50"/>
      <c r="GA101" s="50"/>
      <c r="GB101" s="50"/>
      <c r="GC101" s="50"/>
      <c r="GD101" s="50"/>
      <c r="GE101" s="50"/>
      <c r="GF101" s="50"/>
      <c r="GG101" s="50"/>
      <c r="GH101" s="50"/>
      <c r="GI101" s="50"/>
      <c r="GJ101" s="50"/>
      <c r="GK101" s="50"/>
      <c r="GL101" s="50"/>
      <c r="GM101" s="50"/>
      <c r="GN101" s="50"/>
      <c r="GO101" s="50"/>
      <c r="GP101" s="50"/>
      <c r="GQ101" s="50"/>
      <c r="GR101" s="50"/>
      <c r="GS101" s="50"/>
      <c r="GT101" s="50"/>
      <c r="GU101" s="50"/>
      <c r="GV101" s="50"/>
      <c r="GW101" s="50"/>
      <c r="GX101" s="50"/>
      <c r="GY101" s="50"/>
      <c r="GZ101" s="50"/>
      <c r="HA101" s="50"/>
      <c r="HB101" s="50"/>
      <c r="HC101" s="50"/>
      <c r="HD101" s="50"/>
      <c r="HE101" s="50"/>
      <c r="HF101" s="50"/>
      <c r="HG101" s="50"/>
      <c r="HH101" s="50"/>
      <c r="HI101" s="50"/>
      <c r="HJ101" s="50"/>
      <c r="HK101" s="50"/>
      <c r="HL101" s="50"/>
      <c r="HM101" s="50"/>
      <c r="HN101" s="50"/>
      <c r="HO101" s="50"/>
      <c r="HP101" s="50"/>
      <c r="HQ101" s="50"/>
      <c r="HR101" s="50"/>
      <c r="HS101" s="50"/>
      <c r="HT101" s="50"/>
      <c r="HU101" s="50"/>
      <c r="HV101" s="50"/>
      <c r="HW101" s="50"/>
      <c r="HX101" s="50"/>
      <c r="HY101" s="50"/>
      <c r="HZ101" s="50"/>
      <c r="IA101" s="50"/>
      <c r="IB101" s="50"/>
      <c r="IC101" s="50"/>
      <c r="ID101" s="50"/>
      <c r="IE101" s="50"/>
      <c r="IF101" s="50"/>
      <c r="IG101" s="50"/>
      <c r="IH101" s="50"/>
      <c r="II101" s="50"/>
      <c r="IJ101" s="50"/>
      <c r="IK101" s="50"/>
      <c r="IL101" s="50"/>
      <c r="IM101" s="50"/>
      <c r="IN101" s="50"/>
      <c r="IO101" s="50"/>
      <c r="IP101" s="50"/>
      <c r="IQ101" s="50"/>
      <c r="IR101" s="50"/>
      <c r="IS101" s="50"/>
      <c r="IT101" s="50"/>
      <c r="IU101" s="50"/>
      <c r="IV101" s="50"/>
    </row>
    <row r="102" spans="1:256" s="49" customFormat="1" ht="14.55" hidden="1" customHeight="1" x14ac:dyDescent="0.3">
      <c r="A102" s="86" t="s">
        <v>152</v>
      </c>
      <c r="B102" s="87"/>
      <c r="C102" s="52">
        <f>COUNT(#REF!)*15+COUNT(#REF!)*2</f>
        <v>0</v>
      </c>
      <c r="D102" s="242" t="e">
        <f>SUM(#REF!)*15+SUM(#REF!)*2</f>
        <v>#REF!</v>
      </c>
      <c r="E102" s="243"/>
      <c r="F102" s="244"/>
      <c r="G102" s="140" t="e">
        <f>SUM(#REF!)*15+SUM(#REF!)*2</f>
        <v>#REF!</v>
      </c>
      <c r="H102" s="141"/>
      <c r="I102" s="141"/>
      <c r="J102" s="142"/>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0"/>
      <c r="EQ102" s="50"/>
      <c r="ER102" s="50"/>
      <c r="ES102" s="50"/>
      <c r="ET102" s="50"/>
      <c r="EU102" s="50"/>
      <c r="EV102" s="50"/>
      <c r="EW102" s="50"/>
      <c r="EX102" s="50"/>
      <c r="EY102" s="50"/>
      <c r="EZ102" s="50"/>
      <c r="FA102" s="50"/>
      <c r="FB102" s="50"/>
      <c r="FC102" s="50"/>
      <c r="FD102" s="50"/>
      <c r="FE102" s="50"/>
      <c r="FF102" s="50"/>
      <c r="FG102" s="50"/>
      <c r="FH102" s="50"/>
      <c r="FI102" s="50"/>
      <c r="FJ102" s="50"/>
      <c r="FK102" s="50"/>
      <c r="FL102" s="50"/>
      <c r="FM102" s="50"/>
      <c r="FN102" s="50"/>
      <c r="FO102" s="50"/>
      <c r="FP102" s="50"/>
      <c r="FQ102" s="50"/>
      <c r="FR102" s="50"/>
      <c r="FS102" s="50"/>
      <c r="FT102" s="50"/>
      <c r="FU102" s="50"/>
      <c r="FV102" s="50"/>
      <c r="FW102" s="50"/>
      <c r="FX102" s="50"/>
      <c r="FY102" s="50"/>
      <c r="FZ102" s="50"/>
      <c r="GA102" s="50"/>
      <c r="GB102" s="50"/>
      <c r="GC102" s="50"/>
      <c r="GD102" s="50"/>
      <c r="GE102" s="50"/>
      <c r="GF102" s="50"/>
      <c r="GG102" s="50"/>
      <c r="GH102" s="50"/>
      <c r="GI102" s="50"/>
      <c r="GJ102" s="50"/>
      <c r="GK102" s="50"/>
      <c r="GL102" s="50"/>
      <c r="GM102" s="50"/>
      <c r="GN102" s="50"/>
      <c r="GO102" s="50"/>
      <c r="GP102" s="50"/>
      <c r="GQ102" s="50"/>
      <c r="GR102" s="50"/>
      <c r="GS102" s="50"/>
      <c r="GT102" s="50"/>
      <c r="GU102" s="50"/>
      <c r="GV102" s="50"/>
      <c r="GW102" s="50"/>
      <c r="GX102" s="50"/>
      <c r="GY102" s="50"/>
      <c r="GZ102" s="50"/>
      <c r="HA102" s="50"/>
      <c r="HB102" s="50"/>
      <c r="HC102" s="50"/>
      <c r="HD102" s="50"/>
      <c r="HE102" s="50"/>
      <c r="HF102" s="50"/>
      <c r="HG102" s="50"/>
      <c r="HH102" s="50"/>
      <c r="HI102" s="50"/>
      <c r="HJ102" s="50"/>
      <c r="HK102" s="50"/>
      <c r="HL102" s="50"/>
      <c r="HM102" s="50"/>
      <c r="HN102" s="50"/>
      <c r="HO102" s="50"/>
      <c r="HP102" s="50"/>
      <c r="HQ102" s="50"/>
      <c r="HR102" s="50"/>
      <c r="HS102" s="50"/>
      <c r="HT102" s="50"/>
      <c r="HU102" s="50"/>
      <c r="HV102" s="50"/>
      <c r="HW102" s="50"/>
      <c r="HX102" s="50"/>
      <c r="HY102" s="50"/>
      <c r="HZ102" s="50"/>
      <c r="IA102" s="50"/>
      <c r="IB102" s="50"/>
      <c r="IC102" s="50"/>
      <c r="ID102" s="50"/>
      <c r="IE102" s="50"/>
      <c r="IF102" s="50"/>
      <c r="IG102" s="50"/>
      <c r="IH102" s="50"/>
      <c r="II102" s="50"/>
      <c r="IJ102" s="50"/>
      <c r="IK102" s="50"/>
      <c r="IL102" s="50"/>
      <c r="IM102" s="50"/>
      <c r="IN102" s="50"/>
      <c r="IO102" s="50"/>
      <c r="IP102" s="50"/>
      <c r="IQ102" s="50"/>
      <c r="IR102" s="50"/>
      <c r="IS102" s="50"/>
      <c r="IT102" s="50"/>
      <c r="IU102" s="50"/>
      <c r="IV102" s="50"/>
    </row>
    <row r="103" spans="1:256" s="49" customFormat="1" ht="14.55" hidden="1" customHeight="1" x14ac:dyDescent="0.3">
      <c r="A103" s="89" t="s">
        <v>88</v>
      </c>
      <c r="B103" s="90"/>
      <c r="C103" s="51">
        <f>SUM(C101:C102)</f>
        <v>71</v>
      </c>
      <c r="D103" s="227" t="e">
        <f>SUM(D101:F102)</f>
        <v>#REF!</v>
      </c>
      <c r="E103" s="228"/>
      <c r="F103" s="229"/>
      <c r="G103" s="118" t="e">
        <f>SUM(G101:J102)</f>
        <v>#REF!</v>
      </c>
      <c r="H103" s="226"/>
      <c r="I103" s="226"/>
      <c r="J103" s="119"/>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50"/>
      <c r="DK103" s="50"/>
      <c r="DL103" s="50"/>
      <c r="DM103" s="50"/>
      <c r="DN103" s="50"/>
      <c r="DO103" s="50"/>
      <c r="DP103" s="50"/>
      <c r="DQ103" s="50"/>
      <c r="DR103" s="50"/>
      <c r="DS103" s="50"/>
      <c r="DT103" s="50"/>
      <c r="DU103" s="50"/>
      <c r="DV103" s="50"/>
      <c r="DW103" s="50"/>
      <c r="DX103" s="50"/>
      <c r="DY103" s="50"/>
      <c r="DZ103" s="50"/>
      <c r="EA103" s="50"/>
      <c r="EB103" s="50"/>
      <c r="EC103" s="50"/>
      <c r="ED103" s="50"/>
      <c r="EE103" s="50"/>
      <c r="EF103" s="50"/>
      <c r="EG103" s="50"/>
      <c r="EH103" s="50"/>
      <c r="EI103" s="50"/>
      <c r="EJ103" s="50"/>
      <c r="EK103" s="50"/>
      <c r="EL103" s="50"/>
      <c r="EM103" s="50"/>
      <c r="EN103" s="50"/>
      <c r="EO103" s="50"/>
      <c r="EP103" s="50"/>
      <c r="EQ103" s="50"/>
      <c r="ER103" s="50"/>
      <c r="ES103" s="50"/>
      <c r="ET103" s="50"/>
      <c r="EU103" s="50"/>
      <c r="EV103" s="50"/>
      <c r="EW103" s="50"/>
      <c r="EX103" s="50"/>
      <c r="EY103" s="50"/>
      <c r="EZ103" s="50"/>
      <c r="FA103" s="50"/>
      <c r="FB103" s="50"/>
      <c r="FC103" s="50"/>
      <c r="FD103" s="50"/>
      <c r="FE103" s="50"/>
      <c r="FF103" s="50"/>
      <c r="FG103" s="50"/>
      <c r="FH103" s="50"/>
      <c r="FI103" s="50"/>
      <c r="FJ103" s="50"/>
      <c r="FK103" s="50"/>
      <c r="FL103" s="50"/>
      <c r="FM103" s="50"/>
      <c r="FN103" s="50"/>
      <c r="FO103" s="50"/>
      <c r="FP103" s="50"/>
      <c r="FQ103" s="50"/>
      <c r="FR103" s="50"/>
      <c r="FS103" s="50"/>
      <c r="FT103" s="50"/>
      <c r="FU103" s="50"/>
      <c r="FV103" s="50"/>
      <c r="FW103" s="50"/>
      <c r="FX103" s="50"/>
      <c r="FY103" s="50"/>
      <c r="FZ103" s="50"/>
      <c r="GA103" s="50"/>
      <c r="GB103" s="50"/>
      <c r="GC103" s="50"/>
      <c r="GD103" s="50"/>
      <c r="GE103" s="50"/>
      <c r="GF103" s="50"/>
      <c r="GG103" s="50"/>
      <c r="GH103" s="50"/>
      <c r="GI103" s="50"/>
      <c r="GJ103" s="50"/>
      <c r="GK103" s="50"/>
      <c r="GL103" s="50"/>
      <c r="GM103" s="50"/>
      <c r="GN103" s="50"/>
      <c r="GO103" s="50"/>
      <c r="GP103" s="50"/>
      <c r="GQ103" s="50"/>
      <c r="GR103" s="50"/>
      <c r="GS103" s="50"/>
      <c r="GT103" s="50"/>
      <c r="GU103" s="50"/>
      <c r="GV103" s="50"/>
      <c r="GW103" s="50"/>
      <c r="GX103" s="50"/>
      <c r="GY103" s="50"/>
      <c r="GZ103" s="50"/>
      <c r="HA103" s="50"/>
      <c r="HB103" s="50"/>
      <c r="HC103" s="50"/>
      <c r="HD103" s="50"/>
      <c r="HE103" s="50"/>
      <c r="HF103" s="50"/>
      <c r="HG103" s="50"/>
      <c r="HH103" s="50"/>
      <c r="HI103" s="50"/>
      <c r="HJ103" s="50"/>
      <c r="HK103" s="50"/>
      <c r="HL103" s="50"/>
      <c r="HM103" s="50"/>
      <c r="HN103" s="50"/>
      <c r="HO103" s="50"/>
      <c r="HP103" s="50"/>
      <c r="HQ103" s="50"/>
      <c r="HR103" s="50"/>
      <c r="HS103" s="50"/>
      <c r="HT103" s="50"/>
      <c r="HU103" s="50"/>
      <c r="HV103" s="50"/>
      <c r="HW103" s="50"/>
      <c r="HX103" s="50"/>
      <c r="HY103" s="50"/>
      <c r="HZ103" s="50"/>
      <c r="IA103" s="50"/>
      <c r="IB103" s="50"/>
      <c r="IC103" s="50"/>
      <c r="ID103" s="50"/>
      <c r="IE103" s="50"/>
      <c r="IF103" s="50"/>
      <c r="IG103" s="50"/>
      <c r="IH103" s="50"/>
      <c r="II103" s="50"/>
      <c r="IJ103" s="50"/>
      <c r="IK103" s="50"/>
      <c r="IL103" s="50"/>
      <c r="IM103" s="50"/>
      <c r="IN103" s="50"/>
      <c r="IO103" s="50"/>
      <c r="IP103" s="50"/>
      <c r="IQ103" s="50"/>
      <c r="IR103" s="50"/>
      <c r="IS103" s="50"/>
      <c r="IT103" s="50"/>
      <c r="IU103" s="50"/>
      <c r="IV103" s="50"/>
    </row>
    <row r="104" spans="1:256" s="49" customFormat="1" ht="16.2" thickBot="1" x14ac:dyDescent="0.35">
      <c r="A104" s="74" t="s">
        <v>146</v>
      </c>
      <c r="B104" s="75"/>
      <c r="C104" s="75"/>
      <c r="D104" s="75"/>
      <c r="E104" s="75"/>
      <c r="F104" s="75"/>
      <c r="G104" s="75"/>
      <c r="H104" s="75"/>
      <c r="I104" s="75"/>
      <c r="J104" s="76"/>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c r="DA104" s="50"/>
      <c r="DB104" s="50"/>
      <c r="DC104" s="50"/>
      <c r="DD104" s="50"/>
      <c r="DE104" s="50"/>
      <c r="DF104" s="50"/>
      <c r="DG104" s="50"/>
      <c r="DH104" s="50"/>
      <c r="DI104" s="50"/>
      <c r="DJ104" s="50"/>
      <c r="DK104" s="50"/>
      <c r="DL104" s="50"/>
      <c r="DM104" s="50"/>
      <c r="DN104" s="50"/>
      <c r="DO104" s="50"/>
      <c r="DP104" s="50"/>
      <c r="DQ104" s="50"/>
      <c r="DR104" s="50"/>
      <c r="DS104" s="50"/>
      <c r="DT104" s="50"/>
      <c r="DU104" s="50"/>
      <c r="DV104" s="50"/>
      <c r="DW104" s="50"/>
      <c r="DX104" s="50"/>
      <c r="DY104" s="50"/>
      <c r="DZ104" s="50"/>
      <c r="EA104" s="50"/>
      <c r="EB104" s="50"/>
      <c r="EC104" s="50"/>
      <c r="ED104" s="50"/>
      <c r="EE104" s="50"/>
      <c r="EF104" s="50"/>
      <c r="EG104" s="50"/>
      <c r="EH104" s="50"/>
      <c r="EI104" s="50"/>
      <c r="EJ104" s="50"/>
      <c r="EK104" s="50"/>
      <c r="EL104" s="50"/>
      <c r="EM104" s="50"/>
      <c r="EN104" s="50"/>
      <c r="EO104" s="50"/>
      <c r="EP104" s="50"/>
      <c r="EQ104" s="50"/>
      <c r="ER104" s="50"/>
      <c r="ES104" s="50"/>
      <c r="ET104" s="50"/>
      <c r="EU104" s="50"/>
      <c r="EV104" s="50"/>
      <c r="EW104" s="50"/>
      <c r="EX104" s="50"/>
      <c r="EY104" s="50"/>
      <c r="EZ104" s="50"/>
      <c r="FA104" s="50"/>
      <c r="FB104" s="50"/>
      <c r="FC104" s="50"/>
      <c r="FD104" s="50"/>
      <c r="FE104" s="50"/>
      <c r="FF104" s="50"/>
      <c r="FG104" s="50"/>
      <c r="FH104" s="50"/>
      <c r="FI104" s="50"/>
      <c r="FJ104" s="50"/>
      <c r="FK104" s="50"/>
      <c r="FL104" s="50"/>
      <c r="FM104" s="50"/>
      <c r="FN104" s="50"/>
      <c r="FO104" s="50"/>
      <c r="FP104" s="50"/>
      <c r="FQ104" s="50"/>
      <c r="FR104" s="50"/>
      <c r="FS104" s="50"/>
      <c r="FT104" s="50"/>
      <c r="FU104" s="50"/>
      <c r="FV104" s="50"/>
      <c r="FW104" s="50"/>
      <c r="FX104" s="50"/>
      <c r="FY104" s="50"/>
      <c r="FZ104" s="50"/>
      <c r="GA104" s="50"/>
      <c r="GB104" s="50"/>
      <c r="GC104" s="50"/>
      <c r="GD104" s="50"/>
      <c r="GE104" s="50"/>
      <c r="GF104" s="50"/>
      <c r="GG104" s="50"/>
      <c r="GH104" s="50"/>
      <c r="GI104" s="50"/>
      <c r="GJ104" s="50"/>
      <c r="GK104" s="50"/>
      <c r="GL104" s="50"/>
      <c r="GM104" s="50"/>
      <c r="GN104" s="50"/>
      <c r="GO104" s="50"/>
      <c r="GP104" s="50"/>
      <c r="GQ104" s="50"/>
      <c r="GR104" s="50"/>
      <c r="GS104" s="50"/>
      <c r="GT104" s="50"/>
      <c r="GU104" s="50"/>
      <c r="GV104" s="50"/>
      <c r="GW104" s="50"/>
      <c r="GX104" s="50"/>
      <c r="GY104" s="50"/>
      <c r="GZ104" s="50"/>
      <c r="HA104" s="50"/>
      <c r="HB104" s="50"/>
      <c r="HC104" s="50"/>
      <c r="HD104" s="50"/>
      <c r="HE104" s="50"/>
      <c r="HF104" s="50"/>
      <c r="HG104" s="50"/>
      <c r="HH104" s="50"/>
      <c r="HI104" s="50"/>
      <c r="HJ104" s="50"/>
      <c r="HK104" s="50"/>
      <c r="HL104" s="50"/>
      <c r="HM104" s="50"/>
      <c r="HN104" s="50"/>
      <c r="HO104" s="50"/>
      <c r="HP104" s="50"/>
      <c r="HQ104" s="50"/>
      <c r="HR104" s="50"/>
      <c r="HS104" s="50"/>
      <c r="HT104" s="50"/>
      <c r="HU104" s="50"/>
      <c r="HV104" s="50"/>
      <c r="HW104" s="50"/>
      <c r="HX104" s="50"/>
      <c r="HY104" s="50"/>
      <c r="HZ104" s="50"/>
      <c r="IA104" s="50"/>
      <c r="IB104" s="50"/>
      <c r="IC104" s="50"/>
      <c r="ID104" s="50"/>
      <c r="IE104" s="50"/>
      <c r="IF104" s="50"/>
      <c r="IG104" s="50"/>
      <c r="IH104" s="50"/>
      <c r="II104" s="50"/>
      <c r="IJ104" s="50"/>
      <c r="IK104" s="50"/>
      <c r="IL104" s="50"/>
      <c r="IM104" s="50"/>
      <c r="IN104" s="50"/>
      <c r="IO104" s="50"/>
      <c r="IP104" s="50"/>
      <c r="IQ104" s="50"/>
      <c r="IR104" s="50"/>
      <c r="IS104" s="50"/>
      <c r="IT104" s="50"/>
      <c r="IU104" s="50"/>
      <c r="IV104" s="50"/>
    </row>
    <row r="105" spans="1:256" s="49" customFormat="1" ht="15.6" x14ac:dyDescent="0.3">
      <c r="A105" s="134" t="s">
        <v>147</v>
      </c>
      <c r="B105" s="135"/>
      <c r="C105" s="136" t="s">
        <v>197</v>
      </c>
      <c r="D105" s="136"/>
      <c r="E105" s="137" t="s">
        <v>148</v>
      </c>
      <c r="F105" s="137"/>
      <c r="G105" s="137"/>
      <c r="H105" s="138" t="s">
        <v>149</v>
      </c>
      <c r="I105" s="138"/>
      <c r="J105" s="139"/>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c r="BU105" s="50"/>
      <c r="BV105" s="50"/>
      <c r="BW105" s="50"/>
      <c r="BX105" s="50"/>
      <c r="BY105" s="50"/>
      <c r="BZ105" s="50"/>
      <c r="CA105" s="50"/>
      <c r="CB105" s="50"/>
      <c r="CC105" s="50"/>
      <c r="CD105" s="50"/>
      <c r="CE105" s="50"/>
      <c r="CF105" s="50"/>
      <c r="CG105" s="50"/>
      <c r="CH105" s="50"/>
      <c r="CI105" s="50"/>
      <c r="CJ105" s="50"/>
      <c r="CK105" s="50"/>
      <c r="CL105" s="50"/>
      <c r="CM105" s="50"/>
      <c r="CN105" s="50"/>
      <c r="CO105" s="50"/>
      <c r="CP105" s="50"/>
      <c r="CQ105" s="50"/>
      <c r="CR105" s="50"/>
      <c r="CS105" s="50"/>
      <c r="CT105" s="50"/>
      <c r="CU105" s="50"/>
      <c r="CV105" s="50"/>
      <c r="CW105" s="50"/>
      <c r="CX105" s="50"/>
      <c r="CY105" s="50"/>
      <c r="CZ105" s="50"/>
      <c r="DA105" s="50"/>
      <c r="DB105" s="50"/>
      <c r="DC105" s="50"/>
      <c r="DD105" s="50"/>
      <c r="DE105" s="50"/>
      <c r="DF105" s="50"/>
      <c r="DG105" s="50"/>
      <c r="DH105" s="50"/>
      <c r="DI105" s="50"/>
      <c r="DJ105" s="50"/>
      <c r="DK105" s="50"/>
      <c r="DL105" s="50"/>
      <c r="DM105" s="50"/>
      <c r="DN105" s="50"/>
      <c r="DO105" s="50"/>
      <c r="DP105" s="50"/>
      <c r="DQ105" s="50"/>
      <c r="DR105" s="50"/>
      <c r="DS105" s="50"/>
      <c r="DT105" s="50"/>
      <c r="DU105" s="50"/>
      <c r="DV105" s="50"/>
      <c r="DW105" s="50"/>
      <c r="DX105" s="50"/>
      <c r="DY105" s="50"/>
      <c r="DZ105" s="50"/>
      <c r="EA105" s="50"/>
      <c r="EB105" s="50"/>
      <c r="EC105" s="50"/>
      <c r="ED105" s="50"/>
      <c r="EE105" s="50"/>
      <c r="EF105" s="50"/>
      <c r="EG105" s="50"/>
      <c r="EH105" s="50"/>
      <c r="EI105" s="50"/>
      <c r="EJ105" s="50"/>
      <c r="EK105" s="50"/>
      <c r="EL105" s="50"/>
      <c r="EM105" s="50"/>
      <c r="EN105" s="50"/>
      <c r="EO105" s="50"/>
      <c r="EP105" s="50"/>
      <c r="EQ105" s="50"/>
      <c r="ER105" s="50"/>
      <c r="ES105" s="50"/>
      <c r="ET105" s="50"/>
      <c r="EU105" s="50"/>
      <c r="EV105" s="50"/>
      <c r="EW105" s="50"/>
      <c r="EX105" s="50"/>
      <c r="EY105" s="50"/>
      <c r="EZ105" s="50"/>
      <c r="FA105" s="50"/>
      <c r="FB105" s="50"/>
      <c r="FC105" s="50"/>
      <c r="FD105" s="50"/>
      <c r="FE105" s="50"/>
      <c r="FF105" s="50"/>
      <c r="FG105" s="50"/>
      <c r="FH105" s="50"/>
      <c r="FI105" s="50"/>
      <c r="FJ105" s="50"/>
      <c r="FK105" s="50"/>
      <c r="FL105" s="50"/>
      <c r="FM105" s="50"/>
      <c r="FN105" s="50"/>
      <c r="FO105" s="50"/>
      <c r="FP105" s="50"/>
      <c r="FQ105" s="50"/>
      <c r="FR105" s="50"/>
      <c r="FS105" s="50"/>
      <c r="FT105" s="50"/>
      <c r="FU105" s="50"/>
      <c r="FV105" s="50"/>
      <c r="FW105" s="50"/>
      <c r="FX105" s="50"/>
      <c r="FY105" s="50"/>
      <c r="FZ105" s="50"/>
      <c r="GA105" s="50"/>
      <c r="GB105" s="50"/>
      <c r="GC105" s="50"/>
      <c r="GD105" s="50"/>
      <c r="GE105" s="50"/>
      <c r="GF105" s="50"/>
      <c r="GG105" s="50"/>
      <c r="GH105" s="50"/>
      <c r="GI105" s="50"/>
      <c r="GJ105" s="50"/>
      <c r="GK105" s="50"/>
      <c r="GL105" s="50"/>
      <c r="GM105" s="50"/>
      <c r="GN105" s="50"/>
      <c r="GO105" s="50"/>
      <c r="GP105" s="50"/>
      <c r="GQ105" s="50"/>
      <c r="GR105" s="50"/>
      <c r="GS105" s="50"/>
      <c r="GT105" s="50"/>
      <c r="GU105" s="50"/>
      <c r="GV105" s="50"/>
      <c r="GW105" s="50"/>
      <c r="GX105" s="50"/>
      <c r="GY105" s="50"/>
      <c r="GZ105" s="50"/>
      <c r="HA105" s="50"/>
      <c r="HB105" s="50"/>
      <c r="HC105" s="50"/>
      <c r="HD105" s="50"/>
      <c r="HE105" s="50"/>
      <c r="HF105" s="50"/>
      <c r="HG105" s="50"/>
      <c r="HH105" s="50"/>
      <c r="HI105" s="50"/>
      <c r="HJ105" s="50"/>
      <c r="HK105" s="50"/>
      <c r="HL105" s="50"/>
      <c r="HM105" s="50"/>
      <c r="HN105" s="50"/>
      <c r="HO105" s="50"/>
      <c r="HP105" s="50"/>
      <c r="HQ105" s="50"/>
      <c r="HR105" s="50"/>
      <c r="HS105" s="50"/>
      <c r="HT105" s="50"/>
      <c r="HU105" s="50"/>
      <c r="HV105" s="50"/>
      <c r="HW105" s="50"/>
      <c r="HX105" s="50"/>
      <c r="HY105" s="50"/>
      <c r="HZ105" s="50"/>
      <c r="IA105" s="50"/>
      <c r="IB105" s="50"/>
      <c r="IC105" s="50"/>
      <c r="ID105" s="50"/>
      <c r="IE105" s="50"/>
      <c r="IF105" s="50"/>
      <c r="IG105" s="50"/>
      <c r="IH105" s="50"/>
      <c r="II105" s="50"/>
      <c r="IJ105" s="50"/>
      <c r="IK105" s="50"/>
      <c r="IL105" s="50"/>
      <c r="IM105" s="50"/>
      <c r="IN105" s="50"/>
      <c r="IO105" s="50"/>
      <c r="IP105" s="50"/>
      <c r="IQ105" s="50"/>
      <c r="IR105" s="50"/>
      <c r="IS105" s="50"/>
      <c r="IT105" s="50"/>
      <c r="IU105" s="50"/>
      <c r="IV105" s="50"/>
    </row>
    <row r="106" spans="1:256" s="49" customFormat="1" ht="15.6" x14ac:dyDescent="0.3">
      <c r="A106" s="94" t="s">
        <v>200</v>
      </c>
      <c r="B106" s="95"/>
      <c r="C106" s="96">
        <f>COUNT(D116:E118,D122)+COUNT(D124:E130)+COUNT(D132:E138)*14+COUNT(D140:E145)*3+COUNT(D148:E154)*5+COUNT(D156:E162)</f>
        <v>167</v>
      </c>
      <c r="D106" s="96"/>
      <c r="E106" s="97">
        <f>SUM(D116:E118,D122)+SUM(D124:E130)+SUM(D132:E138)*14+SUM(D140:E145)*3+SUM(D148:E154)*5+SUM(D156:E162)</f>
        <v>161523.56357279996</v>
      </c>
      <c r="F106" s="97"/>
      <c r="G106" s="97"/>
      <c r="H106" s="97">
        <f>SUM(G116:G118,G122)+SUM(G124:G130)+SUM(G132:G138)*14+SUM(G140:G145)*3+SUM(G148:G154)*5+SUM(G156:G162)</f>
        <v>258437.70171647999</v>
      </c>
      <c r="I106" s="97"/>
      <c r="J106" s="97"/>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0"/>
      <c r="CT106" s="50"/>
      <c r="CU106" s="50"/>
      <c r="CV106" s="50"/>
      <c r="CW106" s="50"/>
      <c r="CX106" s="50"/>
      <c r="CY106" s="50"/>
      <c r="CZ106" s="50"/>
      <c r="DA106" s="50"/>
      <c r="DB106" s="50"/>
      <c r="DC106" s="50"/>
      <c r="DD106" s="50"/>
      <c r="DE106" s="50"/>
      <c r="DF106" s="50"/>
      <c r="DG106" s="50"/>
      <c r="DH106" s="50"/>
      <c r="DI106" s="50"/>
      <c r="DJ106" s="50"/>
      <c r="DK106" s="50"/>
      <c r="DL106" s="50"/>
      <c r="DM106" s="50"/>
      <c r="DN106" s="50"/>
      <c r="DO106" s="50"/>
      <c r="DP106" s="50"/>
      <c r="DQ106" s="50"/>
      <c r="DR106" s="50"/>
      <c r="DS106" s="50"/>
      <c r="DT106" s="50"/>
      <c r="DU106" s="50"/>
      <c r="DV106" s="50"/>
      <c r="DW106" s="50"/>
      <c r="DX106" s="50"/>
      <c r="DY106" s="50"/>
      <c r="DZ106" s="50"/>
      <c r="EA106" s="50"/>
      <c r="EB106" s="50"/>
      <c r="EC106" s="50"/>
      <c r="ED106" s="50"/>
      <c r="EE106" s="50"/>
      <c r="EF106" s="50"/>
      <c r="EG106" s="50"/>
      <c r="EH106" s="50"/>
      <c r="EI106" s="50"/>
      <c r="EJ106" s="50"/>
      <c r="EK106" s="50"/>
      <c r="EL106" s="50"/>
      <c r="EM106" s="50"/>
      <c r="EN106" s="50"/>
      <c r="EO106" s="50"/>
      <c r="EP106" s="50"/>
      <c r="EQ106" s="50"/>
      <c r="ER106" s="50"/>
      <c r="ES106" s="50"/>
      <c r="ET106" s="50"/>
      <c r="EU106" s="50"/>
      <c r="EV106" s="50"/>
      <c r="EW106" s="50"/>
      <c r="EX106" s="50"/>
      <c r="EY106" s="50"/>
      <c r="EZ106" s="50"/>
      <c r="FA106" s="50"/>
      <c r="FB106" s="50"/>
      <c r="FC106" s="50"/>
      <c r="FD106" s="50"/>
      <c r="FE106" s="50"/>
      <c r="FF106" s="50"/>
      <c r="FG106" s="50"/>
      <c r="FH106" s="50"/>
      <c r="FI106" s="50"/>
      <c r="FJ106" s="50"/>
      <c r="FK106" s="50"/>
      <c r="FL106" s="50"/>
      <c r="FM106" s="50"/>
      <c r="FN106" s="50"/>
      <c r="FO106" s="50"/>
      <c r="FP106" s="50"/>
      <c r="FQ106" s="50"/>
      <c r="FR106" s="50"/>
      <c r="FS106" s="50"/>
      <c r="FT106" s="50"/>
      <c r="FU106" s="50"/>
      <c r="FV106" s="50"/>
      <c r="FW106" s="50"/>
      <c r="FX106" s="50"/>
      <c r="FY106" s="50"/>
      <c r="FZ106" s="50"/>
      <c r="GA106" s="50"/>
      <c r="GB106" s="50"/>
      <c r="GC106" s="50"/>
      <c r="GD106" s="50"/>
      <c r="GE106" s="50"/>
      <c r="GF106" s="50"/>
      <c r="GG106" s="50"/>
      <c r="GH106" s="50"/>
      <c r="GI106" s="50"/>
      <c r="GJ106" s="50"/>
      <c r="GK106" s="50"/>
      <c r="GL106" s="50"/>
      <c r="GM106" s="50"/>
      <c r="GN106" s="50"/>
      <c r="GO106" s="50"/>
      <c r="GP106" s="50"/>
      <c r="GQ106" s="50"/>
      <c r="GR106" s="50"/>
      <c r="GS106" s="50"/>
      <c r="GT106" s="50"/>
      <c r="GU106" s="50"/>
      <c r="GV106" s="50"/>
      <c r="GW106" s="50"/>
      <c r="GX106" s="50"/>
      <c r="GY106" s="50"/>
      <c r="GZ106" s="50"/>
      <c r="HA106" s="50"/>
      <c r="HB106" s="50"/>
      <c r="HC106" s="50"/>
      <c r="HD106" s="50"/>
      <c r="HE106" s="50"/>
      <c r="HF106" s="50"/>
      <c r="HG106" s="50"/>
      <c r="HH106" s="50"/>
      <c r="HI106" s="50"/>
      <c r="HJ106" s="50"/>
      <c r="HK106" s="50"/>
      <c r="HL106" s="50"/>
      <c r="HM106" s="50"/>
      <c r="HN106" s="50"/>
      <c r="HO106" s="50"/>
      <c r="HP106" s="50"/>
      <c r="HQ106" s="50"/>
      <c r="HR106" s="50"/>
      <c r="HS106" s="50"/>
      <c r="HT106" s="50"/>
      <c r="HU106" s="50"/>
      <c r="HV106" s="50"/>
      <c r="HW106" s="50"/>
      <c r="HX106" s="50"/>
      <c r="HY106" s="50"/>
      <c r="HZ106" s="50"/>
      <c r="IA106" s="50"/>
      <c r="IB106" s="50"/>
      <c r="IC106" s="50"/>
      <c r="ID106" s="50"/>
      <c r="IE106" s="50"/>
      <c r="IF106" s="50"/>
      <c r="IG106" s="50"/>
      <c r="IH106" s="50"/>
      <c r="II106" s="50"/>
      <c r="IJ106" s="50"/>
      <c r="IK106" s="50"/>
      <c r="IL106" s="50"/>
      <c r="IM106" s="50"/>
      <c r="IN106" s="50"/>
      <c r="IO106" s="50"/>
      <c r="IP106" s="50"/>
      <c r="IQ106" s="50"/>
      <c r="IR106" s="50"/>
      <c r="IS106" s="50"/>
      <c r="IT106" s="50"/>
      <c r="IU106" s="50"/>
      <c r="IV106" s="50"/>
    </row>
    <row r="107" spans="1:256" s="49" customFormat="1" ht="15.6" x14ac:dyDescent="0.3">
      <c r="A107" s="115" t="s">
        <v>201</v>
      </c>
      <c r="B107" s="115"/>
      <c r="C107" s="116">
        <f>COUNT(D166:E168,D172)+COUNT(D174:E177,D180)+COUNT(D182:E188)*14+COUNT(D190:E195)*3+COUNT(D198:E204)*5+COUNT(D206:E212)</f>
        <v>167</v>
      </c>
      <c r="D107" s="116"/>
      <c r="E107" s="117">
        <f>SUM(D166:E168,D172)+SUM(D174:E177,D180)+SUM(D182:E188)*14+SUM(D190:E195)*3+SUM(D198:E204)*5+SUM(D206:E212)</f>
        <v>161535.01646879996</v>
      </c>
      <c r="F107" s="117"/>
      <c r="G107" s="117"/>
      <c r="H107" s="117">
        <f>SUM(G166:H168,G172)+SUM(G174:H177,G180)+SUM(G182:H188)*14+SUM(G190:H195)*3+SUM(G198:H204)*5+SUM(G206:H212)</f>
        <v>258456.02635007995</v>
      </c>
      <c r="I107" s="117"/>
      <c r="J107" s="117"/>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0"/>
      <c r="CT107" s="50"/>
      <c r="CU107" s="50"/>
      <c r="CV107" s="50"/>
      <c r="CW107" s="50"/>
      <c r="CX107" s="50"/>
      <c r="CY107" s="50"/>
      <c r="CZ107" s="50"/>
      <c r="DA107" s="50"/>
      <c r="DB107" s="50"/>
      <c r="DC107" s="50"/>
      <c r="DD107" s="50"/>
      <c r="DE107" s="50"/>
      <c r="DF107" s="50"/>
      <c r="DG107" s="50"/>
      <c r="DH107" s="50"/>
      <c r="DI107" s="50"/>
      <c r="DJ107" s="50"/>
      <c r="DK107" s="50"/>
      <c r="DL107" s="50"/>
      <c r="DM107" s="50"/>
      <c r="DN107" s="50"/>
      <c r="DO107" s="50"/>
      <c r="DP107" s="50"/>
      <c r="DQ107" s="50"/>
      <c r="DR107" s="50"/>
      <c r="DS107" s="50"/>
      <c r="DT107" s="50"/>
      <c r="DU107" s="50"/>
      <c r="DV107" s="50"/>
      <c r="DW107" s="50"/>
      <c r="DX107" s="50"/>
      <c r="DY107" s="50"/>
      <c r="DZ107" s="50"/>
      <c r="EA107" s="50"/>
      <c r="EB107" s="50"/>
      <c r="EC107" s="50"/>
      <c r="ED107" s="50"/>
      <c r="EE107" s="50"/>
      <c r="EF107" s="50"/>
      <c r="EG107" s="50"/>
      <c r="EH107" s="50"/>
      <c r="EI107" s="50"/>
      <c r="EJ107" s="50"/>
      <c r="EK107" s="50"/>
      <c r="EL107" s="50"/>
      <c r="EM107" s="50"/>
      <c r="EN107" s="50"/>
      <c r="EO107" s="50"/>
      <c r="EP107" s="50"/>
      <c r="EQ107" s="50"/>
      <c r="ER107" s="50"/>
      <c r="ES107" s="50"/>
      <c r="ET107" s="50"/>
      <c r="EU107" s="50"/>
      <c r="EV107" s="50"/>
      <c r="EW107" s="50"/>
      <c r="EX107" s="50"/>
      <c r="EY107" s="50"/>
      <c r="EZ107" s="50"/>
      <c r="FA107" s="50"/>
      <c r="FB107" s="50"/>
      <c r="FC107" s="50"/>
      <c r="FD107" s="50"/>
      <c r="FE107" s="50"/>
      <c r="FF107" s="50"/>
      <c r="FG107" s="50"/>
      <c r="FH107" s="50"/>
      <c r="FI107" s="50"/>
      <c r="FJ107" s="50"/>
      <c r="FK107" s="50"/>
      <c r="FL107" s="50"/>
      <c r="FM107" s="50"/>
      <c r="FN107" s="50"/>
      <c r="FO107" s="50"/>
      <c r="FP107" s="50"/>
      <c r="FQ107" s="50"/>
      <c r="FR107" s="50"/>
      <c r="FS107" s="50"/>
      <c r="FT107" s="50"/>
      <c r="FU107" s="50"/>
      <c r="FV107" s="50"/>
      <c r="FW107" s="50"/>
      <c r="FX107" s="50"/>
      <c r="FY107" s="50"/>
      <c r="FZ107" s="50"/>
      <c r="GA107" s="50"/>
      <c r="GB107" s="50"/>
      <c r="GC107" s="50"/>
      <c r="GD107" s="50"/>
      <c r="GE107" s="50"/>
      <c r="GF107" s="50"/>
      <c r="GG107" s="50"/>
      <c r="GH107" s="50"/>
      <c r="GI107" s="50"/>
      <c r="GJ107" s="50"/>
      <c r="GK107" s="50"/>
      <c r="GL107" s="50"/>
      <c r="GM107" s="50"/>
      <c r="GN107" s="50"/>
      <c r="GO107" s="50"/>
      <c r="GP107" s="50"/>
      <c r="GQ107" s="50"/>
      <c r="GR107" s="50"/>
      <c r="GS107" s="50"/>
      <c r="GT107" s="50"/>
      <c r="GU107" s="50"/>
      <c r="GV107" s="50"/>
      <c r="GW107" s="50"/>
      <c r="GX107" s="50"/>
      <c r="GY107" s="50"/>
      <c r="GZ107" s="50"/>
      <c r="HA107" s="50"/>
      <c r="HB107" s="50"/>
      <c r="HC107" s="50"/>
      <c r="HD107" s="50"/>
      <c r="HE107" s="50"/>
      <c r="HF107" s="50"/>
      <c r="HG107" s="50"/>
      <c r="HH107" s="50"/>
      <c r="HI107" s="50"/>
      <c r="HJ107" s="50"/>
      <c r="HK107" s="50"/>
      <c r="HL107" s="50"/>
      <c r="HM107" s="50"/>
      <c r="HN107" s="50"/>
      <c r="HO107" s="50"/>
      <c r="HP107" s="50"/>
      <c r="HQ107" s="50"/>
      <c r="HR107" s="50"/>
      <c r="HS107" s="50"/>
      <c r="HT107" s="50"/>
      <c r="HU107" s="50"/>
      <c r="HV107" s="50"/>
      <c r="HW107" s="50"/>
      <c r="HX107" s="50"/>
      <c r="HY107" s="50"/>
      <c r="HZ107" s="50"/>
      <c r="IA107" s="50"/>
      <c r="IB107" s="50"/>
      <c r="IC107" s="50"/>
      <c r="ID107" s="50"/>
      <c r="IE107" s="50"/>
      <c r="IF107" s="50"/>
      <c r="IG107" s="50"/>
      <c r="IH107" s="50"/>
      <c r="II107" s="50"/>
      <c r="IJ107" s="50"/>
      <c r="IK107" s="50"/>
      <c r="IL107" s="50"/>
      <c r="IM107" s="50"/>
      <c r="IN107" s="50"/>
      <c r="IO107" s="50"/>
      <c r="IP107" s="50"/>
      <c r="IQ107" s="50"/>
      <c r="IR107" s="50"/>
      <c r="IS107" s="50"/>
      <c r="IT107" s="50"/>
      <c r="IU107" s="50"/>
      <c r="IV107" s="50"/>
    </row>
    <row r="108" spans="1:256" s="54" customFormat="1" ht="15.6" x14ac:dyDescent="0.3">
      <c r="A108" s="120" t="s">
        <v>198</v>
      </c>
      <c r="B108" s="121"/>
      <c r="C108" s="122">
        <f>SUM(C106:D107)</f>
        <v>334</v>
      </c>
      <c r="D108" s="122"/>
      <c r="E108" s="123">
        <f>SUM(E106:G107)</f>
        <v>323058.58004159993</v>
      </c>
      <c r="F108" s="123"/>
      <c r="G108" s="123"/>
      <c r="H108" s="123">
        <f>SUM(H106:J107)</f>
        <v>516893.72806655994</v>
      </c>
      <c r="I108" s="123"/>
      <c r="J108" s="12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c r="BQ108" s="53"/>
      <c r="BR108" s="53"/>
      <c r="BS108" s="53"/>
      <c r="BT108" s="53"/>
      <c r="BU108" s="53"/>
      <c r="BV108" s="53"/>
      <c r="BW108" s="53"/>
      <c r="BX108" s="53"/>
      <c r="BY108" s="53"/>
      <c r="BZ108" s="53"/>
      <c r="CA108" s="53"/>
      <c r="CB108" s="53"/>
      <c r="CC108" s="53"/>
      <c r="CD108" s="53"/>
      <c r="CE108" s="53"/>
      <c r="CF108" s="53"/>
      <c r="CG108" s="53"/>
      <c r="CH108" s="53"/>
      <c r="CI108" s="53"/>
      <c r="CJ108" s="53"/>
      <c r="CK108" s="53"/>
      <c r="CL108" s="53"/>
      <c r="CM108" s="53"/>
      <c r="CN108" s="53"/>
      <c r="CO108" s="53"/>
      <c r="CP108" s="53"/>
      <c r="CQ108" s="53"/>
      <c r="CR108" s="53"/>
      <c r="CS108" s="53"/>
      <c r="CT108" s="53"/>
      <c r="CU108" s="53"/>
      <c r="CV108" s="53"/>
      <c r="CW108" s="53"/>
      <c r="CX108" s="53"/>
      <c r="CY108" s="53"/>
      <c r="CZ108" s="53"/>
      <c r="DA108" s="53"/>
      <c r="DB108" s="53"/>
      <c r="DC108" s="53"/>
      <c r="DD108" s="53"/>
      <c r="DE108" s="53"/>
      <c r="DF108" s="53"/>
      <c r="DG108" s="53"/>
      <c r="DH108" s="53"/>
      <c r="DI108" s="53"/>
      <c r="DJ108" s="53"/>
      <c r="DK108" s="53"/>
      <c r="DL108" s="53"/>
      <c r="DM108" s="53"/>
      <c r="DN108" s="53"/>
      <c r="DO108" s="53"/>
      <c r="DP108" s="53"/>
      <c r="DQ108" s="53"/>
      <c r="DR108" s="53"/>
      <c r="DS108" s="53"/>
      <c r="DT108" s="53"/>
      <c r="DU108" s="53"/>
      <c r="DV108" s="53"/>
      <c r="DW108" s="53"/>
      <c r="DX108" s="53"/>
      <c r="DY108" s="53"/>
      <c r="DZ108" s="53"/>
      <c r="EA108" s="53"/>
      <c r="EB108" s="53"/>
      <c r="EC108" s="53"/>
      <c r="ED108" s="53"/>
      <c r="EE108" s="53"/>
      <c r="EF108" s="53"/>
      <c r="EG108" s="53"/>
      <c r="EH108" s="53"/>
      <c r="EI108" s="53"/>
      <c r="EJ108" s="53"/>
      <c r="EK108" s="53"/>
      <c r="EL108" s="53"/>
      <c r="EM108" s="53"/>
      <c r="EN108" s="53"/>
      <c r="EO108" s="53"/>
      <c r="EP108" s="53"/>
      <c r="EQ108" s="53"/>
      <c r="ER108" s="53"/>
      <c r="ES108" s="53"/>
      <c r="ET108" s="53"/>
      <c r="EU108" s="53"/>
      <c r="EV108" s="53"/>
      <c r="EW108" s="53"/>
      <c r="EX108" s="53"/>
      <c r="EY108" s="53"/>
      <c r="EZ108" s="53"/>
      <c r="FA108" s="53"/>
      <c r="FB108" s="53"/>
      <c r="FC108" s="53"/>
      <c r="FD108" s="53"/>
      <c r="FE108" s="53"/>
      <c r="FF108" s="53"/>
      <c r="FG108" s="53"/>
      <c r="FH108" s="53"/>
      <c r="FI108" s="53"/>
      <c r="FJ108" s="53"/>
      <c r="FK108" s="53"/>
      <c r="FL108" s="53"/>
      <c r="FM108" s="53"/>
      <c r="FN108" s="53"/>
      <c r="FO108" s="53"/>
      <c r="FP108" s="53"/>
      <c r="FQ108" s="53"/>
      <c r="FR108" s="53"/>
      <c r="FS108" s="53"/>
      <c r="FT108" s="53"/>
      <c r="FU108" s="53"/>
      <c r="FV108" s="53"/>
      <c r="FW108" s="53"/>
      <c r="FX108" s="53"/>
      <c r="FY108" s="53"/>
      <c r="FZ108" s="53"/>
      <c r="GA108" s="53"/>
      <c r="GB108" s="53"/>
      <c r="GC108" s="53"/>
      <c r="GD108" s="53"/>
      <c r="GE108" s="53"/>
      <c r="GF108" s="53"/>
      <c r="GG108" s="53"/>
      <c r="GH108" s="53"/>
      <c r="GI108" s="53"/>
      <c r="GJ108" s="53"/>
      <c r="GK108" s="53"/>
      <c r="GL108" s="53"/>
      <c r="GM108" s="53"/>
      <c r="GN108" s="53"/>
      <c r="GO108" s="53"/>
      <c r="GP108" s="53"/>
      <c r="GQ108" s="53"/>
      <c r="GR108" s="53"/>
      <c r="GS108" s="53"/>
      <c r="GT108" s="53"/>
      <c r="GU108" s="53"/>
      <c r="GV108" s="53"/>
      <c r="GW108" s="53"/>
      <c r="GX108" s="53"/>
      <c r="GY108" s="53"/>
      <c r="GZ108" s="53"/>
      <c r="HA108" s="53"/>
      <c r="HB108" s="53"/>
      <c r="HC108" s="53"/>
      <c r="HD108" s="53"/>
      <c r="HE108" s="53"/>
      <c r="HF108" s="53"/>
      <c r="HG108" s="53"/>
      <c r="HH108" s="53"/>
      <c r="HI108" s="53"/>
      <c r="HJ108" s="53"/>
      <c r="HK108" s="53"/>
      <c r="HL108" s="53"/>
      <c r="HM108" s="53"/>
      <c r="HN108" s="53"/>
      <c r="HO108" s="53"/>
      <c r="HP108" s="53"/>
      <c r="HQ108" s="53"/>
      <c r="HR108" s="53"/>
      <c r="HS108" s="53"/>
      <c r="HT108" s="53"/>
      <c r="HU108" s="53"/>
      <c r="HV108" s="53"/>
      <c r="HW108" s="53"/>
      <c r="HX108" s="53"/>
      <c r="HY108" s="53"/>
      <c r="HZ108" s="53"/>
      <c r="IA108" s="53"/>
      <c r="IB108" s="53"/>
      <c r="IC108" s="53"/>
      <c r="ID108" s="53"/>
      <c r="IE108" s="53"/>
      <c r="IF108" s="53"/>
      <c r="IG108" s="53"/>
      <c r="IH108" s="53"/>
      <c r="II108" s="53"/>
      <c r="IJ108" s="53"/>
      <c r="IK108" s="53"/>
      <c r="IL108" s="53"/>
      <c r="IM108" s="53"/>
      <c r="IN108" s="53"/>
      <c r="IO108" s="53"/>
      <c r="IP108" s="53"/>
      <c r="IQ108" s="53"/>
      <c r="IR108" s="53"/>
      <c r="IS108" s="53"/>
      <c r="IT108" s="53"/>
      <c r="IU108" s="53"/>
      <c r="IV108" s="53"/>
    </row>
    <row r="109" spans="1:256" s="49" customFormat="1" ht="21" customHeight="1" x14ac:dyDescent="0.3">
      <c r="A109" s="223" t="s">
        <v>100</v>
      </c>
      <c r="B109" s="224"/>
      <c r="C109" s="224"/>
      <c r="D109" s="224"/>
      <c r="E109" s="224"/>
      <c r="F109" s="224"/>
      <c r="G109" s="224"/>
      <c r="H109" s="224"/>
      <c r="I109" s="224"/>
      <c r="J109" s="225"/>
    </row>
    <row r="110" spans="1:256" x14ac:dyDescent="0.3">
      <c r="A110" s="170" t="s">
        <v>47</v>
      </c>
      <c r="B110" s="171"/>
      <c r="C110" s="171"/>
      <c r="D110" s="171"/>
      <c r="E110" s="171"/>
      <c r="F110" s="171"/>
      <c r="G110" s="171"/>
      <c r="H110" s="171"/>
      <c r="I110" s="171"/>
      <c r="J110" s="172"/>
    </row>
    <row r="111" spans="1:256" ht="41.4" x14ac:dyDescent="0.3">
      <c r="A111" s="118" t="s">
        <v>32</v>
      </c>
      <c r="B111" s="119"/>
      <c r="C111" s="55" t="s">
        <v>29</v>
      </c>
      <c r="D111" s="118" t="s">
        <v>108</v>
      </c>
      <c r="E111" s="119"/>
      <c r="F111" s="55" t="s">
        <v>30</v>
      </c>
      <c r="G111" s="55" t="s">
        <v>158</v>
      </c>
      <c r="H111" s="55" t="s">
        <v>31</v>
      </c>
      <c r="I111" s="118" t="s">
        <v>101</v>
      </c>
      <c r="J111" s="119"/>
    </row>
    <row r="112" spans="1:256" x14ac:dyDescent="0.3">
      <c r="A112" s="89" t="s">
        <v>126</v>
      </c>
      <c r="B112" s="90"/>
      <c r="C112" s="90"/>
      <c r="D112" s="90"/>
      <c r="E112" s="90"/>
      <c r="F112" s="90"/>
      <c r="G112" s="90"/>
      <c r="H112" s="90"/>
      <c r="I112" s="90"/>
      <c r="J112" s="91"/>
    </row>
    <row r="113" spans="1:16" x14ac:dyDescent="0.3">
      <c r="A113" s="74" t="s">
        <v>200</v>
      </c>
      <c r="B113" s="75"/>
      <c r="C113" s="75"/>
      <c r="D113" s="75"/>
      <c r="E113" s="75"/>
      <c r="F113" s="75"/>
      <c r="G113" s="75"/>
      <c r="H113" s="75"/>
      <c r="I113" s="75"/>
      <c r="J113" s="76"/>
    </row>
    <row r="114" spans="1:16" x14ac:dyDescent="0.3">
      <c r="A114" s="74" t="s">
        <v>131</v>
      </c>
      <c r="B114" s="75"/>
      <c r="C114" s="75"/>
      <c r="D114" s="75"/>
      <c r="E114" s="75"/>
      <c r="F114" s="75"/>
      <c r="G114" s="75"/>
      <c r="H114" s="75"/>
      <c r="I114" s="75"/>
      <c r="J114" s="76"/>
    </row>
    <row r="115" spans="1:16" x14ac:dyDescent="0.3">
      <c r="A115" s="74" t="s">
        <v>209</v>
      </c>
      <c r="B115" s="75"/>
      <c r="C115" s="75"/>
      <c r="D115" s="75"/>
      <c r="E115" s="75"/>
      <c r="F115" s="75"/>
      <c r="G115" s="75"/>
      <c r="H115" s="75"/>
      <c r="I115" s="75"/>
      <c r="J115" s="76"/>
    </row>
    <row r="116" spans="1:16" x14ac:dyDescent="0.3">
      <c r="A116" s="86">
        <v>1</v>
      </c>
      <c r="B116" s="87"/>
      <c r="C116" s="56" t="s">
        <v>204</v>
      </c>
      <c r="D116" s="92">
        <f>(93.24+3.14 *1.33)*10.764</f>
        <v>1048.5879767999998</v>
      </c>
      <c r="E116" s="93"/>
      <c r="F116" s="56">
        <v>0</v>
      </c>
      <c r="G116" s="57">
        <f>D116*1.6</f>
        <v>1677.7407628799997</v>
      </c>
      <c r="H116" s="56" t="s">
        <v>128</v>
      </c>
      <c r="I116" s="77" t="s">
        <v>127</v>
      </c>
      <c r="J116" s="78"/>
      <c r="L116">
        <f>3.34*5.05+3.14*2.34+1.2*2.47+1.86*0.9+2.19*4.13+3.2*3.95+0.85*0.9+3.9*3.05+3.12*4.56+1.53*2.44+1.53*2.44+1.04*1.23+1.3*2.13</f>
        <v>88.939099999999996</v>
      </c>
      <c r="O116" s="73">
        <v>10.763999999999999</v>
      </c>
      <c r="P116" s="73"/>
    </row>
    <row r="117" spans="1:16" x14ac:dyDescent="0.3">
      <c r="A117" s="86">
        <v>2</v>
      </c>
      <c r="B117" s="87"/>
      <c r="C117" s="56" t="s">
        <v>204</v>
      </c>
      <c r="D117" s="92">
        <f>(93.24+3.14 *1.33)*10.764</f>
        <v>1048.5879767999998</v>
      </c>
      <c r="E117" s="93"/>
      <c r="F117" s="56">
        <v>0</v>
      </c>
      <c r="G117" s="57">
        <f t="shared" ref="G117:G145" si="0">D117*1.6</f>
        <v>1677.7407628799997</v>
      </c>
      <c r="H117" s="56" t="s">
        <v>128</v>
      </c>
      <c r="I117" s="79"/>
      <c r="J117" s="80"/>
    </row>
    <row r="118" spans="1:16" x14ac:dyDescent="0.3">
      <c r="A118" s="86">
        <v>3</v>
      </c>
      <c r="B118" s="87"/>
      <c r="C118" s="56" t="s">
        <v>205</v>
      </c>
      <c r="D118" s="92">
        <f>(58.47+3 *1.32)*10.764</f>
        <v>671.99651999999992</v>
      </c>
      <c r="E118" s="93"/>
      <c r="F118" s="56">
        <v>0</v>
      </c>
      <c r="G118" s="57">
        <f t="shared" si="0"/>
        <v>1075.194432</v>
      </c>
      <c r="H118" s="56" t="s">
        <v>128</v>
      </c>
      <c r="I118" s="79"/>
      <c r="J118" s="80"/>
      <c r="L118">
        <f>3*3.8+2.07*3.05+3.05*3.8+3.1*2.85+1.53*2.43+1.3*2.13+3.38*1.26+1.5*0.9+1*1.4+2.13*1.4+1.63*0.6</f>
        <v>55.594199999999994</v>
      </c>
      <c r="M118">
        <f>3*1.32</f>
        <v>3.96</v>
      </c>
    </row>
    <row r="119" spans="1:16" ht="15.75" customHeight="1" x14ac:dyDescent="0.3">
      <c r="A119" s="86">
        <v>4</v>
      </c>
      <c r="B119" s="87"/>
      <c r="C119" s="77" t="s">
        <v>134</v>
      </c>
      <c r="D119" s="83"/>
      <c r="E119" s="83"/>
      <c r="F119" s="83"/>
      <c r="G119" s="83"/>
      <c r="H119" s="78"/>
      <c r="I119" s="79"/>
      <c r="J119" s="80"/>
      <c r="L119">
        <f>M118+L118</f>
        <v>59.554199999999994</v>
      </c>
    </row>
    <row r="120" spans="1:16" x14ac:dyDescent="0.3">
      <c r="A120" s="86">
        <v>5</v>
      </c>
      <c r="B120" s="87"/>
      <c r="C120" s="79"/>
      <c r="D120" s="84"/>
      <c r="E120" s="84"/>
      <c r="F120" s="84"/>
      <c r="G120" s="84"/>
      <c r="H120" s="80"/>
      <c r="I120" s="79"/>
      <c r="J120" s="80"/>
    </row>
    <row r="121" spans="1:16" x14ac:dyDescent="0.3">
      <c r="A121" s="86">
        <v>6</v>
      </c>
      <c r="B121" s="87"/>
      <c r="C121" s="81"/>
      <c r="D121" s="85"/>
      <c r="E121" s="85"/>
      <c r="F121" s="85"/>
      <c r="G121" s="85"/>
      <c r="H121" s="82"/>
      <c r="I121" s="79"/>
      <c r="J121" s="80"/>
    </row>
    <row r="122" spans="1:16" x14ac:dyDescent="0.3">
      <c r="A122" s="86">
        <v>7</v>
      </c>
      <c r="B122" s="87"/>
      <c r="C122" s="56" t="s">
        <v>132</v>
      </c>
      <c r="D122" s="92">
        <f>(115.98)*10.764</f>
        <v>1248.4087199999999</v>
      </c>
      <c r="E122" s="93"/>
      <c r="F122" s="56">
        <v>0</v>
      </c>
      <c r="G122" s="56">
        <f t="shared" si="0"/>
        <v>1997.4539519999998</v>
      </c>
      <c r="H122" s="56" t="s">
        <v>128</v>
      </c>
      <c r="I122" s="81"/>
      <c r="J122" s="82"/>
      <c r="L122">
        <f>3.5*9.12+2.35*3.05+3.05*3.96+3.5*4.25+3.5*3.96+2.85*1.9+1.08*1.53+1.3*2.3+2.43*1.4+2.43*1.4+0.97*1.5+1.07*1.22+0.97*1.5+3.15*1.4+1.6*0.85+1.5*1.15</f>
        <v>108.47229999999999</v>
      </c>
      <c r="M122">
        <f>3.4*1.48</f>
        <v>5.032</v>
      </c>
    </row>
    <row r="123" spans="1:16" x14ac:dyDescent="0.3">
      <c r="A123" s="74" t="s">
        <v>145</v>
      </c>
      <c r="B123" s="75"/>
      <c r="C123" s="75"/>
      <c r="D123" s="75"/>
      <c r="E123" s="75"/>
      <c r="F123" s="75"/>
      <c r="G123" s="75"/>
      <c r="H123" s="75"/>
      <c r="I123" s="75"/>
      <c r="J123" s="76"/>
      <c r="M123">
        <f>L122+M122</f>
        <v>113.50429999999999</v>
      </c>
    </row>
    <row r="124" spans="1:16" x14ac:dyDescent="0.3">
      <c r="A124" s="86">
        <v>1</v>
      </c>
      <c r="B124" s="87"/>
      <c r="C124" s="56" t="s">
        <v>204</v>
      </c>
      <c r="D124" s="92">
        <f>(93.41+3.14 *1.33)*10.764</f>
        <v>1050.4178567999998</v>
      </c>
      <c r="E124" s="93"/>
      <c r="F124" s="56">
        <v>0</v>
      </c>
      <c r="G124" s="56">
        <f t="shared" si="0"/>
        <v>1680.6685708799996</v>
      </c>
      <c r="H124" s="56" t="s">
        <v>128</v>
      </c>
      <c r="I124" s="77" t="str">
        <f>A123</f>
        <v>1st Floor</v>
      </c>
      <c r="J124" s="78"/>
      <c r="M124" s="58" t="s">
        <v>210</v>
      </c>
      <c r="N124" s="58"/>
      <c r="O124" s="58"/>
    </row>
    <row r="125" spans="1:16" x14ac:dyDescent="0.3">
      <c r="A125" s="86">
        <v>2</v>
      </c>
      <c r="B125" s="87"/>
      <c r="C125" s="56" t="s">
        <v>204</v>
      </c>
      <c r="D125" s="92">
        <f>(93.41+3.14 *1.33)*10.764</f>
        <v>1050.4178567999998</v>
      </c>
      <c r="E125" s="93"/>
      <c r="F125" s="56">
        <v>0</v>
      </c>
      <c r="G125" s="56">
        <f t="shared" si="0"/>
        <v>1680.6685708799996</v>
      </c>
      <c r="H125" s="56" t="s">
        <v>128</v>
      </c>
      <c r="I125" s="79"/>
      <c r="J125" s="80"/>
    </row>
    <row r="126" spans="1:16" x14ac:dyDescent="0.3">
      <c r="A126" s="86">
        <v>3</v>
      </c>
      <c r="B126" s="87"/>
      <c r="C126" s="56" t="s">
        <v>205</v>
      </c>
      <c r="D126" s="92">
        <f>(58.47+3 *1.32)*10.764</f>
        <v>671.99651999999992</v>
      </c>
      <c r="E126" s="93"/>
      <c r="F126" s="56">
        <v>0</v>
      </c>
      <c r="G126" s="56">
        <f t="shared" si="0"/>
        <v>1075.194432</v>
      </c>
      <c r="H126" s="56" t="s">
        <v>128</v>
      </c>
      <c r="I126" s="79"/>
      <c r="J126" s="80"/>
    </row>
    <row r="127" spans="1:16" x14ac:dyDescent="0.3">
      <c r="A127" s="86">
        <v>4</v>
      </c>
      <c r="B127" s="87"/>
      <c r="C127" s="56" t="s">
        <v>205</v>
      </c>
      <c r="D127" s="92">
        <f>(58.47+3 *1.32)*10.764</f>
        <v>671.99651999999992</v>
      </c>
      <c r="E127" s="93"/>
      <c r="F127" s="56">
        <v>0</v>
      </c>
      <c r="G127" s="56">
        <f t="shared" si="0"/>
        <v>1075.194432</v>
      </c>
      <c r="H127" s="56" t="s">
        <v>128</v>
      </c>
      <c r="I127" s="79"/>
      <c r="J127" s="80"/>
    </row>
    <row r="128" spans="1:16" x14ac:dyDescent="0.3">
      <c r="A128" s="86">
        <v>5</v>
      </c>
      <c r="B128" s="87"/>
      <c r="C128" s="77" t="s">
        <v>134</v>
      </c>
      <c r="D128" s="83"/>
      <c r="E128" s="83"/>
      <c r="F128" s="83"/>
      <c r="G128" s="83"/>
      <c r="H128" s="78"/>
      <c r="I128" s="79"/>
      <c r="J128" s="80"/>
    </row>
    <row r="129" spans="1:10" x14ac:dyDescent="0.3">
      <c r="A129" s="86">
        <v>6</v>
      </c>
      <c r="B129" s="87"/>
      <c r="C129" s="81"/>
      <c r="D129" s="85"/>
      <c r="E129" s="85"/>
      <c r="F129" s="85"/>
      <c r="G129" s="85"/>
      <c r="H129" s="82"/>
      <c r="I129" s="79"/>
      <c r="J129" s="80"/>
    </row>
    <row r="130" spans="1:10" x14ac:dyDescent="0.3">
      <c r="A130" s="86">
        <v>7</v>
      </c>
      <c r="B130" s="87"/>
      <c r="C130" s="56" t="s">
        <v>204</v>
      </c>
      <c r="D130" s="92">
        <f>(115.18)*10.764</f>
        <v>1239.7975200000001</v>
      </c>
      <c r="E130" s="93"/>
      <c r="F130" s="56">
        <v>0</v>
      </c>
      <c r="G130" s="56">
        <f t="shared" si="0"/>
        <v>1983.6760320000003</v>
      </c>
      <c r="H130" s="56" t="s">
        <v>128</v>
      </c>
      <c r="I130" s="81"/>
      <c r="J130" s="82"/>
    </row>
    <row r="131" spans="1:10" x14ac:dyDescent="0.3">
      <c r="A131" s="74" t="s">
        <v>206</v>
      </c>
      <c r="B131" s="75"/>
      <c r="C131" s="75"/>
      <c r="D131" s="75"/>
      <c r="E131" s="75"/>
      <c r="F131" s="75"/>
      <c r="G131" s="75"/>
      <c r="H131" s="75"/>
      <c r="I131" s="75"/>
      <c r="J131" s="76"/>
    </row>
    <row r="132" spans="1:10" x14ac:dyDescent="0.3">
      <c r="A132" s="86">
        <v>1</v>
      </c>
      <c r="B132" s="87"/>
      <c r="C132" s="56" t="s">
        <v>204</v>
      </c>
      <c r="D132" s="92">
        <f>(93.41+3.14 *1.33)*10.764</f>
        <v>1050.4178567999998</v>
      </c>
      <c r="E132" s="93"/>
      <c r="F132" s="56">
        <v>0</v>
      </c>
      <c r="G132" s="56">
        <f t="shared" si="0"/>
        <v>1680.6685708799996</v>
      </c>
      <c r="H132" s="56" t="s">
        <v>128</v>
      </c>
      <c r="I132" s="77" t="str">
        <f>A131</f>
        <v>2nd, 4th to 8th, 12th to 15th, 19th to 22nd Floor</v>
      </c>
      <c r="J132" s="78"/>
    </row>
    <row r="133" spans="1:10" x14ac:dyDescent="0.3">
      <c r="A133" s="86">
        <v>2</v>
      </c>
      <c r="B133" s="87"/>
      <c r="C133" s="56" t="s">
        <v>204</v>
      </c>
      <c r="D133" s="92">
        <f>(93.41+3.14 *1.33)*10.764</f>
        <v>1050.4178567999998</v>
      </c>
      <c r="E133" s="93"/>
      <c r="F133" s="56">
        <v>0</v>
      </c>
      <c r="G133" s="56">
        <f t="shared" si="0"/>
        <v>1680.6685708799996</v>
      </c>
      <c r="H133" s="56" t="s">
        <v>128</v>
      </c>
      <c r="I133" s="79"/>
      <c r="J133" s="80"/>
    </row>
    <row r="134" spans="1:10" x14ac:dyDescent="0.3">
      <c r="A134" s="86">
        <v>3</v>
      </c>
      <c r="B134" s="87"/>
      <c r="C134" s="56" t="s">
        <v>205</v>
      </c>
      <c r="D134" s="92">
        <f>(58.47+3 *1.32)*10.764</f>
        <v>671.99651999999992</v>
      </c>
      <c r="E134" s="93"/>
      <c r="F134" s="56">
        <v>0</v>
      </c>
      <c r="G134" s="56">
        <f t="shared" si="0"/>
        <v>1075.194432</v>
      </c>
      <c r="H134" s="56" t="s">
        <v>128</v>
      </c>
      <c r="I134" s="79"/>
      <c r="J134" s="80"/>
    </row>
    <row r="135" spans="1:10" x14ac:dyDescent="0.3">
      <c r="A135" s="86">
        <v>4</v>
      </c>
      <c r="B135" s="87"/>
      <c r="C135" s="56" t="s">
        <v>205</v>
      </c>
      <c r="D135" s="92">
        <f>(58.47+3 *1.32)*10.764</f>
        <v>671.99651999999992</v>
      </c>
      <c r="E135" s="93"/>
      <c r="F135" s="56">
        <v>0</v>
      </c>
      <c r="G135" s="56">
        <f t="shared" si="0"/>
        <v>1075.194432</v>
      </c>
      <c r="H135" s="56" t="s">
        <v>128</v>
      </c>
      <c r="I135" s="79"/>
      <c r="J135" s="80"/>
    </row>
    <row r="136" spans="1:10" x14ac:dyDescent="0.3">
      <c r="A136" s="86">
        <v>5</v>
      </c>
      <c r="B136" s="87"/>
      <c r="C136" s="56" t="s">
        <v>204</v>
      </c>
      <c r="D136" s="92">
        <f>(94.61+3.14 *1.33)*10.764</f>
        <v>1063.3346567999999</v>
      </c>
      <c r="E136" s="93"/>
      <c r="F136" s="56">
        <v>0</v>
      </c>
      <c r="G136" s="56">
        <f t="shared" si="0"/>
        <v>1701.3354508800001</v>
      </c>
      <c r="H136" s="56" t="s">
        <v>128</v>
      </c>
      <c r="I136" s="79"/>
      <c r="J136" s="80"/>
    </row>
    <row r="137" spans="1:10" x14ac:dyDescent="0.3">
      <c r="A137" s="86">
        <v>6</v>
      </c>
      <c r="B137" s="87"/>
      <c r="C137" s="56" t="s">
        <v>204</v>
      </c>
      <c r="D137" s="92">
        <f>(94.61+3.14 *1.33)*10.764</f>
        <v>1063.3346567999999</v>
      </c>
      <c r="E137" s="93"/>
      <c r="F137" s="56">
        <v>0</v>
      </c>
      <c r="G137" s="56">
        <f t="shared" si="0"/>
        <v>1701.3354508800001</v>
      </c>
      <c r="H137" s="56" t="s">
        <v>128</v>
      </c>
      <c r="I137" s="79"/>
      <c r="J137" s="80"/>
    </row>
    <row r="138" spans="1:10" x14ac:dyDescent="0.3">
      <c r="A138" s="86">
        <v>7</v>
      </c>
      <c r="B138" s="87"/>
      <c r="C138" s="56" t="s">
        <v>204</v>
      </c>
      <c r="D138" s="92">
        <f>(115.18)*10.764</f>
        <v>1239.7975200000001</v>
      </c>
      <c r="E138" s="93"/>
      <c r="F138" s="56">
        <v>0</v>
      </c>
      <c r="G138" s="56">
        <f t="shared" si="0"/>
        <v>1983.6760320000003</v>
      </c>
      <c r="H138" s="56" t="s">
        <v>128</v>
      </c>
      <c r="I138" s="81"/>
      <c r="J138" s="82"/>
    </row>
    <row r="139" spans="1:10" x14ac:dyDescent="0.3">
      <c r="A139" s="89" t="s">
        <v>207</v>
      </c>
      <c r="B139" s="90"/>
      <c r="C139" s="90"/>
      <c r="D139" s="90"/>
      <c r="E139" s="90"/>
      <c r="F139" s="90"/>
      <c r="G139" s="90"/>
      <c r="H139" s="90"/>
      <c r="I139" s="90"/>
      <c r="J139" s="91"/>
    </row>
    <row r="140" spans="1:10" x14ac:dyDescent="0.3">
      <c r="A140" s="86">
        <v>1</v>
      </c>
      <c r="B140" s="87"/>
      <c r="C140" s="56" t="s">
        <v>204</v>
      </c>
      <c r="D140" s="92">
        <f>(93.41+3.14 *1.33)*10.764</f>
        <v>1050.4178567999998</v>
      </c>
      <c r="E140" s="93"/>
      <c r="F140" s="56">
        <v>0</v>
      </c>
      <c r="G140" s="56">
        <f t="shared" si="0"/>
        <v>1680.6685708799996</v>
      </c>
      <c r="H140" s="56" t="s">
        <v>128</v>
      </c>
      <c r="I140" s="77" t="str">
        <f>A139</f>
        <v>3rd, 10th, 17th Floor (Part Refuge Area)</v>
      </c>
      <c r="J140" s="78"/>
    </row>
    <row r="141" spans="1:10" x14ac:dyDescent="0.3">
      <c r="A141" s="86">
        <v>2</v>
      </c>
      <c r="B141" s="87"/>
      <c r="C141" s="56" t="s">
        <v>204</v>
      </c>
      <c r="D141" s="92">
        <f>(93.41+3.14 *1.33)*10.764</f>
        <v>1050.4178567999998</v>
      </c>
      <c r="E141" s="93"/>
      <c r="F141" s="56">
        <v>0</v>
      </c>
      <c r="G141" s="56">
        <f t="shared" si="0"/>
        <v>1680.6685708799996</v>
      </c>
      <c r="H141" s="56" t="s">
        <v>128</v>
      </c>
      <c r="I141" s="79"/>
      <c r="J141" s="80"/>
    </row>
    <row r="142" spans="1:10" x14ac:dyDescent="0.3">
      <c r="A142" s="86">
        <v>3</v>
      </c>
      <c r="B142" s="87"/>
      <c r="C142" s="56" t="s">
        <v>205</v>
      </c>
      <c r="D142" s="92">
        <f>(58.47+3 *1.32)*10.764</f>
        <v>671.99651999999992</v>
      </c>
      <c r="E142" s="93"/>
      <c r="F142" s="56">
        <v>0</v>
      </c>
      <c r="G142" s="56">
        <f t="shared" si="0"/>
        <v>1075.194432</v>
      </c>
      <c r="H142" s="56" t="s">
        <v>128</v>
      </c>
      <c r="I142" s="79"/>
      <c r="J142" s="80"/>
    </row>
    <row r="143" spans="1:10" x14ac:dyDescent="0.3">
      <c r="A143" s="86">
        <v>4</v>
      </c>
      <c r="B143" s="87"/>
      <c r="C143" s="56" t="s">
        <v>205</v>
      </c>
      <c r="D143" s="92">
        <f>(58.47+3 *1.32)*10.764</f>
        <v>671.99651999999992</v>
      </c>
      <c r="E143" s="93"/>
      <c r="F143" s="56">
        <v>0</v>
      </c>
      <c r="G143" s="56">
        <f t="shared" si="0"/>
        <v>1075.194432</v>
      </c>
      <c r="H143" s="56" t="s">
        <v>128</v>
      </c>
      <c r="I143" s="79"/>
      <c r="J143" s="80"/>
    </row>
    <row r="144" spans="1:10" x14ac:dyDescent="0.3">
      <c r="A144" s="86">
        <v>5</v>
      </c>
      <c r="B144" s="87"/>
      <c r="C144" s="56" t="s">
        <v>204</v>
      </c>
      <c r="D144" s="92">
        <f>(94.61+3.14 *1.33)*10.764</f>
        <v>1063.3346567999999</v>
      </c>
      <c r="E144" s="93"/>
      <c r="F144" s="56">
        <v>0</v>
      </c>
      <c r="G144" s="56">
        <f t="shared" si="0"/>
        <v>1701.3354508800001</v>
      </c>
      <c r="H144" s="56" t="s">
        <v>128</v>
      </c>
      <c r="I144" s="79"/>
      <c r="J144" s="80"/>
    </row>
    <row r="145" spans="1:11" x14ac:dyDescent="0.3">
      <c r="A145" s="86">
        <v>6</v>
      </c>
      <c r="B145" s="87"/>
      <c r="C145" s="56" t="s">
        <v>204</v>
      </c>
      <c r="D145" s="92">
        <f>(94.61+3.14 *1.33)*10.764</f>
        <v>1063.3346567999999</v>
      </c>
      <c r="E145" s="93"/>
      <c r="F145" s="56">
        <v>0</v>
      </c>
      <c r="G145" s="56">
        <f t="shared" si="0"/>
        <v>1701.3354508800001</v>
      </c>
      <c r="H145" s="56" t="s">
        <v>128</v>
      </c>
      <c r="I145" s="79"/>
      <c r="J145" s="80"/>
    </row>
    <row r="146" spans="1:11" x14ac:dyDescent="0.3">
      <c r="A146" s="86">
        <v>7</v>
      </c>
      <c r="B146" s="87"/>
      <c r="C146" s="86" t="s">
        <v>130</v>
      </c>
      <c r="D146" s="114"/>
      <c r="E146" s="114"/>
      <c r="F146" s="114"/>
      <c r="G146" s="114"/>
      <c r="H146" s="87"/>
      <c r="I146" s="81"/>
      <c r="J146" s="82"/>
    </row>
    <row r="147" spans="1:11" x14ac:dyDescent="0.3">
      <c r="A147" s="211" t="s">
        <v>208</v>
      </c>
      <c r="B147" s="212"/>
      <c r="C147" s="212"/>
      <c r="D147" s="212"/>
      <c r="E147" s="212"/>
      <c r="F147" s="212"/>
      <c r="G147" s="212"/>
      <c r="H147" s="212"/>
      <c r="I147" s="212"/>
      <c r="J147" s="213"/>
    </row>
    <row r="148" spans="1:11" x14ac:dyDescent="0.3">
      <c r="A148" s="86">
        <v>1</v>
      </c>
      <c r="B148" s="87"/>
      <c r="C148" s="56" t="s">
        <v>204</v>
      </c>
      <c r="D148" s="92">
        <f>(93.41+3.14 *1.33)*10.764</f>
        <v>1050.4178567999998</v>
      </c>
      <c r="E148" s="93"/>
      <c r="F148" s="56">
        <v>0</v>
      </c>
      <c r="G148" s="56">
        <f t="shared" ref="G148:G154" si="1">D148*1.6</f>
        <v>1680.6685708799996</v>
      </c>
      <c r="H148" s="56" t="s">
        <v>128</v>
      </c>
      <c r="I148" s="77" t="str">
        <f>A147</f>
        <v>9th, 11th, 16th, 18th, 23rd Floor</v>
      </c>
      <c r="J148" s="78"/>
    </row>
    <row r="149" spans="1:11" x14ac:dyDescent="0.3">
      <c r="A149" s="86">
        <v>2</v>
      </c>
      <c r="B149" s="87"/>
      <c r="C149" s="56" t="s">
        <v>204</v>
      </c>
      <c r="D149" s="92">
        <f>(93.41+3.14 *1.33)*10.764</f>
        <v>1050.4178567999998</v>
      </c>
      <c r="E149" s="93"/>
      <c r="F149" s="56">
        <v>0</v>
      </c>
      <c r="G149" s="56">
        <f t="shared" si="1"/>
        <v>1680.6685708799996</v>
      </c>
      <c r="H149" s="56" t="s">
        <v>128</v>
      </c>
      <c r="I149" s="79"/>
      <c r="J149" s="80"/>
    </row>
    <row r="150" spans="1:11" x14ac:dyDescent="0.3">
      <c r="A150" s="86">
        <v>3</v>
      </c>
      <c r="B150" s="87"/>
      <c r="C150" s="56" t="s">
        <v>205</v>
      </c>
      <c r="D150" s="92">
        <f>(58.47+3 *2.67)*10.764</f>
        <v>715.59072000000003</v>
      </c>
      <c r="E150" s="93"/>
      <c r="F150" s="56">
        <v>0</v>
      </c>
      <c r="G150" s="56">
        <f t="shared" si="1"/>
        <v>1144.945152</v>
      </c>
      <c r="H150" s="56" t="s">
        <v>128</v>
      </c>
      <c r="I150" s="79"/>
      <c r="J150" s="80"/>
    </row>
    <row r="151" spans="1:11" x14ac:dyDescent="0.3">
      <c r="A151" s="86">
        <v>4</v>
      </c>
      <c r="B151" s="87"/>
      <c r="C151" s="56" t="s">
        <v>205</v>
      </c>
      <c r="D151" s="92">
        <f>(57.8+3 *1.32)*10.764</f>
        <v>664.78463999999997</v>
      </c>
      <c r="E151" s="93"/>
      <c r="F151" s="56">
        <v>0</v>
      </c>
      <c r="G151" s="56">
        <f t="shared" si="1"/>
        <v>1063.655424</v>
      </c>
      <c r="H151" s="56" t="s">
        <v>128</v>
      </c>
      <c r="I151" s="79"/>
      <c r="J151" s="80"/>
    </row>
    <row r="152" spans="1:11" x14ac:dyDescent="0.3">
      <c r="A152" s="86">
        <v>5</v>
      </c>
      <c r="B152" s="87"/>
      <c r="C152" s="56" t="s">
        <v>204</v>
      </c>
      <c r="D152" s="92">
        <f>(94.61+3.14 *1.33)*10.764</f>
        <v>1063.3346567999999</v>
      </c>
      <c r="E152" s="93"/>
      <c r="F152" s="56">
        <v>0</v>
      </c>
      <c r="G152" s="56">
        <f t="shared" si="1"/>
        <v>1701.3354508800001</v>
      </c>
      <c r="H152" s="56" t="s">
        <v>128</v>
      </c>
      <c r="I152" s="79"/>
      <c r="J152" s="80"/>
    </row>
    <row r="153" spans="1:11" x14ac:dyDescent="0.3">
      <c r="A153" s="86">
        <v>6</v>
      </c>
      <c r="B153" s="87"/>
      <c r="C153" s="56" t="s">
        <v>204</v>
      </c>
      <c r="D153" s="92">
        <f>(94.61+3.14 *1.33)*10.764</f>
        <v>1063.3346567999999</v>
      </c>
      <c r="E153" s="93"/>
      <c r="F153" s="56">
        <v>0</v>
      </c>
      <c r="G153" s="56">
        <f t="shared" si="1"/>
        <v>1701.3354508800001</v>
      </c>
      <c r="H153" s="56" t="s">
        <v>128</v>
      </c>
      <c r="I153" s="79"/>
      <c r="J153" s="80"/>
      <c r="K153">
        <f>22000*1701+2400000</f>
        <v>39822000</v>
      </c>
    </row>
    <row r="154" spans="1:11" x14ac:dyDescent="0.3">
      <c r="A154" s="86">
        <v>7</v>
      </c>
      <c r="B154" s="87"/>
      <c r="C154" s="56" t="s">
        <v>204</v>
      </c>
      <c r="D154" s="92">
        <f>(115.18)*10.764</f>
        <v>1239.7975200000001</v>
      </c>
      <c r="E154" s="93"/>
      <c r="F154" s="56">
        <f>(10.55*1.61)*10.764</f>
        <v>182.83192200000002</v>
      </c>
      <c r="G154" s="56">
        <f t="shared" si="1"/>
        <v>1983.6760320000003</v>
      </c>
      <c r="H154" s="56" t="s">
        <v>128</v>
      </c>
      <c r="I154" s="79"/>
      <c r="J154" s="80"/>
    </row>
    <row r="155" spans="1:11" x14ac:dyDescent="0.3">
      <c r="A155" s="74" t="s">
        <v>196</v>
      </c>
      <c r="B155" s="75"/>
      <c r="C155" s="75"/>
      <c r="D155" s="75"/>
      <c r="E155" s="75"/>
      <c r="F155" s="75"/>
      <c r="G155" s="75"/>
      <c r="H155" s="75"/>
      <c r="I155" s="75"/>
      <c r="J155" s="76"/>
    </row>
    <row r="156" spans="1:11" x14ac:dyDescent="0.3">
      <c r="A156" s="86">
        <v>1</v>
      </c>
      <c r="B156" s="87"/>
      <c r="C156" s="56" t="s">
        <v>204</v>
      </c>
      <c r="D156" s="92">
        <f>(93.41+3.14 *1.33)*10.764</f>
        <v>1050.4178567999998</v>
      </c>
      <c r="E156" s="93"/>
      <c r="F156" s="56">
        <v>0</v>
      </c>
      <c r="G156" s="56">
        <f t="shared" ref="G156:G162" si="2">D156*1.6</f>
        <v>1680.6685708799996</v>
      </c>
      <c r="H156" s="56" t="s">
        <v>128</v>
      </c>
      <c r="I156" s="77" t="str">
        <f>A155</f>
        <v>24th Floor (Part Refuge Area)</v>
      </c>
      <c r="J156" s="78"/>
    </row>
    <row r="157" spans="1:11" x14ac:dyDescent="0.3">
      <c r="A157" s="86">
        <v>2</v>
      </c>
      <c r="B157" s="87"/>
      <c r="C157" s="56" t="s">
        <v>204</v>
      </c>
      <c r="D157" s="92">
        <f>(93.41+3.14 *1.33)*10.764</f>
        <v>1050.4178567999998</v>
      </c>
      <c r="E157" s="93"/>
      <c r="F157" s="56">
        <v>0</v>
      </c>
      <c r="G157" s="56">
        <f t="shared" si="2"/>
        <v>1680.6685708799996</v>
      </c>
      <c r="H157" s="56" t="s">
        <v>128</v>
      </c>
      <c r="I157" s="79"/>
      <c r="J157" s="80"/>
    </row>
    <row r="158" spans="1:11" x14ac:dyDescent="0.3">
      <c r="A158" s="86">
        <v>3</v>
      </c>
      <c r="B158" s="87"/>
      <c r="C158" s="56" t="s">
        <v>205</v>
      </c>
      <c r="D158" s="92">
        <f>(58.47+3 *1.32)*10.764</f>
        <v>671.99651999999992</v>
      </c>
      <c r="E158" s="93"/>
      <c r="F158" s="56">
        <v>0</v>
      </c>
      <c r="G158" s="56">
        <f t="shared" si="2"/>
        <v>1075.194432</v>
      </c>
      <c r="H158" s="56" t="s">
        <v>128</v>
      </c>
      <c r="I158" s="79"/>
      <c r="J158" s="80"/>
    </row>
    <row r="159" spans="1:11" x14ac:dyDescent="0.3">
      <c r="A159" s="86">
        <v>4</v>
      </c>
      <c r="B159" s="87"/>
      <c r="C159" s="56" t="s">
        <v>205</v>
      </c>
      <c r="D159" s="92">
        <f>(57.8+3 *1.32)*10.764</f>
        <v>664.78463999999997</v>
      </c>
      <c r="E159" s="93"/>
      <c r="F159" s="56">
        <v>0</v>
      </c>
      <c r="G159" s="56">
        <f t="shared" si="2"/>
        <v>1063.655424</v>
      </c>
      <c r="H159" s="56" t="s">
        <v>128</v>
      </c>
      <c r="I159" s="79"/>
      <c r="J159" s="80"/>
    </row>
    <row r="160" spans="1:11" x14ac:dyDescent="0.3">
      <c r="A160" s="86">
        <v>5</v>
      </c>
      <c r="B160" s="87"/>
      <c r="C160" s="56" t="s">
        <v>204</v>
      </c>
      <c r="D160" s="92">
        <f>(94.61+3.14 *1.33)*10.764</f>
        <v>1063.3346567999999</v>
      </c>
      <c r="E160" s="93"/>
      <c r="F160" s="56">
        <v>0</v>
      </c>
      <c r="G160" s="56">
        <f t="shared" si="2"/>
        <v>1701.3354508800001</v>
      </c>
      <c r="H160" s="56" t="s">
        <v>128</v>
      </c>
      <c r="I160" s="79"/>
      <c r="J160" s="80"/>
    </row>
    <row r="161" spans="1:16" x14ac:dyDescent="0.3">
      <c r="A161" s="86">
        <v>6</v>
      </c>
      <c r="B161" s="87"/>
      <c r="C161" s="56" t="s">
        <v>204</v>
      </c>
      <c r="D161" s="92">
        <f>(94.61+3.14 *1.33)*10.764</f>
        <v>1063.3346567999999</v>
      </c>
      <c r="E161" s="93"/>
      <c r="F161" s="56">
        <v>0</v>
      </c>
      <c r="G161" s="56">
        <f t="shared" si="2"/>
        <v>1701.3354508800001</v>
      </c>
      <c r="H161" s="56" t="s">
        <v>128</v>
      </c>
      <c r="I161" s="79"/>
      <c r="J161" s="80"/>
    </row>
    <row r="162" spans="1:16" x14ac:dyDescent="0.3">
      <c r="A162" s="86">
        <v>7</v>
      </c>
      <c r="B162" s="87"/>
      <c r="C162" s="56" t="s">
        <v>204</v>
      </c>
      <c r="D162" s="92">
        <f>(87.89)*10.764</f>
        <v>946.04795999999999</v>
      </c>
      <c r="E162" s="93"/>
      <c r="F162" s="56">
        <v>0</v>
      </c>
      <c r="G162" s="56">
        <f t="shared" si="2"/>
        <v>1513.6767360000001</v>
      </c>
      <c r="H162" s="56" t="s">
        <v>128</v>
      </c>
      <c r="I162" s="79"/>
      <c r="J162" s="80"/>
    </row>
    <row r="163" spans="1:16" x14ac:dyDescent="0.3">
      <c r="A163" s="89" t="s">
        <v>201</v>
      </c>
      <c r="B163" s="90"/>
      <c r="C163" s="90"/>
      <c r="D163" s="90"/>
      <c r="E163" s="90"/>
      <c r="F163" s="90"/>
      <c r="G163" s="90"/>
      <c r="H163" s="90"/>
      <c r="I163" s="90"/>
      <c r="J163" s="91"/>
    </row>
    <row r="164" spans="1:16" x14ac:dyDescent="0.3">
      <c r="A164" s="74" t="s">
        <v>131</v>
      </c>
      <c r="B164" s="75"/>
      <c r="C164" s="75"/>
      <c r="D164" s="75"/>
      <c r="E164" s="75"/>
      <c r="F164" s="75"/>
      <c r="G164" s="75"/>
      <c r="H164" s="75"/>
      <c r="I164" s="75"/>
      <c r="J164" s="76"/>
    </row>
    <row r="165" spans="1:16" x14ac:dyDescent="0.3">
      <c r="A165" s="74" t="s">
        <v>209</v>
      </c>
      <c r="B165" s="75"/>
      <c r="C165" s="75"/>
      <c r="D165" s="75"/>
      <c r="E165" s="75"/>
      <c r="F165" s="75"/>
      <c r="G165" s="75"/>
      <c r="H165" s="75"/>
      <c r="I165" s="75"/>
      <c r="J165" s="76"/>
    </row>
    <row r="166" spans="1:16" x14ac:dyDescent="0.3">
      <c r="A166" s="86">
        <v>1</v>
      </c>
      <c r="B166" s="87"/>
      <c r="C166" s="56" t="s">
        <v>204</v>
      </c>
      <c r="D166" s="88">
        <f>(93.24+3.14*2.13)*10.764</f>
        <v>1075.6271447999998</v>
      </c>
      <c r="E166" s="88"/>
      <c r="F166" s="56">
        <v>0</v>
      </c>
      <c r="G166" s="56">
        <f>D166*1.6</f>
        <v>1721.0034316799997</v>
      </c>
      <c r="H166" s="56" t="s">
        <v>128</v>
      </c>
      <c r="I166" s="77" t="s">
        <v>127</v>
      </c>
      <c r="J166" s="78"/>
      <c r="L166">
        <f>3.34*5.05+3.14*2.34+1.2*2.47+1.86*0.9+2.19*4.13+3.2*3.95+0.85*0.9+3.9*3.05+3.12*4.56+1.53*2.44+1.53*2.44+1.04*1.23+1.3*2.13+3.14*1.33</f>
        <v>93.115299999999991</v>
      </c>
      <c r="O166" s="73">
        <v>10.763999999999999</v>
      </c>
      <c r="P166" s="73"/>
    </row>
    <row r="167" spans="1:16" x14ac:dyDescent="0.3">
      <c r="A167" s="86">
        <v>2</v>
      </c>
      <c r="B167" s="87"/>
      <c r="C167" s="56" t="s">
        <v>204</v>
      </c>
      <c r="D167" s="88">
        <f>(93.24+3.14*2.13)*10.764</f>
        <v>1075.6271447999998</v>
      </c>
      <c r="E167" s="88"/>
      <c r="F167" s="56">
        <v>0</v>
      </c>
      <c r="G167" s="56">
        <f t="shared" ref="G167:G168" si="3">D167*1.6</f>
        <v>1721.0034316799997</v>
      </c>
      <c r="H167" s="56" t="s">
        <v>128</v>
      </c>
      <c r="I167" s="79"/>
      <c r="J167" s="80"/>
    </row>
    <row r="168" spans="1:16" x14ac:dyDescent="0.3">
      <c r="A168" s="86">
        <v>3</v>
      </c>
      <c r="B168" s="87"/>
      <c r="C168" s="56" t="s">
        <v>205</v>
      </c>
      <c r="D168" s="88">
        <f>(58.47)*10.764</f>
        <v>629.37108000000001</v>
      </c>
      <c r="E168" s="88"/>
      <c r="F168" s="56">
        <v>0</v>
      </c>
      <c r="G168" s="56">
        <f t="shared" si="3"/>
        <v>1006.993728</v>
      </c>
      <c r="H168" s="56" t="s">
        <v>128</v>
      </c>
      <c r="I168" s="79"/>
      <c r="J168" s="80"/>
    </row>
    <row r="169" spans="1:16" ht="15.75" customHeight="1" x14ac:dyDescent="0.3">
      <c r="A169" s="86">
        <v>4</v>
      </c>
      <c r="B169" s="87"/>
      <c r="C169" s="77" t="s">
        <v>134</v>
      </c>
      <c r="D169" s="83"/>
      <c r="E169" s="83"/>
      <c r="F169" s="83"/>
      <c r="G169" s="83"/>
      <c r="H169" s="78"/>
      <c r="I169" s="79"/>
      <c r="J169" s="80"/>
    </row>
    <row r="170" spans="1:16" x14ac:dyDescent="0.3">
      <c r="A170" s="86">
        <v>5</v>
      </c>
      <c r="B170" s="87"/>
      <c r="C170" s="79"/>
      <c r="D170" s="84"/>
      <c r="E170" s="84"/>
      <c r="F170" s="84"/>
      <c r="G170" s="84"/>
      <c r="H170" s="80"/>
      <c r="I170" s="79"/>
      <c r="J170" s="80"/>
    </row>
    <row r="171" spans="1:16" x14ac:dyDescent="0.3">
      <c r="A171" s="86">
        <v>6</v>
      </c>
      <c r="B171" s="87"/>
      <c r="C171" s="81"/>
      <c r="D171" s="85"/>
      <c r="E171" s="85"/>
      <c r="F171" s="85"/>
      <c r="G171" s="85"/>
      <c r="H171" s="82"/>
      <c r="I171" s="79"/>
      <c r="J171" s="80"/>
    </row>
    <row r="172" spans="1:16" x14ac:dyDescent="0.3">
      <c r="A172" s="86">
        <v>7</v>
      </c>
      <c r="B172" s="87"/>
      <c r="C172" s="56" t="s">
        <v>132</v>
      </c>
      <c r="D172" s="88">
        <f>(115.98)*10.764</f>
        <v>1248.4087199999999</v>
      </c>
      <c r="E172" s="88"/>
      <c r="F172" s="56">
        <v>0</v>
      </c>
      <c r="G172" s="56">
        <f t="shared" ref="G172" si="4">D172*1.6</f>
        <v>1997.4539519999998</v>
      </c>
      <c r="H172" s="56" t="s">
        <v>128</v>
      </c>
      <c r="I172" s="81"/>
      <c r="J172" s="82"/>
    </row>
    <row r="173" spans="1:16" x14ac:dyDescent="0.3">
      <c r="A173" s="74" t="s">
        <v>145</v>
      </c>
      <c r="B173" s="75"/>
      <c r="C173" s="75"/>
      <c r="D173" s="75"/>
      <c r="E173" s="75"/>
      <c r="F173" s="75"/>
      <c r="G173" s="75"/>
      <c r="H173" s="75"/>
      <c r="I173" s="75"/>
      <c r="J173" s="76"/>
    </row>
    <row r="174" spans="1:16" x14ac:dyDescent="0.3">
      <c r="A174" s="86">
        <v>1</v>
      </c>
      <c r="B174" s="87"/>
      <c r="C174" s="56" t="s">
        <v>204</v>
      </c>
      <c r="D174" s="88">
        <f>(93.41+3.14*1.33)*10.764</f>
        <v>1050.4178567999998</v>
      </c>
      <c r="E174" s="88"/>
      <c r="F174" s="56">
        <v>0</v>
      </c>
      <c r="G174" s="56">
        <f t="shared" ref="G174:G177" si="5">D174*1.6</f>
        <v>1680.6685708799996</v>
      </c>
      <c r="H174" s="56" t="s">
        <v>128</v>
      </c>
      <c r="I174" s="77" t="str">
        <f>A173</f>
        <v>1st Floor</v>
      </c>
      <c r="J174" s="78"/>
    </row>
    <row r="175" spans="1:16" x14ac:dyDescent="0.3">
      <c r="A175" s="86">
        <v>2</v>
      </c>
      <c r="B175" s="87"/>
      <c r="C175" s="56" t="s">
        <v>204</v>
      </c>
      <c r="D175" s="88">
        <f>(93.41+3.14*1.33)*10.764</f>
        <v>1050.4178567999998</v>
      </c>
      <c r="E175" s="88"/>
      <c r="F175" s="56">
        <v>0</v>
      </c>
      <c r="G175" s="56">
        <f t="shared" si="5"/>
        <v>1680.6685708799996</v>
      </c>
      <c r="H175" s="56" t="s">
        <v>128</v>
      </c>
      <c r="I175" s="79"/>
      <c r="J175" s="80"/>
    </row>
    <row r="176" spans="1:16" x14ac:dyDescent="0.3">
      <c r="A176" s="86">
        <v>3</v>
      </c>
      <c r="B176" s="87"/>
      <c r="C176" s="56" t="s">
        <v>205</v>
      </c>
      <c r="D176" s="88">
        <f>(58.47+3*1.32)*10.764</f>
        <v>671.99651999999992</v>
      </c>
      <c r="E176" s="88"/>
      <c r="F176" s="56">
        <v>0</v>
      </c>
      <c r="G176" s="56">
        <f t="shared" si="5"/>
        <v>1075.194432</v>
      </c>
      <c r="H176" s="56" t="s">
        <v>128</v>
      </c>
      <c r="I176" s="79"/>
      <c r="J176" s="80"/>
    </row>
    <row r="177" spans="1:10" x14ac:dyDescent="0.3">
      <c r="A177" s="86">
        <v>4</v>
      </c>
      <c r="B177" s="87"/>
      <c r="C177" s="56" t="s">
        <v>205</v>
      </c>
      <c r="D177" s="88">
        <f>(58.47+3*1.32)*10.764</f>
        <v>671.99651999999992</v>
      </c>
      <c r="E177" s="88"/>
      <c r="F177" s="56">
        <v>0</v>
      </c>
      <c r="G177" s="56">
        <f t="shared" si="5"/>
        <v>1075.194432</v>
      </c>
      <c r="H177" s="56" t="s">
        <v>128</v>
      </c>
      <c r="I177" s="79"/>
      <c r="J177" s="80"/>
    </row>
    <row r="178" spans="1:10" x14ac:dyDescent="0.3">
      <c r="A178" s="86">
        <v>5</v>
      </c>
      <c r="B178" s="87"/>
      <c r="C178" s="77" t="s">
        <v>134</v>
      </c>
      <c r="D178" s="83"/>
      <c r="E178" s="83"/>
      <c r="F178" s="83"/>
      <c r="G178" s="83"/>
      <c r="H178" s="78"/>
      <c r="I178" s="79"/>
      <c r="J178" s="80"/>
    </row>
    <row r="179" spans="1:10" x14ac:dyDescent="0.3">
      <c r="A179" s="86">
        <v>6</v>
      </c>
      <c r="B179" s="87"/>
      <c r="C179" s="81"/>
      <c r="D179" s="85"/>
      <c r="E179" s="85"/>
      <c r="F179" s="85"/>
      <c r="G179" s="85"/>
      <c r="H179" s="82"/>
      <c r="I179" s="79"/>
      <c r="J179" s="80"/>
    </row>
    <row r="180" spans="1:10" x14ac:dyDescent="0.3">
      <c r="A180" s="86">
        <v>7</v>
      </c>
      <c r="B180" s="87"/>
      <c r="C180" s="56" t="s">
        <v>204</v>
      </c>
      <c r="D180" s="88">
        <f>(115.18)*10.764</f>
        <v>1239.7975200000001</v>
      </c>
      <c r="E180" s="88"/>
      <c r="F180" s="56">
        <v>0</v>
      </c>
      <c r="G180" s="56">
        <f t="shared" ref="G180" si="6">D180*1.6</f>
        <v>1983.6760320000003</v>
      </c>
      <c r="H180" s="56" t="s">
        <v>128</v>
      </c>
      <c r="I180" s="81"/>
      <c r="J180" s="82"/>
    </row>
    <row r="181" spans="1:10" x14ac:dyDescent="0.3">
      <c r="A181" s="74" t="s">
        <v>206</v>
      </c>
      <c r="B181" s="75"/>
      <c r="C181" s="75"/>
      <c r="D181" s="75"/>
      <c r="E181" s="75"/>
      <c r="F181" s="75"/>
      <c r="G181" s="75"/>
      <c r="H181" s="75"/>
      <c r="I181" s="75"/>
      <c r="J181" s="76"/>
    </row>
    <row r="182" spans="1:10" x14ac:dyDescent="0.3">
      <c r="A182" s="86">
        <v>1</v>
      </c>
      <c r="B182" s="87"/>
      <c r="C182" s="56" t="s">
        <v>204</v>
      </c>
      <c r="D182" s="88">
        <f>(93.41+3.14*1.33)*10.764</f>
        <v>1050.4178567999998</v>
      </c>
      <c r="E182" s="88"/>
      <c r="F182" s="56">
        <v>0</v>
      </c>
      <c r="G182" s="56">
        <f t="shared" ref="G182:G188" si="7">D182*1.6</f>
        <v>1680.6685708799996</v>
      </c>
      <c r="H182" s="56" t="s">
        <v>128</v>
      </c>
      <c r="I182" s="77" t="str">
        <f>A181</f>
        <v>2nd, 4th to 8th, 12th to 15th, 19th to 22nd Floor</v>
      </c>
      <c r="J182" s="78"/>
    </row>
    <row r="183" spans="1:10" x14ac:dyDescent="0.3">
      <c r="A183" s="86">
        <v>2</v>
      </c>
      <c r="B183" s="87"/>
      <c r="C183" s="56" t="s">
        <v>204</v>
      </c>
      <c r="D183" s="88">
        <f>(93.41+3.14*1.33)*10.764</f>
        <v>1050.4178567999998</v>
      </c>
      <c r="E183" s="88"/>
      <c r="F183" s="56">
        <v>0</v>
      </c>
      <c r="G183" s="56">
        <f t="shared" si="7"/>
        <v>1680.6685708799996</v>
      </c>
      <c r="H183" s="56" t="s">
        <v>128</v>
      </c>
      <c r="I183" s="79"/>
      <c r="J183" s="80"/>
    </row>
    <row r="184" spans="1:10" x14ac:dyDescent="0.3">
      <c r="A184" s="86">
        <v>3</v>
      </c>
      <c r="B184" s="87"/>
      <c r="C184" s="56" t="s">
        <v>205</v>
      </c>
      <c r="D184" s="88">
        <f>(58.47+3*1.32)*10.764</f>
        <v>671.99651999999992</v>
      </c>
      <c r="E184" s="88"/>
      <c r="F184" s="56">
        <v>0</v>
      </c>
      <c r="G184" s="56">
        <f t="shared" si="7"/>
        <v>1075.194432</v>
      </c>
      <c r="H184" s="56" t="s">
        <v>128</v>
      </c>
      <c r="I184" s="79"/>
      <c r="J184" s="80"/>
    </row>
    <row r="185" spans="1:10" x14ac:dyDescent="0.3">
      <c r="A185" s="86">
        <v>4</v>
      </c>
      <c r="B185" s="87"/>
      <c r="C185" s="56" t="s">
        <v>205</v>
      </c>
      <c r="D185" s="88">
        <f>(58.47+3*1.32)*10.764</f>
        <v>671.99651999999992</v>
      </c>
      <c r="E185" s="88"/>
      <c r="F185" s="56">
        <v>0</v>
      </c>
      <c r="G185" s="56">
        <f t="shared" si="7"/>
        <v>1075.194432</v>
      </c>
      <c r="H185" s="56" t="s">
        <v>128</v>
      </c>
      <c r="I185" s="79"/>
      <c r="J185" s="80"/>
    </row>
    <row r="186" spans="1:10" x14ac:dyDescent="0.3">
      <c r="A186" s="86">
        <v>5</v>
      </c>
      <c r="B186" s="87"/>
      <c r="C186" s="56" t="s">
        <v>204</v>
      </c>
      <c r="D186" s="88">
        <f>(94.61+3.14*1.33)*10.764</f>
        <v>1063.3346567999999</v>
      </c>
      <c r="E186" s="88"/>
      <c r="F186" s="56">
        <v>0</v>
      </c>
      <c r="G186" s="56">
        <f t="shared" si="7"/>
        <v>1701.3354508800001</v>
      </c>
      <c r="H186" s="56" t="s">
        <v>128</v>
      </c>
      <c r="I186" s="79"/>
      <c r="J186" s="80"/>
    </row>
    <row r="187" spans="1:10" x14ac:dyDescent="0.3">
      <c r="A187" s="86">
        <v>6</v>
      </c>
      <c r="B187" s="87"/>
      <c r="C187" s="56" t="s">
        <v>204</v>
      </c>
      <c r="D187" s="88">
        <f>(94.61+3.14*1.33)*10.764</f>
        <v>1063.3346567999999</v>
      </c>
      <c r="E187" s="88"/>
      <c r="F187" s="56">
        <v>0</v>
      </c>
      <c r="G187" s="56">
        <f t="shared" si="7"/>
        <v>1701.3354508800001</v>
      </c>
      <c r="H187" s="56" t="s">
        <v>128</v>
      </c>
      <c r="I187" s="79"/>
      <c r="J187" s="80"/>
    </row>
    <row r="188" spans="1:10" x14ac:dyDescent="0.3">
      <c r="A188" s="86">
        <v>7</v>
      </c>
      <c r="B188" s="87"/>
      <c r="C188" s="56" t="s">
        <v>204</v>
      </c>
      <c r="D188" s="88">
        <f>(115.18)*10.764</f>
        <v>1239.7975200000001</v>
      </c>
      <c r="E188" s="88"/>
      <c r="F188" s="56">
        <v>0</v>
      </c>
      <c r="G188" s="56">
        <f t="shared" si="7"/>
        <v>1983.6760320000003</v>
      </c>
      <c r="H188" s="56" t="s">
        <v>128</v>
      </c>
      <c r="I188" s="81"/>
      <c r="J188" s="82"/>
    </row>
    <row r="189" spans="1:10" x14ac:dyDescent="0.3">
      <c r="A189" s="89" t="s">
        <v>207</v>
      </c>
      <c r="B189" s="90"/>
      <c r="C189" s="90"/>
      <c r="D189" s="90"/>
      <c r="E189" s="90"/>
      <c r="F189" s="90"/>
      <c r="G189" s="90"/>
      <c r="H189" s="90"/>
      <c r="I189" s="90"/>
      <c r="J189" s="91"/>
    </row>
    <row r="190" spans="1:10" x14ac:dyDescent="0.3">
      <c r="A190" s="86">
        <v>1</v>
      </c>
      <c r="B190" s="87"/>
      <c r="C190" s="56" t="s">
        <v>204</v>
      </c>
      <c r="D190" s="88">
        <f>(93.41+3.14*1.33)*10.764</f>
        <v>1050.4178567999998</v>
      </c>
      <c r="E190" s="88"/>
      <c r="F190" s="56">
        <v>0</v>
      </c>
      <c r="G190" s="56">
        <f t="shared" ref="G190:G195" si="8">D190*1.6</f>
        <v>1680.6685708799996</v>
      </c>
      <c r="H190" s="56" t="s">
        <v>128</v>
      </c>
      <c r="I190" s="77" t="str">
        <f>A189</f>
        <v>3rd, 10th, 17th Floor (Part Refuge Area)</v>
      </c>
      <c r="J190" s="78"/>
    </row>
    <row r="191" spans="1:10" x14ac:dyDescent="0.3">
      <c r="A191" s="86">
        <v>2</v>
      </c>
      <c r="B191" s="87"/>
      <c r="C191" s="56" t="s">
        <v>204</v>
      </c>
      <c r="D191" s="88">
        <f>(93.41+3.14*1.33)*10.764</f>
        <v>1050.4178567999998</v>
      </c>
      <c r="E191" s="88"/>
      <c r="F191" s="56">
        <v>0</v>
      </c>
      <c r="G191" s="56">
        <f t="shared" si="8"/>
        <v>1680.6685708799996</v>
      </c>
      <c r="H191" s="56" t="s">
        <v>128</v>
      </c>
      <c r="I191" s="79"/>
      <c r="J191" s="80"/>
    </row>
    <row r="192" spans="1:10" x14ac:dyDescent="0.3">
      <c r="A192" s="86">
        <v>3</v>
      </c>
      <c r="B192" s="87"/>
      <c r="C192" s="56" t="s">
        <v>205</v>
      </c>
      <c r="D192" s="88">
        <f>(58.47+3*1.32)*10.764</f>
        <v>671.99651999999992</v>
      </c>
      <c r="E192" s="88"/>
      <c r="F192" s="56">
        <v>0</v>
      </c>
      <c r="G192" s="56">
        <f t="shared" si="8"/>
        <v>1075.194432</v>
      </c>
      <c r="H192" s="56" t="s">
        <v>128</v>
      </c>
      <c r="I192" s="79"/>
      <c r="J192" s="80"/>
    </row>
    <row r="193" spans="1:10" x14ac:dyDescent="0.3">
      <c r="A193" s="86">
        <v>4</v>
      </c>
      <c r="B193" s="87"/>
      <c r="C193" s="56" t="s">
        <v>205</v>
      </c>
      <c r="D193" s="88">
        <f>(58.47+3*1.32)*10.764</f>
        <v>671.99651999999992</v>
      </c>
      <c r="E193" s="88"/>
      <c r="F193" s="56">
        <v>0</v>
      </c>
      <c r="G193" s="56">
        <f t="shared" si="8"/>
        <v>1075.194432</v>
      </c>
      <c r="H193" s="56" t="s">
        <v>128</v>
      </c>
      <c r="I193" s="79"/>
      <c r="J193" s="80"/>
    </row>
    <row r="194" spans="1:10" x14ac:dyDescent="0.3">
      <c r="A194" s="86">
        <v>5</v>
      </c>
      <c r="B194" s="87"/>
      <c r="C194" s="56" t="s">
        <v>204</v>
      </c>
      <c r="D194" s="88">
        <f>(94.61+3.14*1.33)*10.764</f>
        <v>1063.3346567999999</v>
      </c>
      <c r="E194" s="88"/>
      <c r="F194" s="56">
        <v>0</v>
      </c>
      <c r="G194" s="56">
        <f t="shared" si="8"/>
        <v>1701.3354508800001</v>
      </c>
      <c r="H194" s="56" t="s">
        <v>128</v>
      </c>
      <c r="I194" s="79"/>
      <c r="J194" s="80"/>
    </row>
    <row r="195" spans="1:10" x14ac:dyDescent="0.3">
      <c r="A195" s="86">
        <v>6</v>
      </c>
      <c r="B195" s="87"/>
      <c r="C195" s="56" t="s">
        <v>204</v>
      </c>
      <c r="D195" s="88">
        <f>(94.61+3.14*1.33)*10.764</f>
        <v>1063.3346567999999</v>
      </c>
      <c r="E195" s="88"/>
      <c r="F195" s="56">
        <v>0</v>
      </c>
      <c r="G195" s="56">
        <f t="shared" si="8"/>
        <v>1701.3354508800001</v>
      </c>
      <c r="H195" s="56" t="s">
        <v>128</v>
      </c>
      <c r="I195" s="79"/>
      <c r="J195" s="80"/>
    </row>
    <row r="196" spans="1:10" x14ac:dyDescent="0.3">
      <c r="A196" s="86">
        <v>7</v>
      </c>
      <c r="B196" s="87"/>
      <c r="C196" s="86" t="s">
        <v>130</v>
      </c>
      <c r="D196" s="114"/>
      <c r="E196" s="114"/>
      <c r="F196" s="114"/>
      <c r="G196" s="114"/>
      <c r="H196" s="87"/>
      <c r="I196" s="81"/>
      <c r="J196" s="82"/>
    </row>
    <row r="197" spans="1:10" x14ac:dyDescent="0.3">
      <c r="A197" s="74" t="s">
        <v>208</v>
      </c>
      <c r="B197" s="75"/>
      <c r="C197" s="75"/>
      <c r="D197" s="75"/>
      <c r="E197" s="75"/>
      <c r="F197" s="75"/>
      <c r="G197" s="75"/>
      <c r="H197" s="75"/>
      <c r="I197" s="75"/>
      <c r="J197" s="76"/>
    </row>
    <row r="198" spans="1:10" x14ac:dyDescent="0.3">
      <c r="A198" s="86">
        <v>1</v>
      </c>
      <c r="B198" s="87"/>
      <c r="C198" s="56" t="s">
        <v>204</v>
      </c>
      <c r="D198" s="92">
        <f>(93.41+3.14 *1.33)*10.764</f>
        <v>1050.4178567999998</v>
      </c>
      <c r="E198" s="93"/>
      <c r="F198" s="56">
        <v>0</v>
      </c>
      <c r="G198" s="56">
        <f t="shared" ref="G198:G204" si="9">D198*1.6</f>
        <v>1680.6685708799996</v>
      </c>
      <c r="H198" s="56" t="s">
        <v>128</v>
      </c>
      <c r="I198" s="77" t="str">
        <f>A197</f>
        <v>9th, 11th, 16th, 18th, 23rd Floor</v>
      </c>
      <c r="J198" s="78"/>
    </row>
    <row r="199" spans="1:10" x14ac:dyDescent="0.3">
      <c r="A199" s="86">
        <v>2</v>
      </c>
      <c r="B199" s="87"/>
      <c r="C199" s="56" t="s">
        <v>204</v>
      </c>
      <c r="D199" s="92">
        <f>(93.41+3.14 *1.33)*10.764</f>
        <v>1050.4178567999998</v>
      </c>
      <c r="E199" s="93"/>
      <c r="F199" s="56">
        <v>0</v>
      </c>
      <c r="G199" s="56">
        <f t="shared" si="9"/>
        <v>1680.6685708799996</v>
      </c>
      <c r="H199" s="56" t="s">
        <v>128</v>
      </c>
      <c r="I199" s="79"/>
      <c r="J199" s="80"/>
    </row>
    <row r="200" spans="1:10" x14ac:dyDescent="0.3">
      <c r="A200" s="86">
        <v>3</v>
      </c>
      <c r="B200" s="87"/>
      <c r="C200" s="56" t="s">
        <v>205</v>
      </c>
      <c r="D200" s="92">
        <f>(58.47+3 *2.67)*10.764</f>
        <v>715.59072000000003</v>
      </c>
      <c r="E200" s="93"/>
      <c r="F200" s="56">
        <v>0</v>
      </c>
      <c r="G200" s="56">
        <f t="shared" si="9"/>
        <v>1144.945152</v>
      </c>
      <c r="H200" s="56" t="s">
        <v>128</v>
      </c>
      <c r="I200" s="79"/>
      <c r="J200" s="80"/>
    </row>
    <row r="201" spans="1:10" x14ac:dyDescent="0.3">
      <c r="A201" s="86">
        <v>4</v>
      </c>
      <c r="B201" s="87"/>
      <c r="C201" s="56" t="s">
        <v>205</v>
      </c>
      <c r="D201" s="92">
        <f>(57.8+3 *1.32)*10.764</f>
        <v>664.78463999999997</v>
      </c>
      <c r="E201" s="93"/>
      <c r="F201" s="56">
        <v>0</v>
      </c>
      <c r="G201" s="56">
        <f t="shared" si="9"/>
        <v>1063.655424</v>
      </c>
      <c r="H201" s="56" t="s">
        <v>128</v>
      </c>
      <c r="I201" s="79"/>
      <c r="J201" s="80"/>
    </row>
    <row r="202" spans="1:10" x14ac:dyDescent="0.3">
      <c r="A202" s="86">
        <v>5</v>
      </c>
      <c r="B202" s="87"/>
      <c r="C202" s="56" t="s">
        <v>204</v>
      </c>
      <c r="D202" s="92">
        <f>(94.61+3.14 *1.33)*10.764</f>
        <v>1063.3346567999999</v>
      </c>
      <c r="E202" s="93"/>
      <c r="F202" s="56">
        <v>0</v>
      </c>
      <c r="G202" s="56">
        <f t="shared" si="9"/>
        <v>1701.3354508800001</v>
      </c>
      <c r="H202" s="56" t="s">
        <v>128</v>
      </c>
      <c r="I202" s="79"/>
      <c r="J202" s="80"/>
    </row>
    <row r="203" spans="1:10" x14ac:dyDescent="0.3">
      <c r="A203" s="86">
        <v>6</v>
      </c>
      <c r="B203" s="87"/>
      <c r="C203" s="56" t="s">
        <v>204</v>
      </c>
      <c r="D203" s="92">
        <f>(94.61+3.14 *1.33)*10.764</f>
        <v>1063.3346567999999</v>
      </c>
      <c r="E203" s="93"/>
      <c r="F203" s="56">
        <v>0</v>
      </c>
      <c r="G203" s="56">
        <f t="shared" si="9"/>
        <v>1701.3354508800001</v>
      </c>
      <c r="H203" s="56" t="s">
        <v>128</v>
      </c>
      <c r="I203" s="79"/>
      <c r="J203" s="80"/>
    </row>
    <row r="204" spans="1:10" x14ac:dyDescent="0.3">
      <c r="A204" s="86">
        <v>7</v>
      </c>
      <c r="B204" s="87"/>
      <c r="C204" s="56" t="s">
        <v>204</v>
      </c>
      <c r="D204" s="92">
        <f>(115.18)*10.764</f>
        <v>1239.7975200000001</v>
      </c>
      <c r="E204" s="93"/>
      <c r="F204" s="56">
        <f>(10.55*1.61)*10.764</f>
        <v>182.83192200000002</v>
      </c>
      <c r="G204" s="56">
        <f t="shared" si="9"/>
        <v>1983.6760320000003</v>
      </c>
      <c r="H204" s="56" t="s">
        <v>128</v>
      </c>
      <c r="I204" s="79"/>
      <c r="J204" s="80"/>
    </row>
    <row r="205" spans="1:10" x14ac:dyDescent="0.3">
      <c r="A205" s="74" t="s">
        <v>196</v>
      </c>
      <c r="B205" s="75"/>
      <c r="C205" s="75"/>
      <c r="D205" s="75"/>
      <c r="E205" s="75"/>
      <c r="F205" s="75"/>
      <c r="G205" s="75"/>
      <c r="H205" s="75"/>
      <c r="I205" s="75"/>
      <c r="J205" s="76"/>
    </row>
    <row r="206" spans="1:10" x14ac:dyDescent="0.3">
      <c r="A206" s="86">
        <v>1</v>
      </c>
      <c r="B206" s="87"/>
      <c r="C206" s="56" t="s">
        <v>204</v>
      </c>
      <c r="D206" s="92">
        <f>(93.41+3.14 *1.33)*10.764</f>
        <v>1050.4178567999998</v>
      </c>
      <c r="E206" s="93"/>
      <c r="F206" s="56">
        <v>0</v>
      </c>
      <c r="G206" s="56">
        <f t="shared" ref="G206:G212" si="10">D206*1.6</f>
        <v>1680.6685708799996</v>
      </c>
      <c r="H206" s="56" t="s">
        <v>128</v>
      </c>
      <c r="I206" s="77" t="str">
        <f>A205</f>
        <v>24th Floor (Part Refuge Area)</v>
      </c>
      <c r="J206" s="78"/>
    </row>
    <row r="207" spans="1:10" x14ac:dyDescent="0.3">
      <c r="A207" s="86">
        <v>2</v>
      </c>
      <c r="B207" s="87"/>
      <c r="C207" s="56" t="s">
        <v>204</v>
      </c>
      <c r="D207" s="92">
        <f>(93.41+3.14 *1.33)*10.764</f>
        <v>1050.4178567999998</v>
      </c>
      <c r="E207" s="93"/>
      <c r="F207" s="56">
        <v>0</v>
      </c>
      <c r="G207" s="56">
        <f t="shared" si="10"/>
        <v>1680.6685708799996</v>
      </c>
      <c r="H207" s="56" t="s">
        <v>128</v>
      </c>
      <c r="I207" s="79"/>
      <c r="J207" s="80"/>
    </row>
    <row r="208" spans="1:10" x14ac:dyDescent="0.3">
      <c r="A208" s="86">
        <v>3</v>
      </c>
      <c r="B208" s="87"/>
      <c r="C208" s="56" t="s">
        <v>205</v>
      </c>
      <c r="D208" s="92">
        <f>(58.47+3 *1.32)*10.764</f>
        <v>671.99651999999992</v>
      </c>
      <c r="E208" s="93"/>
      <c r="F208" s="56">
        <v>0</v>
      </c>
      <c r="G208" s="56">
        <f t="shared" si="10"/>
        <v>1075.194432</v>
      </c>
      <c r="H208" s="56" t="s">
        <v>128</v>
      </c>
      <c r="I208" s="79"/>
      <c r="J208" s="80"/>
    </row>
    <row r="209" spans="1:10" x14ac:dyDescent="0.3">
      <c r="A209" s="86">
        <v>4</v>
      </c>
      <c r="B209" s="87"/>
      <c r="C209" s="56" t="s">
        <v>205</v>
      </c>
      <c r="D209" s="92">
        <f>(57.8+3 *1.32)*10.764</f>
        <v>664.78463999999997</v>
      </c>
      <c r="E209" s="93"/>
      <c r="F209" s="56">
        <v>0</v>
      </c>
      <c r="G209" s="56">
        <f t="shared" si="10"/>
        <v>1063.655424</v>
      </c>
      <c r="H209" s="56" t="s">
        <v>128</v>
      </c>
      <c r="I209" s="79"/>
      <c r="J209" s="80"/>
    </row>
    <row r="210" spans="1:10" x14ac:dyDescent="0.3">
      <c r="A210" s="86">
        <v>5</v>
      </c>
      <c r="B210" s="87"/>
      <c r="C210" s="56" t="s">
        <v>204</v>
      </c>
      <c r="D210" s="92">
        <f>(94.61+3.14 *1.33)*10.764</f>
        <v>1063.3346567999999</v>
      </c>
      <c r="E210" s="93"/>
      <c r="F210" s="56">
        <v>0</v>
      </c>
      <c r="G210" s="56">
        <f t="shared" si="10"/>
        <v>1701.3354508800001</v>
      </c>
      <c r="H210" s="56" t="s">
        <v>128</v>
      </c>
      <c r="I210" s="79"/>
      <c r="J210" s="80"/>
    </row>
    <row r="211" spans="1:10" x14ac:dyDescent="0.3">
      <c r="A211" s="86">
        <v>6</v>
      </c>
      <c r="B211" s="87"/>
      <c r="C211" s="56" t="s">
        <v>204</v>
      </c>
      <c r="D211" s="92">
        <f>(94.61+3.14 *1.33)*10.764</f>
        <v>1063.3346567999999</v>
      </c>
      <c r="E211" s="93"/>
      <c r="F211" s="56">
        <v>0</v>
      </c>
      <c r="G211" s="56">
        <f t="shared" si="10"/>
        <v>1701.3354508800001</v>
      </c>
      <c r="H211" s="56" t="s">
        <v>128</v>
      </c>
      <c r="I211" s="79"/>
      <c r="J211" s="80"/>
    </row>
    <row r="212" spans="1:10" x14ac:dyDescent="0.3">
      <c r="A212" s="86">
        <v>7</v>
      </c>
      <c r="B212" s="87"/>
      <c r="C212" s="56" t="s">
        <v>204</v>
      </c>
      <c r="D212" s="92">
        <f>(87.89)*10.764</f>
        <v>946.04795999999999</v>
      </c>
      <c r="E212" s="93"/>
      <c r="F212" s="56">
        <v>0</v>
      </c>
      <c r="G212" s="56">
        <f t="shared" si="10"/>
        <v>1513.6767360000001</v>
      </c>
      <c r="H212" s="56" t="s">
        <v>128</v>
      </c>
      <c r="I212" s="79"/>
      <c r="J212" s="80"/>
    </row>
    <row r="213" spans="1:10" ht="226.5" customHeight="1" x14ac:dyDescent="0.3">
      <c r="A213" s="208" t="s">
        <v>249</v>
      </c>
      <c r="B213" s="209"/>
      <c r="C213" s="209"/>
      <c r="D213" s="209"/>
      <c r="E213" s="209"/>
      <c r="F213" s="209"/>
      <c r="G213" s="209"/>
      <c r="H213" s="209"/>
      <c r="I213" s="209"/>
      <c r="J213" s="210"/>
    </row>
    <row r="214" spans="1:10" x14ac:dyDescent="0.3">
      <c r="A214" s="207" t="s">
        <v>25</v>
      </c>
      <c r="B214" s="185"/>
      <c r="C214" s="185"/>
      <c r="D214" s="185"/>
      <c r="E214" s="185"/>
      <c r="F214" s="185"/>
      <c r="G214" s="185"/>
      <c r="H214" s="185"/>
      <c r="I214" s="185"/>
      <c r="J214" s="186"/>
    </row>
    <row r="215" spans="1:10" x14ac:dyDescent="0.3">
      <c r="A215" s="163" t="s">
        <v>33</v>
      </c>
      <c r="B215" s="164"/>
      <c r="C215" s="164"/>
      <c r="D215" s="164"/>
      <c r="E215" s="164"/>
      <c r="F215" s="164"/>
      <c r="G215" s="164"/>
      <c r="H215" s="164"/>
      <c r="I215" s="164"/>
      <c r="J215" s="165"/>
    </row>
    <row r="216" spans="1:10" x14ac:dyDescent="0.3">
      <c r="A216" s="207" t="s">
        <v>27</v>
      </c>
      <c r="B216" s="185"/>
      <c r="C216" s="185"/>
      <c r="D216" s="185"/>
      <c r="E216" s="185"/>
      <c r="F216" s="185"/>
      <c r="G216" s="185"/>
      <c r="H216" s="185"/>
      <c r="I216" s="185"/>
      <c r="J216" s="186"/>
    </row>
    <row r="217" spans="1:10" x14ac:dyDescent="0.3">
      <c r="A217" s="129" t="s">
        <v>38</v>
      </c>
      <c r="B217" s="130"/>
      <c r="C217" s="130"/>
      <c r="D217" s="130"/>
      <c r="E217" s="130"/>
      <c r="F217" s="130"/>
      <c r="G217" s="130"/>
      <c r="H217" s="130"/>
      <c r="I217" s="130"/>
      <c r="J217" s="168"/>
    </row>
    <row r="218" spans="1:10" ht="16.5" customHeight="1" x14ac:dyDescent="0.3">
      <c r="A218" s="176" t="s">
        <v>53</v>
      </c>
      <c r="B218" s="177"/>
      <c r="C218" s="177"/>
      <c r="D218" s="177"/>
      <c r="E218" s="177"/>
      <c r="F218" s="177"/>
      <c r="G218" s="177"/>
      <c r="H218" s="177"/>
      <c r="I218" s="177"/>
      <c r="J218" s="178"/>
    </row>
    <row r="219" spans="1:10" x14ac:dyDescent="0.3">
      <c r="A219" s="129" t="s">
        <v>39</v>
      </c>
      <c r="B219" s="130"/>
      <c r="C219" s="130"/>
      <c r="D219" s="130"/>
      <c r="E219" s="130"/>
      <c r="F219" s="130"/>
      <c r="G219" s="130"/>
      <c r="H219" s="130"/>
      <c r="I219" s="130"/>
      <c r="J219" s="168"/>
    </row>
    <row r="220" spans="1:10" x14ac:dyDescent="0.3">
      <c r="A220" s="129" t="s">
        <v>40</v>
      </c>
      <c r="B220" s="130"/>
      <c r="C220" s="130"/>
      <c r="D220" s="130"/>
      <c r="E220" s="130"/>
      <c r="F220" s="130"/>
      <c r="G220" s="130"/>
      <c r="H220" s="130"/>
      <c r="I220" s="130"/>
      <c r="J220" s="168"/>
    </row>
    <row r="221" spans="1:10" ht="30.75" hidden="1" customHeight="1" x14ac:dyDescent="0.3">
      <c r="A221" s="131" t="s">
        <v>41</v>
      </c>
      <c r="B221" s="132"/>
      <c r="C221" s="132"/>
      <c r="D221" s="132"/>
      <c r="E221" s="132"/>
      <c r="F221" s="132"/>
      <c r="G221" s="132"/>
      <c r="H221" s="132"/>
      <c r="I221" s="132"/>
      <c r="J221" s="133"/>
    </row>
    <row r="222" spans="1:10" ht="15" customHeight="1" x14ac:dyDescent="0.3">
      <c r="A222" s="214" t="s">
        <v>26</v>
      </c>
      <c r="B222" s="215"/>
      <c r="C222" s="215"/>
      <c r="D222" s="215"/>
      <c r="E222" s="215"/>
      <c r="F222" s="215"/>
      <c r="G222" s="215"/>
      <c r="H222" s="215"/>
      <c r="I222" s="215"/>
      <c r="J222" s="216"/>
    </row>
    <row r="223" spans="1:10" x14ac:dyDescent="0.3">
      <c r="A223" s="217"/>
      <c r="B223" s="218"/>
      <c r="C223" s="218"/>
      <c r="D223" s="218"/>
      <c r="E223" s="218"/>
      <c r="F223" s="218"/>
      <c r="G223" s="218"/>
      <c r="H223" s="218"/>
      <c r="I223" s="218"/>
      <c r="J223" s="219"/>
    </row>
    <row r="224" spans="1:10" x14ac:dyDescent="0.3">
      <c r="A224" s="217"/>
      <c r="B224" s="218"/>
      <c r="C224" s="218"/>
      <c r="D224" s="218"/>
      <c r="E224" s="218"/>
      <c r="F224" s="218"/>
      <c r="G224" s="218"/>
      <c r="H224" s="218"/>
      <c r="I224" s="218"/>
      <c r="J224" s="219"/>
    </row>
    <row r="225" spans="1:10" x14ac:dyDescent="0.3">
      <c r="A225" s="220"/>
      <c r="B225" s="221"/>
      <c r="C225" s="221"/>
      <c r="D225" s="221"/>
      <c r="E225" s="221"/>
      <c r="F225" s="221"/>
      <c r="G225" s="221"/>
      <c r="H225" s="221"/>
      <c r="I225" s="221"/>
      <c r="J225" s="222"/>
    </row>
    <row r="226" spans="1:10" x14ac:dyDescent="0.3">
      <c r="A226" s="59" t="s">
        <v>113</v>
      </c>
      <c r="B226" s="60"/>
      <c r="C226" s="60"/>
      <c r="D226" s="61" t="str">
        <f>F8</f>
        <v>Kanakia Future City E &amp; F</v>
      </c>
      <c r="G226" s="60"/>
      <c r="H226" s="60"/>
      <c r="I226" s="60"/>
      <c r="J226" s="60"/>
    </row>
    <row r="227" spans="1:10" x14ac:dyDescent="0.3">
      <c r="A227" s="60"/>
      <c r="B227" s="60"/>
      <c r="C227" s="60"/>
      <c r="D227" s="60"/>
      <c r="E227" s="60"/>
      <c r="F227" s="60"/>
      <c r="G227" s="60"/>
      <c r="H227" s="60"/>
      <c r="I227" s="60"/>
      <c r="J227" s="60"/>
    </row>
    <row r="270" spans="1:1" x14ac:dyDescent="0.3">
      <c r="A270" s="62" t="s">
        <v>104</v>
      </c>
    </row>
  </sheetData>
  <mergeCells count="450">
    <mergeCell ref="A60:C60"/>
    <mergeCell ref="D60:J60"/>
    <mergeCell ref="A61:C61"/>
    <mergeCell ref="D61:J61"/>
    <mergeCell ref="A63:C63"/>
    <mergeCell ref="D63:J63"/>
    <mergeCell ref="A62:C62"/>
    <mergeCell ref="D62:J62"/>
    <mergeCell ref="A58:C58"/>
    <mergeCell ref="D58:J58"/>
    <mergeCell ref="A39:E39"/>
    <mergeCell ref="A41:E41"/>
    <mergeCell ref="A35:B35"/>
    <mergeCell ref="C35:J35"/>
    <mergeCell ref="C34:J34"/>
    <mergeCell ref="A33:J33"/>
    <mergeCell ref="G31:H31"/>
    <mergeCell ref="F25:J25"/>
    <mergeCell ref="A27:E27"/>
    <mergeCell ref="I31:J31"/>
    <mergeCell ref="A30:B30"/>
    <mergeCell ref="D185:E185"/>
    <mergeCell ref="D167:E167"/>
    <mergeCell ref="A185:B185"/>
    <mergeCell ref="D166:E166"/>
    <mergeCell ref="A150:B150"/>
    <mergeCell ref="D154:E154"/>
    <mergeCell ref="A149:B149"/>
    <mergeCell ref="A162:B162"/>
    <mergeCell ref="A166:B166"/>
    <mergeCell ref="A156:B156"/>
    <mergeCell ref="D156:E156"/>
    <mergeCell ref="A159:B159"/>
    <mergeCell ref="A94:F94"/>
    <mergeCell ref="A101:B101"/>
    <mergeCell ref="D100:F100"/>
    <mergeCell ref="A90:B90"/>
    <mergeCell ref="D90:E90"/>
    <mergeCell ref="D86:E86"/>
    <mergeCell ref="A87:B87"/>
    <mergeCell ref="D87:E87"/>
    <mergeCell ref="C16:J16"/>
    <mergeCell ref="H17:J17"/>
    <mergeCell ref="H18:J18"/>
    <mergeCell ref="H19:J19"/>
    <mergeCell ref="A17:B17"/>
    <mergeCell ref="A16:B16"/>
    <mergeCell ref="A95:F95"/>
    <mergeCell ref="G95:J95"/>
    <mergeCell ref="D56:J56"/>
    <mergeCell ref="C17:E17"/>
    <mergeCell ref="F17:G17"/>
    <mergeCell ref="A18:B18"/>
    <mergeCell ref="C18:E18"/>
    <mergeCell ref="F18:G18"/>
    <mergeCell ref="A19:B19"/>
    <mergeCell ref="C19:E19"/>
    <mergeCell ref="D101:F101"/>
    <mergeCell ref="D76:E76"/>
    <mergeCell ref="A77:B77"/>
    <mergeCell ref="A99:J99"/>
    <mergeCell ref="A100:B100"/>
    <mergeCell ref="A78:B78"/>
    <mergeCell ref="C78:J78"/>
    <mergeCell ref="E79:F79"/>
    <mergeCell ref="A80:B80"/>
    <mergeCell ref="C80:J80"/>
    <mergeCell ref="A81:B81"/>
    <mergeCell ref="D81:E81"/>
    <mergeCell ref="G93:J93"/>
    <mergeCell ref="D88:E88"/>
    <mergeCell ref="A89:B89"/>
    <mergeCell ref="D89:E89"/>
    <mergeCell ref="G100:J100"/>
    <mergeCell ref="D77:E77"/>
    <mergeCell ref="A76:B76"/>
    <mergeCell ref="G94:J94"/>
    <mergeCell ref="G97:J97"/>
    <mergeCell ref="A97:F97"/>
    <mergeCell ref="G96:J96"/>
    <mergeCell ref="A96:F96"/>
    <mergeCell ref="A71:B71"/>
    <mergeCell ref="D71:E71"/>
    <mergeCell ref="A72:B72"/>
    <mergeCell ref="D72:E72"/>
    <mergeCell ref="A73:B73"/>
    <mergeCell ref="D73:E73"/>
    <mergeCell ref="A74:B74"/>
    <mergeCell ref="D74:E74"/>
    <mergeCell ref="A75:B75"/>
    <mergeCell ref="D75:E75"/>
    <mergeCell ref="A1:J1"/>
    <mergeCell ref="A13:E13"/>
    <mergeCell ref="F13:J13"/>
    <mergeCell ref="I50:J50"/>
    <mergeCell ref="A46:B46"/>
    <mergeCell ref="A50:B50"/>
    <mergeCell ref="F44:J44"/>
    <mergeCell ref="F43:J43"/>
    <mergeCell ref="A43:E43"/>
    <mergeCell ref="F42:J42"/>
    <mergeCell ref="A40:E40"/>
    <mergeCell ref="F40:J40"/>
    <mergeCell ref="F39:J39"/>
    <mergeCell ref="A34:B34"/>
    <mergeCell ref="E31:F31"/>
    <mergeCell ref="A12:E12"/>
    <mergeCell ref="F12:J12"/>
    <mergeCell ref="A42:E42"/>
    <mergeCell ref="A37:J38"/>
    <mergeCell ref="A36:J36"/>
    <mergeCell ref="A31:B31"/>
    <mergeCell ref="C31:D31"/>
    <mergeCell ref="F41:J41"/>
    <mergeCell ref="A32:J32"/>
    <mergeCell ref="A222:J225"/>
    <mergeCell ref="A98:F98"/>
    <mergeCell ref="G98:J98"/>
    <mergeCell ref="A109:J109"/>
    <mergeCell ref="A110:J110"/>
    <mergeCell ref="A218:J218"/>
    <mergeCell ref="A219:J219"/>
    <mergeCell ref="D151:E151"/>
    <mergeCell ref="A118:B118"/>
    <mergeCell ref="D118:E118"/>
    <mergeCell ref="D127:E127"/>
    <mergeCell ref="I124:J130"/>
    <mergeCell ref="A125:B125"/>
    <mergeCell ref="D125:E125"/>
    <mergeCell ref="G103:J103"/>
    <mergeCell ref="A124:B124"/>
    <mergeCell ref="D124:E124"/>
    <mergeCell ref="A154:B154"/>
    <mergeCell ref="I132:J138"/>
    <mergeCell ref="I140:J146"/>
    <mergeCell ref="D103:F103"/>
    <mergeCell ref="A117:B117"/>
    <mergeCell ref="D117:E117"/>
    <mergeCell ref="A119:B119"/>
    <mergeCell ref="A220:J220"/>
    <mergeCell ref="A221:J221"/>
    <mergeCell ref="D116:E116"/>
    <mergeCell ref="A215:J215"/>
    <mergeCell ref="A216:J216"/>
    <mergeCell ref="A213:J213"/>
    <mergeCell ref="D150:E150"/>
    <mergeCell ref="A217:J217"/>
    <mergeCell ref="A214:J214"/>
    <mergeCell ref="C146:H146"/>
    <mergeCell ref="A135:B135"/>
    <mergeCell ref="A136:B136"/>
    <mergeCell ref="D144:E144"/>
    <mergeCell ref="D145:E145"/>
    <mergeCell ref="A142:B142"/>
    <mergeCell ref="A143:B143"/>
    <mergeCell ref="D142:E142"/>
    <mergeCell ref="D143:E143"/>
    <mergeCell ref="D160:E160"/>
    <mergeCell ref="A146:B146"/>
    <mergeCell ref="A144:B144"/>
    <mergeCell ref="A147:J147"/>
    <mergeCell ref="I148:J154"/>
    <mergeCell ref="A145:B145"/>
    <mergeCell ref="G29:H29"/>
    <mergeCell ref="C30:D30"/>
    <mergeCell ref="F8:J8"/>
    <mergeCell ref="F14:J14"/>
    <mergeCell ref="A8:E8"/>
    <mergeCell ref="F28:J28"/>
    <mergeCell ref="A28:E28"/>
    <mergeCell ref="F27:J27"/>
    <mergeCell ref="A25:E25"/>
    <mergeCell ref="A29:B29"/>
    <mergeCell ref="C29:D29"/>
    <mergeCell ref="E29:F29"/>
    <mergeCell ref="F26:J26"/>
    <mergeCell ref="I29:J29"/>
    <mergeCell ref="A26:E26"/>
    <mergeCell ref="A15:E15"/>
    <mergeCell ref="A21:E22"/>
    <mergeCell ref="F23:J24"/>
    <mergeCell ref="F21:J22"/>
    <mergeCell ref="I30:J30"/>
    <mergeCell ref="E30:F30"/>
    <mergeCell ref="G30:H30"/>
    <mergeCell ref="F19:G19"/>
    <mergeCell ref="A23:E24"/>
    <mergeCell ref="C20:E20"/>
    <mergeCell ref="A2:J2"/>
    <mergeCell ref="A3:E3"/>
    <mergeCell ref="F3:J3"/>
    <mergeCell ref="A4:E4"/>
    <mergeCell ref="F4:J4"/>
    <mergeCell ref="F11:J11"/>
    <mergeCell ref="A6:E6"/>
    <mergeCell ref="F6:J6"/>
    <mergeCell ref="A5:E5"/>
    <mergeCell ref="F5:J5"/>
    <mergeCell ref="A7:E7"/>
    <mergeCell ref="F7:J7"/>
    <mergeCell ref="A11:E11"/>
    <mergeCell ref="A9:E9"/>
    <mergeCell ref="F9:J9"/>
    <mergeCell ref="A10:E10"/>
    <mergeCell ref="F10:J10"/>
    <mergeCell ref="A14:E14"/>
    <mergeCell ref="F15:J15"/>
    <mergeCell ref="H20:J20"/>
    <mergeCell ref="F20:G20"/>
    <mergeCell ref="A20:B20"/>
    <mergeCell ref="A45:J45"/>
    <mergeCell ref="A52:J52"/>
    <mergeCell ref="A44:E44"/>
    <mergeCell ref="A47:B47"/>
    <mergeCell ref="I48:J48"/>
    <mergeCell ref="C50:G50"/>
    <mergeCell ref="A57:C57"/>
    <mergeCell ref="A48:B48"/>
    <mergeCell ref="A49:B49"/>
    <mergeCell ref="D57:J57"/>
    <mergeCell ref="C46:G46"/>
    <mergeCell ref="I46:J46"/>
    <mergeCell ref="C47:G47"/>
    <mergeCell ref="I47:J47"/>
    <mergeCell ref="C48:G48"/>
    <mergeCell ref="C49:G49"/>
    <mergeCell ref="I49:J49"/>
    <mergeCell ref="A53:C53"/>
    <mergeCell ref="A54:C54"/>
    <mergeCell ref="D53:J53"/>
    <mergeCell ref="D54:J54"/>
    <mergeCell ref="A55:C55"/>
    <mergeCell ref="D55:J55"/>
    <mergeCell ref="A56:C56"/>
    <mergeCell ref="D136:E136"/>
    <mergeCell ref="D135:E135"/>
    <mergeCell ref="A113:J113"/>
    <mergeCell ref="C66:J66"/>
    <mergeCell ref="A67:B67"/>
    <mergeCell ref="D67:E67"/>
    <mergeCell ref="F67:G67"/>
    <mergeCell ref="H67:J67"/>
    <mergeCell ref="A68:B68"/>
    <mergeCell ref="D68:E68"/>
    <mergeCell ref="F68:G77"/>
    <mergeCell ref="H68:J77"/>
    <mergeCell ref="A69:B69"/>
    <mergeCell ref="D69:E69"/>
    <mergeCell ref="A70:B70"/>
    <mergeCell ref="D70:E70"/>
    <mergeCell ref="A93:F93"/>
    <mergeCell ref="A92:J92"/>
    <mergeCell ref="I79:J79"/>
    <mergeCell ref="A91:B91"/>
    <mergeCell ref="D91:E91"/>
    <mergeCell ref="A102:B102"/>
    <mergeCell ref="D102:F102"/>
    <mergeCell ref="A103:B103"/>
    <mergeCell ref="A132:B132"/>
    <mergeCell ref="A190:B190"/>
    <mergeCell ref="D190:E190"/>
    <mergeCell ref="A64:B64"/>
    <mergeCell ref="C64:J64"/>
    <mergeCell ref="E65:F65"/>
    <mergeCell ref="I65:J65"/>
    <mergeCell ref="A66:B66"/>
    <mergeCell ref="A59:C59"/>
    <mergeCell ref="D59:J59"/>
    <mergeCell ref="D149:E149"/>
    <mergeCell ref="A152:B152"/>
    <mergeCell ref="A104:J104"/>
    <mergeCell ref="A105:B105"/>
    <mergeCell ref="C105:D105"/>
    <mergeCell ref="E105:G105"/>
    <mergeCell ref="H105:J105"/>
    <mergeCell ref="D152:E152"/>
    <mergeCell ref="G101:J101"/>
    <mergeCell ref="G102:J102"/>
    <mergeCell ref="A133:B133"/>
    <mergeCell ref="D133:E133"/>
    <mergeCell ref="A134:B134"/>
    <mergeCell ref="A131:J131"/>
    <mergeCell ref="A193:B193"/>
    <mergeCell ref="D193:E193"/>
    <mergeCell ref="D195:E195"/>
    <mergeCell ref="A148:B148"/>
    <mergeCell ref="A168:B168"/>
    <mergeCell ref="D137:E137"/>
    <mergeCell ref="A174:B174"/>
    <mergeCell ref="A170:B170"/>
    <mergeCell ref="A192:B192"/>
    <mergeCell ref="D192:E192"/>
    <mergeCell ref="A189:J189"/>
    <mergeCell ref="D184:E184"/>
    <mergeCell ref="A182:B182"/>
    <mergeCell ref="D182:E182"/>
    <mergeCell ref="A184:B184"/>
    <mergeCell ref="D148:E148"/>
    <mergeCell ref="A140:B140"/>
    <mergeCell ref="D140:E140"/>
    <mergeCell ref="D141:E141"/>
    <mergeCell ref="D159:E159"/>
    <mergeCell ref="A176:B176"/>
    <mergeCell ref="A172:B172"/>
    <mergeCell ref="D188:E188"/>
    <mergeCell ref="A167:B167"/>
    <mergeCell ref="A195:B195"/>
    <mergeCell ref="C196:H196"/>
    <mergeCell ref="A197:J197"/>
    <mergeCell ref="D194:E194"/>
    <mergeCell ref="A196:B196"/>
    <mergeCell ref="A107:B107"/>
    <mergeCell ref="C107:D107"/>
    <mergeCell ref="E107:G107"/>
    <mergeCell ref="A112:J112"/>
    <mergeCell ref="A123:J123"/>
    <mergeCell ref="A120:B120"/>
    <mergeCell ref="A121:B121"/>
    <mergeCell ref="A122:B122"/>
    <mergeCell ref="I111:J111"/>
    <mergeCell ref="A111:B111"/>
    <mergeCell ref="H107:J107"/>
    <mergeCell ref="A108:B108"/>
    <mergeCell ref="C108:D108"/>
    <mergeCell ref="E108:G108"/>
    <mergeCell ref="H108:J108"/>
    <mergeCell ref="I116:J122"/>
    <mergeCell ref="D134:E134"/>
    <mergeCell ref="D132:E132"/>
    <mergeCell ref="I190:J196"/>
    <mergeCell ref="D211:E211"/>
    <mergeCell ref="D206:E206"/>
    <mergeCell ref="A207:B207"/>
    <mergeCell ref="D207:E207"/>
    <mergeCell ref="A208:B208"/>
    <mergeCell ref="D208:E208"/>
    <mergeCell ref="D209:E209"/>
    <mergeCell ref="A212:B212"/>
    <mergeCell ref="D212:E212"/>
    <mergeCell ref="F81:G81"/>
    <mergeCell ref="H81:J81"/>
    <mergeCell ref="A82:B82"/>
    <mergeCell ref="D82:E82"/>
    <mergeCell ref="F82:G91"/>
    <mergeCell ref="H82:J91"/>
    <mergeCell ref="A83:B83"/>
    <mergeCell ref="D83:E83"/>
    <mergeCell ref="A84:B84"/>
    <mergeCell ref="D84:E84"/>
    <mergeCell ref="A85:B85"/>
    <mergeCell ref="D85:E85"/>
    <mergeCell ref="A86:B86"/>
    <mergeCell ref="A88:B88"/>
    <mergeCell ref="A191:B191"/>
    <mergeCell ref="D191:E191"/>
    <mergeCell ref="A186:B186"/>
    <mergeCell ref="D186:E186"/>
    <mergeCell ref="A187:B187"/>
    <mergeCell ref="A183:B183"/>
    <mergeCell ref="A209:B209"/>
    <mergeCell ref="D202:E202"/>
    <mergeCell ref="A198:B198"/>
    <mergeCell ref="D198:E198"/>
    <mergeCell ref="D187:E187"/>
    <mergeCell ref="A188:B188"/>
    <mergeCell ref="A199:B199"/>
    <mergeCell ref="D199:E199"/>
    <mergeCell ref="A205:J205"/>
    <mergeCell ref="I206:J212"/>
    <mergeCell ref="A204:B204"/>
    <mergeCell ref="D204:E204"/>
    <mergeCell ref="A203:B203"/>
    <mergeCell ref="A200:B200"/>
    <mergeCell ref="D200:E200"/>
    <mergeCell ref="A210:B210"/>
    <mergeCell ref="D210:E210"/>
    <mergeCell ref="A211:B211"/>
    <mergeCell ref="A130:B130"/>
    <mergeCell ref="D130:E130"/>
    <mergeCell ref="A153:B153"/>
    <mergeCell ref="D153:E153"/>
    <mergeCell ref="A114:J114"/>
    <mergeCell ref="A141:B141"/>
    <mergeCell ref="A151:B151"/>
    <mergeCell ref="A206:B206"/>
    <mergeCell ref="A201:B201"/>
    <mergeCell ref="D201:E201"/>
    <mergeCell ref="A194:B194"/>
    <mergeCell ref="A178:B178"/>
    <mergeCell ref="C178:H179"/>
    <mergeCell ref="A179:B179"/>
    <mergeCell ref="D176:E176"/>
    <mergeCell ref="A180:B180"/>
    <mergeCell ref="D180:E180"/>
    <mergeCell ref="I198:J204"/>
    <mergeCell ref="D203:E203"/>
    <mergeCell ref="A202:B202"/>
    <mergeCell ref="A173:J173"/>
    <mergeCell ref="I174:J180"/>
    <mergeCell ref="D158:E158"/>
    <mergeCell ref="D157:E157"/>
    <mergeCell ref="A106:B106"/>
    <mergeCell ref="C106:D106"/>
    <mergeCell ref="E106:G106"/>
    <mergeCell ref="H106:J106"/>
    <mergeCell ref="D122:E122"/>
    <mergeCell ref="A116:B116"/>
    <mergeCell ref="A126:B126"/>
    <mergeCell ref="D126:E126"/>
    <mergeCell ref="A127:B127"/>
    <mergeCell ref="D111:E111"/>
    <mergeCell ref="A115:J115"/>
    <mergeCell ref="A164:J164"/>
    <mergeCell ref="A137:B137"/>
    <mergeCell ref="D175:E175"/>
    <mergeCell ref="I156:J162"/>
    <mergeCell ref="A157:B157"/>
    <mergeCell ref="A160:B160"/>
    <mergeCell ref="D161:E161"/>
    <mergeCell ref="A138:B138"/>
    <mergeCell ref="D138:E138"/>
    <mergeCell ref="A139:J139"/>
    <mergeCell ref="D162:E162"/>
    <mergeCell ref="A158:B158"/>
    <mergeCell ref="A155:J155"/>
    <mergeCell ref="A161:B161"/>
    <mergeCell ref="A51:B51"/>
    <mergeCell ref="C51:G51"/>
    <mergeCell ref="I51:J51"/>
    <mergeCell ref="O116:P116"/>
    <mergeCell ref="A181:J181"/>
    <mergeCell ref="I182:J188"/>
    <mergeCell ref="C119:H121"/>
    <mergeCell ref="A128:B128"/>
    <mergeCell ref="A129:B129"/>
    <mergeCell ref="C128:H129"/>
    <mergeCell ref="O166:P166"/>
    <mergeCell ref="D168:E168"/>
    <mergeCell ref="C169:H171"/>
    <mergeCell ref="A171:B171"/>
    <mergeCell ref="D172:E172"/>
    <mergeCell ref="D174:E174"/>
    <mergeCell ref="A175:B175"/>
    <mergeCell ref="A177:B177"/>
    <mergeCell ref="D177:E177"/>
    <mergeCell ref="I166:J172"/>
    <mergeCell ref="A169:B169"/>
    <mergeCell ref="A165:J165"/>
    <mergeCell ref="D183:E183"/>
    <mergeCell ref="A163:J163"/>
  </mergeCells>
  <phoneticPr fontId="0" type="noConversion"/>
  <hyperlinks>
    <hyperlink ref="C35" r:id="rId1" xr:uid="{00000000-0004-0000-0000-000000000000}"/>
  </hyperlinks>
  <pageMargins left="0.39370078740157499" right="0.39370078740157499" top="0.78740157480314998" bottom="0.78740157480314998" header="0.196850393700787" footer="0.196850393700787"/>
  <pageSetup paperSize="9" fitToHeight="0" orientation="portrait" r:id="rId2"/>
  <headerFooter>
    <oddHeader>&amp;C&amp;G</oddHeader>
    <oddFooter>&amp;L&amp;"Times New Roman,Bold"Ref No: &amp;F&amp;C&amp;G&amp;R&amp;P</oddFooter>
  </headerFooter>
  <rowBreaks count="2" manualBreakCount="2">
    <brk id="225" max="16383" man="1"/>
    <brk id="26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39"/>
  <sheetViews>
    <sheetView topLeftCell="A13" workbookViewId="0">
      <selection activeCell="O18" sqref="O18"/>
    </sheetView>
  </sheetViews>
  <sheetFormatPr defaultRowHeight="14.4" x14ac:dyDescent="0.3"/>
  <cols>
    <col min="1" max="1" width="11.21875" bestFit="1" customWidth="1"/>
  </cols>
  <sheetData>
    <row r="1" spans="1:3" x14ac:dyDescent="0.3">
      <c r="A1" t="s">
        <v>154</v>
      </c>
      <c r="B1" t="s">
        <v>155</v>
      </c>
      <c r="C1" t="s">
        <v>156</v>
      </c>
    </row>
    <row r="2" spans="1:3" x14ac:dyDescent="0.3">
      <c r="C2" t="s">
        <v>157</v>
      </c>
    </row>
    <row r="4" spans="1:3" x14ac:dyDescent="0.3">
      <c r="A4" t="s">
        <v>159</v>
      </c>
    </row>
    <row r="16" spans="1:3" x14ac:dyDescent="0.3">
      <c r="A16" s="6">
        <v>44075</v>
      </c>
    </row>
    <row r="17" spans="1:1" x14ac:dyDescent="0.3">
      <c r="A17" t="s">
        <v>160</v>
      </c>
    </row>
    <row r="37" spans="1:4" x14ac:dyDescent="0.3">
      <c r="D37" t="s">
        <v>161</v>
      </c>
    </row>
    <row r="39" spans="1:4" x14ac:dyDescent="0.3">
      <c r="A39" t="s">
        <v>162</v>
      </c>
      <c r="B39" t="s">
        <v>163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4"/>
  <sheetViews>
    <sheetView workbookViewId="0">
      <selection activeCell="C9" sqref="C9"/>
    </sheetView>
  </sheetViews>
  <sheetFormatPr defaultRowHeight="14.4" x14ac:dyDescent="0.3"/>
  <cols>
    <col min="1" max="11" width="14.21875" customWidth="1"/>
    <col min="257" max="267" width="14.21875" customWidth="1"/>
    <col min="513" max="523" width="14.21875" customWidth="1"/>
    <col min="769" max="779" width="14.21875" customWidth="1"/>
    <col min="1025" max="1035" width="14.21875" customWidth="1"/>
    <col min="1281" max="1291" width="14.21875" customWidth="1"/>
    <col min="1537" max="1547" width="14.21875" customWidth="1"/>
    <col min="1793" max="1803" width="14.21875" customWidth="1"/>
    <col min="2049" max="2059" width="14.21875" customWidth="1"/>
    <col min="2305" max="2315" width="14.21875" customWidth="1"/>
    <col min="2561" max="2571" width="14.21875" customWidth="1"/>
    <col min="2817" max="2827" width="14.21875" customWidth="1"/>
    <col min="3073" max="3083" width="14.21875" customWidth="1"/>
    <col min="3329" max="3339" width="14.21875" customWidth="1"/>
    <col min="3585" max="3595" width="14.21875" customWidth="1"/>
    <col min="3841" max="3851" width="14.21875" customWidth="1"/>
    <col min="4097" max="4107" width="14.21875" customWidth="1"/>
    <col min="4353" max="4363" width="14.21875" customWidth="1"/>
    <col min="4609" max="4619" width="14.21875" customWidth="1"/>
    <col min="4865" max="4875" width="14.21875" customWidth="1"/>
    <col min="5121" max="5131" width="14.21875" customWidth="1"/>
    <col min="5377" max="5387" width="14.21875" customWidth="1"/>
    <col min="5633" max="5643" width="14.21875" customWidth="1"/>
    <col min="5889" max="5899" width="14.21875" customWidth="1"/>
    <col min="6145" max="6155" width="14.21875" customWidth="1"/>
    <col min="6401" max="6411" width="14.21875" customWidth="1"/>
    <col min="6657" max="6667" width="14.21875" customWidth="1"/>
    <col min="6913" max="6923" width="14.21875" customWidth="1"/>
    <col min="7169" max="7179" width="14.21875" customWidth="1"/>
    <col min="7425" max="7435" width="14.21875" customWidth="1"/>
    <col min="7681" max="7691" width="14.21875" customWidth="1"/>
    <col min="7937" max="7947" width="14.21875" customWidth="1"/>
    <col min="8193" max="8203" width="14.21875" customWidth="1"/>
    <col min="8449" max="8459" width="14.21875" customWidth="1"/>
    <col min="8705" max="8715" width="14.21875" customWidth="1"/>
    <col min="8961" max="8971" width="14.21875" customWidth="1"/>
    <col min="9217" max="9227" width="14.21875" customWidth="1"/>
    <col min="9473" max="9483" width="14.21875" customWidth="1"/>
    <col min="9729" max="9739" width="14.21875" customWidth="1"/>
    <col min="9985" max="9995" width="14.21875" customWidth="1"/>
    <col min="10241" max="10251" width="14.21875" customWidth="1"/>
    <col min="10497" max="10507" width="14.21875" customWidth="1"/>
    <col min="10753" max="10763" width="14.21875" customWidth="1"/>
    <col min="11009" max="11019" width="14.21875" customWidth="1"/>
    <col min="11265" max="11275" width="14.21875" customWidth="1"/>
    <col min="11521" max="11531" width="14.21875" customWidth="1"/>
    <col min="11777" max="11787" width="14.21875" customWidth="1"/>
    <col min="12033" max="12043" width="14.21875" customWidth="1"/>
    <col min="12289" max="12299" width="14.21875" customWidth="1"/>
    <col min="12545" max="12555" width="14.21875" customWidth="1"/>
    <col min="12801" max="12811" width="14.21875" customWidth="1"/>
    <col min="13057" max="13067" width="14.21875" customWidth="1"/>
    <col min="13313" max="13323" width="14.21875" customWidth="1"/>
    <col min="13569" max="13579" width="14.21875" customWidth="1"/>
    <col min="13825" max="13835" width="14.21875" customWidth="1"/>
    <col min="14081" max="14091" width="14.21875" customWidth="1"/>
    <col min="14337" max="14347" width="14.21875" customWidth="1"/>
    <col min="14593" max="14603" width="14.21875" customWidth="1"/>
    <col min="14849" max="14859" width="14.21875" customWidth="1"/>
    <col min="15105" max="15115" width="14.21875" customWidth="1"/>
    <col min="15361" max="15371" width="14.21875" customWidth="1"/>
    <col min="15617" max="15627" width="14.21875" customWidth="1"/>
    <col min="15873" max="15883" width="14.21875" customWidth="1"/>
    <col min="16129" max="16139" width="14.21875" customWidth="1"/>
  </cols>
  <sheetData>
    <row r="1" spans="1:11" ht="15.6" x14ac:dyDescent="0.3">
      <c r="A1" s="260" t="s">
        <v>174</v>
      </c>
      <c r="B1" s="261"/>
      <c r="C1" s="261"/>
      <c r="D1" s="261"/>
      <c r="E1" s="261"/>
      <c r="F1" s="261"/>
      <c r="G1" s="261"/>
      <c r="H1" s="262"/>
      <c r="I1" s="7" t="str">
        <f>(IF(C5=0,"Work not yet Started.",IF(C5=1,"Excavation work in process",IF(C5=2,"Excavation work completed",IF(C5=4,"Footing work is process",IF(C5=5,"Footing work Completed",IF(C5=7,"Plinth work is process",IF(C5=10,"Plinth work completed","0")))))))&amp;(IF(C6&gt;0,", RCC upto "&amp;C6&amp;" Slab completed",""))&amp;(IF(C7&gt;0,", Brickwork upto "&amp;C7&amp;" Floor completed"," "))&amp;(IF(C8&gt;0,", Plaster upto "&amp;C8&amp;" Floor completed"," "))&amp;(IF(C9&gt;0,", Flooring upto "&amp;C9&amp;" Floor completed"," "))&amp;(IF(C10&gt;0,", Painting upto "&amp;C10&amp;" Floor completed"," "))&amp;(IF(C11&gt;0,", Finishing upto "&amp;C11&amp;" Floor completed"," ")))</f>
        <v xml:space="preserve">Plinth work completed, RCC upto 4 Slab completed, Brickwork upto 3 Floor completed, Plaster upto 1.5 Floor completed   </v>
      </c>
      <c r="J1" s="8"/>
      <c r="K1" s="9"/>
    </row>
    <row r="2" spans="1:11" ht="15.6" x14ac:dyDescent="0.3">
      <c r="A2" s="263" t="s">
        <v>129</v>
      </c>
      <c r="B2" s="264"/>
      <c r="C2" s="265">
        <v>1</v>
      </c>
      <c r="D2" s="266"/>
      <c r="E2" s="10" t="s">
        <v>138</v>
      </c>
      <c r="F2" s="11">
        <v>3</v>
      </c>
      <c r="G2" s="12" t="s">
        <v>164</v>
      </c>
      <c r="H2" s="13">
        <v>30</v>
      </c>
      <c r="I2" s="14" t="s">
        <v>165</v>
      </c>
      <c r="J2" s="15"/>
      <c r="K2" s="16"/>
    </row>
    <row r="3" spans="1:11" ht="15.6" x14ac:dyDescent="0.3">
      <c r="A3" s="267" t="s">
        <v>166</v>
      </c>
      <c r="B3" s="268"/>
      <c r="C3" s="269" t="str">
        <f>I1</f>
        <v xml:space="preserve">Plinth work completed, RCC upto 4 Slab completed, Brickwork upto 3 Floor completed, Plaster upto 1.5 Floor completed   </v>
      </c>
      <c r="D3" s="269"/>
      <c r="E3" s="269"/>
      <c r="F3" s="269"/>
      <c r="G3" s="269"/>
      <c r="H3" s="270"/>
      <c r="I3" s="14" t="s">
        <v>167</v>
      </c>
      <c r="J3" s="15"/>
      <c r="K3" s="16"/>
    </row>
    <row r="4" spans="1:11" ht="31.2" x14ac:dyDescent="0.3">
      <c r="A4" s="271" t="s">
        <v>34</v>
      </c>
      <c r="B4" s="272"/>
      <c r="C4" s="17" t="s">
        <v>168</v>
      </c>
      <c r="D4" s="17" t="s">
        <v>169</v>
      </c>
      <c r="E4" s="273" t="s">
        <v>170</v>
      </c>
      <c r="F4" s="273"/>
      <c r="G4" s="273" t="s">
        <v>171</v>
      </c>
      <c r="H4" s="274"/>
      <c r="I4" s="14" t="s">
        <v>172</v>
      </c>
      <c r="J4" s="18"/>
      <c r="K4" s="19"/>
    </row>
    <row r="5" spans="1:11" ht="15.6" x14ac:dyDescent="0.3">
      <c r="A5" s="271" t="s">
        <v>35</v>
      </c>
      <c r="B5" s="272"/>
      <c r="C5" s="20">
        <v>10</v>
      </c>
      <c r="D5" s="21">
        <f>((100/10)*C5)/100</f>
        <v>1</v>
      </c>
      <c r="E5" s="275">
        <f>(IF(C3=I3,"100%",IF(C3=I4,"100%",((C5+(40/(B2+C2+F2+H2)*C6)+(15/H2*C7)+(10/H2*C8)+(10/H2*C9)+(5/H2*C10)+(5/H2*C11))/100))))</f>
        <v>0.16705882352941179</v>
      </c>
      <c r="F5" s="276"/>
      <c r="G5" s="275">
        <f>((IF(C5=1,"2",IF(C5=2,"4",IF(C5=4,"8",IF(C5=5,"15",IF(C5=7,"20",IF(C5=10,"30","0")))))))/100)+(((30/(H2+F2+C2+B2)*C6)+(15/H2*C7)+(10/H2*C8)+(5/H2*C9)+(5/H2*C10)+(5/H2*C11))/100)</f>
        <v>0.35529411764705882</v>
      </c>
      <c r="H5" s="281"/>
      <c r="I5" s="22"/>
      <c r="J5" s="18"/>
      <c r="K5" s="19"/>
    </row>
    <row r="6" spans="1:11" ht="15.6" x14ac:dyDescent="0.3">
      <c r="A6" s="271" t="s">
        <v>173</v>
      </c>
      <c r="B6" s="272"/>
      <c r="C6" s="23">
        <f>C2+F2</f>
        <v>4</v>
      </c>
      <c r="D6" s="21">
        <f>((100/(C2+F2+H2))*C6)/100</f>
        <v>0.11764705882352942</v>
      </c>
      <c r="E6" s="277"/>
      <c r="F6" s="278"/>
      <c r="G6" s="277"/>
      <c r="H6" s="282"/>
      <c r="I6" s="24" t="s">
        <v>139</v>
      </c>
      <c r="J6" s="25">
        <v>0.01</v>
      </c>
      <c r="K6" s="26">
        <v>0.02</v>
      </c>
    </row>
    <row r="7" spans="1:11" ht="15.6" x14ac:dyDescent="0.3">
      <c r="A7" s="271" t="s">
        <v>36</v>
      </c>
      <c r="B7" s="272"/>
      <c r="C7" s="20">
        <v>3</v>
      </c>
      <c r="D7" s="21">
        <f>((100/(F2+H2))*C7)/100</f>
        <v>9.0909090909090898E-2</v>
      </c>
      <c r="E7" s="277"/>
      <c r="F7" s="278"/>
      <c r="G7" s="277"/>
      <c r="H7" s="282"/>
      <c r="I7" s="24" t="s">
        <v>140</v>
      </c>
      <c r="J7" s="25">
        <v>0.02</v>
      </c>
      <c r="K7" s="26">
        <v>0.04</v>
      </c>
    </row>
    <row r="8" spans="1:11" ht="15.6" x14ac:dyDescent="0.3">
      <c r="A8" s="271" t="s">
        <v>37</v>
      </c>
      <c r="B8" s="272"/>
      <c r="C8" s="20">
        <f>C7/2</f>
        <v>1.5</v>
      </c>
      <c r="D8" s="21">
        <f>((100/(F2+H2))*C8)/100</f>
        <v>4.5454545454545449E-2</v>
      </c>
      <c r="E8" s="277"/>
      <c r="F8" s="278"/>
      <c r="G8" s="277"/>
      <c r="H8" s="282"/>
      <c r="I8" s="24" t="s">
        <v>141</v>
      </c>
      <c r="J8" s="25">
        <v>0.04</v>
      </c>
      <c r="K8" s="26">
        <v>0.08</v>
      </c>
    </row>
    <row r="9" spans="1:11" ht="15.6" x14ac:dyDescent="0.3">
      <c r="A9" s="271" t="s">
        <v>43</v>
      </c>
      <c r="B9" s="272"/>
      <c r="C9" s="20">
        <v>0</v>
      </c>
      <c r="D9" s="21">
        <f>((100/(F2+H2))*C9)/100</f>
        <v>0</v>
      </c>
      <c r="E9" s="277"/>
      <c r="F9" s="278"/>
      <c r="G9" s="277"/>
      <c r="H9" s="282"/>
      <c r="I9" s="24" t="s">
        <v>142</v>
      </c>
      <c r="J9" s="25">
        <v>0.05</v>
      </c>
      <c r="K9" s="26">
        <v>0.15</v>
      </c>
    </row>
    <row r="10" spans="1:11" ht="15.6" x14ac:dyDescent="0.3">
      <c r="A10" s="271" t="s">
        <v>44</v>
      </c>
      <c r="B10" s="272"/>
      <c r="C10" s="20">
        <v>0</v>
      </c>
      <c r="D10" s="21">
        <f>((100/(F2+H2))*C10)/100</f>
        <v>0</v>
      </c>
      <c r="E10" s="277"/>
      <c r="F10" s="278"/>
      <c r="G10" s="277"/>
      <c r="H10" s="282"/>
      <c r="I10" s="24" t="s">
        <v>143</v>
      </c>
      <c r="J10" s="25">
        <v>7.0000000000000007E-2</v>
      </c>
      <c r="K10" s="26">
        <v>0.2</v>
      </c>
    </row>
    <row r="11" spans="1:11" ht="16.2" thickBot="1" x14ac:dyDescent="0.35">
      <c r="A11" s="284" t="s">
        <v>45</v>
      </c>
      <c r="B11" s="285"/>
      <c r="C11" s="27">
        <v>0</v>
      </c>
      <c r="D11" s="28">
        <f>((100/(F2+H2))*C11)/100</f>
        <v>0</v>
      </c>
      <c r="E11" s="279"/>
      <c r="F11" s="280"/>
      <c r="G11" s="279"/>
      <c r="H11" s="283"/>
      <c r="I11" s="29" t="s">
        <v>144</v>
      </c>
      <c r="J11" s="30">
        <v>0.1</v>
      </c>
      <c r="K11" s="31">
        <v>0.3</v>
      </c>
    </row>
    <row r="12" spans="1:11" ht="15.6" x14ac:dyDescent="0.3">
      <c r="A12" s="32"/>
      <c r="B12" s="32"/>
      <c r="C12" s="33"/>
      <c r="D12" s="34"/>
      <c r="E12" s="34"/>
      <c r="F12" s="34"/>
      <c r="G12" s="34"/>
      <c r="H12" s="34"/>
      <c r="I12" s="35"/>
      <c r="J12" s="25"/>
      <c r="K12" s="25"/>
    </row>
    <row r="13" spans="1:11" x14ac:dyDescent="0.3">
      <c r="E13" s="36">
        <f>E5</f>
        <v>0.16705882352941179</v>
      </c>
      <c r="G13" s="36">
        <f>G5</f>
        <v>0.35529411764705882</v>
      </c>
    </row>
    <row r="14" spans="1:11" x14ac:dyDescent="0.3">
      <c r="E14" s="37"/>
      <c r="G14" s="37"/>
    </row>
  </sheetData>
  <mergeCells count="17">
    <mergeCell ref="A4:B4"/>
    <mergeCell ref="E4:F4"/>
    <mergeCell ref="G4:H4"/>
    <mergeCell ref="A5:B5"/>
    <mergeCell ref="E5:F11"/>
    <mergeCell ref="G5:H11"/>
    <mergeCell ref="A6:B6"/>
    <mergeCell ref="A7:B7"/>
    <mergeCell ref="A8:B8"/>
    <mergeCell ref="A9:B9"/>
    <mergeCell ref="A10:B10"/>
    <mergeCell ref="A11:B11"/>
    <mergeCell ref="A1:H1"/>
    <mergeCell ref="A2:B2"/>
    <mergeCell ref="C2:D2"/>
    <mergeCell ref="A3:B3"/>
    <mergeCell ref="C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14"/>
  <sheetViews>
    <sheetView workbookViewId="0">
      <selection activeCell="C6" sqref="C6"/>
    </sheetView>
  </sheetViews>
  <sheetFormatPr defaultRowHeight="14.4" x14ac:dyDescent="0.3"/>
  <cols>
    <col min="1" max="11" width="14.21875" customWidth="1"/>
    <col min="257" max="267" width="14.21875" customWidth="1"/>
    <col min="513" max="523" width="14.21875" customWidth="1"/>
    <col min="769" max="779" width="14.21875" customWidth="1"/>
    <col min="1025" max="1035" width="14.21875" customWidth="1"/>
    <col min="1281" max="1291" width="14.21875" customWidth="1"/>
    <col min="1537" max="1547" width="14.21875" customWidth="1"/>
    <col min="1793" max="1803" width="14.21875" customWidth="1"/>
    <col min="2049" max="2059" width="14.21875" customWidth="1"/>
    <col min="2305" max="2315" width="14.21875" customWidth="1"/>
    <col min="2561" max="2571" width="14.21875" customWidth="1"/>
    <col min="2817" max="2827" width="14.21875" customWidth="1"/>
    <col min="3073" max="3083" width="14.21875" customWidth="1"/>
    <col min="3329" max="3339" width="14.21875" customWidth="1"/>
    <col min="3585" max="3595" width="14.21875" customWidth="1"/>
    <col min="3841" max="3851" width="14.21875" customWidth="1"/>
    <col min="4097" max="4107" width="14.21875" customWidth="1"/>
    <col min="4353" max="4363" width="14.21875" customWidth="1"/>
    <col min="4609" max="4619" width="14.21875" customWidth="1"/>
    <col min="4865" max="4875" width="14.21875" customWidth="1"/>
    <col min="5121" max="5131" width="14.21875" customWidth="1"/>
    <col min="5377" max="5387" width="14.21875" customWidth="1"/>
    <col min="5633" max="5643" width="14.21875" customWidth="1"/>
    <col min="5889" max="5899" width="14.21875" customWidth="1"/>
    <col min="6145" max="6155" width="14.21875" customWidth="1"/>
    <col min="6401" max="6411" width="14.21875" customWidth="1"/>
    <col min="6657" max="6667" width="14.21875" customWidth="1"/>
    <col min="6913" max="6923" width="14.21875" customWidth="1"/>
    <col min="7169" max="7179" width="14.21875" customWidth="1"/>
    <col min="7425" max="7435" width="14.21875" customWidth="1"/>
    <col min="7681" max="7691" width="14.21875" customWidth="1"/>
    <col min="7937" max="7947" width="14.21875" customWidth="1"/>
    <col min="8193" max="8203" width="14.21875" customWidth="1"/>
    <col min="8449" max="8459" width="14.21875" customWidth="1"/>
    <col min="8705" max="8715" width="14.21875" customWidth="1"/>
    <col min="8961" max="8971" width="14.21875" customWidth="1"/>
    <col min="9217" max="9227" width="14.21875" customWidth="1"/>
    <col min="9473" max="9483" width="14.21875" customWidth="1"/>
    <col min="9729" max="9739" width="14.21875" customWidth="1"/>
    <col min="9985" max="9995" width="14.21875" customWidth="1"/>
    <col min="10241" max="10251" width="14.21875" customWidth="1"/>
    <col min="10497" max="10507" width="14.21875" customWidth="1"/>
    <col min="10753" max="10763" width="14.21875" customWidth="1"/>
    <col min="11009" max="11019" width="14.21875" customWidth="1"/>
    <col min="11265" max="11275" width="14.21875" customWidth="1"/>
    <col min="11521" max="11531" width="14.21875" customWidth="1"/>
    <col min="11777" max="11787" width="14.21875" customWidth="1"/>
    <col min="12033" max="12043" width="14.21875" customWidth="1"/>
    <col min="12289" max="12299" width="14.21875" customWidth="1"/>
    <col min="12545" max="12555" width="14.21875" customWidth="1"/>
    <col min="12801" max="12811" width="14.21875" customWidth="1"/>
    <col min="13057" max="13067" width="14.21875" customWidth="1"/>
    <col min="13313" max="13323" width="14.21875" customWidth="1"/>
    <col min="13569" max="13579" width="14.21875" customWidth="1"/>
    <col min="13825" max="13835" width="14.21875" customWidth="1"/>
    <col min="14081" max="14091" width="14.21875" customWidth="1"/>
    <col min="14337" max="14347" width="14.21875" customWidth="1"/>
    <col min="14593" max="14603" width="14.21875" customWidth="1"/>
    <col min="14849" max="14859" width="14.21875" customWidth="1"/>
    <col min="15105" max="15115" width="14.21875" customWidth="1"/>
    <col min="15361" max="15371" width="14.21875" customWidth="1"/>
    <col min="15617" max="15627" width="14.21875" customWidth="1"/>
    <col min="15873" max="15883" width="14.21875" customWidth="1"/>
    <col min="16129" max="16139" width="14.21875" customWidth="1"/>
  </cols>
  <sheetData>
    <row r="1" spans="1:11" ht="15.6" x14ac:dyDescent="0.3">
      <c r="A1" s="260" t="s">
        <v>175</v>
      </c>
      <c r="B1" s="261"/>
      <c r="C1" s="261"/>
      <c r="D1" s="261"/>
      <c r="E1" s="261"/>
      <c r="F1" s="261"/>
      <c r="G1" s="261"/>
      <c r="H1" s="262"/>
      <c r="I1" s="7" t="str">
        <f>(IF(C5=0,"Work not yet Started.",IF(C5=1,"Excavation work in process",IF(C5=2,"Excavation work completed",IF(C5=4,"Footing work is process",IF(C5=5,"Footing work Completed",IF(C5=7,"Plinth work is process",IF(C5=10,"Plinth work completed","0")))))))&amp;(IF(C6&gt;0,", RCC upto "&amp;C6&amp;" Slab completed",""))&amp;(IF(C7&gt;0,", Brickwork upto "&amp;C7&amp;" Floor completed"," "))&amp;(IF(C8&gt;0,", Plaster upto "&amp;C8&amp;" Floor completed"," "))&amp;(IF(C9&gt;0,", Flooring upto "&amp;C9&amp;" Floor completed"," "))&amp;(IF(C10&gt;0,", Painting upto "&amp;C10&amp;" Floor completed"," "))&amp;(IF(C11&gt;0,", Finishing upto "&amp;C11&amp;" Floor completed"," ")))</f>
        <v xml:space="preserve">Plinth work completed, RCC upto 1 Slab completed     </v>
      </c>
      <c r="J1" s="8"/>
      <c r="K1" s="9"/>
    </row>
    <row r="2" spans="1:11" ht="15.6" x14ac:dyDescent="0.3">
      <c r="A2" s="263" t="s">
        <v>129</v>
      </c>
      <c r="B2" s="264"/>
      <c r="C2" s="265">
        <v>1</v>
      </c>
      <c r="D2" s="266"/>
      <c r="E2" s="10" t="s">
        <v>138</v>
      </c>
      <c r="F2" s="11">
        <v>3</v>
      </c>
      <c r="G2" s="12" t="s">
        <v>164</v>
      </c>
      <c r="H2" s="13">
        <v>30</v>
      </c>
      <c r="I2" s="14" t="s">
        <v>165</v>
      </c>
      <c r="J2" s="15"/>
      <c r="K2" s="16"/>
    </row>
    <row r="3" spans="1:11" ht="15.6" x14ac:dyDescent="0.3">
      <c r="A3" s="267" t="s">
        <v>166</v>
      </c>
      <c r="B3" s="268"/>
      <c r="C3" s="269" t="str">
        <f>I1</f>
        <v xml:space="preserve">Plinth work completed, RCC upto 1 Slab completed     </v>
      </c>
      <c r="D3" s="269"/>
      <c r="E3" s="269"/>
      <c r="F3" s="269"/>
      <c r="G3" s="269"/>
      <c r="H3" s="270"/>
      <c r="I3" s="14" t="s">
        <v>167</v>
      </c>
      <c r="J3" s="15"/>
      <c r="K3" s="16"/>
    </row>
    <row r="4" spans="1:11" ht="31.2" x14ac:dyDescent="0.3">
      <c r="A4" s="271" t="s">
        <v>34</v>
      </c>
      <c r="B4" s="272"/>
      <c r="C4" s="17" t="s">
        <v>168</v>
      </c>
      <c r="D4" s="17" t="s">
        <v>169</v>
      </c>
      <c r="E4" s="273" t="s">
        <v>170</v>
      </c>
      <c r="F4" s="273"/>
      <c r="G4" s="273" t="s">
        <v>171</v>
      </c>
      <c r="H4" s="274"/>
      <c r="I4" s="14" t="s">
        <v>172</v>
      </c>
      <c r="J4" s="18"/>
      <c r="K4" s="19"/>
    </row>
    <row r="5" spans="1:11" ht="15.6" x14ac:dyDescent="0.3">
      <c r="A5" s="271" t="s">
        <v>35</v>
      </c>
      <c r="B5" s="272"/>
      <c r="C5" s="20">
        <v>10</v>
      </c>
      <c r="D5" s="21">
        <f>((100/10)*C5)/100</f>
        <v>1</v>
      </c>
      <c r="E5" s="275">
        <f>(IF(C3=I3,"100%",IF(C3=I4,"100%",((C5+(40/(B2+C2+F2+H2)*C6)+(15/H2*C7)+(10/H2*C8)+(10/H2*C9)+(5/H2*C10)+(5/H2*C11))/100))))</f>
        <v>0.11176470588235293</v>
      </c>
      <c r="F5" s="276"/>
      <c r="G5" s="275">
        <f>((IF(C5=1,"2",IF(C5=2,"4",IF(C5=4,"8",IF(C5=5,"15",IF(C5=7,"20",IF(C5=10,"30","0")))))))/100)+(((30/(H2+F2+C2+B2)*C6)+(15/H2*C7)+(10/H2*C8)+(5/H2*C9)+(5/H2*C10)+(5/H2*C11))/100)</f>
        <v>0.30882352941176472</v>
      </c>
      <c r="H5" s="281"/>
      <c r="I5" s="22"/>
      <c r="J5" s="18"/>
      <c r="K5" s="19"/>
    </row>
    <row r="6" spans="1:11" ht="15.6" x14ac:dyDescent="0.3">
      <c r="A6" s="271" t="s">
        <v>173</v>
      </c>
      <c r="B6" s="272"/>
      <c r="C6" s="23">
        <v>1</v>
      </c>
      <c r="D6" s="21">
        <f>((100/(C2+F2+H2))*C6)/100</f>
        <v>2.9411764705882356E-2</v>
      </c>
      <c r="E6" s="277"/>
      <c r="F6" s="278"/>
      <c r="G6" s="277"/>
      <c r="H6" s="282"/>
      <c r="I6" s="24" t="s">
        <v>139</v>
      </c>
      <c r="J6" s="25">
        <v>0.01</v>
      </c>
      <c r="K6" s="26">
        <v>0.02</v>
      </c>
    </row>
    <row r="7" spans="1:11" ht="15.6" x14ac:dyDescent="0.3">
      <c r="A7" s="271" t="s">
        <v>36</v>
      </c>
      <c r="B7" s="272"/>
      <c r="C7" s="20">
        <v>0</v>
      </c>
      <c r="D7" s="21">
        <f>((100/(F2+H2))*C7)/100</f>
        <v>0</v>
      </c>
      <c r="E7" s="277"/>
      <c r="F7" s="278"/>
      <c r="G7" s="277"/>
      <c r="H7" s="282"/>
      <c r="I7" s="24" t="s">
        <v>140</v>
      </c>
      <c r="J7" s="25">
        <v>0.02</v>
      </c>
      <c r="K7" s="26">
        <v>0.04</v>
      </c>
    </row>
    <row r="8" spans="1:11" ht="15.6" x14ac:dyDescent="0.3">
      <c r="A8" s="271" t="s">
        <v>37</v>
      </c>
      <c r="B8" s="272"/>
      <c r="C8" s="20">
        <f>C7/2</f>
        <v>0</v>
      </c>
      <c r="D8" s="21">
        <f>((100/(F2+H2))*C8)/100</f>
        <v>0</v>
      </c>
      <c r="E8" s="277"/>
      <c r="F8" s="278"/>
      <c r="G8" s="277"/>
      <c r="H8" s="282"/>
      <c r="I8" s="24" t="s">
        <v>141</v>
      </c>
      <c r="J8" s="25">
        <v>0.04</v>
      </c>
      <c r="K8" s="26">
        <v>0.08</v>
      </c>
    </row>
    <row r="9" spans="1:11" ht="15.6" x14ac:dyDescent="0.3">
      <c r="A9" s="271" t="s">
        <v>43</v>
      </c>
      <c r="B9" s="272"/>
      <c r="C9" s="20">
        <v>0</v>
      </c>
      <c r="D9" s="21">
        <f>((100/(F2+H2))*C9)/100</f>
        <v>0</v>
      </c>
      <c r="E9" s="277"/>
      <c r="F9" s="278"/>
      <c r="G9" s="277"/>
      <c r="H9" s="282"/>
      <c r="I9" s="24" t="s">
        <v>142</v>
      </c>
      <c r="J9" s="25">
        <v>0.05</v>
      </c>
      <c r="K9" s="26">
        <v>0.15</v>
      </c>
    </row>
    <row r="10" spans="1:11" ht="15.6" x14ac:dyDescent="0.3">
      <c r="A10" s="271" t="s">
        <v>44</v>
      </c>
      <c r="B10" s="272"/>
      <c r="C10" s="20">
        <v>0</v>
      </c>
      <c r="D10" s="21">
        <f>((100/(F2+H2))*C10)/100</f>
        <v>0</v>
      </c>
      <c r="E10" s="277"/>
      <c r="F10" s="278"/>
      <c r="G10" s="277"/>
      <c r="H10" s="282"/>
      <c r="I10" s="24" t="s">
        <v>143</v>
      </c>
      <c r="J10" s="25">
        <v>7.0000000000000007E-2</v>
      </c>
      <c r="K10" s="26">
        <v>0.2</v>
      </c>
    </row>
    <row r="11" spans="1:11" ht="16.2" thickBot="1" x14ac:dyDescent="0.35">
      <c r="A11" s="284" t="s">
        <v>45</v>
      </c>
      <c r="B11" s="285"/>
      <c r="C11" s="27">
        <v>0</v>
      </c>
      <c r="D11" s="28">
        <f>((100/(F2+H2))*C11)/100</f>
        <v>0</v>
      </c>
      <c r="E11" s="279"/>
      <c r="F11" s="280"/>
      <c r="G11" s="279"/>
      <c r="H11" s="283"/>
      <c r="I11" s="29" t="s">
        <v>144</v>
      </c>
      <c r="J11" s="30">
        <v>0.1</v>
      </c>
      <c r="K11" s="31">
        <v>0.3</v>
      </c>
    </row>
    <row r="12" spans="1:11" ht="15.6" x14ac:dyDescent="0.3">
      <c r="A12" s="32"/>
      <c r="B12" s="32"/>
      <c r="C12" s="33"/>
      <c r="D12" s="34"/>
      <c r="E12" s="34"/>
      <c r="F12" s="34"/>
      <c r="G12" s="34"/>
      <c r="H12" s="34"/>
      <c r="I12" s="35"/>
      <c r="J12" s="25"/>
      <c r="K12" s="25"/>
    </row>
    <row r="13" spans="1:11" x14ac:dyDescent="0.3">
      <c r="E13" s="36">
        <f>E5</f>
        <v>0.11176470588235293</v>
      </c>
      <c r="G13" s="36">
        <f>G5</f>
        <v>0.30882352941176472</v>
      </c>
    </row>
    <row r="14" spans="1:11" x14ac:dyDescent="0.3">
      <c r="E14" s="37"/>
      <c r="G14" s="37"/>
    </row>
  </sheetData>
  <mergeCells count="17">
    <mergeCell ref="A4:B4"/>
    <mergeCell ref="E4:F4"/>
    <mergeCell ref="G4:H4"/>
    <mergeCell ref="A5:B5"/>
    <mergeCell ref="E5:F11"/>
    <mergeCell ref="G5:H11"/>
    <mergeCell ref="A6:B6"/>
    <mergeCell ref="A7:B7"/>
    <mergeCell ref="A8:B8"/>
    <mergeCell ref="A9:B9"/>
    <mergeCell ref="A10:B10"/>
    <mergeCell ref="A11:B11"/>
    <mergeCell ref="A1:H1"/>
    <mergeCell ref="A2:B2"/>
    <mergeCell ref="C2:D2"/>
    <mergeCell ref="A3:B3"/>
    <mergeCell ref="C3:H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M34"/>
  <sheetViews>
    <sheetView topLeftCell="A7" workbookViewId="0">
      <selection activeCell="D31" sqref="D31"/>
    </sheetView>
  </sheetViews>
  <sheetFormatPr defaultRowHeight="14.4" x14ac:dyDescent="0.3"/>
  <sheetData>
    <row r="2" spans="2:13" x14ac:dyDescent="0.3">
      <c r="C2" s="4" t="s">
        <v>89</v>
      </c>
      <c r="D2" s="286"/>
      <c r="E2" s="286"/>
    </row>
    <row r="3" spans="2:13" x14ac:dyDescent="0.3">
      <c r="E3" s="3"/>
      <c r="F3" s="3"/>
      <c r="G3" s="3"/>
      <c r="H3" s="3"/>
      <c r="I3" s="3"/>
      <c r="J3" s="3"/>
    </row>
    <row r="4" spans="2:13" x14ac:dyDescent="0.3">
      <c r="B4" s="4" t="s">
        <v>90</v>
      </c>
      <c r="C4" s="2" t="s">
        <v>70</v>
      </c>
      <c r="D4" s="287" t="s">
        <v>71</v>
      </c>
      <c r="E4" s="287"/>
      <c r="F4" s="287"/>
      <c r="G4" s="5"/>
      <c r="H4" s="287" t="s">
        <v>72</v>
      </c>
      <c r="I4" s="287"/>
      <c r="J4" s="287"/>
      <c r="K4" s="287" t="s">
        <v>73</v>
      </c>
      <c r="L4" s="287"/>
      <c r="M4" s="287"/>
    </row>
    <row r="5" spans="2:13" x14ac:dyDescent="0.3">
      <c r="B5" s="4">
        <v>1</v>
      </c>
      <c r="C5" s="2"/>
      <c r="D5" s="2" t="s">
        <v>74</v>
      </c>
      <c r="E5" s="2" t="s">
        <v>75</v>
      </c>
      <c r="F5" s="2" t="s">
        <v>76</v>
      </c>
      <c r="G5" s="2"/>
      <c r="H5" s="2" t="s">
        <v>74</v>
      </c>
      <c r="I5" s="2" t="s">
        <v>75</v>
      </c>
      <c r="J5" s="2" t="s">
        <v>76</v>
      </c>
      <c r="K5" s="2" t="s">
        <v>74</v>
      </c>
      <c r="L5" s="2" t="s">
        <v>75</v>
      </c>
      <c r="M5" s="2" t="s">
        <v>76</v>
      </c>
    </row>
    <row r="6" spans="2:13" x14ac:dyDescent="0.3">
      <c r="C6" s="1" t="s">
        <v>77</v>
      </c>
      <c r="D6" s="1">
        <v>3.35</v>
      </c>
      <c r="E6" s="1">
        <v>5.5</v>
      </c>
      <c r="F6" s="1">
        <f>D6*E6</f>
        <v>18.425000000000001</v>
      </c>
      <c r="G6" s="1" t="s">
        <v>92</v>
      </c>
      <c r="H6" s="1"/>
      <c r="I6" s="1"/>
      <c r="J6" s="1">
        <f>H6*I6</f>
        <v>0</v>
      </c>
      <c r="K6" s="1"/>
      <c r="L6" s="1"/>
      <c r="M6" s="1">
        <f>K6*L6</f>
        <v>0</v>
      </c>
    </row>
    <row r="7" spans="2:13" x14ac:dyDescent="0.3">
      <c r="C7" s="1"/>
      <c r="D7" s="1">
        <v>0.88</v>
      </c>
      <c r="E7" s="1">
        <v>2.5299999999999998</v>
      </c>
      <c r="F7" s="1">
        <f t="shared" ref="F7:F33" si="0">D7*E7</f>
        <v>2.2263999999999999</v>
      </c>
      <c r="G7" s="1" t="s">
        <v>93</v>
      </c>
      <c r="H7" s="1"/>
      <c r="I7" s="1"/>
      <c r="J7" s="1">
        <f t="shared" ref="J7:J29" si="1">H7*I7</f>
        <v>0</v>
      </c>
      <c r="K7" s="1"/>
      <c r="L7" s="1"/>
      <c r="M7" s="1">
        <f t="shared" ref="M7:M29" si="2">K7*L7</f>
        <v>0</v>
      </c>
    </row>
    <row r="8" spans="2:13" x14ac:dyDescent="0.3">
      <c r="C8" s="1"/>
      <c r="D8" s="1">
        <v>2.5499999999999998</v>
      </c>
      <c r="E8" s="1">
        <v>1.2</v>
      </c>
      <c r="F8" s="1">
        <f t="shared" si="0"/>
        <v>3.0599999999999996</v>
      </c>
      <c r="G8" s="1"/>
      <c r="H8" s="1"/>
      <c r="I8" s="1"/>
      <c r="J8" s="1">
        <f t="shared" si="1"/>
        <v>0</v>
      </c>
      <c r="K8" s="1"/>
      <c r="L8" s="1"/>
      <c r="M8" s="1">
        <f t="shared" si="2"/>
        <v>0</v>
      </c>
    </row>
    <row r="9" spans="2:13" x14ac:dyDescent="0.3">
      <c r="C9" s="1" t="s">
        <v>80</v>
      </c>
      <c r="D9" s="1">
        <v>3.05</v>
      </c>
      <c r="E9" s="1">
        <v>2.35</v>
      </c>
      <c r="F9" s="1">
        <f t="shared" si="0"/>
        <v>7.1674999999999995</v>
      </c>
      <c r="G9" s="1" t="s">
        <v>92</v>
      </c>
      <c r="H9" s="1"/>
      <c r="I9" s="1"/>
      <c r="J9" s="1">
        <f t="shared" si="1"/>
        <v>0</v>
      </c>
      <c r="K9" s="1"/>
      <c r="L9" s="1"/>
      <c r="M9" s="1">
        <f t="shared" si="2"/>
        <v>0</v>
      </c>
    </row>
    <row r="10" spans="2:13" x14ac:dyDescent="0.3">
      <c r="C10" s="1"/>
      <c r="D10" s="1"/>
      <c r="E10" s="1"/>
      <c r="F10" s="1">
        <f t="shared" si="0"/>
        <v>0</v>
      </c>
      <c r="G10" s="1" t="s">
        <v>93</v>
      </c>
      <c r="H10" s="1"/>
      <c r="I10" s="1"/>
      <c r="J10" s="1">
        <f t="shared" si="1"/>
        <v>0</v>
      </c>
      <c r="K10" s="1"/>
      <c r="L10" s="1"/>
      <c r="M10" s="1">
        <f t="shared" si="2"/>
        <v>0</v>
      </c>
    </row>
    <row r="11" spans="2:13" x14ac:dyDescent="0.3">
      <c r="C11" s="1"/>
      <c r="D11" s="1"/>
      <c r="E11" s="1"/>
      <c r="F11" s="1">
        <f t="shared" si="0"/>
        <v>0</v>
      </c>
      <c r="G11" s="1"/>
      <c r="H11" s="1"/>
      <c r="I11" s="1"/>
      <c r="J11" s="1">
        <f t="shared" si="1"/>
        <v>0</v>
      </c>
      <c r="K11" s="1"/>
      <c r="L11" s="1"/>
      <c r="M11" s="1">
        <f t="shared" si="2"/>
        <v>0</v>
      </c>
    </row>
    <row r="12" spans="2:13" x14ac:dyDescent="0.3">
      <c r="C12" s="1"/>
      <c r="D12" s="1"/>
      <c r="E12" s="1"/>
      <c r="F12" s="1">
        <f t="shared" si="0"/>
        <v>0</v>
      </c>
      <c r="G12" s="1"/>
      <c r="H12" s="1"/>
      <c r="I12" s="1"/>
      <c r="J12" s="1">
        <f t="shared" si="1"/>
        <v>0</v>
      </c>
      <c r="K12" s="1"/>
      <c r="L12" s="1"/>
      <c r="M12" s="1">
        <f t="shared" si="2"/>
        <v>0</v>
      </c>
    </row>
    <row r="13" spans="2:13" x14ac:dyDescent="0.3">
      <c r="C13" s="1" t="s">
        <v>78</v>
      </c>
      <c r="D13" s="1">
        <v>3.15</v>
      </c>
      <c r="E13" s="1">
        <v>3.8</v>
      </c>
      <c r="F13" s="1">
        <f t="shared" si="0"/>
        <v>11.969999999999999</v>
      </c>
      <c r="G13" s="1" t="s">
        <v>92</v>
      </c>
      <c r="H13" s="1"/>
      <c r="I13" s="1"/>
      <c r="J13" s="1">
        <f t="shared" si="1"/>
        <v>0</v>
      </c>
      <c r="K13" s="1"/>
      <c r="L13" s="1"/>
      <c r="M13" s="1">
        <f t="shared" si="2"/>
        <v>0</v>
      </c>
    </row>
    <row r="14" spans="2:13" x14ac:dyDescent="0.3">
      <c r="C14" s="1"/>
      <c r="D14" s="1">
        <v>3.26</v>
      </c>
      <c r="E14" s="1">
        <v>3.8</v>
      </c>
      <c r="F14" s="1">
        <f t="shared" si="0"/>
        <v>12.387999999999998</v>
      </c>
      <c r="G14" s="1" t="s">
        <v>93</v>
      </c>
      <c r="H14" s="1"/>
      <c r="I14" s="1"/>
      <c r="J14" s="1">
        <f t="shared" si="1"/>
        <v>0</v>
      </c>
      <c r="K14" s="1"/>
      <c r="L14" s="1"/>
      <c r="M14" s="1">
        <f t="shared" si="2"/>
        <v>0</v>
      </c>
    </row>
    <row r="15" spans="2:13" x14ac:dyDescent="0.3">
      <c r="C15" s="1"/>
      <c r="D15" s="1"/>
      <c r="E15" s="1"/>
      <c r="F15" s="1">
        <f t="shared" si="0"/>
        <v>0</v>
      </c>
      <c r="G15" s="1"/>
      <c r="H15" s="1"/>
      <c r="I15" s="1"/>
      <c r="J15" s="1">
        <f t="shared" si="1"/>
        <v>0</v>
      </c>
      <c r="K15" s="1"/>
      <c r="L15" s="1"/>
      <c r="M15" s="1">
        <f t="shared" si="2"/>
        <v>0</v>
      </c>
    </row>
    <row r="16" spans="2:13" x14ac:dyDescent="0.3">
      <c r="C16" s="1"/>
      <c r="D16" s="1"/>
      <c r="E16" s="1"/>
      <c r="F16" s="1">
        <f t="shared" si="0"/>
        <v>0</v>
      </c>
      <c r="G16" s="1"/>
      <c r="H16" s="1"/>
      <c r="I16" s="1"/>
      <c r="J16" s="1">
        <f t="shared" si="1"/>
        <v>0</v>
      </c>
      <c r="K16" s="1"/>
      <c r="L16" s="1"/>
      <c r="M16" s="1">
        <f t="shared" si="2"/>
        <v>0</v>
      </c>
    </row>
    <row r="17" spans="3:13" x14ac:dyDescent="0.3">
      <c r="C17" s="1" t="s">
        <v>79</v>
      </c>
      <c r="D17" s="1"/>
      <c r="E17" s="1"/>
      <c r="F17" s="1">
        <f t="shared" si="0"/>
        <v>0</v>
      </c>
      <c r="G17" s="1" t="s">
        <v>92</v>
      </c>
      <c r="H17" s="1"/>
      <c r="I17" s="1"/>
      <c r="J17" s="1">
        <f t="shared" si="1"/>
        <v>0</v>
      </c>
      <c r="K17" s="1"/>
      <c r="L17" s="1"/>
      <c r="M17" s="1">
        <f t="shared" si="2"/>
        <v>0</v>
      </c>
    </row>
    <row r="18" spans="3:13" x14ac:dyDescent="0.3">
      <c r="C18" s="1"/>
      <c r="D18" s="1"/>
      <c r="E18" s="1"/>
      <c r="F18" s="1">
        <f t="shared" si="0"/>
        <v>0</v>
      </c>
      <c r="G18" s="1" t="s">
        <v>93</v>
      </c>
      <c r="H18" s="1"/>
      <c r="I18" s="1"/>
      <c r="J18" s="1">
        <f t="shared" si="1"/>
        <v>0</v>
      </c>
      <c r="K18" s="1"/>
      <c r="L18" s="1"/>
      <c r="M18" s="1">
        <f t="shared" si="2"/>
        <v>0</v>
      </c>
    </row>
    <row r="19" spans="3:13" x14ac:dyDescent="0.3">
      <c r="C19" s="1"/>
      <c r="D19" s="1"/>
      <c r="E19" s="1"/>
      <c r="F19" s="1">
        <f t="shared" si="0"/>
        <v>0</v>
      </c>
      <c r="G19" s="1"/>
      <c r="H19" s="1"/>
      <c r="I19" s="1"/>
      <c r="J19" s="1">
        <f t="shared" si="1"/>
        <v>0</v>
      </c>
      <c r="K19" s="1"/>
      <c r="L19" s="1"/>
      <c r="M19" s="1">
        <f t="shared" si="2"/>
        <v>0</v>
      </c>
    </row>
    <row r="20" spans="3:13" x14ac:dyDescent="0.3">
      <c r="C20" s="1" t="s">
        <v>79</v>
      </c>
      <c r="D20" s="1"/>
      <c r="E20" s="1"/>
      <c r="F20" s="1">
        <f t="shared" si="0"/>
        <v>0</v>
      </c>
      <c r="G20" s="1" t="s">
        <v>92</v>
      </c>
      <c r="H20" s="1"/>
      <c r="I20" s="1"/>
      <c r="J20" s="1">
        <f t="shared" si="1"/>
        <v>0</v>
      </c>
      <c r="K20" s="1"/>
      <c r="L20" s="1"/>
      <c r="M20" s="1">
        <f t="shared" si="2"/>
        <v>0</v>
      </c>
    </row>
    <row r="21" spans="3:13" x14ac:dyDescent="0.3">
      <c r="C21" s="1"/>
      <c r="D21" s="1"/>
      <c r="E21" s="1"/>
      <c r="F21" s="1">
        <f t="shared" si="0"/>
        <v>0</v>
      </c>
      <c r="G21" s="1" t="s">
        <v>93</v>
      </c>
      <c r="H21" s="1"/>
      <c r="I21" s="1"/>
      <c r="J21" s="1">
        <f t="shared" si="1"/>
        <v>0</v>
      </c>
      <c r="K21" s="1"/>
      <c r="L21" s="1"/>
      <c r="M21" s="1">
        <f t="shared" si="2"/>
        <v>0</v>
      </c>
    </row>
    <row r="22" spans="3:13" x14ac:dyDescent="0.3">
      <c r="C22" s="1"/>
      <c r="D22" s="1"/>
      <c r="E22" s="1"/>
      <c r="F22" s="1">
        <f t="shared" si="0"/>
        <v>0</v>
      </c>
      <c r="G22" s="1"/>
      <c r="H22" s="1"/>
      <c r="I22" s="1"/>
      <c r="J22" s="1">
        <f t="shared" si="1"/>
        <v>0</v>
      </c>
      <c r="K22" s="1"/>
      <c r="L22" s="1"/>
      <c r="M22" s="1">
        <f t="shared" si="2"/>
        <v>0</v>
      </c>
    </row>
    <row r="23" spans="3:13" x14ac:dyDescent="0.3">
      <c r="C23" s="1" t="s">
        <v>85</v>
      </c>
      <c r="D23" s="1">
        <v>2.25</v>
      </c>
      <c r="E23" s="1">
        <v>1.38</v>
      </c>
      <c r="F23" s="1">
        <f t="shared" si="0"/>
        <v>3.1049999999999995</v>
      </c>
      <c r="G23" s="1" t="s">
        <v>94</v>
      </c>
      <c r="H23" s="1"/>
      <c r="I23" s="1"/>
      <c r="J23" s="1">
        <f t="shared" si="1"/>
        <v>0</v>
      </c>
      <c r="K23" s="1"/>
      <c r="L23" s="1"/>
      <c r="M23" s="1">
        <f t="shared" si="2"/>
        <v>0</v>
      </c>
    </row>
    <row r="24" spans="3:13" x14ac:dyDescent="0.3">
      <c r="C24" s="1" t="s">
        <v>86</v>
      </c>
      <c r="D24" s="1">
        <v>1.58</v>
      </c>
      <c r="E24" s="1">
        <v>2.5299999999999998</v>
      </c>
      <c r="F24" s="1">
        <f t="shared" si="0"/>
        <v>3.9973999999999998</v>
      </c>
      <c r="G24" s="1" t="s">
        <v>94</v>
      </c>
      <c r="H24" s="1"/>
      <c r="I24" s="1"/>
      <c r="J24" s="1">
        <f t="shared" si="1"/>
        <v>0</v>
      </c>
      <c r="K24" s="1"/>
      <c r="L24" s="1"/>
      <c r="M24" s="1">
        <f t="shared" si="2"/>
        <v>0</v>
      </c>
    </row>
    <row r="25" spans="3:13" x14ac:dyDescent="0.3">
      <c r="C25" s="1" t="s">
        <v>87</v>
      </c>
      <c r="D25" s="1"/>
      <c r="E25" s="1"/>
      <c r="F25" s="1">
        <f t="shared" si="0"/>
        <v>0</v>
      </c>
      <c r="G25" s="1" t="s">
        <v>94</v>
      </c>
      <c r="H25" s="1"/>
      <c r="I25" s="1"/>
      <c r="J25" s="1">
        <f t="shared" si="1"/>
        <v>0</v>
      </c>
      <c r="K25" s="1"/>
      <c r="L25" s="1"/>
      <c r="M25" s="1">
        <f t="shared" si="2"/>
        <v>0</v>
      </c>
    </row>
    <row r="26" spans="3:13" x14ac:dyDescent="0.3">
      <c r="C26" s="1"/>
      <c r="D26" s="1"/>
      <c r="E26" s="1"/>
      <c r="F26" s="1">
        <f t="shared" si="0"/>
        <v>0</v>
      </c>
      <c r="G26" s="1"/>
      <c r="H26" s="1"/>
      <c r="I26" s="1"/>
      <c r="J26" s="1">
        <f t="shared" si="1"/>
        <v>0</v>
      </c>
      <c r="K26" s="1"/>
      <c r="L26" s="1"/>
      <c r="M26" s="1">
        <f t="shared" si="2"/>
        <v>0</v>
      </c>
    </row>
    <row r="27" spans="3:13" x14ac:dyDescent="0.3">
      <c r="C27" s="1" t="s">
        <v>81</v>
      </c>
      <c r="D27" s="1">
        <v>1.5</v>
      </c>
      <c r="E27" s="1">
        <v>1</v>
      </c>
      <c r="F27" s="1">
        <f t="shared" si="0"/>
        <v>1.5</v>
      </c>
      <c r="G27" s="1"/>
      <c r="H27" s="1"/>
      <c r="I27" s="1"/>
      <c r="J27" s="1">
        <f t="shared" si="1"/>
        <v>0</v>
      </c>
      <c r="K27" s="1"/>
      <c r="L27" s="1"/>
      <c r="M27" s="1">
        <f t="shared" si="2"/>
        <v>0</v>
      </c>
    </row>
    <row r="28" spans="3:13" x14ac:dyDescent="0.3">
      <c r="C28" s="1" t="s">
        <v>82</v>
      </c>
      <c r="D28" s="1">
        <v>1.9</v>
      </c>
      <c r="E28" s="1">
        <v>1</v>
      </c>
      <c r="F28" s="1">
        <f t="shared" si="0"/>
        <v>1.9</v>
      </c>
      <c r="G28" s="1"/>
      <c r="H28" s="1"/>
      <c r="I28" s="1"/>
      <c r="J28" s="1">
        <f t="shared" si="1"/>
        <v>0</v>
      </c>
      <c r="K28" s="1"/>
      <c r="L28" s="1"/>
      <c r="M28" s="1">
        <f t="shared" si="2"/>
        <v>0</v>
      </c>
    </row>
    <row r="29" spans="3:13" x14ac:dyDescent="0.3">
      <c r="C29" s="1" t="s">
        <v>83</v>
      </c>
      <c r="D29" s="1"/>
      <c r="E29" s="1"/>
      <c r="F29" s="1">
        <f t="shared" si="0"/>
        <v>0</v>
      </c>
      <c r="G29" s="1"/>
      <c r="H29" s="1"/>
      <c r="I29" s="1"/>
      <c r="J29" s="1">
        <f t="shared" si="1"/>
        <v>0</v>
      </c>
      <c r="K29" s="1"/>
      <c r="L29" s="1"/>
      <c r="M29" s="1">
        <f t="shared" si="2"/>
        <v>0</v>
      </c>
    </row>
    <row r="30" spans="3:13" x14ac:dyDescent="0.3">
      <c r="C30" s="1" t="s">
        <v>133</v>
      </c>
      <c r="D30" s="1">
        <v>0.9</v>
      </c>
      <c r="E30" s="1">
        <v>2.35</v>
      </c>
      <c r="F30" s="1">
        <f t="shared" si="0"/>
        <v>2.1150000000000002</v>
      </c>
      <c r="G30" s="1"/>
      <c r="H30" s="1"/>
      <c r="I30" s="1"/>
      <c r="J30" s="1">
        <f>H30*I30</f>
        <v>0</v>
      </c>
      <c r="K30" s="1"/>
      <c r="L30" s="1"/>
      <c r="M30" s="1">
        <f>K30*L30</f>
        <v>0</v>
      </c>
    </row>
    <row r="31" spans="3:13" x14ac:dyDescent="0.3">
      <c r="C31" s="1"/>
      <c r="D31" s="1"/>
      <c r="E31" s="1"/>
      <c r="F31" s="1">
        <f t="shared" si="0"/>
        <v>0</v>
      </c>
      <c r="G31" s="1"/>
      <c r="H31" s="1"/>
      <c r="I31" s="1"/>
      <c r="J31" s="1">
        <f>H31*I31</f>
        <v>0</v>
      </c>
      <c r="K31" s="1"/>
      <c r="L31" s="1"/>
      <c r="M31" s="1">
        <f>K31*L31</f>
        <v>0</v>
      </c>
    </row>
    <row r="32" spans="3:13" x14ac:dyDescent="0.3">
      <c r="C32" s="1"/>
      <c r="D32" s="1"/>
      <c r="E32" s="1"/>
      <c r="F32" s="1">
        <f t="shared" si="0"/>
        <v>0</v>
      </c>
      <c r="G32" s="1"/>
      <c r="H32" s="1"/>
      <c r="I32" s="1"/>
      <c r="J32" s="1">
        <f>H32*I32</f>
        <v>0</v>
      </c>
      <c r="K32" s="1"/>
      <c r="L32" s="1"/>
      <c r="M32" s="1">
        <f>K32*L32</f>
        <v>0</v>
      </c>
    </row>
    <row r="33" spans="3:13" x14ac:dyDescent="0.3">
      <c r="C33" s="1"/>
      <c r="D33" s="1"/>
      <c r="E33" s="1"/>
      <c r="F33" s="1">
        <f t="shared" si="0"/>
        <v>0</v>
      </c>
      <c r="G33" s="1"/>
      <c r="H33" s="1"/>
      <c r="I33" s="1"/>
      <c r="J33" s="1">
        <f>H33*I33</f>
        <v>0</v>
      </c>
      <c r="K33" s="1"/>
      <c r="L33" s="1"/>
      <c r="M33" s="1">
        <f>K33*L33</f>
        <v>0</v>
      </c>
    </row>
    <row r="34" spans="3:13" x14ac:dyDescent="0.3">
      <c r="C34" s="1" t="s">
        <v>88</v>
      </c>
      <c r="D34" s="1"/>
      <c r="E34" s="1">
        <f>F34*10.764</f>
        <v>730.38368519999995</v>
      </c>
      <c r="F34" s="1">
        <f>SUM(F6:F33)</f>
        <v>67.854299999999995</v>
      </c>
      <c r="G34" s="1"/>
      <c r="H34" s="1"/>
      <c r="I34" s="1">
        <f>J34*10.764</f>
        <v>0</v>
      </c>
      <c r="J34" s="1">
        <f>SUM(J6:J33)</f>
        <v>0</v>
      </c>
      <c r="K34" s="1"/>
      <c r="L34" s="1">
        <f>M34*10.764</f>
        <v>0</v>
      </c>
      <c r="M34" s="1">
        <f>SUM(M6:M33)</f>
        <v>0</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3:M35"/>
  <sheetViews>
    <sheetView workbookViewId="0">
      <selection activeCell="G7" sqref="G7:G8"/>
    </sheetView>
  </sheetViews>
  <sheetFormatPr defaultRowHeight="14.4" x14ac:dyDescent="0.3"/>
  <sheetData>
    <row r="3" spans="2:13" x14ac:dyDescent="0.3">
      <c r="C3" s="4" t="s">
        <v>89</v>
      </c>
      <c r="D3" s="286"/>
      <c r="E3" s="286"/>
    </row>
    <row r="4" spans="2:13" x14ac:dyDescent="0.3">
      <c r="E4" s="3"/>
      <c r="F4" s="3"/>
      <c r="G4" s="3"/>
      <c r="H4" s="3"/>
      <c r="I4" s="3"/>
      <c r="J4" s="3"/>
    </row>
    <row r="5" spans="2:13" x14ac:dyDescent="0.3">
      <c r="B5" s="4" t="s">
        <v>90</v>
      </c>
      <c r="C5" s="2" t="s">
        <v>70</v>
      </c>
      <c r="D5" s="287" t="s">
        <v>71</v>
      </c>
      <c r="E5" s="287"/>
      <c r="F5" s="287"/>
      <c r="G5" s="5"/>
      <c r="H5" s="287" t="s">
        <v>72</v>
      </c>
      <c r="I5" s="287"/>
      <c r="J5" s="287"/>
      <c r="K5" s="287" t="s">
        <v>73</v>
      </c>
      <c r="L5" s="287"/>
      <c r="M5" s="287"/>
    </row>
    <row r="6" spans="2:13" x14ac:dyDescent="0.3">
      <c r="B6" s="4">
        <v>1</v>
      </c>
      <c r="C6" s="2"/>
      <c r="D6" s="2" t="s">
        <v>74</v>
      </c>
      <c r="E6" s="2" t="s">
        <v>75</v>
      </c>
      <c r="F6" s="2" t="s">
        <v>76</v>
      </c>
      <c r="G6" s="2"/>
      <c r="H6" s="2" t="s">
        <v>74</v>
      </c>
      <c r="I6" s="2" t="s">
        <v>75</v>
      </c>
      <c r="J6" s="2" t="s">
        <v>76</v>
      </c>
      <c r="K6" s="2" t="s">
        <v>74</v>
      </c>
      <c r="L6" s="2" t="s">
        <v>75</v>
      </c>
      <c r="M6" s="2" t="s">
        <v>76</v>
      </c>
    </row>
    <row r="7" spans="2:13" x14ac:dyDescent="0.3">
      <c r="C7" s="1" t="s">
        <v>77</v>
      </c>
      <c r="D7" s="1"/>
      <c r="E7" s="1"/>
      <c r="F7" s="1">
        <f>D7*E7</f>
        <v>0</v>
      </c>
      <c r="G7" s="1" t="s">
        <v>92</v>
      </c>
      <c r="H7" s="1"/>
      <c r="I7" s="1"/>
      <c r="J7" s="1">
        <f>H7*I7</f>
        <v>0</v>
      </c>
      <c r="K7" s="1"/>
      <c r="L7" s="1"/>
      <c r="M7" s="1">
        <f>K7*L7</f>
        <v>0</v>
      </c>
    </row>
    <row r="8" spans="2:13" x14ac:dyDescent="0.3">
      <c r="C8" s="1"/>
      <c r="D8" s="1"/>
      <c r="E8" s="1"/>
      <c r="F8" s="1">
        <f t="shared" ref="F8:F34" si="0">D8*E8</f>
        <v>0</v>
      </c>
      <c r="G8" s="1" t="s">
        <v>93</v>
      </c>
      <c r="H8" s="1"/>
      <c r="I8" s="1"/>
      <c r="J8" s="1">
        <f t="shared" ref="J8:J34" si="1">H8*I8</f>
        <v>0</v>
      </c>
      <c r="K8" s="1"/>
      <c r="L8" s="1"/>
      <c r="M8" s="1">
        <f t="shared" ref="M8:M34" si="2">K8*L8</f>
        <v>0</v>
      </c>
    </row>
    <row r="9" spans="2:13" x14ac:dyDescent="0.3">
      <c r="C9" s="1"/>
      <c r="D9" s="1"/>
      <c r="E9" s="1"/>
      <c r="F9" s="1">
        <f t="shared" si="0"/>
        <v>0</v>
      </c>
      <c r="G9" s="1"/>
      <c r="H9" s="1"/>
      <c r="I9" s="1"/>
      <c r="J9" s="1">
        <f t="shared" si="1"/>
        <v>0</v>
      </c>
      <c r="K9" s="1"/>
      <c r="L9" s="1"/>
      <c r="M9" s="1">
        <f t="shared" si="2"/>
        <v>0</v>
      </c>
    </row>
    <row r="10" spans="2:13" x14ac:dyDescent="0.3">
      <c r="C10" s="1" t="s">
        <v>80</v>
      </c>
      <c r="D10" s="1"/>
      <c r="E10" s="1"/>
      <c r="F10" s="1">
        <f t="shared" si="0"/>
        <v>0</v>
      </c>
      <c r="G10" s="1" t="s">
        <v>92</v>
      </c>
      <c r="H10" s="1"/>
      <c r="I10" s="1"/>
      <c r="J10" s="1">
        <f t="shared" si="1"/>
        <v>0</v>
      </c>
      <c r="K10" s="1"/>
      <c r="L10" s="1"/>
      <c r="M10" s="1">
        <f t="shared" si="2"/>
        <v>0</v>
      </c>
    </row>
    <row r="11" spans="2:13" x14ac:dyDescent="0.3">
      <c r="C11" s="1"/>
      <c r="D11" s="1"/>
      <c r="E11" s="1"/>
      <c r="F11" s="1">
        <f t="shared" si="0"/>
        <v>0</v>
      </c>
      <c r="G11" s="1" t="s">
        <v>93</v>
      </c>
      <c r="H11" s="1"/>
      <c r="I11" s="1"/>
      <c r="J11" s="1">
        <f t="shared" si="1"/>
        <v>0</v>
      </c>
      <c r="K11" s="1"/>
      <c r="L11" s="1"/>
      <c r="M11" s="1">
        <f t="shared" si="2"/>
        <v>0</v>
      </c>
    </row>
    <row r="12" spans="2:13" x14ac:dyDescent="0.3">
      <c r="C12" s="1"/>
      <c r="D12" s="1"/>
      <c r="E12" s="1"/>
      <c r="F12" s="1">
        <f t="shared" si="0"/>
        <v>0</v>
      </c>
      <c r="G12" s="1"/>
      <c r="H12" s="1"/>
      <c r="I12" s="1"/>
      <c r="J12" s="1">
        <f t="shared" si="1"/>
        <v>0</v>
      </c>
      <c r="K12" s="1"/>
      <c r="L12" s="1"/>
      <c r="M12" s="1">
        <f t="shared" si="2"/>
        <v>0</v>
      </c>
    </row>
    <row r="13" spans="2:13" x14ac:dyDescent="0.3">
      <c r="C13" s="1"/>
      <c r="D13" s="1"/>
      <c r="E13" s="1"/>
      <c r="F13" s="1">
        <f t="shared" si="0"/>
        <v>0</v>
      </c>
      <c r="G13" s="1"/>
      <c r="H13" s="1"/>
      <c r="I13" s="1"/>
      <c r="J13" s="1">
        <f t="shared" si="1"/>
        <v>0</v>
      </c>
      <c r="K13" s="1"/>
      <c r="L13" s="1"/>
      <c r="M13" s="1">
        <f t="shared" si="2"/>
        <v>0</v>
      </c>
    </row>
    <row r="14" spans="2:13" x14ac:dyDescent="0.3">
      <c r="C14" s="1" t="s">
        <v>78</v>
      </c>
      <c r="D14" s="1"/>
      <c r="E14" s="1"/>
      <c r="F14" s="1">
        <f t="shared" si="0"/>
        <v>0</v>
      </c>
      <c r="G14" s="1" t="s">
        <v>92</v>
      </c>
      <c r="H14" s="1"/>
      <c r="I14" s="1"/>
      <c r="J14" s="1">
        <f t="shared" si="1"/>
        <v>0</v>
      </c>
      <c r="K14" s="1"/>
      <c r="L14" s="1"/>
      <c r="M14" s="1">
        <f t="shared" si="2"/>
        <v>0</v>
      </c>
    </row>
    <row r="15" spans="2:13" x14ac:dyDescent="0.3">
      <c r="C15" s="1"/>
      <c r="D15" s="1"/>
      <c r="E15" s="1"/>
      <c r="F15" s="1">
        <f t="shared" si="0"/>
        <v>0</v>
      </c>
      <c r="G15" s="1" t="s">
        <v>93</v>
      </c>
      <c r="H15" s="1"/>
      <c r="I15" s="1"/>
      <c r="J15" s="1">
        <f t="shared" si="1"/>
        <v>0</v>
      </c>
      <c r="K15" s="1"/>
      <c r="L15" s="1"/>
      <c r="M15" s="1">
        <f t="shared" si="2"/>
        <v>0</v>
      </c>
    </row>
    <row r="16" spans="2:13" x14ac:dyDescent="0.3">
      <c r="C16" s="1"/>
      <c r="D16" s="1"/>
      <c r="E16" s="1"/>
      <c r="F16" s="1">
        <f t="shared" si="0"/>
        <v>0</v>
      </c>
      <c r="G16" s="1"/>
      <c r="H16" s="1"/>
      <c r="I16" s="1"/>
      <c r="J16" s="1">
        <f t="shared" si="1"/>
        <v>0</v>
      </c>
      <c r="K16" s="1"/>
      <c r="L16" s="1"/>
      <c r="M16" s="1">
        <f t="shared" si="2"/>
        <v>0</v>
      </c>
    </row>
    <row r="17" spans="3:13" x14ac:dyDescent="0.3">
      <c r="C17" s="1"/>
      <c r="D17" s="1"/>
      <c r="E17" s="1"/>
      <c r="F17" s="1">
        <f t="shared" si="0"/>
        <v>0</v>
      </c>
      <c r="G17" s="1"/>
      <c r="H17" s="1"/>
      <c r="I17" s="1"/>
      <c r="J17" s="1">
        <f t="shared" si="1"/>
        <v>0</v>
      </c>
      <c r="K17" s="1"/>
      <c r="L17" s="1"/>
      <c r="M17" s="1">
        <f t="shared" si="2"/>
        <v>0</v>
      </c>
    </row>
    <row r="18" spans="3:13" x14ac:dyDescent="0.3">
      <c r="C18" s="1" t="s">
        <v>79</v>
      </c>
      <c r="D18" s="1"/>
      <c r="E18" s="1"/>
      <c r="F18" s="1">
        <f t="shared" si="0"/>
        <v>0</v>
      </c>
      <c r="G18" s="1" t="s">
        <v>92</v>
      </c>
      <c r="H18" s="1"/>
      <c r="I18" s="1"/>
      <c r="J18" s="1">
        <f t="shared" si="1"/>
        <v>0</v>
      </c>
      <c r="K18" s="1"/>
      <c r="L18" s="1"/>
      <c r="M18" s="1">
        <f t="shared" si="2"/>
        <v>0</v>
      </c>
    </row>
    <row r="19" spans="3:13" x14ac:dyDescent="0.3">
      <c r="C19" s="1"/>
      <c r="D19" s="1"/>
      <c r="E19" s="1"/>
      <c r="F19" s="1">
        <f t="shared" si="0"/>
        <v>0</v>
      </c>
      <c r="G19" s="1" t="s">
        <v>93</v>
      </c>
      <c r="H19" s="1"/>
      <c r="I19" s="1"/>
      <c r="J19" s="1">
        <f t="shared" si="1"/>
        <v>0</v>
      </c>
      <c r="K19" s="1"/>
      <c r="L19" s="1"/>
      <c r="M19" s="1">
        <f t="shared" si="2"/>
        <v>0</v>
      </c>
    </row>
    <row r="20" spans="3:13" x14ac:dyDescent="0.3">
      <c r="C20" s="1"/>
      <c r="D20" s="1"/>
      <c r="E20" s="1"/>
      <c r="F20" s="1">
        <f t="shared" si="0"/>
        <v>0</v>
      </c>
      <c r="G20" s="1"/>
      <c r="H20" s="1"/>
      <c r="I20" s="1"/>
      <c r="J20" s="1">
        <f t="shared" si="1"/>
        <v>0</v>
      </c>
      <c r="K20" s="1"/>
      <c r="L20" s="1"/>
      <c r="M20" s="1">
        <f t="shared" si="2"/>
        <v>0</v>
      </c>
    </row>
    <row r="21" spans="3:13" x14ac:dyDescent="0.3">
      <c r="C21" s="1" t="s">
        <v>79</v>
      </c>
      <c r="D21" s="1"/>
      <c r="E21" s="1"/>
      <c r="F21" s="1">
        <f t="shared" si="0"/>
        <v>0</v>
      </c>
      <c r="G21" s="1" t="s">
        <v>92</v>
      </c>
      <c r="H21" s="1"/>
      <c r="I21" s="1"/>
      <c r="J21" s="1">
        <f t="shared" si="1"/>
        <v>0</v>
      </c>
      <c r="K21" s="1"/>
      <c r="L21" s="1"/>
      <c r="M21" s="1">
        <f t="shared" si="2"/>
        <v>0</v>
      </c>
    </row>
    <row r="22" spans="3:13" x14ac:dyDescent="0.3">
      <c r="C22" s="1"/>
      <c r="D22" s="1"/>
      <c r="E22" s="1"/>
      <c r="F22" s="1">
        <f t="shared" si="0"/>
        <v>0</v>
      </c>
      <c r="G22" s="1" t="s">
        <v>93</v>
      </c>
      <c r="H22" s="1"/>
      <c r="I22" s="1"/>
      <c r="J22" s="1">
        <f t="shared" si="1"/>
        <v>0</v>
      </c>
      <c r="K22" s="1"/>
      <c r="L22" s="1"/>
      <c r="M22" s="1">
        <f t="shared" si="2"/>
        <v>0</v>
      </c>
    </row>
    <row r="23" spans="3:13" x14ac:dyDescent="0.3">
      <c r="C23" s="1"/>
      <c r="D23" s="1"/>
      <c r="E23" s="1"/>
      <c r="F23" s="1">
        <f t="shared" si="0"/>
        <v>0</v>
      </c>
      <c r="G23" s="1"/>
      <c r="H23" s="1"/>
      <c r="I23" s="1"/>
      <c r="J23" s="1">
        <f t="shared" si="1"/>
        <v>0</v>
      </c>
      <c r="K23" s="1"/>
      <c r="L23" s="1"/>
      <c r="M23" s="1">
        <f t="shared" si="2"/>
        <v>0</v>
      </c>
    </row>
    <row r="24" spans="3:13" x14ac:dyDescent="0.3">
      <c r="C24" s="1" t="s">
        <v>85</v>
      </c>
      <c r="D24" s="1"/>
      <c r="E24" s="1"/>
      <c r="F24" s="1">
        <f t="shared" si="0"/>
        <v>0</v>
      </c>
      <c r="G24" s="1" t="s">
        <v>94</v>
      </c>
      <c r="H24" s="1"/>
      <c r="I24" s="1"/>
      <c r="J24" s="1">
        <f t="shared" si="1"/>
        <v>0</v>
      </c>
      <c r="K24" s="1"/>
      <c r="L24" s="1"/>
      <c r="M24" s="1">
        <f t="shared" si="2"/>
        <v>0</v>
      </c>
    </row>
    <row r="25" spans="3:13" x14ac:dyDescent="0.3">
      <c r="C25" s="1" t="s">
        <v>86</v>
      </c>
      <c r="D25" s="1"/>
      <c r="E25" s="1"/>
      <c r="F25" s="1">
        <f t="shared" si="0"/>
        <v>0</v>
      </c>
      <c r="G25" s="1" t="s">
        <v>94</v>
      </c>
      <c r="H25" s="1"/>
      <c r="I25" s="1"/>
      <c r="J25" s="1">
        <f t="shared" si="1"/>
        <v>0</v>
      </c>
      <c r="K25" s="1"/>
      <c r="L25" s="1"/>
      <c r="M25" s="1">
        <f t="shared" si="2"/>
        <v>0</v>
      </c>
    </row>
    <row r="26" spans="3:13" x14ac:dyDescent="0.3">
      <c r="C26" s="1" t="s">
        <v>87</v>
      </c>
      <c r="D26" s="1"/>
      <c r="E26" s="1"/>
      <c r="F26" s="1">
        <f t="shared" si="0"/>
        <v>0</v>
      </c>
      <c r="G26" s="1" t="s">
        <v>94</v>
      </c>
      <c r="H26" s="1"/>
      <c r="I26" s="1"/>
      <c r="J26" s="1">
        <f t="shared" si="1"/>
        <v>0</v>
      </c>
      <c r="K26" s="1"/>
      <c r="L26" s="1"/>
      <c r="M26" s="1">
        <f t="shared" si="2"/>
        <v>0</v>
      </c>
    </row>
    <row r="27" spans="3:13" x14ac:dyDescent="0.3">
      <c r="C27" s="1"/>
      <c r="D27" s="1"/>
      <c r="E27" s="1"/>
      <c r="F27" s="1">
        <f t="shared" si="0"/>
        <v>0</v>
      </c>
      <c r="G27" s="1"/>
      <c r="H27" s="1"/>
      <c r="I27" s="1"/>
      <c r="J27" s="1">
        <f t="shared" si="1"/>
        <v>0</v>
      </c>
      <c r="K27" s="1"/>
      <c r="L27" s="1"/>
      <c r="M27" s="1">
        <f t="shared" si="2"/>
        <v>0</v>
      </c>
    </row>
    <row r="28" spans="3:13" x14ac:dyDescent="0.3">
      <c r="C28" s="1" t="s">
        <v>81</v>
      </c>
      <c r="D28" s="1"/>
      <c r="E28" s="1"/>
      <c r="F28" s="1">
        <f t="shared" si="0"/>
        <v>0</v>
      </c>
      <c r="G28" s="1"/>
      <c r="H28" s="1"/>
      <c r="I28" s="1"/>
      <c r="J28" s="1">
        <f t="shared" si="1"/>
        <v>0</v>
      </c>
      <c r="K28" s="1"/>
      <c r="L28" s="1"/>
      <c r="M28" s="1">
        <f t="shared" si="2"/>
        <v>0</v>
      </c>
    </row>
    <row r="29" spans="3:13" x14ac:dyDescent="0.3">
      <c r="C29" s="1" t="s">
        <v>82</v>
      </c>
      <c r="D29" s="1"/>
      <c r="E29" s="1"/>
      <c r="F29" s="1">
        <f t="shared" si="0"/>
        <v>0</v>
      </c>
      <c r="G29" s="1"/>
      <c r="H29" s="1"/>
      <c r="I29" s="1"/>
      <c r="J29" s="1">
        <f t="shared" si="1"/>
        <v>0</v>
      </c>
      <c r="K29" s="1"/>
      <c r="L29" s="1"/>
      <c r="M29" s="1">
        <f t="shared" si="2"/>
        <v>0</v>
      </c>
    </row>
    <row r="30" spans="3:13" x14ac:dyDescent="0.3">
      <c r="C30" s="1" t="s">
        <v>83</v>
      </c>
      <c r="D30" s="1"/>
      <c r="E30" s="1"/>
      <c r="F30" s="1">
        <f t="shared" si="0"/>
        <v>0</v>
      </c>
      <c r="G30" s="1"/>
      <c r="H30" s="1"/>
      <c r="I30" s="1"/>
      <c r="J30" s="1">
        <f t="shared" si="1"/>
        <v>0</v>
      </c>
      <c r="K30" s="1"/>
      <c r="L30" s="1"/>
      <c r="M30" s="1">
        <f t="shared" si="2"/>
        <v>0</v>
      </c>
    </row>
    <row r="31" spans="3:13" x14ac:dyDescent="0.3">
      <c r="C31" s="1" t="s">
        <v>84</v>
      </c>
      <c r="D31" s="1"/>
      <c r="E31" s="1"/>
      <c r="F31" s="1">
        <f t="shared" si="0"/>
        <v>0</v>
      </c>
      <c r="G31" s="1"/>
      <c r="H31" s="1"/>
      <c r="I31" s="1"/>
      <c r="J31" s="1">
        <f t="shared" si="1"/>
        <v>0</v>
      </c>
      <c r="K31" s="1"/>
      <c r="L31" s="1"/>
      <c r="M31" s="1">
        <f t="shared" si="2"/>
        <v>0</v>
      </c>
    </row>
    <row r="32" spans="3:13" x14ac:dyDescent="0.3">
      <c r="C32" s="1"/>
      <c r="D32" s="1"/>
      <c r="E32" s="1"/>
      <c r="F32" s="1">
        <f t="shared" si="0"/>
        <v>0</v>
      </c>
      <c r="G32" s="1"/>
      <c r="H32" s="1"/>
      <c r="I32" s="1"/>
      <c r="J32" s="1">
        <f t="shared" si="1"/>
        <v>0</v>
      </c>
      <c r="K32" s="1"/>
      <c r="L32" s="1"/>
      <c r="M32" s="1">
        <f t="shared" si="2"/>
        <v>0</v>
      </c>
    </row>
    <row r="33" spans="3:13" x14ac:dyDescent="0.3">
      <c r="C33" s="1"/>
      <c r="D33" s="1"/>
      <c r="E33" s="1"/>
      <c r="F33" s="1">
        <f t="shared" si="0"/>
        <v>0</v>
      </c>
      <c r="G33" s="1"/>
      <c r="H33" s="1"/>
      <c r="I33" s="1"/>
      <c r="J33" s="1">
        <f t="shared" si="1"/>
        <v>0</v>
      </c>
      <c r="K33" s="1"/>
      <c r="L33" s="1"/>
      <c r="M33" s="1">
        <f t="shared" si="2"/>
        <v>0</v>
      </c>
    </row>
    <row r="34" spans="3:13" x14ac:dyDescent="0.3">
      <c r="C34" s="1"/>
      <c r="D34" s="1"/>
      <c r="E34" s="1"/>
      <c r="F34" s="1">
        <f t="shared" si="0"/>
        <v>0</v>
      </c>
      <c r="G34" s="1"/>
      <c r="H34" s="1"/>
      <c r="I34" s="1"/>
      <c r="J34" s="1">
        <f t="shared" si="1"/>
        <v>0</v>
      </c>
      <c r="K34" s="1"/>
      <c r="L34" s="1"/>
      <c r="M34" s="1">
        <f t="shared" si="2"/>
        <v>0</v>
      </c>
    </row>
    <row r="35" spans="3:13" x14ac:dyDescent="0.3">
      <c r="C35" s="1" t="s">
        <v>88</v>
      </c>
      <c r="D35" s="1"/>
      <c r="E35" s="1">
        <f>F35*10.764</f>
        <v>0</v>
      </c>
      <c r="F35" s="1">
        <f>SUM(F7:F34)</f>
        <v>0</v>
      </c>
      <c r="G35" s="1"/>
      <c r="H35" s="1"/>
      <c r="I35" s="1">
        <f>J35*10.764</f>
        <v>0</v>
      </c>
      <c r="J35" s="1">
        <f>SUM(J7:J34)</f>
        <v>0</v>
      </c>
      <c r="K35" s="1"/>
      <c r="L35" s="1">
        <f>M35*10.764</f>
        <v>0</v>
      </c>
      <c r="M35" s="1">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C3:N35"/>
  <sheetViews>
    <sheetView topLeftCell="A4" workbookViewId="0">
      <selection activeCell="E15" sqref="E15"/>
    </sheetView>
  </sheetViews>
  <sheetFormatPr defaultRowHeight="14.4" x14ac:dyDescent="0.3"/>
  <sheetData>
    <row r="3" spans="3:14" x14ac:dyDescent="0.3">
      <c r="D3" s="4" t="s">
        <v>89</v>
      </c>
      <c r="E3" s="286"/>
      <c r="F3" s="286"/>
    </row>
    <row r="4" spans="3:14" x14ac:dyDescent="0.3">
      <c r="F4" s="3"/>
      <c r="G4" s="3"/>
      <c r="H4" s="3"/>
      <c r="I4" s="3"/>
      <c r="J4" s="3"/>
      <c r="K4" s="3"/>
    </row>
    <row r="5" spans="3:14" x14ac:dyDescent="0.3">
      <c r="C5" s="4" t="s">
        <v>90</v>
      </c>
      <c r="D5" s="2" t="s">
        <v>70</v>
      </c>
      <c r="E5" s="287" t="s">
        <v>71</v>
      </c>
      <c r="F5" s="287"/>
      <c r="G5" s="287"/>
      <c r="H5" s="5"/>
      <c r="I5" s="287" t="s">
        <v>72</v>
      </c>
      <c r="J5" s="287"/>
      <c r="K5" s="287"/>
      <c r="L5" s="287" t="s">
        <v>73</v>
      </c>
      <c r="M5" s="287"/>
      <c r="N5" s="287"/>
    </row>
    <row r="6" spans="3:14" x14ac:dyDescent="0.3">
      <c r="C6" s="4">
        <v>1</v>
      </c>
      <c r="D6" s="2"/>
      <c r="E6" s="2" t="s">
        <v>74</v>
      </c>
      <c r="F6" s="2" t="s">
        <v>75</v>
      </c>
      <c r="G6" s="2" t="s">
        <v>76</v>
      </c>
      <c r="H6" s="2"/>
      <c r="I6" s="2" t="s">
        <v>74</v>
      </c>
      <c r="J6" s="2" t="s">
        <v>75</v>
      </c>
      <c r="K6" s="2" t="s">
        <v>76</v>
      </c>
      <c r="L6" s="2" t="s">
        <v>74</v>
      </c>
      <c r="M6" s="2" t="s">
        <v>75</v>
      </c>
      <c r="N6" s="2" t="s">
        <v>76</v>
      </c>
    </row>
    <row r="7" spans="3:14" x14ac:dyDescent="0.3">
      <c r="D7" s="1" t="s">
        <v>77</v>
      </c>
      <c r="E7" s="1">
        <v>3.13</v>
      </c>
      <c r="F7" s="1">
        <v>4.96</v>
      </c>
      <c r="G7" s="1">
        <f>E7*F7</f>
        <v>15.524799999999999</v>
      </c>
      <c r="H7" s="1" t="s">
        <v>92</v>
      </c>
      <c r="I7" s="1"/>
      <c r="J7" s="1"/>
      <c r="K7" s="1">
        <f>I7*J7</f>
        <v>0</v>
      </c>
      <c r="L7" s="1"/>
      <c r="M7" s="1"/>
      <c r="N7" s="1">
        <f>L7*M7</f>
        <v>0</v>
      </c>
    </row>
    <row r="8" spans="3:14" x14ac:dyDescent="0.3">
      <c r="D8" s="1"/>
      <c r="E8" s="1">
        <v>1.2</v>
      </c>
      <c r="F8" s="1">
        <v>2.4500000000000002</v>
      </c>
      <c r="G8" s="1">
        <f t="shared" ref="G8:G34" si="0">E8*F8</f>
        <v>2.94</v>
      </c>
      <c r="H8" s="1" t="s">
        <v>93</v>
      </c>
      <c r="I8" s="1"/>
      <c r="J8" s="1"/>
      <c r="K8" s="1">
        <f t="shared" ref="K8:K34" si="1">I8*J8</f>
        <v>0</v>
      </c>
      <c r="L8" s="1"/>
      <c r="M8" s="1"/>
      <c r="N8" s="1">
        <f t="shared" ref="N8:N34" si="2">L8*M8</f>
        <v>0</v>
      </c>
    </row>
    <row r="9" spans="3:14" x14ac:dyDescent="0.3">
      <c r="D9" s="1"/>
      <c r="E9" s="1">
        <v>2.9</v>
      </c>
      <c r="F9" s="1">
        <v>2.19</v>
      </c>
      <c r="G9" s="1">
        <f t="shared" si="0"/>
        <v>6.351</v>
      </c>
      <c r="H9" s="1"/>
      <c r="I9" s="1"/>
      <c r="J9" s="1"/>
      <c r="K9" s="1">
        <f t="shared" si="1"/>
        <v>0</v>
      </c>
      <c r="L9" s="1"/>
      <c r="M9" s="1"/>
      <c r="N9" s="1">
        <f t="shared" si="2"/>
        <v>0</v>
      </c>
    </row>
    <row r="10" spans="3:14" x14ac:dyDescent="0.3">
      <c r="D10" s="1" t="s">
        <v>80</v>
      </c>
      <c r="E10" s="1">
        <v>2.38</v>
      </c>
      <c r="F10" s="1">
        <v>0.9</v>
      </c>
      <c r="G10" s="1">
        <f t="shared" si="0"/>
        <v>2.1419999999999999</v>
      </c>
      <c r="H10" s="1" t="s">
        <v>92</v>
      </c>
      <c r="I10" s="1"/>
      <c r="J10" s="1"/>
      <c r="K10" s="1">
        <f t="shared" si="1"/>
        <v>0</v>
      </c>
      <c r="L10" s="1"/>
      <c r="M10" s="1"/>
      <c r="N10" s="1">
        <f t="shared" si="2"/>
        <v>0</v>
      </c>
    </row>
    <row r="11" spans="3:14" x14ac:dyDescent="0.3">
      <c r="D11" s="1"/>
      <c r="E11" s="1">
        <v>0.9</v>
      </c>
      <c r="F11" s="1">
        <v>0.9</v>
      </c>
      <c r="G11" s="1">
        <f t="shared" si="0"/>
        <v>0.81</v>
      </c>
      <c r="H11" s="1" t="s">
        <v>93</v>
      </c>
      <c r="I11" s="1"/>
      <c r="J11" s="1"/>
      <c r="K11" s="1">
        <f t="shared" si="1"/>
        <v>0</v>
      </c>
      <c r="L11" s="1"/>
      <c r="M11" s="1"/>
      <c r="N11" s="1">
        <f t="shared" si="2"/>
        <v>0</v>
      </c>
    </row>
    <row r="12" spans="3:14" x14ac:dyDescent="0.3">
      <c r="D12" s="1"/>
      <c r="E12" s="1">
        <v>2.2999999999999998</v>
      </c>
      <c r="F12" s="1">
        <v>1.38</v>
      </c>
      <c r="G12" s="1">
        <f t="shared" si="0"/>
        <v>3.1739999999999995</v>
      </c>
      <c r="H12" s="1"/>
      <c r="I12" s="1"/>
      <c r="J12" s="1"/>
      <c r="K12" s="1">
        <f t="shared" si="1"/>
        <v>0</v>
      </c>
      <c r="L12" s="1"/>
      <c r="M12" s="1"/>
      <c r="N12" s="1">
        <f t="shared" si="2"/>
        <v>0</v>
      </c>
    </row>
    <row r="13" spans="3:14" x14ac:dyDescent="0.3">
      <c r="D13" s="1"/>
      <c r="E13" s="1">
        <v>3.05</v>
      </c>
      <c r="F13" s="1">
        <v>4.4000000000000004</v>
      </c>
      <c r="G13" s="1">
        <f t="shared" si="0"/>
        <v>13.42</v>
      </c>
      <c r="H13" s="1"/>
      <c r="I13" s="1"/>
      <c r="J13" s="1"/>
      <c r="K13" s="1">
        <f t="shared" si="1"/>
        <v>0</v>
      </c>
      <c r="L13" s="1"/>
      <c r="M13" s="1"/>
      <c r="N13" s="1">
        <f t="shared" si="2"/>
        <v>0</v>
      </c>
    </row>
    <row r="14" spans="3:14" x14ac:dyDescent="0.3">
      <c r="D14" s="1" t="s">
        <v>78</v>
      </c>
      <c r="E14" s="1">
        <v>3.05</v>
      </c>
      <c r="F14" s="1">
        <v>3.35</v>
      </c>
      <c r="G14" s="1">
        <f t="shared" si="0"/>
        <v>10.217499999999999</v>
      </c>
      <c r="H14" s="1" t="s">
        <v>92</v>
      </c>
      <c r="I14" s="1"/>
      <c r="J14" s="1"/>
      <c r="K14" s="1">
        <f t="shared" si="1"/>
        <v>0</v>
      </c>
      <c r="L14" s="1"/>
      <c r="M14" s="1"/>
      <c r="N14" s="1">
        <f t="shared" si="2"/>
        <v>0</v>
      </c>
    </row>
    <row r="15" spans="3:14" x14ac:dyDescent="0.3">
      <c r="D15" s="1"/>
      <c r="E15" s="1"/>
      <c r="F15" s="1"/>
      <c r="G15" s="1">
        <f t="shared" si="0"/>
        <v>0</v>
      </c>
      <c r="H15" s="1" t="s">
        <v>93</v>
      </c>
      <c r="I15" s="1"/>
      <c r="J15" s="1"/>
      <c r="K15" s="1">
        <f t="shared" si="1"/>
        <v>0</v>
      </c>
      <c r="L15" s="1"/>
      <c r="M15" s="1"/>
      <c r="N15" s="1">
        <f t="shared" si="2"/>
        <v>0</v>
      </c>
    </row>
    <row r="16" spans="3:14" x14ac:dyDescent="0.3">
      <c r="D16" s="1"/>
      <c r="E16" s="1"/>
      <c r="F16" s="1"/>
      <c r="G16" s="1">
        <f t="shared" si="0"/>
        <v>0</v>
      </c>
      <c r="H16" s="1"/>
      <c r="I16" s="1"/>
      <c r="J16" s="1"/>
      <c r="K16" s="1">
        <f t="shared" si="1"/>
        <v>0</v>
      </c>
      <c r="L16" s="1"/>
      <c r="M16" s="1"/>
      <c r="N16" s="1">
        <f t="shared" si="2"/>
        <v>0</v>
      </c>
    </row>
    <row r="17" spans="4:14" x14ac:dyDescent="0.3">
      <c r="D17" s="1"/>
      <c r="E17" s="1"/>
      <c r="F17" s="1"/>
      <c r="G17" s="1">
        <f t="shared" si="0"/>
        <v>0</v>
      </c>
      <c r="H17" s="1"/>
      <c r="I17" s="1"/>
      <c r="J17" s="1"/>
      <c r="K17" s="1">
        <f t="shared" si="1"/>
        <v>0</v>
      </c>
      <c r="L17" s="1"/>
      <c r="M17" s="1"/>
      <c r="N17" s="1">
        <f t="shared" si="2"/>
        <v>0</v>
      </c>
    </row>
    <row r="18" spans="4:14" x14ac:dyDescent="0.3">
      <c r="D18" s="1" t="s">
        <v>79</v>
      </c>
      <c r="E18" s="1"/>
      <c r="F18" s="1"/>
      <c r="G18" s="1">
        <f t="shared" si="0"/>
        <v>0</v>
      </c>
      <c r="H18" s="1" t="s">
        <v>92</v>
      </c>
      <c r="I18" s="1"/>
      <c r="J18" s="1"/>
      <c r="K18" s="1">
        <f t="shared" si="1"/>
        <v>0</v>
      </c>
      <c r="L18" s="1"/>
      <c r="M18" s="1"/>
      <c r="N18" s="1">
        <f t="shared" si="2"/>
        <v>0</v>
      </c>
    </row>
    <row r="19" spans="4:14" x14ac:dyDescent="0.3">
      <c r="D19" s="1"/>
      <c r="E19" s="1"/>
      <c r="F19" s="1"/>
      <c r="G19" s="1">
        <f t="shared" si="0"/>
        <v>0</v>
      </c>
      <c r="H19" s="1" t="s">
        <v>93</v>
      </c>
      <c r="I19" s="1"/>
      <c r="J19" s="1"/>
      <c r="K19" s="1">
        <f t="shared" si="1"/>
        <v>0</v>
      </c>
      <c r="L19" s="1"/>
      <c r="M19" s="1"/>
      <c r="N19" s="1">
        <f t="shared" si="2"/>
        <v>0</v>
      </c>
    </row>
    <row r="20" spans="4:14" x14ac:dyDescent="0.3">
      <c r="D20" s="1"/>
      <c r="E20" s="1"/>
      <c r="F20" s="1"/>
      <c r="G20" s="1">
        <f t="shared" si="0"/>
        <v>0</v>
      </c>
      <c r="H20" s="1"/>
      <c r="I20" s="1"/>
      <c r="J20" s="1"/>
      <c r="K20" s="1">
        <f t="shared" si="1"/>
        <v>0</v>
      </c>
      <c r="L20" s="1"/>
      <c r="M20" s="1"/>
      <c r="N20" s="1">
        <f t="shared" si="2"/>
        <v>0</v>
      </c>
    </row>
    <row r="21" spans="4:14" x14ac:dyDescent="0.3">
      <c r="D21" s="1" t="s">
        <v>79</v>
      </c>
      <c r="E21" s="1"/>
      <c r="F21" s="1"/>
      <c r="G21" s="1">
        <f t="shared" si="0"/>
        <v>0</v>
      </c>
      <c r="H21" s="1" t="s">
        <v>92</v>
      </c>
      <c r="I21" s="1"/>
      <c r="J21" s="1"/>
      <c r="K21" s="1">
        <f t="shared" si="1"/>
        <v>0</v>
      </c>
      <c r="L21" s="1"/>
      <c r="M21" s="1"/>
      <c r="N21" s="1">
        <f t="shared" si="2"/>
        <v>0</v>
      </c>
    </row>
    <row r="22" spans="4:14" x14ac:dyDescent="0.3">
      <c r="D22" s="1"/>
      <c r="E22" s="1"/>
      <c r="F22" s="1"/>
      <c r="G22" s="1">
        <f t="shared" si="0"/>
        <v>0</v>
      </c>
      <c r="H22" s="1" t="s">
        <v>93</v>
      </c>
      <c r="I22" s="1"/>
      <c r="J22" s="1"/>
      <c r="K22" s="1">
        <f t="shared" si="1"/>
        <v>0</v>
      </c>
      <c r="L22" s="1"/>
      <c r="M22" s="1"/>
      <c r="N22" s="1">
        <f t="shared" si="2"/>
        <v>0</v>
      </c>
    </row>
    <row r="23" spans="4:14" x14ac:dyDescent="0.3">
      <c r="D23" s="1"/>
      <c r="E23" s="1"/>
      <c r="F23" s="1"/>
      <c r="G23" s="1">
        <f t="shared" si="0"/>
        <v>0</v>
      </c>
      <c r="H23" s="1"/>
      <c r="I23" s="1"/>
      <c r="J23" s="1"/>
      <c r="K23" s="1">
        <f t="shared" si="1"/>
        <v>0</v>
      </c>
      <c r="L23" s="1"/>
      <c r="M23" s="1"/>
      <c r="N23" s="1">
        <f t="shared" si="2"/>
        <v>0</v>
      </c>
    </row>
    <row r="24" spans="4:14" x14ac:dyDescent="0.3">
      <c r="D24" s="1" t="s">
        <v>85</v>
      </c>
      <c r="E24" s="1"/>
      <c r="F24" s="1"/>
      <c r="G24" s="1">
        <f t="shared" si="0"/>
        <v>0</v>
      </c>
      <c r="H24" s="1" t="s">
        <v>94</v>
      </c>
      <c r="I24" s="1"/>
      <c r="J24" s="1"/>
      <c r="K24" s="1">
        <f t="shared" si="1"/>
        <v>0</v>
      </c>
      <c r="L24" s="1"/>
      <c r="M24" s="1"/>
      <c r="N24" s="1">
        <f t="shared" si="2"/>
        <v>0</v>
      </c>
    </row>
    <row r="25" spans="4:14" x14ac:dyDescent="0.3">
      <c r="D25" s="1" t="s">
        <v>86</v>
      </c>
      <c r="E25" s="1"/>
      <c r="F25" s="1"/>
      <c r="G25" s="1">
        <f t="shared" si="0"/>
        <v>0</v>
      </c>
      <c r="H25" s="1" t="s">
        <v>94</v>
      </c>
      <c r="I25" s="1"/>
      <c r="J25" s="1"/>
      <c r="K25" s="1">
        <f t="shared" si="1"/>
        <v>0</v>
      </c>
      <c r="L25" s="1"/>
      <c r="M25" s="1"/>
      <c r="N25" s="1">
        <f t="shared" si="2"/>
        <v>0</v>
      </c>
    </row>
    <row r="26" spans="4:14" x14ac:dyDescent="0.3">
      <c r="D26" s="1" t="s">
        <v>87</v>
      </c>
      <c r="E26" s="1"/>
      <c r="F26" s="1"/>
      <c r="G26" s="1">
        <f t="shared" si="0"/>
        <v>0</v>
      </c>
      <c r="H26" s="1" t="s">
        <v>94</v>
      </c>
      <c r="I26" s="1"/>
      <c r="J26" s="1"/>
      <c r="K26" s="1">
        <f t="shared" si="1"/>
        <v>0</v>
      </c>
      <c r="L26" s="1"/>
      <c r="M26" s="1"/>
      <c r="N26" s="1">
        <f t="shared" si="2"/>
        <v>0</v>
      </c>
    </row>
    <row r="27" spans="4:14" x14ac:dyDescent="0.3">
      <c r="D27" s="1"/>
      <c r="E27" s="1"/>
      <c r="F27" s="1"/>
      <c r="G27" s="1">
        <f t="shared" si="0"/>
        <v>0</v>
      </c>
      <c r="H27" s="1"/>
      <c r="I27" s="1"/>
      <c r="J27" s="1"/>
      <c r="K27" s="1">
        <f t="shared" si="1"/>
        <v>0</v>
      </c>
      <c r="L27" s="1"/>
      <c r="M27" s="1"/>
      <c r="N27" s="1">
        <f t="shared" si="2"/>
        <v>0</v>
      </c>
    </row>
    <row r="28" spans="4:14" x14ac:dyDescent="0.3">
      <c r="D28" s="1" t="s">
        <v>81</v>
      </c>
      <c r="E28" s="1"/>
      <c r="F28" s="1"/>
      <c r="G28" s="1">
        <f t="shared" si="0"/>
        <v>0</v>
      </c>
      <c r="H28" s="1"/>
      <c r="I28" s="1"/>
      <c r="J28" s="1"/>
      <c r="K28" s="1">
        <f t="shared" si="1"/>
        <v>0</v>
      </c>
      <c r="L28" s="1"/>
      <c r="M28" s="1"/>
      <c r="N28" s="1">
        <f t="shared" si="2"/>
        <v>0</v>
      </c>
    </row>
    <row r="29" spans="4:14" x14ac:dyDescent="0.3">
      <c r="D29" s="1" t="s">
        <v>82</v>
      </c>
      <c r="E29" s="1"/>
      <c r="F29" s="1"/>
      <c r="G29" s="1">
        <f t="shared" si="0"/>
        <v>0</v>
      </c>
      <c r="H29" s="1"/>
      <c r="I29" s="1"/>
      <c r="J29" s="1"/>
      <c r="K29" s="1">
        <f t="shared" si="1"/>
        <v>0</v>
      </c>
      <c r="L29" s="1"/>
      <c r="M29" s="1"/>
      <c r="N29" s="1">
        <f t="shared" si="2"/>
        <v>0</v>
      </c>
    </row>
    <row r="30" spans="4:14" x14ac:dyDescent="0.3">
      <c r="D30" s="1" t="s">
        <v>83</v>
      </c>
      <c r="E30" s="1"/>
      <c r="F30" s="1"/>
      <c r="G30" s="1">
        <f t="shared" si="0"/>
        <v>0</v>
      </c>
      <c r="H30" s="1"/>
      <c r="I30" s="1"/>
      <c r="J30" s="1"/>
      <c r="K30" s="1">
        <f t="shared" si="1"/>
        <v>0</v>
      </c>
      <c r="L30" s="1"/>
      <c r="M30" s="1"/>
      <c r="N30" s="1">
        <f t="shared" si="2"/>
        <v>0</v>
      </c>
    </row>
    <row r="31" spans="4:14" x14ac:dyDescent="0.3">
      <c r="D31" s="1" t="s">
        <v>84</v>
      </c>
      <c r="E31" s="1"/>
      <c r="F31" s="1"/>
      <c r="G31" s="1">
        <f t="shared" si="0"/>
        <v>0</v>
      </c>
      <c r="H31" s="1"/>
      <c r="I31" s="1"/>
      <c r="J31" s="1"/>
      <c r="K31" s="1">
        <f t="shared" si="1"/>
        <v>0</v>
      </c>
      <c r="L31" s="1"/>
      <c r="M31" s="1"/>
      <c r="N31" s="1">
        <f t="shared" si="2"/>
        <v>0</v>
      </c>
    </row>
    <row r="32" spans="4:14" x14ac:dyDescent="0.3">
      <c r="D32" s="1"/>
      <c r="E32" s="1"/>
      <c r="F32" s="1"/>
      <c r="G32" s="1">
        <f t="shared" si="0"/>
        <v>0</v>
      </c>
      <c r="H32" s="1"/>
      <c r="I32" s="1"/>
      <c r="J32" s="1"/>
      <c r="K32" s="1">
        <f t="shared" si="1"/>
        <v>0</v>
      </c>
      <c r="L32" s="1"/>
      <c r="M32" s="1"/>
      <c r="N32" s="1">
        <f t="shared" si="2"/>
        <v>0</v>
      </c>
    </row>
    <row r="33" spans="4:14" x14ac:dyDescent="0.3">
      <c r="D33" s="1"/>
      <c r="E33" s="1"/>
      <c r="F33" s="1"/>
      <c r="G33" s="1">
        <f t="shared" si="0"/>
        <v>0</v>
      </c>
      <c r="H33" s="1"/>
      <c r="I33" s="1"/>
      <c r="J33" s="1"/>
      <c r="K33" s="1">
        <f t="shared" si="1"/>
        <v>0</v>
      </c>
      <c r="L33" s="1"/>
      <c r="M33" s="1"/>
      <c r="N33" s="1">
        <f t="shared" si="2"/>
        <v>0</v>
      </c>
    </row>
    <row r="34" spans="4:14" x14ac:dyDescent="0.3">
      <c r="D34" s="1"/>
      <c r="E34" s="1"/>
      <c r="F34" s="1"/>
      <c r="G34" s="1">
        <f t="shared" si="0"/>
        <v>0</v>
      </c>
      <c r="H34" s="1"/>
      <c r="I34" s="1"/>
      <c r="J34" s="1"/>
      <c r="K34" s="1">
        <f t="shared" si="1"/>
        <v>0</v>
      </c>
      <c r="L34" s="1"/>
      <c r="M34" s="1"/>
      <c r="N34" s="1">
        <f t="shared" si="2"/>
        <v>0</v>
      </c>
    </row>
    <row r="35" spans="4:14" x14ac:dyDescent="0.3">
      <c r="D35" s="1" t="s">
        <v>88</v>
      </c>
      <c r="E35" s="1"/>
      <c r="F35" s="1">
        <f>G35*10.764</f>
        <v>587.49158519999992</v>
      </c>
      <c r="G35" s="1">
        <f>SUM(G7:G34)</f>
        <v>54.579299999999996</v>
      </c>
      <c r="H35" s="1"/>
      <c r="I35" s="1"/>
      <c r="J35" s="1">
        <f>K35*10.764</f>
        <v>0</v>
      </c>
      <c r="K35" s="1">
        <f>SUM(K7:K34)</f>
        <v>0</v>
      </c>
      <c r="L35" s="1"/>
      <c r="M35" s="1">
        <f>N35*10.764</f>
        <v>0</v>
      </c>
      <c r="N35" s="1">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Note</vt:lpstr>
      <vt:lpstr>C %</vt:lpstr>
      <vt:lpstr>D %</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2025-08-30T07:31:29Z</cp:lastPrinted>
  <dcterms:created xsi:type="dcterms:W3CDTF">2013-11-23T05:32:33Z</dcterms:created>
  <dcterms:modified xsi:type="dcterms:W3CDTF">2025-08-30T07:31:31Z</dcterms:modified>
</cp:coreProperties>
</file>