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August 2025\30-08-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Report!$A$1:$H$362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2" i="1" l="1"/>
  <c r="A173" i="1" s="1"/>
  <c r="A174" i="1" s="1"/>
  <c r="I122" i="1"/>
  <c r="A164" i="1"/>
  <c r="A165" i="1" s="1"/>
  <c r="A166" i="1" s="1"/>
  <c r="A167" i="1" s="1"/>
  <c r="A168" i="1" s="1"/>
  <c r="A169" i="1" s="1"/>
  <c r="A170" i="1" s="1"/>
  <c r="E157" i="1"/>
  <c r="D157" i="1"/>
  <c r="E156" i="1"/>
  <c r="D156" i="1"/>
  <c r="E155" i="1"/>
  <c r="D155" i="1"/>
  <c r="E154" i="1"/>
  <c r="D154" i="1"/>
  <c r="E153" i="1"/>
  <c r="D153" i="1"/>
  <c r="E161" i="1"/>
  <c r="D161" i="1"/>
  <c r="E160" i="1"/>
  <c r="D160" i="1"/>
  <c r="E159" i="1"/>
  <c r="D159" i="1"/>
  <c r="E151" i="1"/>
  <c r="D151" i="1"/>
  <c r="E150" i="1"/>
  <c r="D150" i="1"/>
  <c r="E147" i="1"/>
  <c r="D147" i="1"/>
  <c r="E146" i="1"/>
  <c r="D146" i="1"/>
  <c r="E145" i="1"/>
  <c r="D145" i="1"/>
  <c r="E144" i="1"/>
  <c r="D144" i="1"/>
  <c r="E143" i="1"/>
  <c r="D143" i="1"/>
  <c r="E141" i="1"/>
  <c r="D141" i="1"/>
  <c r="E140" i="1"/>
  <c r="D140" i="1"/>
  <c r="E139" i="1"/>
  <c r="D139" i="1"/>
  <c r="E137" i="1"/>
  <c r="D137" i="1"/>
  <c r="E136" i="1"/>
  <c r="D136" i="1"/>
  <c r="E135" i="1"/>
  <c r="D135" i="1"/>
  <c r="E134" i="1"/>
  <c r="D134" i="1"/>
  <c r="E133" i="1"/>
  <c r="D133" i="1"/>
  <c r="D128" i="1"/>
  <c r="L116" i="1"/>
  <c r="L115" i="1"/>
  <c r="K115" i="1"/>
  <c r="K116" i="1"/>
  <c r="J116" i="1"/>
  <c r="J115" i="1"/>
  <c r="E43" i="1"/>
  <c r="E44" i="1" s="1"/>
  <c r="E45" i="1" s="1"/>
  <c r="I31" i="1"/>
  <c r="E131" i="1"/>
  <c r="D131" i="1"/>
  <c r="E130" i="1"/>
  <c r="D130" i="1"/>
  <c r="E129" i="1"/>
  <c r="D129" i="1"/>
  <c r="E128" i="1"/>
  <c r="E127" i="1"/>
  <c r="D127" i="1"/>
  <c r="E126" i="1"/>
  <c r="D126" i="1"/>
  <c r="E125" i="1"/>
  <c r="D125" i="1"/>
  <c r="E124" i="1"/>
  <c r="D124" i="1"/>
  <c r="F124" i="1" s="1"/>
  <c r="H124" i="1" s="1"/>
  <c r="K124" i="1" s="1"/>
  <c r="E123" i="1"/>
  <c r="D123" i="1"/>
  <c r="E119" i="1"/>
  <c r="D119" i="1"/>
  <c r="E118" i="1"/>
  <c r="D118" i="1"/>
  <c r="E117" i="1"/>
  <c r="D117" i="1"/>
  <c r="F117" i="1" s="1"/>
  <c r="H117" i="1" s="1"/>
  <c r="E116" i="1"/>
  <c r="D116" i="1"/>
  <c r="E115" i="1"/>
  <c r="D115" i="1"/>
  <c r="I106" i="1"/>
  <c r="I152" i="1"/>
  <c r="I142" i="1"/>
  <c r="I132" i="1"/>
  <c r="I112" i="1"/>
  <c r="A161" i="1"/>
  <c r="A154" i="1"/>
  <c r="A155" i="1" s="1"/>
  <c r="A156" i="1" s="1"/>
  <c r="A157" i="1" s="1"/>
  <c r="A151" i="1"/>
  <c r="A144" i="1"/>
  <c r="A145" i="1" s="1"/>
  <c r="A146" i="1" s="1"/>
  <c r="A147" i="1" s="1"/>
  <c r="A141" i="1"/>
  <c r="A134" i="1"/>
  <c r="A135" i="1" s="1"/>
  <c r="A136" i="1" s="1"/>
  <c r="A137" i="1" s="1"/>
  <c r="A131" i="1"/>
  <c r="A124" i="1"/>
  <c r="A125" i="1" s="1"/>
  <c r="A126" i="1" s="1"/>
  <c r="A127" i="1" s="1"/>
  <c r="C102" i="1" l="1"/>
  <c r="A171" i="1"/>
  <c r="F155" i="1"/>
  <c r="H155" i="1" s="1"/>
  <c r="F130" i="1"/>
  <c r="H130" i="1" s="1"/>
  <c r="F118" i="1"/>
  <c r="H118" i="1" s="1"/>
  <c r="F125" i="1"/>
  <c r="H125" i="1" s="1"/>
  <c r="K125" i="1" s="1"/>
  <c r="F129" i="1"/>
  <c r="H129" i="1" s="1"/>
  <c r="F128" i="1"/>
  <c r="H128" i="1" s="1"/>
  <c r="K128" i="1" s="1"/>
  <c r="F119" i="1"/>
  <c r="H119" i="1" s="1"/>
  <c r="F139" i="1"/>
  <c r="H139" i="1" s="1"/>
  <c r="F156" i="1"/>
  <c r="H156" i="1" s="1"/>
  <c r="F133" i="1"/>
  <c r="H133" i="1" s="1"/>
  <c r="F157" i="1"/>
  <c r="H157" i="1" s="1"/>
  <c r="F123" i="1"/>
  <c r="H123" i="1" s="1"/>
  <c r="K123" i="1" s="1"/>
  <c r="F160" i="1"/>
  <c r="H160" i="1" s="1"/>
  <c r="C103" i="1"/>
  <c r="F127" i="1"/>
  <c r="H127" i="1" s="1"/>
  <c r="F159" i="1"/>
  <c r="H159" i="1" s="1"/>
  <c r="F131" i="1"/>
  <c r="H131" i="1" s="1"/>
  <c r="K131" i="1" s="1"/>
  <c r="F135" i="1"/>
  <c r="H135" i="1" s="1"/>
  <c r="F136" i="1"/>
  <c r="H136" i="1" s="1"/>
  <c r="F137" i="1"/>
  <c r="H137" i="1" s="1"/>
  <c r="F141" i="1"/>
  <c r="H141" i="1" s="1"/>
  <c r="F143" i="1"/>
  <c r="H143" i="1" s="1"/>
  <c r="F151" i="1"/>
  <c r="H151" i="1" s="1"/>
  <c r="F147" i="1"/>
  <c r="H147" i="1" s="1"/>
  <c r="F153" i="1"/>
  <c r="H153" i="1" s="1"/>
  <c r="F134" i="1"/>
  <c r="H134" i="1" s="1"/>
  <c r="F140" i="1"/>
  <c r="H140" i="1" s="1"/>
  <c r="F144" i="1"/>
  <c r="H144" i="1" s="1"/>
  <c r="F145" i="1"/>
  <c r="H145" i="1" s="1"/>
  <c r="F146" i="1"/>
  <c r="H146" i="1" s="1"/>
  <c r="F150" i="1"/>
  <c r="H150" i="1" s="1"/>
  <c r="F154" i="1"/>
  <c r="H154" i="1" s="1"/>
  <c r="F161" i="1"/>
  <c r="H161" i="1" s="1"/>
  <c r="F126" i="1"/>
  <c r="H126" i="1" s="1"/>
  <c r="A121" i="1"/>
  <c r="K127" i="1" l="1"/>
  <c r="O129" i="1"/>
  <c r="K126" i="1"/>
  <c r="O128" i="1"/>
  <c r="B38" i="6"/>
  <c r="B39" i="6" s="1"/>
  <c r="B40" i="6" s="1"/>
  <c r="B41" i="6" s="1"/>
  <c r="B42" i="6" s="1"/>
  <c r="B43" i="6" s="1"/>
  <c r="B44" i="6" s="1"/>
  <c r="B45" i="6" s="1"/>
  <c r="B46" i="6" s="1"/>
  <c r="B47" i="6" s="1"/>
  <c r="B48" i="6" s="1"/>
  <c r="B49" i="6" s="1"/>
  <c r="L41" i="7" l="1"/>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187" i="1"/>
  <c r="B164" i="1"/>
  <c r="F116" i="1"/>
  <c r="H116" i="1" s="1"/>
  <c r="F115" i="1"/>
  <c r="A114" i="1"/>
  <c r="A115" i="1" s="1"/>
  <c r="A116" i="1" s="1"/>
  <c r="A117" i="1" s="1"/>
  <c r="F99" i="1"/>
  <c r="C73" i="1"/>
  <c r="D67" i="1"/>
  <c r="G56" i="1"/>
  <c r="K54" i="1"/>
  <c r="G51" i="1"/>
  <c r="C51" i="1"/>
  <c r="S33" i="1"/>
  <c r="E28" i="1"/>
  <c r="E26" i="1"/>
  <c r="C16" i="1"/>
  <c r="I15" i="1"/>
  <c r="Z13" i="1"/>
  <c r="E8" i="1"/>
  <c r="E3" i="1"/>
  <c r="H74" i="1"/>
  <c r="E102" i="1" l="1"/>
  <c r="E103" i="1" s="1"/>
  <c r="E42" i="7"/>
  <c r="D42" i="7" s="1"/>
  <c r="H115" i="1"/>
  <c r="J81" i="1"/>
  <c r="J82" i="1"/>
  <c r="I42" i="7"/>
  <c r="H42" i="7" s="1"/>
  <c r="L42" i="7"/>
  <c r="K42" i="7" s="1"/>
  <c r="D82" i="1"/>
  <c r="J76" i="1"/>
  <c r="D81" i="1"/>
  <c r="D86" i="1"/>
  <c r="D80" i="1"/>
  <c r="D85" i="1"/>
  <c r="D79" i="1"/>
  <c r="J78" i="1"/>
  <c r="D84" i="1"/>
  <c r="D83" i="1"/>
  <c r="J77" i="1"/>
  <c r="C77" i="1" s="1"/>
  <c r="J73" i="1"/>
  <c r="J75" i="1" s="1"/>
  <c r="L54" i="1"/>
  <c r="J83" i="1"/>
  <c r="J84" i="1"/>
  <c r="I52" i="1"/>
  <c r="J79" i="1"/>
  <c r="J80" i="1" s="1"/>
  <c r="J85" i="1" s="1"/>
  <c r="J86" i="1" s="1"/>
  <c r="G102" i="1" l="1"/>
  <c r="G103" i="1" s="1"/>
  <c r="D44" i="7"/>
  <c r="E44" i="7"/>
  <c r="E77" i="1"/>
  <c r="D78" i="1"/>
  <c r="G77" i="1"/>
  <c r="D71" i="1" s="1"/>
  <c r="D77" i="1"/>
  <c r="I74" i="1" l="1"/>
  <c r="I75" i="1" s="1"/>
  <c r="J74" i="1"/>
  <c r="D72" i="1"/>
  <c r="F72" i="1"/>
  <c r="I73" i="1" l="1"/>
  <c r="C75"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07"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<sst xmlns="http://schemas.openxmlformats.org/spreadsheetml/2006/main" count="642" uniqueCount="429">
  <si>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</si>
  <si>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</si>
  <si>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</si>
  <si>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</si>
  <si>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</si>
  <si>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</si>
  <si>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</si>
  <si>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</si>
  <si>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</si>
  <si>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</si>
  <si>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</si>
  <si>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</si>
  <si>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</si>
  <si>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</si>
  <si>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</si>
  <si>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</si>
  <si>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</si>
  <si>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</si>
  <si>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</si>
  <si>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</si>
  <si>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</si>
  <si>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</si>
  <si>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</si>
  <si>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</si>
  <si>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</si>
  <si>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</si>
  <si>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</si>
  <si>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</si>
  <si>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</si>
  <si>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</si>
  <si>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</si>
  <si>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</si>
  <si>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</si>
  <si>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</si>
  <si>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</si>
  <si>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</si>
  <si>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</si>
  <si>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</si>
  <si>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</si>
  <si>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</si>
  <si>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</si>
  <si>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</si>
  <si>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</si>
  <si>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</si>
  <si>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</si>
  <si>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</si>
  <si>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</si>
  <si>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</si>
  <si>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</si>
  <si>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</si>
  <si>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</si>
  <si>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</si>
  <si>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</si>
  <si>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</si>
  <si>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</si>
  <si>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</si>
  <si>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</si>
  <si>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</si>
  <si>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</si>
  <si>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</si>
  <si>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</si>
  <si>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</si>
  <si>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</si>
  <si>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</si>
  <si>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</si>
  <si>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</si>
  <si>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</si>
  <si>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</si>
  <si>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</si>
  <si>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</si>
  <si>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</si>
  <si>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</si>
  <si>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</si>
  <si>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</si>
  <si>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</si>
  <si>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</si>
  <si>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</si>
  <si>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</si>
  <si>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</si>
  <si>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</si>
  <si>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</si>
  <si>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</si>
  <si>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</si>
  <si>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</si>
  <si>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</si>
  <si>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</si>
  <si>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</si>
  <si>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</si>
  <si>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</si>
  <si>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</si>
  <si>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</si>
  <si>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</si>
  <si>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</si>
  <si>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</si>
  <si>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</si>
  <si>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</si>
  <si>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</si>
  <si>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</si>
  <si>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</si>
  <si>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</si>
  <si>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</si>
  <si>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</si>
  <si>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</si>
  <si>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</si>
  <si>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</si>
  <si>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</si>
  <si>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</si>
  <si>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</si>
  <si>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</si>
  <si>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</si>
  <si>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</si>
  <si>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</si>
  <si>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</si>
  <si>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</si>
  <si>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</si>
  <si>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</si>
  <si>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</si>
  <si>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</si>
  <si>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</si>
  <si>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</si>
  <si>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</si>
  <si>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</si>
  <si>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</si>
  <si>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</si>
  <si>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</si>
  <si>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</si>
  <si>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</si>
  <si>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</si>
  <si>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</si>
  <si>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</si>
  <si>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</si>
  <si>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</si>
  <si>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</si>
  <si>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</si>
  <si>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</si>
  <si>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</si>
  <si>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</si>
  <si>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</si>
  <si>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</si>
  <si>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</si>
  <si>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</si>
  <si>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</si>
  <si>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</si>
  <si>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</si>
  <si>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</si>
  <si>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</si>
  <si>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Recommended rate should be considered as all inclusive rate if other charges are not mentioned. (Excluding GST &amp; other government Taxes)</t>
  </si>
  <si>
    <t xml:space="preserve">Commencement-CC No
Valid Up to: </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</si>
  <si>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</si>
  <si>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</si>
  <si>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</si>
  <si>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</si>
  <si>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</si>
  <si>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</si>
  <si>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</si>
  <si>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</si>
  <si>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</si>
  <si>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</si>
  <si>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</si>
  <si>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</si>
  <si>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</si>
  <si>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</si>
  <si>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</si>
  <si>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</si>
  <si>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</si>
  <si>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</si>
  <si>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</si>
  <si>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</si>
  <si>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</si>
  <si>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</si>
  <si>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</si>
  <si>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</si>
  <si>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</si>
  <si>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</si>
  <si>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</si>
  <si>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</si>
  <si>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</si>
  <si>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</si>
  <si>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</si>
  <si>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</si>
  <si>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</si>
  <si>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</si>
  <si>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</si>
  <si>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</si>
  <si>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</si>
  <si>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</si>
  <si>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</si>
  <si>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</si>
  <si>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</si>
  <si>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</si>
  <si>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</si>
  <si>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</si>
  <si>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</si>
  <si>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</si>
  <si>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</si>
  <si>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</si>
  <si>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</si>
  <si>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</si>
  <si>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</si>
  <si>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</si>
  <si>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</si>
  <si>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</si>
  <si>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</si>
  <si>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</si>
  <si>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</si>
  <si>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</si>
  <si>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</si>
  <si>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</si>
  <si>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</si>
  <si>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</si>
  <si>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</si>
  <si>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</si>
  <si>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</si>
  <si>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</si>
  <si>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</si>
  <si>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</si>
  <si>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</si>
  <si>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</si>
  <si>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</si>
  <si>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</si>
  <si>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</si>
  <si>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</si>
  <si>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</si>
  <si>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</si>
  <si>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</si>
  <si>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</si>
  <si>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</si>
  <si>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</si>
  <si>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</si>
  <si>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</si>
  <si>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</si>
  <si>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</si>
  <si>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</si>
  <si>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</si>
  <si>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</si>
  <si>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</si>
  <si>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</si>
  <si>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</si>
  <si>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</si>
  <si>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</si>
  <si>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</si>
  <si>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</si>
  <si>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</si>
  <si>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</si>
  <si>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</si>
  <si>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</si>
  <si>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</si>
  <si>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</si>
  <si>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</si>
  <si>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</si>
  <si>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</si>
  <si>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</si>
  <si>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</si>
  <si>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</si>
  <si>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</si>
  <si>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</si>
  <si>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</si>
  <si>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</si>
  <si>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</si>
  <si>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</si>
  <si>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</si>
  <si>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</si>
  <si>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</si>
  <si>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</si>
  <si>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</si>
  <si>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</si>
  <si>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</si>
  <si>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</si>
  <si>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</si>
  <si>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</si>
  <si>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</si>
  <si>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</si>
  <si>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</si>
  <si>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</si>
  <si>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</si>
  <si>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</si>
  <si>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</si>
  <si>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</si>
  <si>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</si>
  <si>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</si>
  <si>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</si>
  <si>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</si>
  <si>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</si>
  <si>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</si>
  <si>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</si>
  <si>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</si>
  <si>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</si>
  <si>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</si>
  <si>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</si>
  <si>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</si>
  <si>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</si>
  <si>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</si>
  <si>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</si>
  <si>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</si>
  <si>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</si>
  <si>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</si>
  <si>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</si>
  <si>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</si>
  <si>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</si>
  <si>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</si>
  <si>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</si>
  <si>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</si>
  <si>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</si>
  <si>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</si>
  <si>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</si>
  <si>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</si>
  <si>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</si>
  <si>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</si>
  <si>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</si>
  <si>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</si>
  <si>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</si>
  <si>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</si>
  <si>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</si>
  <si>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</si>
  <si>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</si>
  <si>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</si>
  <si>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</si>
  <si>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</si>
  <si>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</si>
  <si>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</si>
  <si>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</si>
  <si>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</si>
  <si>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</si>
  <si>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</si>
  <si>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</si>
  <si>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</si>
  <si>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</si>
  <si>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</si>
  <si>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SCL Kalyan</t>
  </si>
  <si>
    <t>SCL Badlapur</t>
  </si>
  <si>
    <t>SCL Vashi</t>
  </si>
  <si>
    <t>SCL Thane</t>
  </si>
  <si>
    <t>SCL Andheri</t>
  </si>
  <si>
    <t>SCL Borivali</t>
  </si>
  <si>
    <t>SCL Virar</t>
  </si>
  <si>
    <t>As per Approved Floor Plan, In C to E wing on Ground floor Shop No. 19 &amp; 20 are merged into single shop.</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</si>
  <si>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</si>
  <si>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</si>
  <si>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</si>
  <si>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</si>
  <si>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PNB Panvel</t>
  </si>
  <si>
    <t>Building Details Floor Wise</t>
  </si>
  <si>
    <t>Sammaan Capital Limited</t>
  </si>
  <si>
    <t>Thane Municipal Corporation (TMC)</t>
  </si>
  <si>
    <t>Construction stage is reduced due to revision in proposed structure of project.</t>
  </si>
  <si>
    <t>Construction percentage has been reduced due to the construction work being processed in two parts.</t>
  </si>
  <si>
    <t xml:space="preserve">The project has received CC on 07/06/2019, But construction work is not yet Completed. </t>
  </si>
  <si>
    <t>Some flats are occupied by tenants but finishing work is in process at the time of visit.</t>
  </si>
  <si>
    <t>The       project is not registered on RERA site, Beacause land area of project is less than 500 Sq.Mt</t>
  </si>
  <si>
    <t>As per site visit dtd.23/01/2025 we have observed that the construction work is not done as per approved floor plan. (Extra Terrace Area are Constructed for flats)
According to the approved 1st floor plan, terrace area is not attached to Flat No.3, 4 &amp; 5, But on site terrace area is already constructed.</t>
  </si>
  <si>
    <t>Remark No. 42 is resolved by corrigendum (i.e. correction letter) provided by authority regarding survey nos. letter attached below.</t>
  </si>
  <si>
    <t>As per approved Floor plans does not consist of Unit Numbering, We have considered unit numbering from sale plan provided by site meet person during site visit.</t>
  </si>
  <si>
    <t>As per New version of RERA portal project consist of single building - Hasha Heights
As per Old version of RERA portal project consist of Two buildings- Hasha Heights &amp; Kunti Heights</t>
  </si>
  <si>
    <t>Remark No.11 is solved. we were asked to follow the old version of RERA by the bank official builder letter provided on the mail is attached below.</t>
  </si>
  <si>
    <t xml:space="preserve">As per approved plan &amp; CC,  project consists of Survey No.40, H.No.2A, Plot No.3 &amp; 4.  
But as per RERA, project consists of Survey No.40/B, Plot No.3 &amp; 4.  </t>
  </si>
  <si>
    <t>Vishw apartment</t>
  </si>
  <si>
    <t>The approved large land parcel layout plan does not consist of survey number, therefore we have referred Survey No. from Title Certificate.</t>
  </si>
  <si>
    <t>As per the discussion with the bank official, Builder provided approved EC on whatsapp for a large land parcel.</t>
  </si>
  <si>
    <t>M/s. Purva Oak Private Limited</t>
  </si>
  <si>
    <t>Purva Panorama Tower C</t>
  </si>
  <si>
    <t>M/s. Bhavana More 9022995428</t>
  </si>
  <si>
    <t>Tower C</t>
  </si>
  <si>
    <t>P51700079811</t>
  </si>
  <si>
    <t>Survey No</t>
  </si>
  <si>
    <t>Kolshet</t>
  </si>
  <si>
    <t>Thane West</t>
  </si>
  <si>
    <t>19.245598,72.977006</t>
  </si>
  <si>
    <t>https://maps.app.goo.gl/myf3dnHV91osZYtf7</t>
  </si>
  <si>
    <t>Ghodbunder Road</t>
  </si>
  <si>
    <t>One Hiranandani Park</t>
  </si>
  <si>
    <t>Patlipada</t>
  </si>
  <si>
    <t>7.10 KM from Thane Railway Station</t>
  </si>
  <si>
    <t>6.0 M Wide Driveway</t>
  </si>
  <si>
    <t>15.0 M Wide Road</t>
  </si>
  <si>
    <t>Other Plot</t>
  </si>
  <si>
    <t>Open Plot</t>
  </si>
  <si>
    <t>TMCB/RB/2025/APL/00280</t>
  </si>
  <si>
    <t>1st Floor For Residential, Fitness Center, Creche, Play Area</t>
  </si>
  <si>
    <t>6A</t>
  </si>
  <si>
    <t>6B</t>
  </si>
  <si>
    <t>3BHK</t>
  </si>
  <si>
    <t>2BHK</t>
  </si>
  <si>
    <t>1BHK</t>
  </si>
  <si>
    <t xml:space="preserve">Fitness Center </t>
  </si>
  <si>
    <t>Creche</t>
  </si>
  <si>
    <t>Play Area</t>
  </si>
  <si>
    <t>Balcony Area</t>
  </si>
  <si>
    <t>Refuge Area</t>
  </si>
  <si>
    <t>Pump Room</t>
  </si>
  <si>
    <t>Fire Water Tank Area</t>
  </si>
  <si>
    <t>2nd to 5th, 7th to 9th, 11th to 14th, 18th to 19th &amp; 21st to 24th Floor</t>
  </si>
  <si>
    <t xml:space="preserve">Details of Residential in Building   </t>
  </si>
  <si>
    <r>
      <t xml:space="preserve">Flat No.
</t>
    </r>
    <r>
      <rPr>
        <b/>
        <sz val="11"/>
        <rFont val="Times New Roman"/>
        <family val="1"/>
      </rPr>
      <t>(Approved Plan)</t>
    </r>
  </si>
  <si>
    <t>We considered Gross carpet area = Net carpet + Balcony + Utility Area.</t>
  </si>
  <si>
    <t>Flats</t>
  </si>
  <si>
    <t>As per RERA - 31/03/2031</t>
  </si>
  <si>
    <t>Industrial Zone/30.0 M Wide Driveway</t>
  </si>
  <si>
    <t>Tower C = B + Lower Stilt + 1st Podium Floor + 2nd Service Floor + 1st to 24th Floor</t>
  </si>
  <si>
    <t>SNCR/WEST/B/111324/1347110</t>
  </si>
  <si>
    <t>Site Elevation = 24.65M
Permissible Top Elevation = 324.65M</t>
  </si>
  <si>
    <r>
      <t xml:space="preserve">Proposed Amenities :                                                                                                                                                                                                                         </t>
    </r>
    <r>
      <rPr>
        <b/>
        <sz val="12"/>
        <rFont val="Times New Roman"/>
        <family val="1"/>
      </rPr>
      <t xml:space="preserve">                                               </t>
    </r>
  </si>
  <si>
    <t>Ajay Sonagare</t>
  </si>
  <si>
    <t>EC &amp; FIRE NOC OF DIFFERENT BUILDINGS</t>
  </si>
  <si>
    <t>Swimming Pool,Clubhouse &amp; Lounge,Landscaped Gardens &amp; Green Spaces, Children's Play Area &amp; Kids’ Zone,Multi-Purpose Sports Court, Indoor Games Room etc.</t>
  </si>
  <si>
    <t>Residential</t>
  </si>
  <si>
    <t>Approved plans, CC &amp; Airport NOC</t>
  </si>
  <si>
    <t>99/2, 114/4 and 115/2</t>
  </si>
  <si>
    <t>Propose stucture given as per approved plan and Arch letter but as per website need to be change later</t>
  </si>
  <si>
    <t>Basement Floor For Parking</t>
  </si>
  <si>
    <t>Lower Stilt Floor For Entrance Lobby, Society Office, Meter Room, Drivers Room &amp; Parking</t>
  </si>
  <si>
    <t>1st Podium Floor For Parking</t>
  </si>
  <si>
    <t>Tower C = B + Gr + 1P + Service Floor + 1st to 24th Floor</t>
  </si>
  <si>
    <t>Service Floor (Between 1st Podium Floor &amp; 1st Residential Floor)</t>
  </si>
  <si>
    <t>1Room</t>
  </si>
  <si>
    <t>16th Floor (Part Fire Break Tank &amp; Pump Room Area)</t>
  </si>
  <si>
    <t>6th, 10th, 15th &amp; 20th Floor (Part Refuge Area)</t>
  </si>
  <si>
    <t>17th Floor (Part Fire Break Tank Area)</t>
  </si>
  <si>
    <t>As per approved floor plans In Tower C "17th Floor" plan is refleted twice.
On Sheet No. 03, In typical Floor Plan Flat No 6A is given for 1BHK Flat.
On Sheet No. 03, Seperate 17th Floor Plan Flat No 6A shown as Void (Water Tank Below)
Floor plan attached Below.
Therefore we have not mentioned any residential area on Tower C = 17th Floor.
Please Guide us in above Query.</t>
  </si>
  <si>
    <t xml:space="preserve">The provided Fire NOC is for Tower 6. 
Please provide Fire Noc For Tower C 
</t>
  </si>
  <si>
    <t xml:space="preserve">The provided EC is granted and given in the name of M/s Man Realty LTD for the project One Park Avenue. and the provided EC is approved for Tower No. 1 to 6.
Please provide EC for Tower C
</t>
  </si>
  <si>
    <t>Remark No. 11:</t>
  </si>
  <si>
    <t>Builder</t>
  </si>
  <si>
    <t>13000-14000</t>
  </si>
  <si>
    <t>15000-16000</t>
  </si>
  <si>
    <t>Flats - 197</t>
  </si>
  <si>
    <t>Approved area of building (Sq.Mt)
For Tower C</t>
  </si>
  <si>
    <t>Office No. 1031, Wing J, Akshar Business Park, Plot No. 03 Sector 25, Near APMC Market, Vashi, Navi Mumbai, Maharashtra 400703 TEL: 022-46090378/79/80
E mail : vsjcapf@gmail.com. Web site : www.vsjadon.com</t>
  </si>
  <si>
    <t>Pooja Kawale</t>
  </si>
  <si>
    <t>Construction work is in process at the time of Visit (Labour found).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</si>
</sst>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sz val="11"/>
      <color rgb="FFFF0000"/>
      <name val="Times New Roman"/>
      <family val="1"/>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196">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7" fillId="0" borderId="8" xfId="0" applyFont="1" applyBorder="1" applyProtection="1">
      <protection hidden="1"/>
    </xf>
    <xf numFmtId="0" fontId="5" fillId="0" borderId="1" xfId="1" applyFont="1" applyBorder="1" applyAlignment="1" applyProtection="1">
      <alignment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7" xfId="1" applyFont="1" applyBorder="1"/>
    <xf numFmtId="0" fontId="17" fillId="0" borderId="7" xfId="0" applyFont="1" applyBorder="1" applyProtection="1">
      <protection hidden="1"/>
    </xf>
    <xf numFmtId="1" fontId="0" fillId="0" borderId="7" xfId="0" applyNumberFormat="1" applyBorder="1"/>
    <xf numFmtId="1" fontId="0" fillId="0" borderId="7" xfId="0" applyNumberFormat="1" applyBorder="1" applyAlignment="1">
      <alignment horizontal="right"/>
    </xf>
    <xf numFmtId="1" fontId="0" fillId="0" borderId="9"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protection locked="0"/>
    </xf>
    <xf numFmtId="0" fontId="24" fillId="0" borderId="20" xfId="0" applyFont="1" applyBorder="1"/>
    <xf numFmtId="0" fontId="24" fillId="0" borderId="4" xfId="0" applyFont="1" applyBorder="1"/>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18" xfId="0" applyBorder="1"/>
    <xf numFmtId="0" fontId="0" fillId="0" borderId="5" xfId="0" applyBorder="1"/>
    <xf numFmtId="0" fontId="0" fillId="0" borderId="1" xfId="0" applyBorder="1" applyAlignment="1">
      <alignment vertical="top" wrapText="1"/>
    </xf>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11" fillId="0" borderId="1" xfId="1" applyFont="1" applyBorder="1"/>
    <xf numFmtId="0" fontId="6" fillId="0" borderId="1" xfId="1" applyFont="1" applyBorder="1"/>
    <xf numFmtId="0" fontId="0" fillId="0" borderId="5" xfId="0" applyBorder="1" applyAlignment="1">
      <alignment vertical="top"/>
    </xf>
    <xf numFmtId="0" fontId="0" fillId="0" borderId="18" xfId="0" applyBorder="1" applyAlignment="1">
      <alignment horizontal="center" vertical="top"/>
    </xf>
    <xf numFmtId="0" fontId="14" fillId="2" borderId="0" xfId="1" applyFont="1" applyFill="1"/>
    <xf numFmtId="14" fontId="11" fillId="0" borderId="0" xfId="1" applyNumberFormat="1" applyFont="1"/>
    <xf numFmtId="0" fontId="0" fillId="0" borderId="3" xfId="0" applyBorder="1" applyAlignment="1">
      <alignment vertical="top"/>
    </xf>
    <xf numFmtId="0" fontId="0" fillId="0" borderId="3" xfId="0" applyBorder="1" applyAlignment="1">
      <alignment wrapText="1"/>
    </xf>
    <xf numFmtId="0" fontId="0" fillId="0" borderId="18" xfId="0" applyBorder="1" applyAlignment="1">
      <alignment vertical="top"/>
    </xf>
    <xf numFmtId="0" fontId="0" fillId="0" borderId="19" xfId="0" applyBorder="1" applyAlignment="1">
      <alignment vertical="top" wrapText="1"/>
    </xf>
    <xf numFmtId="0" fontId="0" fillId="0" borderId="21" xfId="0" applyBorder="1" applyAlignment="1">
      <alignment vertical="top"/>
    </xf>
    <xf numFmtId="0" fontId="0" fillId="0" borderId="22" xfId="0" applyBorder="1" applyAlignment="1">
      <alignment vertical="top" wrapText="1"/>
    </xf>
    <xf numFmtId="0" fontId="0" fillId="0" borderId="23" xfId="0" applyBorder="1" applyAlignment="1">
      <alignment vertical="top"/>
    </xf>
    <xf numFmtId="0" fontId="0" fillId="0" borderId="9" xfId="0" applyBorder="1" applyAlignment="1">
      <alignment vertical="top" wrapText="1"/>
    </xf>
    <xf numFmtId="0" fontId="0" fillId="0" borderId="9" xfId="0" applyBorder="1" applyAlignment="1">
      <alignment vertical="top"/>
    </xf>
    <xf numFmtId="0" fontId="0" fillId="0" borderId="22" xfId="0" applyBorder="1" applyAlignment="1">
      <alignment horizontal="left" wrapText="1"/>
    </xf>
    <xf numFmtId="0" fontId="0" fillId="0" borderId="11" xfId="0" applyBorder="1" applyAlignment="1">
      <alignment vertical="top"/>
    </xf>
    <xf numFmtId="0" fontId="0" fillId="0" borderId="11" xfId="0" applyBorder="1" applyAlignment="1">
      <alignment vertical="top" wrapText="1"/>
    </xf>
    <xf numFmtId="0" fontId="28" fillId="0" borderId="0" xfId="1" applyFont="1"/>
    <xf numFmtId="1" fontId="12" fillId="0" borderId="3" xfId="1" applyNumberFormat="1" applyFont="1" applyBorder="1" applyAlignment="1" applyProtection="1">
      <alignment horizontal="center" vertical="top" wrapText="1"/>
      <protection locked="0"/>
    </xf>
    <xf numFmtId="9" fontId="12" fillId="0" borderId="11" xfId="8" applyFont="1" applyFill="1" applyBorder="1" applyAlignment="1" applyProtection="1">
      <alignment horizontal="center" vertical="top" wrapText="1"/>
      <protection locked="0"/>
    </xf>
    <xf numFmtId="1" fontId="6" fillId="0" borderId="1" xfId="1" applyNumberFormat="1" applyFont="1" applyBorder="1" applyAlignment="1">
      <alignment horizontal="center" vertical="center"/>
    </xf>
    <xf numFmtId="164" fontId="6" fillId="0" borderId="0" xfId="1" applyNumberFormat="1" applyFont="1"/>
    <xf numFmtId="9" fontId="11" fillId="0" borderId="1" xfId="8" applyFont="1" applyFill="1" applyBorder="1" applyAlignment="1" applyProtection="1">
      <alignment horizontal="center" vertical="top" wrapText="1"/>
      <protection locked="0"/>
    </xf>
    <xf numFmtId="1" fontId="11" fillId="0" borderId="1"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5" fillId="0" borderId="1" xfId="1" applyFont="1" applyBorder="1" applyAlignment="1" applyProtection="1">
      <alignment horizontal="left" vertical="top"/>
      <protection locked="0"/>
    </xf>
    <xf numFmtId="0" fontId="25" fillId="0" borderId="1" xfId="10" applyFill="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1" fontId="12" fillId="0" borderId="3" xfId="1" applyNumberFormat="1" applyFont="1" applyBorder="1" applyAlignment="1" applyProtection="1">
      <alignment horizontal="center" vertical="top" wrapText="1"/>
      <protection locked="0"/>
    </xf>
    <xf numFmtId="1" fontId="12" fillId="0" borderId="11" xfId="1" applyNumberFormat="1" applyFont="1" applyBorder="1" applyAlignment="1" applyProtection="1">
      <alignment horizontal="center" vertical="top" wrapText="1"/>
      <protection locked="0"/>
    </xf>
    <xf numFmtId="1" fontId="30" fillId="0" borderId="3" xfId="1" applyNumberFormat="1" applyFont="1" applyBorder="1" applyAlignment="1" applyProtection="1">
      <alignment horizontal="center" vertical="top" wrapText="1"/>
      <protection locked="0"/>
    </xf>
    <xf numFmtId="1" fontId="30" fillId="0" borderId="11" xfId="1" applyNumberFormat="1" applyFont="1" applyBorder="1" applyAlignment="1" applyProtection="1">
      <alignment horizontal="center" vertical="top" wrapText="1"/>
      <protection locked="0"/>
    </xf>
    <xf numFmtId="0" fontId="6" fillId="0" borderId="0" xfId="1" applyFont="1" applyAlignment="1">
      <alignment horizontal="center" vertical="center"/>
    </xf>
    <xf numFmtId="1" fontId="5" fillId="0" borderId="5" xfId="1" applyNumberFormat="1" applyFont="1" applyBorder="1" applyAlignment="1" applyProtection="1">
      <alignment horizontal="center" vertical="center" wrapText="1"/>
      <protection locked="0"/>
    </xf>
    <xf numFmtId="1" fontId="5" fillId="0" borderId="6"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0" fontId="5" fillId="0" borderId="12"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3" xfId="1" applyFont="1" applyBorder="1" applyAlignment="1" applyProtection="1">
      <alignment horizontal="left" vertical="top" wrapText="1"/>
      <protection locked="0"/>
    </xf>
    <xf numFmtId="1" fontId="5" fillId="0" borderId="1" xfId="0" applyNumberFormat="1" applyFont="1" applyBorder="1" applyAlignment="1" applyProtection="1">
      <alignment horizontal="center" vertical="top" wrapText="1"/>
      <protection locked="0"/>
    </xf>
    <xf numFmtId="167" fontId="6" fillId="0" borderId="1" xfId="9" applyNumberFormat="1" applyFont="1" applyFill="1" applyBorder="1" applyAlignment="1" applyProtection="1">
      <alignment horizontal="left" vertical="top"/>
      <protection locked="0"/>
    </xf>
    <xf numFmtId="0" fontId="11" fillId="0" borderId="1" xfId="1" applyFont="1" applyBorder="1" applyAlignment="1" applyProtection="1">
      <alignment horizontal="left" vertical="top"/>
      <protection locked="0"/>
    </xf>
    <xf numFmtId="0" fontId="11" fillId="0" borderId="1" xfId="1" applyFont="1" applyBorder="1" applyAlignment="1" applyProtection="1">
      <alignment horizontal="center"/>
      <protection locked="0"/>
    </xf>
    <xf numFmtId="2" fontId="5" fillId="0" borderId="1" xfId="1" applyNumberFormat="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11" fillId="0" borderId="11" xfId="1" applyFont="1" applyBorder="1" applyAlignment="1" applyProtection="1">
      <alignment horizontal="left" vertical="top" wrapText="1"/>
      <protection locked="0"/>
    </xf>
    <xf numFmtId="0" fontId="5" fillId="0" borderId="5" xfId="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0" fontId="5" fillId="0" borderId="6" xfId="1" applyFont="1" applyBorder="1" applyAlignment="1" applyProtection="1">
      <alignment horizontal="left" vertical="top" wrapText="1"/>
      <protection locked="0"/>
    </xf>
    <xf numFmtId="14" fontId="5" fillId="0" borderId="5" xfId="1" applyNumberFormat="1" applyFont="1" applyBorder="1" applyAlignment="1" applyProtection="1">
      <alignment horizontal="left" vertical="top" wrapText="1"/>
      <protection locked="0"/>
    </xf>
    <xf numFmtId="14" fontId="5" fillId="0" borderId="6" xfId="1" applyNumberFormat="1" applyFont="1" applyBorder="1" applyAlignment="1" applyProtection="1">
      <alignment horizontal="left" vertical="top" wrapText="1"/>
      <protection locked="0"/>
    </xf>
    <xf numFmtId="0" fontId="11" fillId="0" borderId="12" xfId="1" applyFont="1" applyBorder="1" applyAlignment="1" applyProtection="1">
      <alignment horizontal="left" vertical="top" wrapText="1"/>
      <protection locked="0"/>
    </xf>
    <xf numFmtId="0" fontId="11" fillId="0" borderId="13" xfId="1" applyFont="1" applyBorder="1" applyAlignment="1" applyProtection="1">
      <alignment horizontal="left" vertical="top" wrapText="1"/>
      <protection locked="0"/>
    </xf>
    <xf numFmtId="0" fontId="11" fillId="0" borderId="14" xfId="1" applyFont="1" applyBorder="1" applyAlignment="1" applyProtection="1">
      <alignment horizontal="left" vertical="top" wrapText="1"/>
      <protection locked="0"/>
    </xf>
    <xf numFmtId="0" fontId="11" fillId="0" borderId="15" xfId="1" applyFont="1" applyBorder="1" applyAlignment="1" applyProtection="1">
      <alignment horizontal="left" vertical="top" wrapText="1"/>
      <protection locked="0"/>
    </xf>
    <xf numFmtId="0" fontId="5" fillId="0" borderId="5" xfId="1" applyFont="1" applyBorder="1" applyAlignment="1" applyProtection="1">
      <alignment vertical="top" wrapText="1"/>
      <protection locked="0"/>
    </xf>
    <xf numFmtId="0" fontId="5" fillId="0" borderId="16" xfId="1" applyFont="1" applyBorder="1" applyAlignment="1" applyProtection="1">
      <alignment vertical="top" wrapText="1"/>
      <protection locked="0"/>
    </xf>
    <xf numFmtId="0" fontId="5" fillId="0" borderId="6" xfId="1" applyFont="1" applyBorder="1" applyAlignment="1" applyProtection="1">
      <alignment vertical="top" wrapText="1"/>
      <protection locked="0"/>
    </xf>
    <xf numFmtId="0" fontId="5" fillId="0" borderId="14" xfId="1" applyFont="1" applyBorder="1" applyAlignment="1" applyProtection="1">
      <alignment horizontal="left" vertical="top" wrapText="1"/>
      <protection locked="0"/>
    </xf>
    <xf numFmtId="0" fontId="5" fillId="0" borderId="15" xfId="1" applyFont="1" applyBorder="1" applyAlignment="1" applyProtection="1">
      <alignment horizontal="left" vertical="top" wrapText="1"/>
      <protection locked="0"/>
    </xf>
    <xf numFmtId="0" fontId="11" fillId="0" borderId="3" xfId="1" applyFont="1" applyBorder="1" applyAlignment="1" applyProtection="1">
      <alignment horizontal="left" vertical="top" wrapText="1"/>
      <protection locked="0"/>
    </xf>
    <xf numFmtId="0" fontId="11" fillId="0" borderId="3" xfId="1" applyFont="1" applyBorder="1" applyAlignment="1" applyProtection="1">
      <alignment horizontal="left" vertical="top"/>
      <protection locked="0"/>
    </xf>
    <xf numFmtId="0" fontId="11" fillId="0" borderId="17" xfId="1" applyFont="1" applyBorder="1" applyAlignment="1" applyProtection="1">
      <alignment horizontal="left" vertical="top" wrapText="1"/>
      <protection locked="0"/>
    </xf>
    <xf numFmtId="0" fontId="12" fillId="0" borderId="5" xfId="1" applyFont="1" applyBorder="1" applyAlignment="1" applyProtection="1">
      <alignment horizontal="left" vertical="top"/>
      <protection locked="0"/>
    </xf>
    <xf numFmtId="0" fontId="12" fillId="0" borderId="16" xfId="1" applyFont="1" applyBorder="1" applyAlignment="1" applyProtection="1">
      <alignment horizontal="left" vertical="top"/>
      <protection locked="0"/>
    </xf>
    <xf numFmtId="0" fontId="12" fillId="0" borderId="6" xfId="1" applyFont="1" applyBorder="1" applyAlignment="1" applyProtection="1">
      <alignment horizontal="left" vertical="top"/>
      <protection locked="0"/>
    </xf>
    <xf numFmtId="0" fontId="7" fillId="0" borderId="1" xfId="1" applyFont="1" applyBorder="1" applyAlignment="1" applyProtection="1">
      <alignment vertical="top"/>
      <protection locked="0"/>
    </xf>
    <xf numFmtId="0" fontId="5"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14" fillId="0" borderId="12" xfId="1" applyFont="1" applyBorder="1" applyAlignment="1" applyProtection="1">
      <alignment horizontal="left" vertical="top" wrapText="1"/>
      <protection locked="0"/>
    </xf>
    <xf numFmtId="0" fontId="14" fillId="0" borderId="13" xfId="1" applyFont="1" applyBorder="1" applyAlignment="1" applyProtection="1">
      <alignment horizontal="left" vertical="top" wrapText="1"/>
      <protection locked="0"/>
    </xf>
    <xf numFmtId="0" fontId="14" fillId="0" borderId="14" xfId="1" applyFont="1" applyBorder="1" applyAlignment="1" applyProtection="1">
      <alignment horizontal="left" vertical="top" wrapText="1"/>
      <protection locked="0"/>
    </xf>
    <xf numFmtId="0" fontId="14" fillId="0" borderId="15" xfId="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0" fontId="12" fillId="0" borderId="1" xfId="1" applyFont="1" applyBorder="1" applyAlignment="1" applyProtection="1">
      <alignment horizontal="center"/>
      <protection locked="0"/>
    </xf>
    <xf numFmtId="0" fontId="11" fillId="0" borderId="1" xfId="1" applyFont="1" applyBorder="1" applyAlignment="1" applyProtection="1">
      <alignment horizontal="left"/>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4" fontId="11"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 fontId="7" fillId="0" borderId="5" xfId="1" applyNumberFormat="1" applyFont="1" applyBorder="1" applyAlignment="1" applyProtection="1">
      <alignment horizontal="center" vertical="center" wrapText="1"/>
      <protection locked="0"/>
    </xf>
    <xf numFmtId="1" fontId="7" fillId="0" borderId="16" xfId="1" applyNumberFormat="1" applyFont="1" applyBorder="1" applyAlignment="1" applyProtection="1">
      <alignment horizontal="center" vertical="center" wrapText="1"/>
      <protection locked="0"/>
    </xf>
    <xf numFmtId="1" fontId="7" fillId="0" borderId="6"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0" fontId="5" fillId="0" borderId="1" xfId="1" applyFont="1" applyBorder="1" applyAlignment="1" applyProtection="1">
      <alignment vertical="top"/>
      <protection locked="0"/>
    </xf>
    <xf numFmtId="1" fontId="7" fillId="0" borderId="1" xfId="0" applyNumberFormat="1" applyFont="1" applyBorder="1" applyAlignment="1" applyProtection="1">
      <alignment horizontal="center" vertical="top" wrapText="1"/>
      <protection locked="0"/>
    </xf>
    <xf numFmtId="1" fontId="7" fillId="0" borderId="5" xfId="0" applyNumberFormat="1" applyFont="1" applyBorder="1" applyAlignment="1" applyProtection="1">
      <alignment vertical="top" wrapText="1"/>
      <protection locked="0"/>
    </xf>
    <xf numFmtId="1" fontId="7" fillId="0" borderId="16" xfId="0" applyNumberFormat="1" applyFont="1" applyBorder="1" applyAlignment="1" applyProtection="1">
      <alignment vertical="top" wrapText="1"/>
      <protection locked="0"/>
    </xf>
    <xf numFmtId="1" fontId="7" fillId="0" borderId="6" xfId="0" applyNumberFormat="1" applyFont="1" applyBorder="1" applyAlignment="1" applyProtection="1">
      <alignment vertical="top" wrapText="1"/>
      <protection locked="0"/>
    </xf>
    <xf numFmtId="0" fontId="9" fillId="0" borderId="1" xfId="0" applyFont="1" applyBorder="1" applyAlignment="1" applyProtection="1">
      <alignment horizontal="center" vertical="top" wrapText="1"/>
      <protection locked="0"/>
    </xf>
    <xf numFmtId="0" fontId="7" fillId="0" borderId="11" xfId="1" applyFont="1" applyBorder="1" applyAlignment="1" applyProtection="1">
      <alignment horizontal="center" vertical="top"/>
      <protection locked="0"/>
    </xf>
    <xf numFmtId="1" fontId="12" fillId="0" borderId="12" xfId="1" applyNumberFormat="1" applyFont="1" applyBorder="1" applyAlignment="1" applyProtection="1">
      <alignment horizontal="center" vertical="top" wrapText="1"/>
      <protection locked="0"/>
    </xf>
    <xf numFmtId="1" fontId="12" fillId="0" borderId="14" xfId="1" applyNumberFormat="1" applyFont="1" applyBorder="1" applyAlignment="1" applyProtection="1">
      <alignment horizontal="center" vertical="top" wrapText="1"/>
      <protection locked="0"/>
    </xf>
    <xf numFmtId="0" fontId="12" fillId="0" borderId="11" xfId="1" applyFont="1" applyBorder="1" applyAlignment="1" applyProtection="1">
      <alignment horizontal="center" vertical="top"/>
      <protection locked="0"/>
    </xf>
    <xf numFmtId="1" fontId="9" fillId="0" borderId="1" xfId="0" applyNumberFormat="1"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1" fontId="12" fillId="0" borderId="5" xfId="0" applyNumberFormat="1" applyFont="1" applyBorder="1" applyAlignment="1" applyProtection="1">
      <alignment vertical="top" wrapText="1"/>
      <protection locked="0"/>
    </xf>
    <xf numFmtId="1" fontId="12" fillId="0" borderId="16" xfId="0" applyNumberFormat="1" applyFont="1" applyBorder="1" applyAlignment="1" applyProtection="1">
      <alignment vertical="top" wrapText="1"/>
      <protection locked="0"/>
    </xf>
    <xf numFmtId="1" fontId="12" fillId="0" borderId="6" xfId="0" applyNumberFormat="1" applyFont="1" applyBorder="1" applyAlignment="1" applyProtection="1">
      <alignment vertical="top" wrapText="1"/>
      <protection locked="0"/>
    </xf>
    <xf numFmtId="1" fontId="16" fillId="0" borderId="5" xfId="0" applyNumberFormat="1" applyFont="1" applyBorder="1" applyAlignment="1" applyProtection="1">
      <alignment vertical="top" wrapText="1"/>
      <protection locked="0"/>
    </xf>
    <xf numFmtId="1" fontId="16" fillId="0" borderId="16" xfId="0" applyNumberFormat="1" applyFont="1" applyBorder="1" applyAlignment="1" applyProtection="1">
      <alignment vertical="top" wrapText="1"/>
      <protection locked="0"/>
    </xf>
    <xf numFmtId="1" fontId="16" fillId="0" borderId="6" xfId="0" applyNumberFormat="1" applyFont="1" applyBorder="1" applyAlignment="1" applyProtection="1">
      <alignment vertical="top" wrapText="1"/>
      <protection locked="0"/>
    </xf>
    <xf numFmtId="1" fontId="5" fillId="0" borderId="16" xfId="1"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top" wrapText="1"/>
      <protection locked="0"/>
    </xf>
    <xf numFmtId="0" fontId="6" fillId="0" borderId="18" xfId="1" applyFont="1" applyBorder="1" applyAlignment="1">
      <alignment horizontal="center"/>
    </xf>
    <xf numFmtId="0" fontId="6" fillId="0" borderId="0" xfId="1" applyFont="1" applyAlignment="1">
      <alignment horizontal="center"/>
    </xf>
    <xf numFmtId="0" fontId="12" fillId="0" borderId="1" xfId="1" applyFont="1" applyBorder="1" applyAlignment="1" applyProtection="1">
      <alignment horizontal="center" vertical="top"/>
      <protection locked="0"/>
    </xf>
    <xf numFmtId="0" fontId="7" fillId="0" borderId="5" xfId="1" applyFont="1" applyBorder="1" applyAlignment="1" applyProtection="1">
      <alignment horizontal="left" vertical="top" wrapText="1"/>
      <protection locked="0"/>
    </xf>
    <xf numFmtId="0" fontId="7" fillId="0" borderId="6" xfId="1" applyFont="1" applyBorder="1" applyAlignment="1" applyProtection="1">
      <alignment horizontal="left" vertical="top" wrapText="1"/>
      <protection locked="0"/>
    </xf>
    <xf numFmtId="0" fontId="7" fillId="0" borderId="16" xfId="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0" fontId="11" fillId="0" borderId="5" xfId="1" applyFont="1" applyBorder="1" applyAlignment="1" applyProtection="1">
      <alignment horizontal="left" vertical="top"/>
      <protection locked="0"/>
    </xf>
    <xf numFmtId="0" fontId="11" fillId="0" borderId="16" xfId="1" applyFont="1" applyBorder="1" applyAlignment="1" applyProtection="1">
      <alignment horizontal="left" vertical="top"/>
      <protection locked="0"/>
    </xf>
    <xf numFmtId="0" fontId="11" fillId="0" borderId="6" xfId="1" applyFont="1" applyBorder="1" applyAlignment="1" applyProtection="1">
      <alignment horizontal="left" vertical="top"/>
      <protection locked="0"/>
    </xf>
    <xf numFmtId="14" fontId="7" fillId="0" borderId="5" xfId="1" applyNumberFormat="1" applyFont="1" applyBorder="1" applyAlignment="1" applyProtection="1">
      <alignment horizontal="left" vertical="top"/>
      <protection locked="0"/>
    </xf>
    <xf numFmtId="14" fontId="7" fillId="0" borderId="6" xfId="1" applyNumberFormat="1" applyFont="1" applyBorder="1" applyAlignment="1" applyProtection="1">
      <alignment horizontal="left" vertical="top"/>
      <protection locked="0"/>
    </xf>
    <xf numFmtId="0" fontId="7" fillId="0" borderId="11" xfId="1" applyFont="1" applyBorder="1" applyAlignment="1" applyProtection="1">
      <alignment horizontal="left" vertical="top"/>
      <protection locked="0"/>
    </xf>
    <xf numFmtId="1" fontId="7" fillId="0" borderId="1" xfId="0" applyNumberFormat="1" applyFont="1" applyBorder="1" applyAlignment="1" applyProtection="1">
      <alignment horizontal="left" vertical="top"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xf numFmtId="0" fontId="11" fillId="0" borderId="1" xfId="1" applyFont="1" applyBorder="1" applyAlignment="1" applyProtection="1">
      <alignment horizontal="center" vertical="top"/>
      <protection locked="0"/>
    </xf>
    <xf numFmtId="0" fontId="23" fillId="2" borderId="10" xfId="0" applyFont="1" applyFill="1" applyBorder="1"/>
    <xf numFmtId="0" fontId="24" fillId="0" borderId="6" xfId="0" applyFont="1" applyBorder="1"/>
    <xf numFmtId="9" fontId="11" fillId="0" borderId="1" xfId="8" applyFont="1" applyFill="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vertical="top"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13</xdr:col>
      <xdr:colOff>607695</xdr:colOff>
      <xdr:row>105</xdr:row>
      <xdr:rowOff>461010</xdr:rowOff>
    </xdr:from>
    <xdr:to>
      <xdr:col>18</xdr:col>
      <xdr:colOff>291051</xdr:colOff>
      <xdr:row>119</xdr:row>
      <xdr:rowOff>52992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1618595" y="22909530"/>
          <a:ext cx="3424776" cy="2761901"/>
        </a:xfrm>
        <a:prstGeom prst="rect">
          <a:avLst/>
        </a:prstGeom>
      </xdr:spPr>
    </xdr:pic>
    <xdr:clientData/>
  </xdr:twoCellAnchor>
  <xdr:twoCellAnchor>
    <xdr:from>
      <xdr:col>1</xdr:col>
      <xdr:colOff>43815</xdr:colOff>
      <xdr:row>320</xdr:row>
      <xdr:rowOff>62865</xdr:rowOff>
    </xdr:from>
    <xdr:to>
      <xdr:col>6</xdr:col>
      <xdr:colOff>658545</xdr:colOff>
      <xdr:row>352</xdr:row>
      <xdr:rowOff>85105</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843915" y="63664465"/>
          <a:ext cx="4875580" cy="6321440"/>
          <a:chOff x="1444938" y="226786"/>
          <a:chExt cx="4680000" cy="6423040"/>
        </a:xfrm>
      </xdr:grpSpPr>
      <xdr:grpSp>
        <xdr:nvGrpSpPr>
          <xdr:cNvPr id="4" name="Group 3">
            <a:extLst>
              <a:ext uri="{FF2B5EF4-FFF2-40B4-BE49-F238E27FC236}">
                <a16:creationId xmlns:a16="http://schemas.microsoft.com/office/drawing/2014/main" id="{00000000-0008-0000-0000-000004000000}"/>
              </a:ext>
            </a:extLst>
          </xdr:cNvPr>
          <xdr:cNvGrpSpPr/>
        </xdr:nvGrpSpPr>
        <xdr:grpSpPr>
          <a:xfrm>
            <a:off x="1444938" y="2689826"/>
            <a:ext cx="4680000" cy="3960000"/>
            <a:chOff x="-1179871" y="2123768"/>
            <a:chExt cx="10132142" cy="5250426"/>
          </a:xfrm>
        </xdr:grpSpPr>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2"/>
            <a:srcRect l="14578" t="16531" r="7550" b="11694"/>
            <a:stretch/>
          </xdr:blipFill>
          <xdr:spPr>
            <a:xfrm>
              <a:off x="-1179871" y="2123768"/>
              <a:ext cx="10132142" cy="5250426"/>
            </a:xfrm>
            <a:prstGeom prst="rect">
              <a:avLst/>
            </a:prstGeom>
            <a:ln>
              <a:solidFill>
                <a:schemeClr val="tx1"/>
              </a:solidFill>
            </a:ln>
          </xdr:spPr>
        </xdr:pic>
        <xdr:sp macro="" textlink="">
          <xdr:nvSpPr>
            <xdr:cNvPr id="7" name="Rectangle 6">
              <a:extLst>
                <a:ext uri="{FF2B5EF4-FFF2-40B4-BE49-F238E27FC236}">
                  <a16:creationId xmlns:a16="http://schemas.microsoft.com/office/drawing/2014/main" id="{00000000-0008-0000-0000-000007000000}"/>
                </a:ext>
              </a:extLst>
            </xdr:cNvPr>
            <xdr:cNvSpPr/>
          </xdr:nvSpPr>
          <xdr:spPr>
            <a:xfrm rot="17943413">
              <a:off x="3729828" y="3927015"/>
              <a:ext cx="1220540" cy="2019207"/>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8" name="TextBox 35">
              <a:extLst>
                <a:ext uri="{FF2B5EF4-FFF2-40B4-BE49-F238E27FC236}">
                  <a16:creationId xmlns:a16="http://schemas.microsoft.com/office/drawing/2014/main" id="{00000000-0008-0000-0000-000008000000}"/>
                </a:ext>
              </a:extLst>
            </xdr:cNvPr>
            <xdr:cNvSpPr txBox="1"/>
          </xdr:nvSpPr>
          <xdr:spPr>
            <a:xfrm>
              <a:off x="5500780" y="4949140"/>
              <a:ext cx="2111247" cy="50081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Tower C</a:t>
              </a:r>
              <a:endParaRPr lang="en-IN" b="1">
                <a:solidFill>
                  <a:srgbClr val="FFFF00"/>
                </a:solidFill>
              </a:endParaRPr>
            </a:p>
          </xdr:txBody>
        </xdr:sp>
      </xdr:grpSp>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a:srcRect l="14178" t="15798" r="10663" b="17882"/>
          <a:stretch/>
        </xdr:blipFill>
        <xdr:spPr>
          <a:xfrm>
            <a:off x="1444938" y="226786"/>
            <a:ext cx="4680000" cy="2321767"/>
          </a:xfrm>
          <a:prstGeom prst="rect">
            <a:avLst/>
          </a:prstGeom>
          <a:ln>
            <a:solidFill>
              <a:schemeClr val="tx1"/>
            </a:solidFill>
          </a:ln>
        </xdr:spPr>
      </xdr:pic>
    </xdr:grpSp>
    <xdr:clientData/>
  </xdr:twoCellAnchor>
  <xdr:twoCellAnchor>
    <xdr:from>
      <xdr:col>11</xdr:col>
      <xdr:colOff>30480</xdr:colOff>
      <xdr:row>65</xdr:row>
      <xdr:rowOff>160020</xdr:rowOff>
    </xdr:from>
    <xdr:to>
      <xdr:col>16</xdr:col>
      <xdr:colOff>152400</xdr:colOff>
      <xdr:row>73</xdr:row>
      <xdr:rowOff>178585</xdr:rowOff>
    </xdr:to>
    <xdr:grpSp>
      <xdr:nvGrpSpPr>
        <xdr:cNvPr id="9" name="Group 8">
          <a:extLst>
            <a:ext uri="{FF2B5EF4-FFF2-40B4-BE49-F238E27FC236}">
              <a16:creationId xmlns:a16="http://schemas.microsoft.com/office/drawing/2014/main" id="{2B3E51E9-07A0-35D9-983D-77A68BB92477}"/>
            </a:ext>
          </a:extLst>
        </xdr:cNvPr>
        <xdr:cNvGrpSpPr/>
      </xdr:nvGrpSpPr>
      <xdr:grpSpPr>
        <a:xfrm>
          <a:off x="9441180" y="14123670"/>
          <a:ext cx="4458970" cy="2298215"/>
          <a:chOff x="0" y="2112887"/>
          <a:chExt cx="6858000" cy="4918225"/>
        </a:xfrm>
      </xdr:grpSpPr>
      <xdr:pic>
        <xdr:nvPicPr>
          <xdr:cNvPr id="10" name="Picture 9">
            <a:extLst>
              <a:ext uri="{FF2B5EF4-FFF2-40B4-BE49-F238E27FC236}">
                <a16:creationId xmlns:a16="http://schemas.microsoft.com/office/drawing/2014/main" id="{1859FE07-D369-7602-4BED-A94E8A1C8062}"/>
              </a:ext>
            </a:extLst>
          </xdr:cNvPr>
          <xdr:cNvPicPr>
            <a:picLocks noChangeAspect="1"/>
          </xdr:cNvPicPr>
        </xdr:nvPicPr>
        <xdr:blipFill>
          <a:blip xmlns:r="http://schemas.openxmlformats.org/officeDocument/2006/relationships" r:embed="rId4"/>
          <a:stretch>
            <a:fillRect/>
          </a:stretch>
        </xdr:blipFill>
        <xdr:spPr>
          <a:xfrm>
            <a:off x="0" y="2112887"/>
            <a:ext cx="6858000" cy="4918225"/>
          </a:xfrm>
          <a:prstGeom prst="rect">
            <a:avLst/>
          </a:prstGeom>
          <a:ln>
            <a:solidFill>
              <a:schemeClr val="tx1"/>
            </a:solidFill>
          </a:ln>
        </xdr:spPr>
      </xdr:pic>
      <xdr:sp macro="" textlink="">
        <xdr:nvSpPr>
          <xdr:cNvPr id="11" name="TextBox 3">
            <a:extLst>
              <a:ext uri="{FF2B5EF4-FFF2-40B4-BE49-F238E27FC236}">
                <a16:creationId xmlns:a16="http://schemas.microsoft.com/office/drawing/2014/main" id="{73A50A25-CAB2-EE38-CAC3-D59836A5C4C0}"/>
              </a:ext>
            </a:extLst>
          </xdr:cNvPr>
          <xdr:cNvSpPr txBox="1"/>
        </xdr:nvSpPr>
        <xdr:spPr>
          <a:xfrm>
            <a:off x="2790908" y="2211980"/>
            <a:ext cx="1586317" cy="79583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Tower C</a:t>
            </a:r>
            <a:endParaRPr lang="en-IN" b="1"/>
          </a:p>
        </xdr:txBody>
      </xdr:sp>
      <xdr:cxnSp macro="">
        <xdr:nvCxnSpPr>
          <xdr:cNvPr id="12" name="Straight Arrow Connector 11">
            <a:extLst>
              <a:ext uri="{FF2B5EF4-FFF2-40B4-BE49-F238E27FC236}">
                <a16:creationId xmlns:a16="http://schemas.microsoft.com/office/drawing/2014/main" id="{9F7AECA2-062A-4DFB-1A59-49F67FA8871C}"/>
              </a:ext>
            </a:extLst>
          </xdr:cNvPr>
          <xdr:cNvCxnSpPr/>
        </xdr:nvCxnSpPr>
        <xdr:spPr>
          <a:xfrm>
            <a:off x="3616960" y="2946400"/>
            <a:ext cx="106680" cy="48260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12</xdr:col>
      <xdr:colOff>449580</xdr:colOff>
      <xdr:row>111</xdr:row>
      <xdr:rowOff>106680</xdr:rowOff>
    </xdr:from>
    <xdr:to>
      <xdr:col>17</xdr:col>
      <xdr:colOff>117660</xdr:colOff>
      <xdr:row>125</xdr:row>
      <xdr:rowOff>188171</xdr:rowOff>
    </xdr:to>
    <xdr:pic>
      <xdr:nvPicPr>
        <xdr:cNvPr id="13" name="Picture 12">
          <a:extLst>
            <a:ext uri="{FF2B5EF4-FFF2-40B4-BE49-F238E27FC236}">
              <a16:creationId xmlns:a16="http://schemas.microsoft.com/office/drawing/2014/main" id="{A0CF9653-D0D6-A3EA-4132-1208AA484005}"/>
            </a:ext>
          </a:extLst>
        </xdr:cNvPr>
        <xdr:cNvPicPr>
          <a:picLocks noChangeAspect="1"/>
        </xdr:cNvPicPr>
      </xdr:nvPicPr>
      <xdr:blipFill>
        <a:blip xmlns:r="http://schemas.openxmlformats.org/officeDocument/2006/relationships" r:embed="rId5"/>
        <a:stretch>
          <a:fillRect/>
        </a:stretch>
      </xdr:blipFill>
      <xdr:spPr>
        <a:xfrm>
          <a:off x="10645140" y="24140160"/>
          <a:ext cx="3600000" cy="2855172"/>
        </a:xfrm>
        <a:prstGeom prst="rect">
          <a:avLst/>
        </a:prstGeom>
      </xdr:spPr>
    </xdr:pic>
    <xdr:clientData/>
  </xdr:twoCellAnchor>
  <xdr:twoCellAnchor>
    <xdr:from>
      <xdr:col>0</xdr:col>
      <xdr:colOff>510540</xdr:colOff>
      <xdr:row>277</xdr:row>
      <xdr:rowOff>30480</xdr:rowOff>
    </xdr:from>
    <xdr:to>
      <xdr:col>7</xdr:col>
      <xdr:colOff>297180</xdr:colOff>
      <xdr:row>307</xdr:row>
      <xdr:rowOff>121920</xdr:rowOff>
    </xdr:to>
    <xdr:grpSp>
      <xdr:nvGrpSpPr>
        <xdr:cNvPr id="21" name="Group 20">
          <a:extLst>
            <a:ext uri="{FF2B5EF4-FFF2-40B4-BE49-F238E27FC236}">
              <a16:creationId xmlns:a16="http://schemas.microsoft.com/office/drawing/2014/main" id="{A9BB1A8C-0B92-FBAF-00AF-0468C0EDF71B}"/>
            </a:ext>
          </a:extLst>
        </xdr:cNvPr>
        <xdr:cNvGrpSpPr/>
      </xdr:nvGrpSpPr>
      <xdr:grpSpPr>
        <a:xfrm>
          <a:off x="510540" y="55167530"/>
          <a:ext cx="5615940" cy="5996940"/>
          <a:chOff x="895130" y="448068"/>
          <a:chExt cx="5067739" cy="5585944"/>
        </a:xfrm>
      </xdr:grpSpPr>
      <xdr:pic>
        <xdr:nvPicPr>
          <xdr:cNvPr id="22" name="Picture 21">
            <a:extLst>
              <a:ext uri="{FF2B5EF4-FFF2-40B4-BE49-F238E27FC236}">
                <a16:creationId xmlns:a16="http://schemas.microsoft.com/office/drawing/2014/main" id="{91D14F09-9F89-2AAF-C97E-FC89D04F9DFE}"/>
              </a:ext>
            </a:extLst>
          </xdr:cNvPr>
          <xdr:cNvPicPr>
            <a:picLocks noChangeAspect="1"/>
          </xdr:cNvPicPr>
        </xdr:nvPicPr>
        <xdr:blipFill>
          <a:blip xmlns:r="http://schemas.openxmlformats.org/officeDocument/2006/relationships" r:embed="rId6"/>
          <a:stretch>
            <a:fillRect/>
          </a:stretch>
        </xdr:blipFill>
        <xdr:spPr>
          <a:xfrm>
            <a:off x="895130" y="448068"/>
            <a:ext cx="5067739" cy="5585944"/>
          </a:xfrm>
          <a:prstGeom prst="rect">
            <a:avLst/>
          </a:prstGeom>
          <a:ln>
            <a:solidFill>
              <a:schemeClr val="tx1"/>
            </a:solidFill>
          </a:ln>
        </xdr:spPr>
      </xdr:pic>
      <xdr:sp macro="" textlink="">
        <xdr:nvSpPr>
          <xdr:cNvPr id="23" name="Rectangle 22">
            <a:extLst>
              <a:ext uri="{FF2B5EF4-FFF2-40B4-BE49-F238E27FC236}">
                <a16:creationId xmlns:a16="http://schemas.microsoft.com/office/drawing/2014/main" id="{0D239558-D39E-6BA2-0B30-0C6EB7BDDC6A}"/>
              </a:ext>
            </a:extLst>
          </xdr:cNvPr>
          <xdr:cNvSpPr/>
        </xdr:nvSpPr>
        <xdr:spPr>
          <a:xfrm rot="2039652">
            <a:off x="3804920" y="4307840"/>
            <a:ext cx="863600" cy="88392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4" name="TextBox 4">
            <a:extLst>
              <a:ext uri="{FF2B5EF4-FFF2-40B4-BE49-F238E27FC236}">
                <a16:creationId xmlns:a16="http://schemas.microsoft.com/office/drawing/2014/main" id="{96D71B47-895D-55CE-B673-ABEED373B19E}"/>
              </a:ext>
            </a:extLst>
          </xdr:cNvPr>
          <xdr:cNvSpPr txBox="1"/>
        </xdr:nvSpPr>
        <xdr:spPr>
          <a:xfrm>
            <a:off x="4516120" y="5064760"/>
            <a:ext cx="943143"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Tower C</a:t>
            </a:r>
            <a:endParaRPr lang="en-IN" b="1"/>
          </a:p>
        </xdr:txBody>
      </xdr:sp>
    </xdr:grpSp>
    <xdr:clientData/>
  </xdr:twoCellAnchor>
  <xdr:twoCellAnchor>
    <xdr:from>
      <xdr:col>1</xdr:col>
      <xdr:colOff>292450</xdr:colOff>
      <xdr:row>232</xdr:row>
      <xdr:rowOff>59646</xdr:rowOff>
    </xdr:from>
    <xdr:to>
      <xdr:col>6</xdr:col>
      <xdr:colOff>636631</xdr:colOff>
      <xdr:row>269</xdr:row>
      <xdr:rowOff>135634</xdr:rowOff>
    </xdr:to>
    <xdr:grpSp>
      <xdr:nvGrpSpPr>
        <xdr:cNvPr id="29" name="Group 28">
          <a:extLst>
            <a:ext uri="{FF2B5EF4-FFF2-40B4-BE49-F238E27FC236}">
              <a16:creationId xmlns:a16="http://schemas.microsoft.com/office/drawing/2014/main" id="{EA4AC095-A99E-35B4-1E94-9D7C2EE7B743}"/>
            </a:ext>
          </a:extLst>
        </xdr:cNvPr>
        <xdr:cNvGrpSpPr/>
      </xdr:nvGrpSpPr>
      <xdr:grpSpPr>
        <a:xfrm>
          <a:off x="1092550" y="46338446"/>
          <a:ext cx="4605031" cy="7359438"/>
          <a:chOff x="1000485" y="1146351"/>
          <a:chExt cx="4535181" cy="7406428"/>
        </a:xfrm>
      </xdr:grpSpPr>
      <xdr:pic>
        <xdr:nvPicPr>
          <xdr:cNvPr id="30" name="Picture 29">
            <a:extLst>
              <a:ext uri="{FF2B5EF4-FFF2-40B4-BE49-F238E27FC236}">
                <a16:creationId xmlns:a16="http://schemas.microsoft.com/office/drawing/2014/main" id="{8419D0B3-C0B8-C895-1556-1413C2FED4DF}"/>
              </a:ext>
            </a:extLst>
          </xdr:cNvPr>
          <xdr:cNvPicPr>
            <a:picLocks noChangeAspect="1"/>
          </xdr:cNvPicPr>
        </xdr:nvPicPr>
        <xdr:blipFill>
          <a:blip xmlns:r="http://schemas.openxmlformats.org/officeDocument/2006/relationships" r:embed="rId7"/>
          <a:stretch>
            <a:fillRect/>
          </a:stretch>
        </xdr:blipFill>
        <xdr:spPr>
          <a:xfrm>
            <a:off x="1000485" y="1152939"/>
            <a:ext cx="4483832" cy="3600000"/>
          </a:xfrm>
          <a:prstGeom prst="rect">
            <a:avLst/>
          </a:prstGeom>
          <a:ln>
            <a:solidFill>
              <a:schemeClr val="tx1"/>
            </a:solidFill>
          </a:ln>
        </xdr:spPr>
      </xdr:pic>
      <xdr:pic>
        <xdr:nvPicPr>
          <xdr:cNvPr id="31" name="Picture 30">
            <a:extLst>
              <a:ext uri="{FF2B5EF4-FFF2-40B4-BE49-F238E27FC236}">
                <a16:creationId xmlns:a16="http://schemas.microsoft.com/office/drawing/2014/main" id="{651A4513-1093-8D45-EB1E-8D4A61E269CD}"/>
              </a:ext>
            </a:extLst>
          </xdr:cNvPr>
          <xdr:cNvPicPr>
            <a:picLocks noChangeAspect="1"/>
          </xdr:cNvPicPr>
        </xdr:nvPicPr>
        <xdr:blipFill>
          <a:blip xmlns:r="http://schemas.openxmlformats.org/officeDocument/2006/relationships" r:embed="rId8"/>
          <a:stretch>
            <a:fillRect/>
          </a:stretch>
        </xdr:blipFill>
        <xdr:spPr>
          <a:xfrm>
            <a:off x="1000485" y="4952779"/>
            <a:ext cx="4483832" cy="3600000"/>
          </a:xfrm>
          <a:prstGeom prst="rect">
            <a:avLst/>
          </a:prstGeom>
          <a:ln>
            <a:solidFill>
              <a:schemeClr val="tx1"/>
            </a:solidFill>
          </a:ln>
        </xdr:spPr>
      </xdr:pic>
      <xdr:sp macro="" textlink="">
        <xdr:nvSpPr>
          <xdr:cNvPr id="32" name="Rectangle 31">
            <a:extLst>
              <a:ext uri="{FF2B5EF4-FFF2-40B4-BE49-F238E27FC236}">
                <a16:creationId xmlns:a16="http://schemas.microsoft.com/office/drawing/2014/main" id="{78B7BB69-3D67-C2C8-2511-2C0E7021AE8E}"/>
              </a:ext>
            </a:extLst>
          </xdr:cNvPr>
          <xdr:cNvSpPr/>
        </xdr:nvSpPr>
        <xdr:spPr>
          <a:xfrm>
            <a:off x="1920240" y="4572000"/>
            <a:ext cx="2114550" cy="12954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3" name="Rectangle 32">
            <a:extLst>
              <a:ext uri="{FF2B5EF4-FFF2-40B4-BE49-F238E27FC236}">
                <a16:creationId xmlns:a16="http://schemas.microsoft.com/office/drawing/2014/main" id="{13B8CDA6-7D1F-F8E9-B781-DAB75D24EB17}"/>
              </a:ext>
            </a:extLst>
          </xdr:cNvPr>
          <xdr:cNvSpPr/>
        </xdr:nvSpPr>
        <xdr:spPr>
          <a:xfrm>
            <a:off x="1920240" y="8298180"/>
            <a:ext cx="948690" cy="19050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4" name="TextBox 8">
            <a:extLst>
              <a:ext uri="{FF2B5EF4-FFF2-40B4-BE49-F238E27FC236}">
                <a16:creationId xmlns:a16="http://schemas.microsoft.com/office/drawing/2014/main" id="{549EAFD3-C79A-3C80-3890-B7E3D68E5BF2}"/>
              </a:ext>
            </a:extLst>
          </xdr:cNvPr>
          <xdr:cNvSpPr txBox="1"/>
        </xdr:nvSpPr>
        <xdr:spPr>
          <a:xfrm>
            <a:off x="4437288" y="4952779"/>
            <a:ext cx="1098378"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17</a:t>
            </a:r>
            <a:r>
              <a:rPr lang="en-US" b="1" baseline="30000"/>
              <a:t>th</a:t>
            </a:r>
            <a:r>
              <a:rPr lang="en-US" b="1"/>
              <a:t> Floor</a:t>
            </a:r>
          </a:p>
        </xdr:txBody>
      </xdr:sp>
      <xdr:sp macro="" textlink="">
        <xdr:nvSpPr>
          <xdr:cNvPr id="35" name="TextBox 9">
            <a:extLst>
              <a:ext uri="{FF2B5EF4-FFF2-40B4-BE49-F238E27FC236}">
                <a16:creationId xmlns:a16="http://schemas.microsoft.com/office/drawing/2014/main" id="{47FAAAFC-5D99-E9F9-254D-D310C74B8198}"/>
              </a:ext>
            </a:extLst>
          </xdr:cNvPr>
          <xdr:cNvSpPr txBox="1"/>
        </xdr:nvSpPr>
        <xdr:spPr>
          <a:xfrm>
            <a:off x="4385939" y="1146351"/>
            <a:ext cx="1098378"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17</a:t>
            </a:r>
            <a:r>
              <a:rPr lang="en-US" b="1" baseline="30000"/>
              <a:t>th</a:t>
            </a:r>
            <a:r>
              <a:rPr lang="en-US" b="1"/>
              <a:t> Floor</a:t>
            </a:r>
          </a:p>
        </xdr:txBody>
      </xdr:sp>
      <xdr:sp macro="" textlink="">
        <xdr:nvSpPr>
          <xdr:cNvPr id="36" name="Rectangle 35">
            <a:extLst>
              <a:ext uri="{FF2B5EF4-FFF2-40B4-BE49-F238E27FC236}">
                <a16:creationId xmlns:a16="http://schemas.microsoft.com/office/drawing/2014/main" id="{7A864060-12C8-0DFD-07D9-177CA73DD2D7}"/>
              </a:ext>
            </a:extLst>
          </xdr:cNvPr>
          <xdr:cNvSpPr/>
        </xdr:nvSpPr>
        <xdr:spPr>
          <a:xfrm>
            <a:off x="1710690" y="2030730"/>
            <a:ext cx="971550" cy="145415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7" name="Rectangle 36">
            <a:extLst>
              <a:ext uri="{FF2B5EF4-FFF2-40B4-BE49-F238E27FC236}">
                <a16:creationId xmlns:a16="http://schemas.microsoft.com/office/drawing/2014/main" id="{9CF37E4B-F645-9993-95A5-F45E5AB10C5D}"/>
              </a:ext>
            </a:extLst>
          </xdr:cNvPr>
          <xdr:cNvSpPr/>
        </xdr:nvSpPr>
        <xdr:spPr>
          <a:xfrm>
            <a:off x="1710690" y="5875320"/>
            <a:ext cx="795776" cy="134956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8</xdr:col>
      <xdr:colOff>868680</xdr:colOff>
      <xdr:row>86</xdr:row>
      <xdr:rowOff>152400</xdr:rowOff>
    </xdr:from>
    <xdr:to>
      <xdr:col>12</xdr:col>
      <xdr:colOff>757740</xdr:colOff>
      <xdr:row>102</xdr:row>
      <xdr:rowOff>57087</xdr:rowOff>
    </xdr:to>
    <xdr:pic>
      <xdr:nvPicPr>
        <xdr:cNvPr id="26" name="Picture 25">
          <a:extLst>
            <a:ext uri="{FF2B5EF4-FFF2-40B4-BE49-F238E27FC236}">
              <a16:creationId xmlns:a16="http://schemas.microsoft.com/office/drawing/2014/main" id="{D8354D89-5D32-F593-E263-5947E3DF0652}"/>
            </a:ext>
          </a:extLst>
        </xdr:cNvPr>
        <xdr:cNvPicPr>
          <a:picLocks noChangeAspect="1"/>
        </xdr:cNvPicPr>
      </xdr:nvPicPr>
      <xdr:blipFill>
        <a:blip xmlns:r="http://schemas.openxmlformats.org/officeDocument/2006/relationships" r:embed="rId9"/>
        <a:stretch>
          <a:fillRect/>
        </a:stretch>
      </xdr:blipFill>
      <xdr:spPr>
        <a:xfrm>
          <a:off x="7353300" y="18836640"/>
          <a:ext cx="3600000" cy="1291526"/>
        </a:xfrm>
        <a:prstGeom prst="rect">
          <a:avLst/>
        </a:prstGeom>
      </xdr:spPr>
    </xdr:pic>
    <xdr:clientData/>
  </xdr:twoCellAnchor>
  <xdr:twoCellAnchor>
    <xdr:from>
      <xdr:col>0</xdr:col>
      <xdr:colOff>285750</xdr:colOff>
      <xdr:row>187</xdr:row>
      <xdr:rowOff>57150</xdr:rowOff>
    </xdr:from>
    <xdr:to>
      <xdr:col>7</xdr:col>
      <xdr:colOff>373955</xdr:colOff>
      <xdr:row>229</xdr:row>
      <xdr:rowOff>44450</xdr:rowOff>
    </xdr:to>
    <xdr:grpSp>
      <xdr:nvGrpSpPr>
        <xdr:cNvPr id="25" name="Group 24"/>
        <xdr:cNvGrpSpPr/>
      </xdr:nvGrpSpPr>
      <xdr:grpSpPr>
        <a:xfrm>
          <a:off x="285750" y="37484050"/>
          <a:ext cx="5917505" cy="8248650"/>
          <a:chOff x="285750" y="37484050"/>
          <a:chExt cx="5917505" cy="8248650"/>
        </a:xfrm>
      </xdr:grpSpPr>
      <xdr:pic>
        <xdr:nvPicPr>
          <xdr:cNvPr id="38" name="Picture 3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2563942" y="44197868"/>
            <a:ext cx="1348594" cy="1534832"/>
          </a:xfrm>
          <a:prstGeom prst="rect">
            <a:avLst/>
          </a:prstGeom>
          <a:ln>
            <a:solidFill>
              <a:schemeClr val="tx1"/>
            </a:solidFill>
          </a:ln>
        </xdr:spPr>
      </xdr:pic>
      <xdr:pic>
        <xdr:nvPicPr>
          <xdr:cNvPr id="39" name="Picture 38"/>
          <xdr:cNvPicPr>
            <a:picLocks noChangeAspect="1"/>
          </xdr:cNvPicPr>
        </xdr:nvPicPr>
        <xdr:blipFill>
          <a:blip xmlns:r="http://schemas.openxmlformats.org/officeDocument/2006/relationships" r:embed="rId11"/>
          <a:stretch>
            <a:fillRect/>
          </a:stretch>
        </xdr:blipFill>
        <xdr:spPr>
          <a:xfrm>
            <a:off x="398485" y="37484050"/>
            <a:ext cx="5754666" cy="4320000"/>
          </a:xfrm>
          <a:prstGeom prst="rect">
            <a:avLst/>
          </a:prstGeom>
          <a:ln>
            <a:solidFill>
              <a:schemeClr val="tx1"/>
            </a:solidFill>
          </a:ln>
        </xdr:spPr>
      </xdr:pic>
      <xdr:pic>
        <xdr:nvPicPr>
          <xdr:cNvPr id="40" name="Picture 3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85750" y="41920959"/>
            <a:ext cx="2877333" cy="2160000"/>
          </a:xfrm>
          <a:prstGeom prst="rect">
            <a:avLst/>
          </a:prstGeom>
          <a:ln>
            <a:solidFill>
              <a:schemeClr val="tx1"/>
            </a:solidFill>
          </a:ln>
        </xdr:spPr>
      </xdr:pic>
      <xdr:pic>
        <xdr:nvPicPr>
          <xdr:cNvPr id="41" name="Picture 40"/>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325922" y="41920959"/>
            <a:ext cx="2877333" cy="216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myf3dnHV91osZYtf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319"/>
  <sheetViews>
    <sheetView tabSelected="1" showWhiteSpace="0" view="pageBreakPreview" topLeftCell="A79" zoomScaleNormal="100" zoomScaleSheetLayoutView="100" zoomScalePageLayoutView="85" workbookViewId="0">
      <selection activeCell="E103" sqref="E103:F103"/>
    </sheetView>
  </sheetViews>
  <sheetFormatPr defaultColWidth="9.08984375" defaultRowHeight="15.5" x14ac:dyDescent="0.35"/>
  <cols>
    <col min="1" max="1" width="11.453125" style="35" customWidth="1"/>
    <col min="2" max="2" width="12" style="35" customWidth="1"/>
    <col min="3" max="3" width="12.6328125" style="35" customWidth="1"/>
    <col min="4" max="4" width="13.6328125" style="35" customWidth="1"/>
    <col min="5" max="5" width="11.6328125" style="35" customWidth="1"/>
    <col min="6" max="6" width="11.08984375" style="35" customWidth="1"/>
    <col min="7" max="8" width="11" style="35" customWidth="1"/>
    <col min="9" max="9" width="17.453125" style="16" customWidth="1"/>
    <col min="10" max="10" width="11.453125" style="16" customWidth="1"/>
    <col min="11" max="11" width="11.36328125" style="16" bestFit="1" customWidth="1"/>
    <col min="12" max="12" width="13.90625" style="16" bestFit="1" customWidth="1"/>
    <col min="13" max="13" width="11.90625" style="16" customWidth="1"/>
    <col min="14" max="14" width="12.54296875" style="16" customWidth="1"/>
    <col min="15" max="15" width="12.08984375" style="16" customWidth="1"/>
    <col min="16" max="16" width="11.6328125" style="16" customWidth="1"/>
    <col min="17" max="18" width="9.08984375" style="16"/>
    <col min="19" max="19" width="10.90625" style="16" bestFit="1" customWidth="1"/>
    <col min="20" max="20" width="10.6328125" style="16" customWidth="1"/>
    <col min="21" max="247" width="9.08984375" style="16"/>
    <col min="248" max="248" width="8.6328125" style="16" customWidth="1"/>
    <col min="249" max="249" width="9.90625" style="16" customWidth="1"/>
    <col min="250" max="250" width="14.453125" style="16" customWidth="1"/>
    <col min="251" max="251" width="7.36328125" style="16" customWidth="1"/>
    <col min="252" max="252" width="5.54296875" style="16" customWidth="1"/>
    <col min="253" max="253" width="9" style="16" customWidth="1"/>
    <col min="254" max="255" width="9.90625" style="16" customWidth="1"/>
    <col min="256" max="256" width="11.08984375" style="16" customWidth="1"/>
    <col min="257" max="257" width="2.90625" style="16" customWidth="1"/>
    <col min="258" max="258" width="3.54296875" style="16" customWidth="1"/>
    <col min="259" max="503" width="9.08984375" style="16"/>
    <col min="504" max="504" width="8.6328125" style="16" customWidth="1"/>
    <col min="505" max="505" width="9.90625" style="16" customWidth="1"/>
    <col min="506" max="506" width="14.453125" style="16" customWidth="1"/>
    <col min="507" max="507" width="7.36328125" style="16" customWidth="1"/>
    <col min="508" max="508" width="5.54296875" style="16" customWidth="1"/>
    <col min="509" max="509" width="9" style="16" customWidth="1"/>
    <col min="510" max="511" width="9.90625" style="16" customWidth="1"/>
    <col min="512" max="512" width="11.08984375" style="16" customWidth="1"/>
    <col min="513" max="513" width="2.90625" style="16" customWidth="1"/>
    <col min="514" max="514" width="3.54296875" style="16" customWidth="1"/>
    <col min="515" max="759" width="9.08984375" style="16"/>
    <col min="760" max="760" width="8.6328125" style="16" customWidth="1"/>
    <col min="761" max="761" width="9.90625" style="16" customWidth="1"/>
    <col min="762" max="762" width="14.453125" style="16" customWidth="1"/>
    <col min="763" max="763" width="7.36328125" style="16" customWidth="1"/>
    <col min="764" max="764" width="5.54296875" style="16" customWidth="1"/>
    <col min="765" max="765" width="9" style="16" customWidth="1"/>
    <col min="766" max="767" width="9.90625" style="16" customWidth="1"/>
    <col min="768" max="768" width="11.08984375" style="16" customWidth="1"/>
    <col min="769" max="769" width="2.90625" style="16" customWidth="1"/>
    <col min="770" max="770" width="3.54296875" style="16" customWidth="1"/>
    <col min="771" max="1015" width="9.08984375" style="16"/>
    <col min="1016" max="1016" width="8.6328125" style="16" customWidth="1"/>
    <col min="1017" max="1017" width="9.90625" style="16" customWidth="1"/>
    <col min="1018" max="1018" width="14.453125" style="16" customWidth="1"/>
    <col min="1019" max="1019" width="7.36328125" style="16" customWidth="1"/>
    <col min="1020" max="1020" width="5.54296875" style="16" customWidth="1"/>
    <col min="1021" max="1021" width="9" style="16" customWidth="1"/>
    <col min="1022" max="1023" width="9.90625" style="16" customWidth="1"/>
    <col min="1024" max="1024" width="11.08984375" style="16" customWidth="1"/>
    <col min="1025" max="1025" width="2.90625" style="16" customWidth="1"/>
    <col min="1026" max="1026" width="3.54296875" style="16" customWidth="1"/>
    <col min="1027" max="1271" width="9.08984375" style="16"/>
    <col min="1272" max="1272" width="8.6328125" style="16" customWidth="1"/>
    <col min="1273" max="1273" width="9.90625" style="16" customWidth="1"/>
    <col min="1274" max="1274" width="14.453125" style="16" customWidth="1"/>
    <col min="1275" max="1275" width="7.36328125" style="16" customWidth="1"/>
    <col min="1276" max="1276" width="5.54296875" style="16" customWidth="1"/>
    <col min="1277" max="1277" width="9" style="16" customWidth="1"/>
    <col min="1278" max="1279" width="9.90625" style="16" customWidth="1"/>
    <col min="1280" max="1280" width="11.08984375" style="16" customWidth="1"/>
    <col min="1281" max="1281" width="2.90625" style="16" customWidth="1"/>
    <col min="1282" max="1282" width="3.54296875" style="16" customWidth="1"/>
    <col min="1283" max="1527" width="9.08984375" style="16"/>
    <col min="1528" max="1528" width="8.6328125" style="16" customWidth="1"/>
    <col min="1529" max="1529" width="9.90625" style="16" customWidth="1"/>
    <col min="1530" max="1530" width="14.453125" style="16" customWidth="1"/>
    <col min="1531" max="1531" width="7.36328125" style="16" customWidth="1"/>
    <col min="1532" max="1532" width="5.54296875" style="16" customWidth="1"/>
    <col min="1533" max="1533" width="9" style="16" customWidth="1"/>
    <col min="1534" max="1535" width="9.90625" style="16" customWidth="1"/>
    <col min="1536" max="1536" width="11.08984375" style="16" customWidth="1"/>
    <col min="1537" max="1537" width="2.90625" style="16" customWidth="1"/>
    <col min="1538" max="1538" width="3.54296875" style="16" customWidth="1"/>
    <col min="1539" max="1783" width="9.08984375" style="16"/>
    <col min="1784" max="1784" width="8.6328125" style="16" customWidth="1"/>
    <col min="1785" max="1785" width="9.90625" style="16" customWidth="1"/>
    <col min="1786" max="1786" width="14.453125" style="16" customWidth="1"/>
    <col min="1787" max="1787" width="7.36328125" style="16" customWidth="1"/>
    <col min="1788" max="1788" width="5.54296875" style="16" customWidth="1"/>
    <col min="1789" max="1789" width="9" style="16" customWidth="1"/>
    <col min="1790" max="1791" width="9.90625" style="16" customWidth="1"/>
    <col min="1792" max="1792" width="11.08984375" style="16" customWidth="1"/>
    <col min="1793" max="1793" width="2.90625" style="16" customWidth="1"/>
    <col min="1794" max="1794" width="3.54296875" style="16" customWidth="1"/>
    <col min="1795" max="2039" width="9.08984375" style="16"/>
    <col min="2040" max="2040" width="8.6328125" style="16" customWidth="1"/>
    <col min="2041" max="2041" width="9.90625" style="16" customWidth="1"/>
    <col min="2042" max="2042" width="14.453125" style="16" customWidth="1"/>
    <col min="2043" max="2043" width="7.36328125" style="16" customWidth="1"/>
    <col min="2044" max="2044" width="5.54296875" style="16" customWidth="1"/>
    <col min="2045" max="2045" width="9" style="16" customWidth="1"/>
    <col min="2046" max="2047" width="9.90625" style="16" customWidth="1"/>
    <col min="2048" max="2048" width="11.08984375" style="16" customWidth="1"/>
    <col min="2049" max="2049" width="2.90625" style="16" customWidth="1"/>
    <col min="2050" max="2050" width="3.54296875" style="16" customWidth="1"/>
    <col min="2051" max="2295" width="9.08984375" style="16"/>
    <col min="2296" max="2296" width="8.6328125" style="16" customWidth="1"/>
    <col min="2297" max="2297" width="9.90625" style="16" customWidth="1"/>
    <col min="2298" max="2298" width="14.453125" style="16" customWidth="1"/>
    <col min="2299" max="2299" width="7.36328125" style="16" customWidth="1"/>
    <col min="2300" max="2300" width="5.54296875" style="16" customWidth="1"/>
    <col min="2301" max="2301" width="9" style="16" customWidth="1"/>
    <col min="2302" max="2303" width="9.90625" style="16" customWidth="1"/>
    <col min="2304" max="2304" width="11.08984375" style="16" customWidth="1"/>
    <col min="2305" max="2305" width="2.90625" style="16" customWidth="1"/>
    <col min="2306" max="2306" width="3.54296875" style="16" customWidth="1"/>
    <col min="2307" max="2551" width="9.08984375" style="16"/>
    <col min="2552" max="2552" width="8.6328125" style="16" customWidth="1"/>
    <col min="2553" max="2553" width="9.90625" style="16" customWidth="1"/>
    <col min="2554" max="2554" width="14.453125" style="16" customWidth="1"/>
    <col min="2555" max="2555" width="7.36328125" style="16" customWidth="1"/>
    <col min="2556" max="2556" width="5.54296875" style="16" customWidth="1"/>
    <col min="2557" max="2557" width="9" style="16" customWidth="1"/>
    <col min="2558" max="2559" width="9.90625" style="16" customWidth="1"/>
    <col min="2560" max="2560" width="11.08984375" style="16" customWidth="1"/>
    <col min="2561" max="2561" width="2.90625" style="16" customWidth="1"/>
    <col min="2562" max="2562" width="3.54296875" style="16" customWidth="1"/>
    <col min="2563" max="2807" width="9.08984375" style="16"/>
    <col min="2808" max="2808" width="8.6328125" style="16" customWidth="1"/>
    <col min="2809" max="2809" width="9.90625" style="16" customWidth="1"/>
    <col min="2810" max="2810" width="14.453125" style="16" customWidth="1"/>
    <col min="2811" max="2811" width="7.36328125" style="16" customWidth="1"/>
    <col min="2812" max="2812" width="5.54296875" style="16" customWidth="1"/>
    <col min="2813" max="2813" width="9" style="16" customWidth="1"/>
    <col min="2814" max="2815" width="9.90625" style="16" customWidth="1"/>
    <col min="2816" max="2816" width="11.08984375" style="16" customWidth="1"/>
    <col min="2817" max="2817" width="2.90625" style="16" customWidth="1"/>
    <col min="2818" max="2818" width="3.54296875" style="16" customWidth="1"/>
    <col min="2819" max="3063" width="9.08984375" style="16"/>
    <col min="3064" max="3064" width="8.6328125" style="16" customWidth="1"/>
    <col min="3065" max="3065" width="9.90625" style="16" customWidth="1"/>
    <col min="3066" max="3066" width="14.453125" style="16" customWidth="1"/>
    <col min="3067" max="3067" width="7.36328125" style="16" customWidth="1"/>
    <col min="3068" max="3068" width="5.54296875" style="16" customWidth="1"/>
    <col min="3069" max="3069" width="9" style="16" customWidth="1"/>
    <col min="3070" max="3071" width="9.90625" style="16" customWidth="1"/>
    <col min="3072" max="3072" width="11.08984375" style="16" customWidth="1"/>
    <col min="3073" max="3073" width="2.90625" style="16" customWidth="1"/>
    <col min="3074" max="3074" width="3.54296875" style="16" customWidth="1"/>
    <col min="3075" max="3319" width="9.08984375" style="16"/>
    <col min="3320" max="3320" width="8.6328125" style="16" customWidth="1"/>
    <col min="3321" max="3321" width="9.90625" style="16" customWidth="1"/>
    <col min="3322" max="3322" width="14.453125" style="16" customWidth="1"/>
    <col min="3323" max="3323" width="7.36328125" style="16" customWidth="1"/>
    <col min="3324" max="3324" width="5.54296875" style="16" customWidth="1"/>
    <col min="3325" max="3325" width="9" style="16" customWidth="1"/>
    <col min="3326" max="3327" width="9.90625" style="16" customWidth="1"/>
    <col min="3328" max="3328" width="11.08984375" style="16" customWidth="1"/>
    <col min="3329" max="3329" width="2.90625" style="16" customWidth="1"/>
    <col min="3330" max="3330" width="3.54296875" style="16" customWidth="1"/>
    <col min="3331" max="3575" width="9.08984375" style="16"/>
    <col min="3576" max="3576" width="8.6328125" style="16" customWidth="1"/>
    <col min="3577" max="3577" width="9.90625" style="16" customWidth="1"/>
    <col min="3578" max="3578" width="14.453125" style="16" customWidth="1"/>
    <col min="3579" max="3579" width="7.36328125" style="16" customWidth="1"/>
    <col min="3580" max="3580" width="5.54296875" style="16" customWidth="1"/>
    <col min="3581" max="3581" width="9" style="16" customWidth="1"/>
    <col min="3582" max="3583" width="9.90625" style="16" customWidth="1"/>
    <col min="3584" max="3584" width="11.08984375" style="16" customWidth="1"/>
    <col min="3585" max="3585" width="2.90625" style="16" customWidth="1"/>
    <col min="3586" max="3586" width="3.54296875" style="16" customWidth="1"/>
    <col min="3587" max="3831" width="9.08984375" style="16"/>
    <col min="3832" max="3832" width="8.6328125" style="16" customWidth="1"/>
    <col min="3833" max="3833" width="9.90625" style="16" customWidth="1"/>
    <col min="3834" max="3834" width="14.453125" style="16" customWidth="1"/>
    <col min="3835" max="3835" width="7.36328125" style="16" customWidth="1"/>
    <col min="3836" max="3836" width="5.54296875" style="16" customWidth="1"/>
    <col min="3837" max="3837" width="9" style="16" customWidth="1"/>
    <col min="3838" max="3839" width="9.90625" style="16" customWidth="1"/>
    <col min="3840" max="3840" width="11.08984375" style="16" customWidth="1"/>
    <col min="3841" max="3841" width="2.90625" style="16" customWidth="1"/>
    <col min="3842" max="3842" width="3.54296875" style="16" customWidth="1"/>
    <col min="3843" max="4087" width="9.08984375" style="16"/>
    <col min="4088" max="4088" width="8.6328125" style="16" customWidth="1"/>
    <col min="4089" max="4089" width="9.90625" style="16" customWidth="1"/>
    <col min="4090" max="4090" width="14.453125" style="16" customWidth="1"/>
    <col min="4091" max="4091" width="7.36328125" style="16" customWidth="1"/>
    <col min="4092" max="4092" width="5.54296875" style="16" customWidth="1"/>
    <col min="4093" max="4093" width="9" style="16" customWidth="1"/>
    <col min="4094" max="4095" width="9.90625" style="16" customWidth="1"/>
    <col min="4096" max="4096" width="11.08984375" style="16" customWidth="1"/>
    <col min="4097" max="4097" width="2.90625" style="16" customWidth="1"/>
    <col min="4098" max="4098" width="3.54296875" style="16" customWidth="1"/>
    <col min="4099" max="4343" width="9.08984375" style="16"/>
    <col min="4344" max="4344" width="8.6328125" style="16" customWidth="1"/>
    <col min="4345" max="4345" width="9.90625" style="16" customWidth="1"/>
    <col min="4346" max="4346" width="14.453125" style="16" customWidth="1"/>
    <col min="4347" max="4347" width="7.36328125" style="16" customWidth="1"/>
    <col min="4348" max="4348" width="5.54296875" style="16" customWidth="1"/>
    <col min="4349" max="4349" width="9" style="16" customWidth="1"/>
    <col min="4350" max="4351" width="9.90625" style="16" customWidth="1"/>
    <col min="4352" max="4352" width="11.08984375" style="16" customWidth="1"/>
    <col min="4353" max="4353" width="2.90625" style="16" customWidth="1"/>
    <col min="4354" max="4354" width="3.54296875" style="16" customWidth="1"/>
    <col min="4355" max="4599" width="9.08984375" style="16"/>
    <col min="4600" max="4600" width="8.6328125" style="16" customWidth="1"/>
    <col min="4601" max="4601" width="9.90625" style="16" customWidth="1"/>
    <col min="4602" max="4602" width="14.453125" style="16" customWidth="1"/>
    <col min="4603" max="4603" width="7.36328125" style="16" customWidth="1"/>
    <col min="4604" max="4604" width="5.54296875" style="16" customWidth="1"/>
    <col min="4605" max="4605" width="9" style="16" customWidth="1"/>
    <col min="4606" max="4607" width="9.90625" style="16" customWidth="1"/>
    <col min="4608" max="4608" width="11.08984375" style="16" customWidth="1"/>
    <col min="4609" max="4609" width="2.90625" style="16" customWidth="1"/>
    <col min="4610" max="4610" width="3.54296875" style="16" customWidth="1"/>
    <col min="4611" max="4855" width="9.08984375" style="16"/>
    <col min="4856" max="4856" width="8.6328125" style="16" customWidth="1"/>
    <col min="4857" max="4857" width="9.90625" style="16" customWidth="1"/>
    <col min="4858" max="4858" width="14.453125" style="16" customWidth="1"/>
    <col min="4859" max="4859" width="7.36328125" style="16" customWidth="1"/>
    <col min="4860" max="4860" width="5.54296875" style="16" customWidth="1"/>
    <col min="4861" max="4861" width="9" style="16" customWidth="1"/>
    <col min="4862" max="4863" width="9.90625" style="16" customWidth="1"/>
    <col min="4864" max="4864" width="11.08984375" style="16" customWidth="1"/>
    <col min="4865" max="4865" width="2.90625" style="16" customWidth="1"/>
    <col min="4866" max="4866" width="3.54296875" style="16" customWidth="1"/>
    <col min="4867" max="5111" width="9.08984375" style="16"/>
    <col min="5112" max="5112" width="8.6328125" style="16" customWidth="1"/>
    <col min="5113" max="5113" width="9.90625" style="16" customWidth="1"/>
    <col min="5114" max="5114" width="14.453125" style="16" customWidth="1"/>
    <col min="5115" max="5115" width="7.36328125" style="16" customWidth="1"/>
    <col min="5116" max="5116" width="5.54296875" style="16" customWidth="1"/>
    <col min="5117" max="5117" width="9" style="16" customWidth="1"/>
    <col min="5118" max="5119" width="9.90625" style="16" customWidth="1"/>
    <col min="5120" max="5120" width="11.08984375" style="16" customWidth="1"/>
    <col min="5121" max="5121" width="2.90625" style="16" customWidth="1"/>
    <col min="5122" max="5122" width="3.54296875" style="16" customWidth="1"/>
    <col min="5123" max="5367" width="9.08984375" style="16"/>
    <col min="5368" max="5368" width="8.6328125" style="16" customWidth="1"/>
    <col min="5369" max="5369" width="9.90625" style="16" customWidth="1"/>
    <col min="5370" max="5370" width="14.453125" style="16" customWidth="1"/>
    <col min="5371" max="5371" width="7.36328125" style="16" customWidth="1"/>
    <col min="5372" max="5372" width="5.54296875" style="16" customWidth="1"/>
    <col min="5373" max="5373" width="9" style="16" customWidth="1"/>
    <col min="5374" max="5375" width="9.90625" style="16" customWidth="1"/>
    <col min="5376" max="5376" width="11.08984375" style="16" customWidth="1"/>
    <col min="5377" max="5377" width="2.90625" style="16" customWidth="1"/>
    <col min="5378" max="5378" width="3.54296875" style="16" customWidth="1"/>
    <col min="5379" max="5623" width="9.08984375" style="16"/>
    <col min="5624" max="5624" width="8.6328125" style="16" customWidth="1"/>
    <col min="5625" max="5625" width="9.90625" style="16" customWidth="1"/>
    <col min="5626" max="5626" width="14.453125" style="16" customWidth="1"/>
    <col min="5627" max="5627" width="7.36328125" style="16" customWidth="1"/>
    <col min="5628" max="5628" width="5.54296875" style="16" customWidth="1"/>
    <col min="5629" max="5629" width="9" style="16" customWidth="1"/>
    <col min="5630" max="5631" width="9.90625" style="16" customWidth="1"/>
    <col min="5632" max="5632" width="11.08984375" style="16" customWidth="1"/>
    <col min="5633" max="5633" width="2.90625" style="16" customWidth="1"/>
    <col min="5634" max="5634" width="3.54296875" style="16" customWidth="1"/>
    <col min="5635" max="5879" width="9.08984375" style="16"/>
    <col min="5880" max="5880" width="8.6328125" style="16" customWidth="1"/>
    <col min="5881" max="5881" width="9.90625" style="16" customWidth="1"/>
    <col min="5882" max="5882" width="14.453125" style="16" customWidth="1"/>
    <col min="5883" max="5883" width="7.36328125" style="16" customWidth="1"/>
    <col min="5884" max="5884" width="5.54296875" style="16" customWidth="1"/>
    <col min="5885" max="5885" width="9" style="16" customWidth="1"/>
    <col min="5886" max="5887" width="9.90625" style="16" customWidth="1"/>
    <col min="5888" max="5888" width="11.08984375" style="16" customWidth="1"/>
    <col min="5889" max="5889" width="2.90625" style="16" customWidth="1"/>
    <col min="5890" max="5890" width="3.54296875" style="16" customWidth="1"/>
    <col min="5891" max="6135" width="9.08984375" style="16"/>
    <col min="6136" max="6136" width="8.6328125" style="16" customWidth="1"/>
    <col min="6137" max="6137" width="9.90625" style="16" customWidth="1"/>
    <col min="6138" max="6138" width="14.453125" style="16" customWidth="1"/>
    <col min="6139" max="6139" width="7.36328125" style="16" customWidth="1"/>
    <col min="6140" max="6140" width="5.54296875" style="16" customWidth="1"/>
    <col min="6141" max="6141" width="9" style="16" customWidth="1"/>
    <col min="6142" max="6143" width="9.90625" style="16" customWidth="1"/>
    <col min="6144" max="6144" width="11.08984375" style="16" customWidth="1"/>
    <col min="6145" max="6145" width="2.90625" style="16" customWidth="1"/>
    <col min="6146" max="6146" width="3.54296875" style="16" customWidth="1"/>
    <col min="6147" max="6391" width="9.08984375" style="16"/>
    <col min="6392" max="6392" width="8.6328125" style="16" customWidth="1"/>
    <col min="6393" max="6393" width="9.90625" style="16" customWidth="1"/>
    <col min="6394" max="6394" width="14.453125" style="16" customWidth="1"/>
    <col min="6395" max="6395" width="7.36328125" style="16" customWidth="1"/>
    <col min="6396" max="6396" width="5.54296875" style="16" customWidth="1"/>
    <col min="6397" max="6397" width="9" style="16" customWidth="1"/>
    <col min="6398" max="6399" width="9.90625" style="16" customWidth="1"/>
    <col min="6400" max="6400" width="11.08984375" style="16" customWidth="1"/>
    <col min="6401" max="6401" width="2.90625" style="16" customWidth="1"/>
    <col min="6402" max="6402" width="3.54296875" style="16" customWidth="1"/>
    <col min="6403" max="6647" width="9.08984375" style="16"/>
    <col min="6648" max="6648" width="8.6328125" style="16" customWidth="1"/>
    <col min="6649" max="6649" width="9.90625" style="16" customWidth="1"/>
    <col min="6650" max="6650" width="14.453125" style="16" customWidth="1"/>
    <col min="6651" max="6651" width="7.36328125" style="16" customWidth="1"/>
    <col min="6652" max="6652" width="5.54296875" style="16" customWidth="1"/>
    <col min="6653" max="6653" width="9" style="16" customWidth="1"/>
    <col min="6654" max="6655" width="9.90625" style="16" customWidth="1"/>
    <col min="6656" max="6656" width="11.08984375" style="16" customWidth="1"/>
    <col min="6657" max="6657" width="2.90625" style="16" customWidth="1"/>
    <col min="6658" max="6658" width="3.54296875" style="16" customWidth="1"/>
    <col min="6659" max="6903" width="9.08984375" style="16"/>
    <col min="6904" max="6904" width="8.6328125" style="16" customWidth="1"/>
    <col min="6905" max="6905" width="9.90625" style="16" customWidth="1"/>
    <col min="6906" max="6906" width="14.453125" style="16" customWidth="1"/>
    <col min="6907" max="6907" width="7.36328125" style="16" customWidth="1"/>
    <col min="6908" max="6908" width="5.54296875" style="16" customWidth="1"/>
    <col min="6909" max="6909" width="9" style="16" customWidth="1"/>
    <col min="6910" max="6911" width="9.90625" style="16" customWidth="1"/>
    <col min="6912" max="6912" width="11.08984375" style="16" customWidth="1"/>
    <col min="6913" max="6913" width="2.90625" style="16" customWidth="1"/>
    <col min="6914" max="6914" width="3.54296875" style="16" customWidth="1"/>
    <col min="6915" max="7159" width="9.08984375" style="16"/>
    <col min="7160" max="7160" width="8.6328125" style="16" customWidth="1"/>
    <col min="7161" max="7161" width="9.90625" style="16" customWidth="1"/>
    <col min="7162" max="7162" width="14.453125" style="16" customWidth="1"/>
    <col min="7163" max="7163" width="7.36328125" style="16" customWidth="1"/>
    <col min="7164" max="7164" width="5.54296875" style="16" customWidth="1"/>
    <col min="7165" max="7165" width="9" style="16" customWidth="1"/>
    <col min="7166" max="7167" width="9.90625" style="16" customWidth="1"/>
    <col min="7168" max="7168" width="11.08984375" style="16" customWidth="1"/>
    <col min="7169" max="7169" width="2.90625" style="16" customWidth="1"/>
    <col min="7170" max="7170" width="3.54296875" style="16" customWidth="1"/>
    <col min="7171" max="7415" width="9.08984375" style="16"/>
    <col min="7416" max="7416" width="8.6328125" style="16" customWidth="1"/>
    <col min="7417" max="7417" width="9.90625" style="16" customWidth="1"/>
    <col min="7418" max="7418" width="14.453125" style="16" customWidth="1"/>
    <col min="7419" max="7419" width="7.36328125" style="16" customWidth="1"/>
    <col min="7420" max="7420" width="5.54296875" style="16" customWidth="1"/>
    <col min="7421" max="7421" width="9" style="16" customWidth="1"/>
    <col min="7422" max="7423" width="9.90625" style="16" customWidth="1"/>
    <col min="7424" max="7424" width="11.08984375" style="16" customWidth="1"/>
    <col min="7425" max="7425" width="2.90625" style="16" customWidth="1"/>
    <col min="7426" max="7426" width="3.54296875" style="16" customWidth="1"/>
    <col min="7427" max="7671" width="9.08984375" style="16"/>
    <col min="7672" max="7672" width="8.6328125" style="16" customWidth="1"/>
    <col min="7673" max="7673" width="9.90625" style="16" customWidth="1"/>
    <col min="7674" max="7674" width="14.453125" style="16" customWidth="1"/>
    <col min="7675" max="7675" width="7.36328125" style="16" customWidth="1"/>
    <col min="7676" max="7676" width="5.54296875" style="16" customWidth="1"/>
    <col min="7677" max="7677" width="9" style="16" customWidth="1"/>
    <col min="7678" max="7679" width="9.90625" style="16" customWidth="1"/>
    <col min="7680" max="7680" width="11.08984375" style="16" customWidth="1"/>
    <col min="7681" max="7681" width="2.90625" style="16" customWidth="1"/>
    <col min="7682" max="7682" width="3.54296875" style="16" customWidth="1"/>
    <col min="7683" max="7927" width="9.08984375" style="16"/>
    <col min="7928" max="7928" width="8.6328125" style="16" customWidth="1"/>
    <col min="7929" max="7929" width="9.90625" style="16" customWidth="1"/>
    <col min="7930" max="7930" width="14.453125" style="16" customWidth="1"/>
    <col min="7931" max="7931" width="7.36328125" style="16" customWidth="1"/>
    <col min="7932" max="7932" width="5.54296875" style="16" customWidth="1"/>
    <col min="7933" max="7933" width="9" style="16" customWidth="1"/>
    <col min="7934" max="7935" width="9.90625" style="16" customWidth="1"/>
    <col min="7936" max="7936" width="11.08984375" style="16" customWidth="1"/>
    <col min="7937" max="7937" width="2.90625" style="16" customWidth="1"/>
    <col min="7938" max="7938" width="3.54296875" style="16" customWidth="1"/>
    <col min="7939" max="8183" width="9.08984375" style="16"/>
    <col min="8184" max="8184" width="8.6328125" style="16" customWidth="1"/>
    <col min="8185" max="8185" width="9.90625" style="16" customWidth="1"/>
    <col min="8186" max="8186" width="14.453125" style="16" customWidth="1"/>
    <col min="8187" max="8187" width="7.36328125" style="16" customWidth="1"/>
    <col min="8188" max="8188" width="5.54296875" style="16" customWidth="1"/>
    <col min="8189" max="8189" width="9" style="16" customWidth="1"/>
    <col min="8190" max="8191" width="9.90625" style="16" customWidth="1"/>
    <col min="8192" max="8192" width="11.08984375" style="16" customWidth="1"/>
    <col min="8193" max="8193" width="2.90625" style="16" customWidth="1"/>
    <col min="8194" max="8194" width="3.54296875" style="16" customWidth="1"/>
    <col min="8195" max="8439" width="9.08984375" style="16"/>
    <col min="8440" max="8440" width="8.6328125" style="16" customWidth="1"/>
    <col min="8441" max="8441" width="9.90625" style="16" customWidth="1"/>
    <col min="8442" max="8442" width="14.453125" style="16" customWidth="1"/>
    <col min="8443" max="8443" width="7.36328125" style="16" customWidth="1"/>
    <col min="8444" max="8444" width="5.54296875" style="16" customWidth="1"/>
    <col min="8445" max="8445" width="9" style="16" customWidth="1"/>
    <col min="8446" max="8447" width="9.90625" style="16" customWidth="1"/>
    <col min="8448" max="8448" width="11.08984375" style="16" customWidth="1"/>
    <col min="8449" max="8449" width="2.90625" style="16" customWidth="1"/>
    <col min="8450" max="8450" width="3.54296875" style="16" customWidth="1"/>
    <col min="8451" max="8695" width="9.08984375" style="16"/>
    <col min="8696" max="8696" width="8.6328125" style="16" customWidth="1"/>
    <col min="8697" max="8697" width="9.90625" style="16" customWidth="1"/>
    <col min="8698" max="8698" width="14.453125" style="16" customWidth="1"/>
    <col min="8699" max="8699" width="7.36328125" style="16" customWidth="1"/>
    <col min="8700" max="8700" width="5.54296875" style="16" customWidth="1"/>
    <col min="8701" max="8701" width="9" style="16" customWidth="1"/>
    <col min="8702" max="8703" width="9.90625" style="16" customWidth="1"/>
    <col min="8704" max="8704" width="11.08984375" style="16" customWidth="1"/>
    <col min="8705" max="8705" width="2.90625" style="16" customWidth="1"/>
    <col min="8706" max="8706" width="3.54296875" style="16" customWidth="1"/>
    <col min="8707" max="8951" width="9.08984375" style="16"/>
    <col min="8952" max="8952" width="8.6328125" style="16" customWidth="1"/>
    <col min="8953" max="8953" width="9.90625" style="16" customWidth="1"/>
    <col min="8954" max="8954" width="14.453125" style="16" customWidth="1"/>
    <col min="8955" max="8955" width="7.36328125" style="16" customWidth="1"/>
    <col min="8956" max="8956" width="5.54296875" style="16" customWidth="1"/>
    <col min="8957" max="8957" width="9" style="16" customWidth="1"/>
    <col min="8958" max="8959" width="9.90625" style="16" customWidth="1"/>
    <col min="8960" max="8960" width="11.08984375" style="16" customWidth="1"/>
    <col min="8961" max="8961" width="2.90625" style="16" customWidth="1"/>
    <col min="8962" max="8962" width="3.54296875" style="16" customWidth="1"/>
    <col min="8963" max="9207" width="9.08984375" style="16"/>
    <col min="9208" max="9208" width="8.6328125" style="16" customWidth="1"/>
    <col min="9209" max="9209" width="9.90625" style="16" customWidth="1"/>
    <col min="9210" max="9210" width="14.453125" style="16" customWidth="1"/>
    <col min="9211" max="9211" width="7.36328125" style="16" customWidth="1"/>
    <col min="9212" max="9212" width="5.54296875" style="16" customWidth="1"/>
    <col min="9213" max="9213" width="9" style="16" customWidth="1"/>
    <col min="9214" max="9215" width="9.90625" style="16" customWidth="1"/>
    <col min="9216" max="9216" width="11.08984375" style="16" customWidth="1"/>
    <col min="9217" max="9217" width="2.90625" style="16" customWidth="1"/>
    <col min="9218" max="9218" width="3.54296875" style="16" customWidth="1"/>
    <col min="9219" max="9463" width="9.08984375" style="16"/>
    <col min="9464" max="9464" width="8.6328125" style="16" customWidth="1"/>
    <col min="9465" max="9465" width="9.90625" style="16" customWidth="1"/>
    <col min="9466" max="9466" width="14.453125" style="16" customWidth="1"/>
    <col min="9467" max="9467" width="7.36328125" style="16" customWidth="1"/>
    <col min="9468" max="9468" width="5.54296875" style="16" customWidth="1"/>
    <col min="9469" max="9469" width="9" style="16" customWidth="1"/>
    <col min="9470" max="9471" width="9.90625" style="16" customWidth="1"/>
    <col min="9472" max="9472" width="11.08984375" style="16" customWidth="1"/>
    <col min="9473" max="9473" width="2.90625" style="16" customWidth="1"/>
    <col min="9474" max="9474" width="3.54296875" style="16" customWidth="1"/>
    <col min="9475" max="9719" width="9.08984375" style="16"/>
    <col min="9720" max="9720" width="8.6328125" style="16" customWidth="1"/>
    <col min="9721" max="9721" width="9.90625" style="16" customWidth="1"/>
    <col min="9722" max="9722" width="14.453125" style="16" customWidth="1"/>
    <col min="9723" max="9723" width="7.36328125" style="16" customWidth="1"/>
    <col min="9724" max="9724" width="5.54296875" style="16" customWidth="1"/>
    <col min="9725" max="9725" width="9" style="16" customWidth="1"/>
    <col min="9726" max="9727" width="9.90625" style="16" customWidth="1"/>
    <col min="9728" max="9728" width="11.08984375" style="16" customWidth="1"/>
    <col min="9729" max="9729" width="2.90625" style="16" customWidth="1"/>
    <col min="9730" max="9730" width="3.54296875" style="16" customWidth="1"/>
    <col min="9731" max="9975" width="9.08984375" style="16"/>
    <col min="9976" max="9976" width="8.6328125" style="16" customWidth="1"/>
    <col min="9977" max="9977" width="9.90625" style="16" customWidth="1"/>
    <col min="9978" max="9978" width="14.453125" style="16" customWidth="1"/>
    <col min="9979" max="9979" width="7.36328125" style="16" customWidth="1"/>
    <col min="9980" max="9980" width="5.54296875" style="16" customWidth="1"/>
    <col min="9981" max="9981" width="9" style="16" customWidth="1"/>
    <col min="9982" max="9983" width="9.90625" style="16" customWidth="1"/>
    <col min="9984" max="9984" width="11.08984375" style="16" customWidth="1"/>
    <col min="9985" max="9985" width="2.90625" style="16" customWidth="1"/>
    <col min="9986" max="9986" width="3.54296875" style="16" customWidth="1"/>
    <col min="9987" max="10231" width="9.08984375" style="16"/>
    <col min="10232" max="10232" width="8.6328125" style="16" customWidth="1"/>
    <col min="10233" max="10233" width="9.90625" style="16" customWidth="1"/>
    <col min="10234" max="10234" width="14.453125" style="16" customWidth="1"/>
    <col min="10235" max="10235" width="7.36328125" style="16" customWidth="1"/>
    <col min="10236" max="10236" width="5.54296875" style="16" customWidth="1"/>
    <col min="10237" max="10237" width="9" style="16" customWidth="1"/>
    <col min="10238" max="10239" width="9.90625" style="16" customWidth="1"/>
    <col min="10240" max="10240" width="11.08984375" style="16" customWidth="1"/>
    <col min="10241" max="10241" width="2.90625" style="16" customWidth="1"/>
    <col min="10242" max="10242" width="3.54296875" style="16" customWidth="1"/>
    <col min="10243" max="10487" width="9.08984375" style="16"/>
    <col min="10488" max="10488" width="8.6328125" style="16" customWidth="1"/>
    <col min="10489" max="10489" width="9.90625" style="16" customWidth="1"/>
    <col min="10490" max="10490" width="14.453125" style="16" customWidth="1"/>
    <col min="10491" max="10491" width="7.36328125" style="16" customWidth="1"/>
    <col min="10492" max="10492" width="5.54296875" style="16" customWidth="1"/>
    <col min="10493" max="10493" width="9" style="16" customWidth="1"/>
    <col min="10494" max="10495" width="9.90625" style="16" customWidth="1"/>
    <col min="10496" max="10496" width="11.08984375" style="16" customWidth="1"/>
    <col min="10497" max="10497" width="2.90625" style="16" customWidth="1"/>
    <col min="10498" max="10498" width="3.54296875" style="16" customWidth="1"/>
    <col min="10499" max="10743" width="9.08984375" style="16"/>
    <col min="10744" max="10744" width="8.6328125" style="16" customWidth="1"/>
    <col min="10745" max="10745" width="9.90625" style="16" customWidth="1"/>
    <col min="10746" max="10746" width="14.453125" style="16" customWidth="1"/>
    <col min="10747" max="10747" width="7.36328125" style="16" customWidth="1"/>
    <col min="10748" max="10748" width="5.54296875" style="16" customWidth="1"/>
    <col min="10749" max="10749" width="9" style="16" customWidth="1"/>
    <col min="10750" max="10751" width="9.90625" style="16" customWidth="1"/>
    <col min="10752" max="10752" width="11.08984375" style="16" customWidth="1"/>
    <col min="10753" max="10753" width="2.90625" style="16" customWidth="1"/>
    <col min="10754" max="10754" width="3.54296875" style="16" customWidth="1"/>
    <col min="10755" max="10999" width="9.08984375" style="16"/>
    <col min="11000" max="11000" width="8.6328125" style="16" customWidth="1"/>
    <col min="11001" max="11001" width="9.90625" style="16" customWidth="1"/>
    <col min="11002" max="11002" width="14.453125" style="16" customWidth="1"/>
    <col min="11003" max="11003" width="7.36328125" style="16" customWidth="1"/>
    <col min="11004" max="11004" width="5.54296875" style="16" customWidth="1"/>
    <col min="11005" max="11005" width="9" style="16" customWidth="1"/>
    <col min="11006" max="11007" width="9.90625" style="16" customWidth="1"/>
    <col min="11008" max="11008" width="11.08984375" style="16" customWidth="1"/>
    <col min="11009" max="11009" width="2.90625" style="16" customWidth="1"/>
    <col min="11010" max="11010" width="3.54296875" style="16" customWidth="1"/>
    <col min="11011" max="11255" width="9.08984375" style="16"/>
    <col min="11256" max="11256" width="8.6328125" style="16" customWidth="1"/>
    <col min="11257" max="11257" width="9.90625" style="16" customWidth="1"/>
    <col min="11258" max="11258" width="14.453125" style="16" customWidth="1"/>
    <col min="11259" max="11259" width="7.36328125" style="16" customWidth="1"/>
    <col min="11260" max="11260" width="5.54296875" style="16" customWidth="1"/>
    <col min="11261" max="11261" width="9" style="16" customWidth="1"/>
    <col min="11262" max="11263" width="9.90625" style="16" customWidth="1"/>
    <col min="11264" max="11264" width="11.08984375" style="16" customWidth="1"/>
    <col min="11265" max="11265" width="2.90625" style="16" customWidth="1"/>
    <col min="11266" max="11266" width="3.54296875" style="16" customWidth="1"/>
    <col min="11267" max="11511" width="9.08984375" style="16"/>
    <col min="11512" max="11512" width="8.6328125" style="16" customWidth="1"/>
    <col min="11513" max="11513" width="9.90625" style="16" customWidth="1"/>
    <col min="11514" max="11514" width="14.453125" style="16" customWidth="1"/>
    <col min="11515" max="11515" width="7.36328125" style="16" customWidth="1"/>
    <col min="11516" max="11516" width="5.54296875" style="16" customWidth="1"/>
    <col min="11517" max="11517" width="9" style="16" customWidth="1"/>
    <col min="11518" max="11519" width="9.90625" style="16" customWidth="1"/>
    <col min="11520" max="11520" width="11.08984375" style="16" customWidth="1"/>
    <col min="11521" max="11521" width="2.90625" style="16" customWidth="1"/>
    <col min="11522" max="11522" width="3.54296875" style="16" customWidth="1"/>
    <col min="11523" max="11767" width="9.08984375" style="16"/>
    <col min="11768" max="11768" width="8.6328125" style="16" customWidth="1"/>
    <col min="11769" max="11769" width="9.90625" style="16" customWidth="1"/>
    <col min="11770" max="11770" width="14.453125" style="16" customWidth="1"/>
    <col min="11771" max="11771" width="7.36328125" style="16" customWidth="1"/>
    <col min="11772" max="11772" width="5.54296875" style="16" customWidth="1"/>
    <col min="11773" max="11773" width="9" style="16" customWidth="1"/>
    <col min="11774" max="11775" width="9.90625" style="16" customWidth="1"/>
    <col min="11776" max="11776" width="11.08984375" style="16" customWidth="1"/>
    <col min="11777" max="11777" width="2.90625" style="16" customWidth="1"/>
    <col min="11778" max="11778" width="3.54296875" style="16" customWidth="1"/>
    <col min="11779" max="12023" width="9.08984375" style="16"/>
    <col min="12024" max="12024" width="8.6328125" style="16" customWidth="1"/>
    <col min="12025" max="12025" width="9.90625" style="16" customWidth="1"/>
    <col min="12026" max="12026" width="14.453125" style="16" customWidth="1"/>
    <col min="12027" max="12027" width="7.36328125" style="16" customWidth="1"/>
    <col min="12028" max="12028" width="5.54296875" style="16" customWidth="1"/>
    <col min="12029" max="12029" width="9" style="16" customWidth="1"/>
    <col min="12030" max="12031" width="9.90625" style="16" customWidth="1"/>
    <col min="12032" max="12032" width="11.08984375" style="16" customWidth="1"/>
    <col min="12033" max="12033" width="2.90625" style="16" customWidth="1"/>
    <col min="12034" max="12034" width="3.54296875" style="16" customWidth="1"/>
    <col min="12035" max="12279" width="9.08984375" style="16"/>
    <col min="12280" max="12280" width="8.6328125" style="16" customWidth="1"/>
    <col min="12281" max="12281" width="9.90625" style="16" customWidth="1"/>
    <col min="12282" max="12282" width="14.453125" style="16" customWidth="1"/>
    <col min="12283" max="12283" width="7.36328125" style="16" customWidth="1"/>
    <col min="12284" max="12284" width="5.54296875" style="16" customWidth="1"/>
    <col min="12285" max="12285" width="9" style="16" customWidth="1"/>
    <col min="12286" max="12287" width="9.90625" style="16" customWidth="1"/>
    <col min="12288" max="12288" width="11.08984375" style="16" customWidth="1"/>
    <col min="12289" max="12289" width="2.90625" style="16" customWidth="1"/>
    <col min="12290" max="12290" width="3.54296875" style="16" customWidth="1"/>
    <col min="12291" max="12535" width="9.08984375" style="16"/>
    <col min="12536" max="12536" width="8.6328125" style="16" customWidth="1"/>
    <col min="12537" max="12537" width="9.90625" style="16" customWidth="1"/>
    <col min="12538" max="12538" width="14.453125" style="16" customWidth="1"/>
    <col min="12539" max="12539" width="7.36328125" style="16" customWidth="1"/>
    <col min="12540" max="12540" width="5.54296875" style="16" customWidth="1"/>
    <col min="12541" max="12541" width="9" style="16" customWidth="1"/>
    <col min="12542" max="12543" width="9.90625" style="16" customWidth="1"/>
    <col min="12544" max="12544" width="11.08984375" style="16" customWidth="1"/>
    <col min="12545" max="12545" width="2.90625" style="16" customWidth="1"/>
    <col min="12546" max="12546" width="3.54296875" style="16" customWidth="1"/>
    <col min="12547" max="12791" width="9.08984375" style="16"/>
    <col min="12792" max="12792" width="8.6328125" style="16" customWidth="1"/>
    <col min="12793" max="12793" width="9.90625" style="16" customWidth="1"/>
    <col min="12794" max="12794" width="14.453125" style="16" customWidth="1"/>
    <col min="12795" max="12795" width="7.36328125" style="16" customWidth="1"/>
    <col min="12796" max="12796" width="5.54296875" style="16" customWidth="1"/>
    <col min="12797" max="12797" width="9" style="16" customWidth="1"/>
    <col min="12798" max="12799" width="9.90625" style="16" customWidth="1"/>
    <col min="12800" max="12800" width="11.08984375" style="16" customWidth="1"/>
    <col min="12801" max="12801" width="2.90625" style="16" customWidth="1"/>
    <col min="12802" max="12802" width="3.54296875" style="16" customWidth="1"/>
    <col min="12803" max="13047" width="9.08984375" style="16"/>
    <col min="13048" max="13048" width="8.6328125" style="16" customWidth="1"/>
    <col min="13049" max="13049" width="9.90625" style="16" customWidth="1"/>
    <col min="13050" max="13050" width="14.453125" style="16" customWidth="1"/>
    <col min="13051" max="13051" width="7.36328125" style="16" customWidth="1"/>
    <col min="13052" max="13052" width="5.54296875" style="16" customWidth="1"/>
    <col min="13053" max="13053" width="9" style="16" customWidth="1"/>
    <col min="13054" max="13055" width="9.90625" style="16" customWidth="1"/>
    <col min="13056" max="13056" width="11.08984375" style="16" customWidth="1"/>
    <col min="13057" max="13057" width="2.90625" style="16" customWidth="1"/>
    <col min="13058" max="13058" width="3.54296875" style="16" customWidth="1"/>
    <col min="13059" max="13303" width="9.08984375" style="16"/>
    <col min="13304" max="13304" width="8.6328125" style="16" customWidth="1"/>
    <col min="13305" max="13305" width="9.90625" style="16" customWidth="1"/>
    <col min="13306" max="13306" width="14.453125" style="16" customWidth="1"/>
    <col min="13307" max="13307" width="7.36328125" style="16" customWidth="1"/>
    <col min="13308" max="13308" width="5.54296875" style="16" customWidth="1"/>
    <col min="13309" max="13309" width="9" style="16" customWidth="1"/>
    <col min="13310" max="13311" width="9.90625" style="16" customWidth="1"/>
    <col min="13312" max="13312" width="11.08984375" style="16" customWidth="1"/>
    <col min="13313" max="13313" width="2.90625" style="16" customWidth="1"/>
    <col min="13314" max="13314" width="3.54296875" style="16" customWidth="1"/>
    <col min="13315" max="13559" width="9.08984375" style="16"/>
    <col min="13560" max="13560" width="8.6328125" style="16" customWidth="1"/>
    <col min="13561" max="13561" width="9.90625" style="16" customWidth="1"/>
    <col min="13562" max="13562" width="14.453125" style="16" customWidth="1"/>
    <col min="13563" max="13563" width="7.36328125" style="16" customWidth="1"/>
    <col min="13564" max="13564" width="5.54296875" style="16" customWidth="1"/>
    <col min="13565" max="13565" width="9" style="16" customWidth="1"/>
    <col min="13566" max="13567" width="9.90625" style="16" customWidth="1"/>
    <col min="13568" max="13568" width="11.08984375" style="16" customWidth="1"/>
    <col min="13569" max="13569" width="2.90625" style="16" customWidth="1"/>
    <col min="13570" max="13570" width="3.54296875" style="16" customWidth="1"/>
    <col min="13571" max="13815" width="9.08984375" style="16"/>
    <col min="13816" max="13816" width="8.6328125" style="16" customWidth="1"/>
    <col min="13817" max="13817" width="9.90625" style="16" customWidth="1"/>
    <col min="13818" max="13818" width="14.453125" style="16" customWidth="1"/>
    <col min="13819" max="13819" width="7.36328125" style="16" customWidth="1"/>
    <col min="13820" max="13820" width="5.54296875" style="16" customWidth="1"/>
    <col min="13821" max="13821" width="9" style="16" customWidth="1"/>
    <col min="13822" max="13823" width="9.90625" style="16" customWidth="1"/>
    <col min="13824" max="13824" width="11.08984375" style="16" customWidth="1"/>
    <col min="13825" max="13825" width="2.90625" style="16" customWidth="1"/>
    <col min="13826" max="13826" width="3.54296875" style="16" customWidth="1"/>
    <col min="13827" max="14071" width="9.08984375" style="16"/>
    <col min="14072" max="14072" width="8.6328125" style="16" customWidth="1"/>
    <col min="14073" max="14073" width="9.90625" style="16" customWidth="1"/>
    <col min="14074" max="14074" width="14.453125" style="16" customWidth="1"/>
    <col min="14075" max="14075" width="7.36328125" style="16" customWidth="1"/>
    <col min="14076" max="14076" width="5.54296875" style="16" customWidth="1"/>
    <col min="14077" max="14077" width="9" style="16" customWidth="1"/>
    <col min="14078" max="14079" width="9.90625" style="16" customWidth="1"/>
    <col min="14080" max="14080" width="11.08984375" style="16" customWidth="1"/>
    <col min="14081" max="14081" width="2.90625" style="16" customWidth="1"/>
    <col min="14082" max="14082" width="3.54296875" style="16" customWidth="1"/>
    <col min="14083" max="14327" width="9.08984375" style="16"/>
    <col min="14328" max="14328" width="8.6328125" style="16" customWidth="1"/>
    <col min="14329" max="14329" width="9.90625" style="16" customWidth="1"/>
    <col min="14330" max="14330" width="14.453125" style="16" customWidth="1"/>
    <col min="14331" max="14331" width="7.36328125" style="16" customWidth="1"/>
    <col min="14332" max="14332" width="5.54296875" style="16" customWidth="1"/>
    <col min="14333" max="14333" width="9" style="16" customWidth="1"/>
    <col min="14334" max="14335" width="9.90625" style="16" customWidth="1"/>
    <col min="14336" max="14336" width="11.08984375" style="16" customWidth="1"/>
    <col min="14337" max="14337" width="2.90625" style="16" customWidth="1"/>
    <col min="14338" max="14338" width="3.54296875" style="16" customWidth="1"/>
    <col min="14339" max="14583" width="9.08984375" style="16"/>
    <col min="14584" max="14584" width="8.6328125" style="16" customWidth="1"/>
    <col min="14585" max="14585" width="9.90625" style="16" customWidth="1"/>
    <col min="14586" max="14586" width="14.453125" style="16" customWidth="1"/>
    <col min="14587" max="14587" width="7.36328125" style="16" customWidth="1"/>
    <col min="14588" max="14588" width="5.54296875" style="16" customWidth="1"/>
    <col min="14589" max="14589" width="9" style="16" customWidth="1"/>
    <col min="14590" max="14591" width="9.90625" style="16" customWidth="1"/>
    <col min="14592" max="14592" width="11.08984375" style="16" customWidth="1"/>
    <col min="14593" max="14593" width="2.90625" style="16" customWidth="1"/>
    <col min="14594" max="14594" width="3.54296875" style="16" customWidth="1"/>
    <col min="14595" max="14839" width="9.08984375" style="16"/>
    <col min="14840" max="14840" width="8.6328125" style="16" customWidth="1"/>
    <col min="14841" max="14841" width="9.90625" style="16" customWidth="1"/>
    <col min="14842" max="14842" width="14.453125" style="16" customWidth="1"/>
    <col min="14843" max="14843" width="7.36328125" style="16" customWidth="1"/>
    <col min="14844" max="14844" width="5.54296875" style="16" customWidth="1"/>
    <col min="14845" max="14845" width="9" style="16" customWidth="1"/>
    <col min="14846" max="14847" width="9.90625" style="16" customWidth="1"/>
    <col min="14848" max="14848" width="11.08984375" style="16" customWidth="1"/>
    <col min="14849" max="14849" width="2.90625" style="16" customWidth="1"/>
    <col min="14850" max="14850" width="3.54296875" style="16" customWidth="1"/>
    <col min="14851" max="15095" width="9.08984375" style="16"/>
    <col min="15096" max="15096" width="8.6328125" style="16" customWidth="1"/>
    <col min="15097" max="15097" width="9.90625" style="16" customWidth="1"/>
    <col min="15098" max="15098" width="14.453125" style="16" customWidth="1"/>
    <col min="15099" max="15099" width="7.36328125" style="16" customWidth="1"/>
    <col min="15100" max="15100" width="5.54296875" style="16" customWidth="1"/>
    <col min="15101" max="15101" width="9" style="16" customWidth="1"/>
    <col min="15102" max="15103" width="9.90625" style="16" customWidth="1"/>
    <col min="15104" max="15104" width="11.08984375" style="16" customWidth="1"/>
    <col min="15105" max="15105" width="2.90625" style="16" customWidth="1"/>
    <col min="15106" max="15106" width="3.54296875" style="16" customWidth="1"/>
    <col min="15107" max="15351" width="9.08984375" style="16"/>
    <col min="15352" max="15352" width="8.6328125" style="16" customWidth="1"/>
    <col min="15353" max="15353" width="9.90625" style="16" customWidth="1"/>
    <col min="15354" max="15354" width="14.453125" style="16" customWidth="1"/>
    <col min="15355" max="15355" width="7.36328125" style="16" customWidth="1"/>
    <col min="15356" max="15356" width="5.54296875" style="16" customWidth="1"/>
    <col min="15357" max="15357" width="9" style="16" customWidth="1"/>
    <col min="15358" max="15359" width="9.90625" style="16" customWidth="1"/>
    <col min="15360" max="15360" width="11.08984375" style="16" customWidth="1"/>
    <col min="15361" max="15361" width="2.90625" style="16" customWidth="1"/>
    <col min="15362" max="15362" width="3.54296875" style="16" customWidth="1"/>
    <col min="15363" max="15607" width="9.08984375" style="16"/>
    <col min="15608" max="15608" width="8.6328125" style="16" customWidth="1"/>
    <col min="15609" max="15609" width="9.90625" style="16" customWidth="1"/>
    <col min="15610" max="15610" width="14.453125" style="16" customWidth="1"/>
    <col min="15611" max="15611" width="7.36328125" style="16" customWidth="1"/>
    <col min="15612" max="15612" width="5.54296875" style="16" customWidth="1"/>
    <col min="15613" max="15613" width="9" style="16" customWidth="1"/>
    <col min="15614" max="15615" width="9.90625" style="16" customWidth="1"/>
    <col min="15616" max="15616" width="11.08984375" style="16" customWidth="1"/>
    <col min="15617" max="15617" width="2.90625" style="16" customWidth="1"/>
    <col min="15618" max="15618" width="3.54296875" style="16" customWidth="1"/>
    <col min="15619" max="15863" width="9.08984375" style="16"/>
    <col min="15864" max="15864" width="8.6328125" style="16" customWidth="1"/>
    <col min="15865" max="15865" width="9.90625" style="16" customWidth="1"/>
    <col min="15866" max="15866" width="14.453125" style="16" customWidth="1"/>
    <col min="15867" max="15867" width="7.36328125" style="16" customWidth="1"/>
    <col min="15868" max="15868" width="5.54296875" style="16" customWidth="1"/>
    <col min="15869" max="15869" width="9" style="16" customWidth="1"/>
    <col min="15870" max="15871" width="9.90625" style="16" customWidth="1"/>
    <col min="15872" max="15872" width="11.08984375" style="16" customWidth="1"/>
    <col min="15873" max="15873" width="2.90625" style="16" customWidth="1"/>
    <col min="15874" max="15874" width="3.54296875" style="16" customWidth="1"/>
    <col min="15875" max="16119" width="9.08984375" style="16"/>
    <col min="16120" max="16120" width="8.6328125" style="16" customWidth="1"/>
    <col min="16121" max="16121" width="9.90625" style="16" customWidth="1"/>
    <col min="16122" max="16122" width="14.453125" style="16" customWidth="1"/>
    <col min="16123" max="16123" width="7.36328125" style="16" customWidth="1"/>
    <col min="16124" max="16124" width="5.54296875" style="16" customWidth="1"/>
    <col min="16125" max="16125" width="9" style="16" customWidth="1"/>
    <col min="16126" max="16127" width="9.90625" style="16" customWidth="1"/>
    <col min="16128" max="16128" width="11.08984375" style="16" customWidth="1"/>
    <col min="16129" max="16129" width="2.90625" style="16" customWidth="1"/>
    <col min="16130" max="16130" width="3.54296875" style="16" customWidth="1"/>
    <col min="16131" max="16384" width="9.08984375" style="16"/>
  </cols>
  <sheetData>
    <row r="1" spans="1:26" ht="46.5" customHeight="1" x14ac:dyDescent="0.35">
      <c r="A1" s="140" t="s">
        <v>426</v>
      </c>
      <c r="B1" s="140"/>
      <c r="C1" s="140"/>
      <c r="D1" s="140"/>
      <c r="E1" s="140"/>
      <c r="F1" s="140"/>
      <c r="G1" s="140"/>
      <c r="H1" s="140"/>
    </row>
    <row r="2" spans="1:26" ht="16.5" customHeight="1" x14ac:dyDescent="0.35">
      <c r="A2" s="141" t="s">
        <v>0</v>
      </c>
      <c r="B2" s="141"/>
      <c r="C2" s="141"/>
      <c r="D2" s="141"/>
      <c r="E2" s="141"/>
      <c r="F2" s="141"/>
      <c r="G2" s="141"/>
      <c r="H2" s="141"/>
    </row>
    <row r="3" spans="1:26" x14ac:dyDescent="0.35">
      <c r="A3" s="104" t="s">
        <v>1</v>
      </c>
      <c r="B3" s="104"/>
      <c r="C3" s="104"/>
      <c r="D3" s="104"/>
      <c r="E3" s="104" t="str">
        <f ca="1">TEXT(TODAY(),"DD/MM/YYYY")</f>
        <v>30/08/2025</v>
      </c>
      <c r="F3" s="104"/>
      <c r="G3" s="104"/>
      <c r="H3" s="104"/>
      <c r="K3" s="45" t="s">
        <v>223</v>
      </c>
      <c r="L3" s="44" t="s">
        <v>221</v>
      </c>
      <c r="M3" s="44" t="s">
        <v>226</v>
      </c>
      <c r="N3" s="44" t="s">
        <v>224</v>
      </c>
      <c r="O3" s="44" t="s">
        <v>342</v>
      </c>
      <c r="P3" s="44" t="s">
        <v>227</v>
      </c>
    </row>
    <row r="4" spans="1:26" ht="15" customHeight="1" x14ac:dyDescent="0.35">
      <c r="A4" s="104" t="s">
        <v>220</v>
      </c>
      <c r="B4" s="104"/>
      <c r="C4" s="104"/>
      <c r="D4" s="104"/>
      <c r="E4" s="104" t="s">
        <v>221</v>
      </c>
      <c r="F4" s="104"/>
      <c r="G4" s="104"/>
      <c r="H4" s="104"/>
      <c r="K4" s="43" t="s">
        <v>222</v>
      </c>
      <c r="L4" s="44" t="s">
        <v>160</v>
      </c>
      <c r="M4" s="44" t="s">
        <v>231</v>
      </c>
      <c r="N4" s="44" t="s">
        <v>233</v>
      </c>
      <c r="O4" s="44" t="s">
        <v>328</v>
      </c>
      <c r="P4" s="44"/>
    </row>
    <row r="5" spans="1:26" ht="15" customHeight="1" x14ac:dyDescent="0.35">
      <c r="A5" s="104" t="s">
        <v>2</v>
      </c>
      <c r="B5" s="104"/>
      <c r="C5" s="104"/>
      <c r="D5" s="104"/>
      <c r="E5" s="104" t="s">
        <v>228</v>
      </c>
      <c r="F5" s="104"/>
      <c r="G5" s="104"/>
      <c r="H5" s="104"/>
      <c r="K5" s="43"/>
      <c r="L5" s="44" t="s">
        <v>228</v>
      </c>
      <c r="M5" s="44" t="s">
        <v>232</v>
      </c>
      <c r="N5" s="44" t="s">
        <v>234</v>
      </c>
      <c r="O5" s="44" t="s">
        <v>329</v>
      </c>
      <c r="P5" s="44"/>
    </row>
    <row r="6" spans="1:26" x14ac:dyDescent="0.35">
      <c r="A6" s="104" t="s">
        <v>3</v>
      </c>
      <c r="B6" s="104"/>
      <c r="C6" s="104"/>
      <c r="D6" s="104"/>
      <c r="E6" s="142">
        <v>45899</v>
      </c>
      <c r="F6" s="104"/>
      <c r="G6" s="104"/>
      <c r="H6" s="104"/>
      <c r="K6" s="43"/>
      <c r="L6" s="44" t="s">
        <v>229</v>
      </c>
      <c r="M6" s="44" t="s">
        <v>340</v>
      </c>
      <c r="N6" s="44"/>
      <c r="O6" s="44" t="s">
        <v>330</v>
      </c>
      <c r="P6" s="44"/>
    </row>
    <row r="7" spans="1:26" ht="16.5" customHeight="1" x14ac:dyDescent="0.35">
      <c r="A7" s="104" t="s">
        <v>4</v>
      </c>
      <c r="B7" s="104"/>
      <c r="C7" s="104"/>
      <c r="D7" s="104"/>
      <c r="E7" s="104" t="s">
        <v>358</v>
      </c>
      <c r="F7" s="104"/>
      <c r="G7" s="104"/>
      <c r="H7" s="104"/>
      <c r="K7" s="43"/>
      <c r="L7" s="44" t="s">
        <v>230</v>
      </c>
      <c r="M7" s="44"/>
      <c r="N7" s="44"/>
      <c r="O7" s="44" t="s">
        <v>330</v>
      </c>
      <c r="P7" s="44"/>
    </row>
    <row r="8" spans="1:26" ht="15" customHeight="1" x14ac:dyDescent="0.35">
      <c r="A8" s="104" t="s">
        <v>5</v>
      </c>
      <c r="B8" s="104"/>
      <c r="C8" s="104"/>
      <c r="D8" s="104"/>
      <c r="E8" s="104" t="str">
        <f>E7</f>
        <v>M/s. Purva Oak Private Limited</v>
      </c>
      <c r="F8" s="104"/>
      <c r="G8" s="104"/>
      <c r="H8" s="104"/>
      <c r="K8" s="43"/>
      <c r="L8" s="44"/>
      <c r="M8" s="44"/>
      <c r="N8" s="44"/>
      <c r="O8" s="44" t="s">
        <v>331</v>
      </c>
      <c r="P8" s="44"/>
    </row>
    <row r="9" spans="1:26" x14ac:dyDescent="0.35">
      <c r="A9" s="104" t="s">
        <v>6</v>
      </c>
      <c r="B9" s="104"/>
      <c r="C9" s="104"/>
      <c r="D9" s="104"/>
      <c r="E9" s="131" t="s">
        <v>359</v>
      </c>
      <c r="F9" s="131"/>
      <c r="G9" s="131"/>
      <c r="H9" s="131"/>
      <c r="K9" s="43"/>
      <c r="L9" s="44"/>
      <c r="M9" s="44"/>
      <c r="N9" s="44"/>
      <c r="O9" s="44" t="s">
        <v>332</v>
      </c>
      <c r="P9" s="44"/>
    </row>
    <row r="10" spans="1:26" x14ac:dyDescent="0.35">
      <c r="A10" s="104" t="s">
        <v>157</v>
      </c>
      <c r="B10" s="104"/>
      <c r="C10" s="104"/>
      <c r="D10" s="104"/>
      <c r="E10" s="104" t="s">
        <v>360</v>
      </c>
      <c r="F10" s="104"/>
      <c r="G10" s="104"/>
      <c r="H10" s="104"/>
      <c r="K10" s="43"/>
      <c r="L10" s="44"/>
      <c r="M10" s="44"/>
      <c r="N10" s="44"/>
      <c r="O10" s="44" t="s">
        <v>333</v>
      </c>
      <c r="P10" s="44"/>
    </row>
    <row r="11" spans="1:26" x14ac:dyDescent="0.35">
      <c r="A11" s="104" t="s">
        <v>158</v>
      </c>
      <c r="B11" s="104"/>
      <c r="C11" s="104"/>
      <c r="D11" s="104"/>
      <c r="E11" s="104" t="s">
        <v>360</v>
      </c>
      <c r="F11" s="104"/>
      <c r="G11" s="104"/>
      <c r="H11" s="104"/>
      <c r="O11" s="44" t="s">
        <v>334</v>
      </c>
    </row>
    <row r="12" spans="1:26" x14ac:dyDescent="0.35">
      <c r="A12" s="104" t="s">
        <v>7</v>
      </c>
      <c r="B12" s="104"/>
      <c r="C12" s="104"/>
      <c r="D12" s="104"/>
      <c r="E12" s="104" t="s">
        <v>361</v>
      </c>
      <c r="F12" s="104"/>
      <c r="G12" s="104"/>
      <c r="H12" s="104"/>
    </row>
    <row r="13" spans="1:26" x14ac:dyDescent="0.35">
      <c r="A13" s="104" t="s">
        <v>161</v>
      </c>
      <c r="B13" s="104"/>
      <c r="C13" s="104"/>
      <c r="D13" s="104"/>
      <c r="E13" s="104" t="s">
        <v>28</v>
      </c>
      <c r="F13" s="104"/>
      <c r="G13" s="104"/>
      <c r="H13" s="104"/>
      <c r="S13" s="44" t="s">
        <v>167</v>
      </c>
      <c r="T13" s="44" t="s">
        <v>176</v>
      </c>
      <c r="U13" s="44" t="s">
        <v>162</v>
      </c>
      <c r="V13" s="44" t="s">
        <v>181</v>
      </c>
      <c r="W13" s="44" t="s">
        <v>199</v>
      </c>
      <c r="X13"/>
      <c r="Y13" t="s">
        <v>181</v>
      </c>
      <c r="Z13" t="e">
        <f ca="1">OFFSET($S$13,1,MATCH($G20,$S$13:$W$13,0)-1,15,1)</f>
        <v>#VALUE!</v>
      </c>
    </row>
    <row r="14" spans="1:26" x14ac:dyDescent="0.35">
      <c r="A14" s="88" t="s">
        <v>266</v>
      </c>
      <c r="B14" s="88"/>
      <c r="C14" s="88"/>
      <c r="D14" s="88"/>
      <c r="E14" s="90" t="s">
        <v>405</v>
      </c>
      <c r="F14" s="90"/>
      <c r="G14" s="90"/>
      <c r="H14" s="90"/>
      <c r="I14" s="17" t="s">
        <v>402</v>
      </c>
      <c r="S14" s="44" t="s">
        <v>167</v>
      </c>
      <c r="T14" s="44" t="s">
        <v>174</v>
      </c>
      <c r="U14" s="44" t="s">
        <v>196</v>
      </c>
      <c r="V14" s="44" t="s">
        <v>182</v>
      </c>
      <c r="W14" s="44" t="s">
        <v>200</v>
      </c>
      <c r="X14"/>
      <c r="Y14"/>
      <c r="Z14"/>
    </row>
    <row r="15" spans="1:26" x14ac:dyDescent="0.35">
      <c r="A15" s="88" t="s">
        <v>8</v>
      </c>
      <c r="B15" s="88"/>
      <c r="C15" s="88"/>
      <c r="D15" s="88"/>
      <c r="E15" s="90" t="s">
        <v>362</v>
      </c>
      <c r="F15" s="104"/>
      <c r="G15" s="104"/>
      <c r="H15" s="104"/>
      <c r="I15" s="170" t="e">
        <f ca="1">OFFSET($D$5,1,MATCH($J13,$D$5:$H$5,0)-1,15,1)</f>
        <v>#N/A</v>
      </c>
      <c r="J15" s="171"/>
      <c r="K15" s="171"/>
      <c r="L15" s="171"/>
      <c r="M15" s="171"/>
      <c r="N15" s="171"/>
      <c r="O15" s="171"/>
      <c r="P15" s="171"/>
      <c r="S15" s="44" t="s">
        <v>168</v>
      </c>
      <c r="T15" s="44" t="s">
        <v>175</v>
      </c>
      <c r="U15" s="44" t="s">
        <v>197</v>
      </c>
      <c r="V15" s="44" t="s">
        <v>183</v>
      </c>
      <c r="W15" s="44" t="s">
        <v>213</v>
      </c>
      <c r="X15"/>
      <c r="Y15"/>
      <c r="Z15"/>
    </row>
    <row r="16" spans="1:26" ht="48.75" customHeight="1" x14ac:dyDescent="0.35">
      <c r="A16" s="130" t="s">
        <v>9</v>
      </c>
      <c r="B16" s="130"/>
      <c r="C16" s="130" t="str">
        <f>CONCATENATE((IF(OR(E9="",E9="NA"),"",E9)),", ",(IF(OR(A17="",A17="NA"),"",A17)),".",(IF(OR(C17="",C17="NA"),"",C17)),", near ",(IF(OR(C22="",C22="NA"),"",C22)),", ",(IF(OR(C19="",C19="NA"),"",C19)),", ",(IF(OR(C18="",C18="NA"),"",C18)),", ",(IF(OR(G19="",G19="NA"),"",G19)),", ",(IF(OR(C20="",C20="NA"),"",C20)),", ",(IF(OR(C21="",C21="NA"),"",C21)),", ",(IF(OR(G20="",G20="NA"),"",G20))," - ",(IF(OR(G21="",G21="NA"),"",G21)),".")</f>
        <v>Purva Panorama Tower C, Survey No.99/2, 114/4 and 115/2, near One Hiranandani Park, Ghodbunder Road, Patlipada, Kolshet, Thane West, Thane, Thane - 400607.</v>
      </c>
      <c r="D16" s="130"/>
      <c r="E16" s="130"/>
      <c r="F16" s="130"/>
      <c r="G16" s="130"/>
      <c r="H16" s="130"/>
      <c r="S16" s="44" t="s">
        <v>169</v>
      </c>
      <c r="T16" s="44" t="s">
        <v>177</v>
      </c>
      <c r="U16" s="44" t="s">
        <v>198</v>
      </c>
      <c r="V16" s="44" t="s">
        <v>184</v>
      </c>
      <c r="W16" s="44" t="s">
        <v>201</v>
      </c>
      <c r="X16"/>
      <c r="Y16"/>
      <c r="Z16"/>
    </row>
    <row r="17" spans="1:26" x14ac:dyDescent="0.35">
      <c r="A17" s="90" t="s">
        <v>363</v>
      </c>
      <c r="B17" s="90"/>
      <c r="C17" s="90" t="s">
        <v>406</v>
      </c>
      <c r="D17" s="90"/>
      <c r="E17" s="90"/>
      <c r="F17" s="90"/>
      <c r="G17" s="90"/>
      <c r="H17" s="90"/>
      <c r="S17" s="44" t="s">
        <v>170</v>
      </c>
      <c r="T17" s="44" t="s">
        <v>178</v>
      </c>
      <c r="U17" s="44" t="s">
        <v>162</v>
      </c>
      <c r="V17" s="44" t="s">
        <v>185</v>
      </c>
      <c r="W17" s="44" t="s">
        <v>202</v>
      </c>
      <c r="X17"/>
      <c r="Y17"/>
      <c r="Z17"/>
    </row>
    <row r="18" spans="1:26" ht="15.75" customHeight="1" x14ac:dyDescent="0.35">
      <c r="A18" s="90" t="s">
        <v>154</v>
      </c>
      <c r="B18" s="90"/>
      <c r="C18" s="90" t="s">
        <v>370</v>
      </c>
      <c r="D18" s="90"/>
      <c r="E18" s="90"/>
      <c r="F18" s="90"/>
      <c r="G18" s="90"/>
      <c r="H18" s="90"/>
      <c r="S18" s="44" t="s">
        <v>171</v>
      </c>
      <c r="T18" s="44" t="s">
        <v>176</v>
      </c>
      <c r="U18" s="44"/>
      <c r="V18" s="44" t="s">
        <v>186</v>
      </c>
      <c r="W18" s="44" t="s">
        <v>203</v>
      </c>
      <c r="X18"/>
      <c r="Y18"/>
      <c r="Z18"/>
    </row>
    <row r="19" spans="1:26" ht="15.75" customHeight="1" x14ac:dyDescent="0.35">
      <c r="A19" s="130" t="s">
        <v>10</v>
      </c>
      <c r="B19" s="130"/>
      <c r="C19" s="104" t="s">
        <v>368</v>
      </c>
      <c r="D19" s="104"/>
      <c r="E19" s="130" t="s">
        <v>69</v>
      </c>
      <c r="F19" s="130"/>
      <c r="G19" s="90" t="s">
        <v>364</v>
      </c>
      <c r="H19" s="90"/>
      <c r="S19" s="44" t="s">
        <v>172</v>
      </c>
      <c r="T19" s="44" t="s">
        <v>179</v>
      </c>
      <c r="U19" s="44"/>
      <c r="V19" s="44" t="s">
        <v>187</v>
      </c>
      <c r="W19" s="44" t="s">
        <v>204</v>
      </c>
      <c r="X19"/>
      <c r="Y19"/>
      <c r="Z19"/>
    </row>
    <row r="20" spans="1:26" x14ac:dyDescent="0.35">
      <c r="A20" s="88" t="s">
        <v>12</v>
      </c>
      <c r="B20" s="88"/>
      <c r="C20" s="90" t="s">
        <v>365</v>
      </c>
      <c r="D20" s="90"/>
      <c r="E20" s="130" t="s">
        <v>11</v>
      </c>
      <c r="F20" s="130"/>
      <c r="G20" s="139" t="s">
        <v>167</v>
      </c>
      <c r="H20" s="139"/>
      <c r="S20" s="44" t="s">
        <v>173</v>
      </c>
      <c r="T20" s="44" t="s">
        <v>180</v>
      </c>
      <c r="U20" s="44"/>
      <c r="V20" s="44" t="s">
        <v>188</v>
      </c>
      <c r="W20" s="44" t="s">
        <v>205</v>
      </c>
      <c r="X20"/>
      <c r="Y20"/>
      <c r="Z20"/>
    </row>
    <row r="21" spans="1:26" x14ac:dyDescent="0.35">
      <c r="A21" s="88" t="s">
        <v>70</v>
      </c>
      <c r="B21" s="88"/>
      <c r="C21" s="90" t="s">
        <v>167</v>
      </c>
      <c r="D21" s="90"/>
      <c r="E21" s="130" t="s">
        <v>13</v>
      </c>
      <c r="F21" s="130"/>
      <c r="G21" s="90">
        <v>400607</v>
      </c>
      <c r="H21" s="90"/>
      <c r="S21" s="44"/>
      <c r="T21" s="44"/>
      <c r="U21" s="44"/>
      <c r="V21" s="44" t="s">
        <v>189</v>
      </c>
      <c r="W21" s="44" t="s">
        <v>206</v>
      </c>
      <c r="X21"/>
      <c r="Y21"/>
      <c r="Z21"/>
    </row>
    <row r="22" spans="1:26" ht="32.25" customHeight="1" x14ac:dyDescent="0.35">
      <c r="A22" s="88" t="s">
        <v>115</v>
      </c>
      <c r="B22" s="88"/>
      <c r="C22" s="90" t="s">
        <v>369</v>
      </c>
      <c r="D22" s="90"/>
      <c r="E22" s="130" t="s">
        <v>14</v>
      </c>
      <c r="F22" s="130"/>
      <c r="G22" s="90" t="s">
        <v>371</v>
      </c>
      <c r="H22" s="90"/>
      <c r="S22" s="44"/>
      <c r="T22" s="44"/>
      <c r="U22" s="44"/>
      <c r="V22" s="44" t="s">
        <v>190</v>
      </c>
      <c r="W22" s="44" t="s">
        <v>207</v>
      </c>
      <c r="X22"/>
      <c r="Y22"/>
      <c r="Z22"/>
    </row>
    <row r="23" spans="1:26" ht="15" customHeight="1" x14ac:dyDescent="0.35">
      <c r="A23" s="130" t="s">
        <v>71</v>
      </c>
      <c r="B23" s="130"/>
      <c r="C23" s="130"/>
      <c r="D23" s="130"/>
      <c r="E23" s="104" t="s">
        <v>15</v>
      </c>
      <c r="F23" s="104"/>
      <c r="G23" s="104"/>
      <c r="H23" s="104"/>
      <c r="S23" s="44"/>
      <c r="T23" s="44"/>
      <c r="U23" s="44"/>
      <c r="V23" s="44" t="s">
        <v>191</v>
      </c>
      <c r="W23" s="44" t="s">
        <v>208</v>
      </c>
      <c r="X23"/>
      <c r="Y23"/>
      <c r="Z23"/>
    </row>
    <row r="24" spans="1:26" ht="18.75" customHeight="1" x14ac:dyDescent="0.35">
      <c r="A24" s="130"/>
      <c r="B24" s="130"/>
      <c r="C24" s="130"/>
      <c r="D24" s="130"/>
      <c r="E24" s="104"/>
      <c r="F24" s="104"/>
      <c r="G24" s="104"/>
      <c r="H24" s="104"/>
      <c r="S24" s="44"/>
      <c r="T24" s="44"/>
      <c r="U24" s="44"/>
      <c r="V24" s="44" t="s">
        <v>192</v>
      </c>
      <c r="W24" s="44" t="s">
        <v>209</v>
      </c>
      <c r="X24"/>
      <c r="Y24"/>
      <c r="Z24"/>
    </row>
    <row r="25" spans="1:26" ht="15" customHeight="1" x14ac:dyDescent="0.35">
      <c r="A25" s="130" t="s">
        <v>16</v>
      </c>
      <c r="B25" s="130"/>
      <c r="C25" s="130"/>
      <c r="D25" s="130"/>
      <c r="E25" s="90" t="s">
        <v>17</v>
      </c>
      <c r="F25" s="90"/>
      <c r="G25" s="90"/>
      <c r="H25" s="90"/>
      <c r="S25" s="44"/>
      <c r="T25" s="44"/>
      <c r="U25" s="44"/>
      <c r="V25" s="44" t="s">
        <v>193</v>
      </c>
      <c r="W25" s="44" t="s">
        <v>210</v>
      </c>
      <c r="X25"/>
      <c r="Y25"/>
      <c r="Z25"/>
    </row>
    <row r="26" spans="1:26" ht="15" customHeight="1" x14ac:dyDescent="0.35">
      <c r="A26" s="88" t="s">
        <v>18</v>
      </c>
      <c r="B26" s="88"/>
      <c r="C26" s="88"/>
      <c r="D26" s="88"/>
      <c r="E26" s="90" t="str">
        <f>IF(AND(G20="Mumbai"),"Upper Class","Middle Class")</f>
        <v>Middle Class</v>
      </c>
      <c r="F26" s="90"/>
      <c r="G26" s="90"/>
      <c r="H26" s="90"/>
      <c r="S26" s="44"/>
      <c r="T26" s="44"/>
      <c r="U26" s="44"/>
      <c r="V26" s="44" t="s">
        <v>194</v>
      </c>
      <c r="W26" s="44" t="s">
        <v>211</v>
      </c>
      <c r="X26"/>
      <c r="Y26"/>
      <c r="Z26"/>
    </row>
    <row r="27" spans="1:26" x14ac:dyDescent="0.35">
      <c r="A27" s="88" t="s">
        <v>19</v>
      </c>
      <c r="B27" s="88"/>
      <c r="C27" s="88"/>
      <c r="D27" s="88"/>
      <c r="E27" s="90" t="s">
        <v>20</v>
      </c>
      <c r="F27" s="90"/>
      <c r="G27" s="90"/>
      <c r="H27" s="90"/>
      <c r="S27" s="44"/>
      <c r="T27" s="44"/>
      <c r="U27" s="44"/>
      <c r="V27" s="44" t="s">
        <v>195</v>
      </c>
      <c r="W27" s="44" t="s">
        <v>212</v>
      </c>
      <c r="X27"/>
      <c r="Y27"/>
      <c r="Z27"/>
    </row>
    <row r="28" spans="1:26" ht="15.75" customHeight="1" x14ac:dyDescent="0.35">
      <c r="A28" s="88" t="s">
        <v>21</v>
      </c>
      <c r="B28" s="88"/>
      <c r="C28" s="88"/>
      <c r="D28" s="88"/>
      <c r="E28" s="90" t="str">
        <f>IF(AND(G20="Mumbai"),"Developed","Developing")</f>
        <v>Developing</v>
      </c>
      <c r="F28" s="90"/>
      <c r="G28" s="90"/>
      <c r="H28" s="90"/>
    </row>
    <row r="29" spans="1:26" x14ac:dyDescent="0.35">
      <c r="A29" s="88" t="s">
        <v>22</v>
      </c>
      <c r="B29" s="88"/>
      <c r="C29" s="88"/>
      <c r="D29" s="88"/>
      <c r="E29" s="90" t="s">
        <v>23</v>
      </c>
      <c r="F29" s="90"/>
      <c r="G29" s="90"/>
      <c r="H29" s="90"/>
    </row>
    <row r="30" spans="1:26" ht="15.75" customHeight="1" x14ac:dyDescent="0.35">
      <c r="A30" s="88" t="s">
        <v>76</v>
      </c>
      <c r="B30" s="88"/>
      <c r="C30" s="88"/>
      <c r="D30" s="88"/>
      <c r="E30" s="90" t="s">
        <v>77</v>
      </c>
      <c r="F30" s="90"/>
      <c r="G30" s="90"/>
      <c r="H30" s="90"/>
    </row>
    <row r="31" spans="1:26" ht="15" customHeight="1" x14ac:dyDescent="0.35">
      <c r="A31" s="88" t="s">
        <v>30</v>
      </c>
      <c r="B31" s="88"/>
      <c r="C31" s="88"/>
      <c r="D31" s="88"/>
      <c r="E31" s="90" t="s">
        <v>404</v>
      </c>
      <c r="F31" s="90"/>
      <c r="G31" s="90"/>
      <c r="H31" s="90"/>
      <c r="I31" s="16"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row>
    <row r="32" spans="1:26" ht="15.75" customHeight="1" x14ac:dyDescent="0.35">
      <c r="A32" s="88" t="s">
        <v>87</v>
      </c>
      <c r="B32" s="88"/>
      <c r="C32" s="88"/>
      <c r="D32" s="88"/>
      <c r="E32" s="90" t="s">
        <v>31</v>
      </c>
      <c r="F32" s="90"/>
      <c r="G32" s="90"/>
      <c r="H32" s="90"/>
    </row>
    <row r="33" spans="1:19" s="17" customFormat="1" x14ac:dyDescent="0.35">
      <c r="A33" s="138" t="s">
        <v>88</v>
      </c>
      <c r="B33" s="138"/>
      <c r="C33" s="172" t="s">
        <v>163</v>
      </c>
      <c r="D33" s="172"/>
      <c r="E33" s="172"/>
      <c r="F33" s="172" t="s">
        <v>29</v>
      </c>
      <c r="G33" s="172"/>
      <c r="H33" s="172"/>
      <c r="S33" s="17" t="e">
        <f ca="1">OFFSET($S$13,1,MATCH($G20,$S$13:$W$13,0)-1,15,1)</f>
        <v>#VALUE!</v>
      </c>
    </row>
    <row r="34" spans="1:19" s="17" customFormat="1" x14ac:dyDescent="0.35">
      <c r="A34" s="105" t="s">
        <v>24</v>
      </c>
      <c r="B34" s="105" t="s">
        <v>28</v>
      </c>
      <c r="C34" s="189" t="s">
        <v>374</v>
      </c>
      <c r="D34" s="189"/>
      <c r="E34" s="189"/>
      <c r="F34" s="189" t="s">
        <v>375</v>
      </c>
      <c r="G34" s="189"/>
      <c r="H34" s="189"/>
    </row>
    <row r="35" spans="1:19" x14ac:dyDescent="0.35">
      <c r="A35" s="105" t="s">
        <v>25</v>
      </c>
      <c r="B35" s="105" t="s">
        <v>28</v>
      </c>
      <c r="C35" s="189" t="s">
        <v>396</v>
      </c>
      <c r="D35" s="189"/>
      <c r="E35" s="189"/>
      <c r="F35" s="189" t="s">
        <v>368</v>
      </c>
      <c r="G35" s="189"/>
      <c r="H35" s="189"/>
    </row>
    <row r="36" spans="1:19" s="17" customFormat="1" x14ac:dyDescent="0.35">
      <c r="A36" s="105" t="s">
        <v>27</v>
      </c>
      <c r="B36" s="105" t="s">
        <v>28</v>
      </c>
      <c r="C36" s="189" t="s">
        <v>372</v>
      </c>
      <c r="D36" s="189"/>
      <c r="E36" s="189"/>
      <c r="F36" s="189" t="s">
        <v>375</v>
      </c>
      <c r="G36" s="189"/>
      <c r="H36" s="189"/>
    </row>
    <row r="37" spans="1:19" x14ac:dyDescent="0.35">
      <c r="A37" s="105" t="s">
        <v>26</v>
      </c>
      <c r="B37" s="105" t="s">
        <v>28</v>
      </c>
      <c r="C37" s="189" t="s">
        <v>373</v>
      </c>
      <c r="D37" s="189"/>
      <c r="E37" s="189"/>
      <c r="F37" s="189" t="s">
        <v>375</v>
      </c>
      <c r="G37" s="189"/>
      <c r="H37" s="189"/>
    </row>
    <row r="38" spans="1:19" x14ac:dyDescent="0.35">
      <c r="A38" s="88" t="s">
        <v>267</v>
      </c>
      <c r="B38" s="88"/>
      <c r="C38" s="88"/>
      <c r="D38" s="88"/>
      <c r="E38" s="88"/>
      <c r="F38" s="88"/>
      <c r="G38" s="88"/>
      <c r="H38" s="88"/>
    </row>
    <row r="39" spans="1:19" ht="15.75" customHeight="1" x14ac:dyDescent="0.35">
      <c r="A39" s="88" t="s">
        <v>156</v>
      </c>
      <c r="B39" s="88"/>
      <c r="C39" s="107" t="s">
        <v>366</v>
      </c>
      <c r="D39" s="107"/>
      <c r="E39" s="107"/>
      <c r="F39" s="107"/>
      <c r="G39" s="107"/>
      <c r="H39" s="107"/>
    </row>
    <row r="40" spans="1:19" x14ac:dyDescent="0.35">
      <c r="A40" s="88" t="s">
        <v>153</v>
      </c>
      <c r="B40" s="88"/>
      <c r="C40" s="89" t="s">
        <v>367</v>
      </c>
      <c r="D40" s="90"/>
      <c r="E40" s="90"/>
      <c r="F40" s="90"/>
      <c r="G40" s="90"/>
      <c r="H40" s="90"/>
    </row>
    <row r="41" spans="1:19" x14ac:dyDescent="0.35">
      <c r="A41" s="107" t="s">
        <v>32</v>
      </c>
      <c r="B41" s="107"/>
      <c r="C41" s="107"/>
      <c r="D41" s="107"/>
      <c r="E41" s="107"/>
      <c r="F41" s="107"/>
      <c r="G41" s="107"/>
      <c r="H41" s="107"/>
    </row>
    <row r="42" spans="1:19" x14ac:dyDescent="0.35">
      <c r="A42" s="88" t="s">
        <v>33</v>
      </c>
      <c r="B42" s="88"/>
      <c r="C42" s="88"/>
      <c r="D42" s="88"/>
      <c r="E42" s="106">
        <v>34809.5</v>
      </c>
      <c r="F42" s="106"/>
      <c r="G42" s="106"/>
      <c r="H42" s="106"/>
    </row>
    <row r="43" spans="1:19" x14ac:dyDescent="0.35">
      <c r="A43" s="88" t="s">
        <v>34</v>
      </c>
      <c r="B43" s="88"/>
      <c r="C43" s="88"/>
      <c r="D43" s="88"/>
      <c r="E43" s="106">
        <f>38290.45/E42</f>
        <v>1.0999999999999999</v>
      </c>
      <c r="F43" s="106"/>
      <c r="G43" s="106"/>
      <c r="H43" s="106"/>
    </row>
    <row r="44" spans="1:19" x14ac:dyDescent="0.35">
      <c r="A44" s="88" t="s">
        <v>35</v>
      </c>
      <c r="B44" s="88"/>
      <c r="C44" s="88"/>
      <c r="D44" s="88"/>
      <c r="E44" s="106">
        <f>E46/E42-E43</f>
        <v>0.20476220571970316</v>
      </c>
      <c r="F44" s="106"/>
      <c r="G44" s="106"/>
      <c r="H44" s="106"/>
    </row>
    <row r="45" spans="1:19" x14ac:dyDescent="0.35">
      <c r="A45" s="88" t="s">
        <v>36</v>
      </c>
      <c r="B45" s="88"/>
      <c r="C45" s="88"/>
      <c r="D45" s="88"/>
      <c r="E45" s="106">
        <f>E43+E44</f>
        <v>1.304762205719703</v>
      </c>
      <c r="F45" s="106"/>
      <c r="G45" s="106"/>
      <c r="H45" s="106"/>
      <c r="I45" s="83"/>
    </row>
    <row r="46" spans="1:19" x14ac:dyDescent="0.35">
      <c r="A46" s="88" t="s">
        <v>86</v>
      </c>
      <c r="B46" s="88"/>
      <c r="C46" s="88"/>
      <c r="D46" s="88"/>
      <c r="E46" s="106">
        <v>45418.12</v>
      </c>
      <c r="F46" s="106"/>
      <c r="G46" s="106"/>
      <c r="H46" s="106"/>
    </row>
    <row r="47" spans="1:19" x14ac:dyDescent="0.35">
      <c r="A47" s="104" t="s">
        <v>37</v>
      </c>
      <c r="B47" s="104"/>
      <c r="C47" s="104"/>
      <c r="D47" s="104"/>
      <c r="E47" s="104" t="s">
        <v>114</v>
      </c>
      <c r="F47" s="104"/>
      <c r="G47" s="104"/>
      <c r="H47" s="104"/>
    </row>
    <row r="48" spans="1:19" x14ac:dyDescent="0.35">
      <c r="A48" s="107" t="s">
        <v>38</v>
      </c>
      <c r="B48" s="107"/>
      <c r="C48" s="107"/>
      <c r="D48" s="107"/>
      <c r="E48" s="107"/>
      <c r="F48" s="107"/>
      <c r="G48" s="107"/>
      <c r="H48" s="107"/>
    </row>
    <row r="49" spans="1:24" ht="33.75" customHeight="1" x14ac:dyDescent="0.35">
      <c r="A49" s="109" t="s">
        <v>144</v>
      </c>
      <c r="B49" s="111"/>
      <c r="C49" s="126" t="s">
        <v>343</v>
      </c>
      <c r="D49" s="127"/>
      <c r="E49" s="127"/>
      <c r="F49" s="127"/>
      <c r="G49" s="127"/>
      <c r="H49" s="128"/>
      <c r="R49" t="s">
        <v>240</v>
      </c>
      <c r="S49" s="46" t="s">
        <v>162</v>
      </c>
      <c r="T49" s="46" t="s">
        <v>167</v>
      </c>
      <c r="U49" s="46" t="s">
        <v>181</v>
      </c>
      <c r="V49" s="46" t="s">
        <v>176</v>
      </c>
    </row>
    <row r="50" spans="1:24" ht="15.75" customHeight="1" x14ac:dyDescent="0.35">
      <c r="A50" s="109" t="s">
        <v>39</v>
      </c>
      <c r="B50" s="111"/>
      <c r="C50" s="109" t="s">
        <v>376</v>
      </c>
      <c r="D50" s="110"/>
      <c r="E50" s="111"/>
      <c r="F50" s="15" t="s">
        <v>40</v>
      </c>
      <c r="G50" s="112">
        <v>45737</v>
      </c>
      <c r="H50" s="113"/>
      <c r="K50" s="20"/>
      <c r="R50"/>
      <c r="S50" s="46" t="s">
        <v>241</v>
      </c>
      <c r="T50" s="46" t="s">
        <v>246</v>
      </c>
      <c r="U50" s="46" t="s">
        <v>257</v>
      </c>
      <c r="V50" s="46" t="s">
        <v>262</v>
      </c>
    </row>
    <row r="51" spans="1:24" x14ac:dyDescent="0.35">
      <c r="A51" s="109" t="s">
        <v>41</v>
      </c>
      <c r="B51" s="111"/>
      <c r="C51" s="109" t="str">
        <f>C50</f>
        <v>TMCB/RB/2025/APL/00280</v>
      </c>
      <c r="D51" s="110"/>
      <c r="E51" s="111"/>
      <c r="F51" s="15" t="s">
        <v>40</v>
      </c>
      <c r="G51" s="112">
        <f>G50</f>
        <v>45737</v>
      </c>
      <c r="H51" s="113"/>
      <c r="R51"/>
      <c r="S51" s="46" t="s">
        <v>242</v>
      </c>
      <c r="T51" s="46" t="s">
        <v>343</v>
      </c>
      <c r="U51" s="46" t="s">
        <v>255</v>
      </c>
      <c r="V51" s="46" t="s">
        <v>263</v>
      </c>
    </row>
    <row r="52" spans="1:24" s="18" customFormat="1" ht="15.75" customHeight="1" x14ac:dyDescent="0.35">
      <c r="A52" s="99" t="s">
        <v>147</v>
      </c>
      <c r="B52" s="101"/>
      <c r="C52" s="99" t="s">
        <v>376</v>
      </c>
      <c r="D52" s="100"/>
      <c r="E52" s="101"/>
      <c r="F52" s="15" t="s">
        <v>40</v>
      </c>
      <c r="G52" s="112">
        <v>45737</v>
      </c>
      <c r="H52" s="113"/>
      <c r="I52" s="17" t="str">
        <f ca="1">IF(G52&gt;EDATE(E3,-48),"NO REMARK","CC REMARK FOR CC")</f>
        <v>NO REMARK</v>
      </c>
      <c r="J52" s="65"/>
      <c r="R52"/>
      <c r="S52" s="46" t="s">
        <v>243</v>
      </c>
      <c r="T52" s="46" t="s">
        <v>248</v>
      </c>
      <c r="U52" s="46" t="s">
        <v>245</v>
      </c>
      <c r="V52" s="46" t="s">
        <v>264</v>
      </c>
    </row>
    <row r="53" spans="1:24" s="18" customFormat="1" ht="36" customHeight="1" x14ac:dyDescent="0.35">
      <c r="A53" s="121"/>
      <c r="B53" s="122"/>
      <c r="C53" s="109" t="s">
        <v>397</v>
      </c>
      <c r="D53" s="110"/>
      <c r="E53" s="110"/>
      <c r="F53" s="110"/>
      <c r="G53" s="110"/>
      <c r="H53" s="111"/>
      <c r="R53"/>
      <c r="S53" s="46"/>
      <c r="T53" s="46"/>
      <c r="U53" s="46"/>
      <c r="V53" s="61"/>
    </row>
    <row r="54" spans="1:24" s="18" customFormat="1" hidden="1" x14ac:dyDescent="0.35">
      <c r="A54" s="132" t="s">
        <v>268</v>
      </c>
      <c r="B54" s="133"/>
      <c r="C54" s="109"/>
      <c r="D54" s="110"/>
      <c r="E54" s="111"/>
      <c r="F54" s="15" t="s">
        <v>40</v>
      </c>
      <c r="G54" s="112"/>
      <c r="H54" s="113"/>
      <c r="K54" s="66">
        <f>EDATE(G52,-48)</f>
        <v>44276</v>
      </c>
      <c r="L54" s="18" t="str">
        <f ca="1">IF(G52&gt;EDATE(E3,-48),"NO REMARK","CC REMARK FOR CC")</f>
        <v>NO REMARK</v>
      </c>
      <c r="R54"/>
      <c r="S54" s="46" t="s">
        <v>243</v>
      </c>
      <c r="T54" s="46" t="s">
        <v>248</v>
      </c>
      <c r="U54" s="46" t="s">
        <v>245</v>
      </c>
      <c r="V54" s="46" t="s">
        <v>264</v>
      </c>
    </row>
    <row r="55" spans="1:24" s="18" customFormat="1" ht="32.25" hidden="1" customHeight="1" x14ac:dyDescent="0.35">
      <c r="A55" s="134"/>
      <c r="B55" s="135"/>
      <c r="C55" s="118"/>
      <c r="D55" s="119"/>
      <c r="E55" s="119"/>
      <c r="F55" s="119"/>
      <c r="G55" s="119"/>
      <c r="H55" s="120"/>
      <c r="R55"/>
      <c r="S55" s="46" t="s">
        <v>245</v>
      </c>
      <c r="T55" s="46" t="s">
        <v>249</v>
      </c>
      <c r="U55" s="46" t="s">
        <v>259</v>
      </c>
      <c r="V55" s="62"/>
      <c r="W55" s="16"/>
      <c r="X55" s="16"/>
    </row>
    <row r="56" spans="1:24" s="18" customFormat="1" ht="34.5" hidden="1" customHeight="1" x14ac:dyDescent="0.35">
      <c r="A56" s="132" t="s">
        <v>269</v>
      </c>
      <c r="B56" s="133"/>
      <c r="C56" s="109"/>
      <c r="D56" s="110"/>
      <c r="E56" s="111"/>
      <c r="F56" s="15" t="s">
        <v>40</v>
      </c>
      <c r="G56" s="112">
        <f>G55</f>
        <v>0</v>
      </c>
      <c r="H56" s="113"/>
      <c r="R56"/>
      <c r="S56" s="62"/>
      <c r="T56" s="46" t="s">
        <v>250</v>
      </c>
      <c r="U56" s="46" t="s">
        <v>260</v>
      </c>
      <c r="V56" s="62"/>
      <c r="W56" s="16"/>
      <c r="X56" s="16"/>
    </row>
    <row r="57" spans="1:24" s="18" customFormat="1" ht="41.25" hidden="1" customHeight="1" x14ac:dyDescent="0.35">
      <c r="A57" s="134"/>
      <c r="B57" s="135"/>
      <c r="C57" s="109"/>
      <c r="D57" s="110"/>
      <c r="E57" s="110"/>
      <c r="F57" s="110"/>
      <c r="G57" s="110"/>
      <c r="H57" s="111"/>
      <c r="R57"/>
      <c r="S57" s="62"/>
      <c r="T57" s="46" t="s">
        <v>252</v>
      </c>
      <c r="U57" s="46" t="s">
        <v>261</v>
      </c>
      <c r="V57" s="62"/>
      <c r="W57" s="16"/>
      <c r="X57" s="16"/>
    </row>
    <row r="58" spans="1:24" s="18" customFormat="1" ht="15.75" customHeight="1" x14ac:dyDescent="0.35">
      <c r="A58" s="114" t="s">
        <v>338</v>
      </c>
      <c r="B58" s="115"/>
      <c r="C58" s="109" t="s">
        <v>398</v>
      </c>
      <c r="D58" s="110"/>
      <c r="E58" s="111"/>
      <c r="F58" s="15" t="s">
        <v>40</v>
      </c>
      <c r="G58" s="112">
        <v>45638</v>
      </c>
      <c r="H58" s="113"/>
      <c r="R58"/>
      <c r="S58" s="62"/>
      <c r="T58" s="46" t="s">
        <v>253</v>
      </c>
      <c r="U58" s="62" t="s">
        <v>283</v>
      </c>
      <c r="V58" s="62"/>
      <c r="W58" s="16"/>
      <c r="X58" s="16"/>
    </row>
    <row r="59" spans="1:24" s="18" customFormat="1" ht="33.75" customHeight="1" x14ac:dyDescent="0.35">
      <c r="A59" s="116"/>
      <c r="B59" s="117"/>
      <c r="C59" s="130" t="s">
        <v>399</v>
      </c>
      <c r="D59" s="130"/>
      <c r="E59" s="130"/>
      <c r="F59" s="15" t="s">
        <v>339</v>
      </c>
      <c r="G59" s="112">
        <v>48559</v>
      </c>
      <c r="H59" s="113"/>
      <c r="R59"/>
      <c r="S59" s="62"/>
      <c r="T59" s="46" t="s">
        <v>254</v>
      </c>
      <c r="U59" s="62"/>
      <c r="V59" s="62"/>
      <c r="W59" s="16"/>
      <c r="X59" s="16"/>
    </row>
    <row r="60" spans="1:24" x14ac:dyDescent="0.35">
      <c r="A60" s="173" t="s">
        <v>42</v>
      </c>
      <c r="B60" s="174"/>
      <c r="C60" s="173" t="s">
        <v>100</v>
      </c>
      <c r="D60" s="175"/>
      <c r="E60" s="174"/>
      <c r="F60" s="38" t="s">
        <v>40</v>
      </c>
      <c r="G60" s="180" t="s">
        <v>28</v>
      </c>
      <c r="H60" s="181"/>
      <c r="R60"/>
      <c r="S60" s="62"/>
      <c r="T60" s="46" t="s">
        <v>256</v>
      </c>
      <c r="U60" s="62"/>
      <c r="V60" s="62"/>
    </row>
    <row r="61" spans="1:24" x14ac:dyDescent="0.35">
      <c r="A61" s="129" t="s">
        <v>44</v>
      </c>
      <c r="B61" s="129"/>
      <c r="C61" s="129"/>
      <c r="D61" s="129"/>
      <c r="E61" s="129"/>
      <c r="F61" s="129"/>
      <c r="G61" s="129"/>
      <c r="H61" s="129"/>
      <c r="S61" s="62"/>
      <c r="T61" s="46" t="s">
        <v>265</v>
      </c>
      <c r="U61" s="62"/>
      <c r="V61" s="62"/>
    </row>
    <row r="62" spans="1:24" ht="31.25" customHeight="1" x14ac:dyDescent="0.35">
      <c r="A62" s="130" t="s">
        <v>425</v>
      </c>
      <c r="B62" s="130"/>
      <c r="C62" s="130"/>
      <c r="D62" s="176">
        <v>22061.837</v>
      </c>
      <c r="E62" s="176"/>
      <c r="F62" s="176"/>
      <c r="G62" s="176"/>
      <c r="H62" s="176"/>
      <c r="R62"/>
    </row>
    <row r="63" spans="1:24" x14ac:dyDescent="0.35">
      <c r="A63" s="90" t="s">
        <v>45</v>
      </c>
      <c r="B63" s="104"/>
      <c r="C63" s="104"/>
      <c r="D63" s="177" t="s">
        <v>424</v>
      </c>
      <c r="E63" s="178"/>
      <c r="F63" s="178"/>
      <c r="G63" s="178"/>
      <c r="H63" s="179"/>
      <c r="I63" s="19"/>
      <c r="R63"/>
    </row>
    <row r="64" spans="1:24" x14ac:dyDescent="0.35">
      <c r="A64" s="114" t="s">
        <v>46</v>
      </c>
      <c r="B64" s="125"/>
      <c r="C64" s="115"/>
      <c r="D64" s="123" t="s">
        <v>411</v>
      </c>
      <c r="E64" s="124"/>
      <c r="F64" s="124"/>
      <c r="G64" s="124"/>
      <c r="H64" s="124"/>
      <c r="R64"/>
    </row>
    <row r="65" spans="1:19" ht="15.75" customHeight="1" x14ac:dyDescent="0.35">
      <c r="A65" s="114" t="s">
        <v>84</v>
      </c>
      <c r="B65" s="125"/>
      <c r="C65" s="125"/>
      <c r="D65" s="90" t="s">
        <v>411</v>
      </c>
      <c r="E65" s="104"/>
      <c r="F65" s="104"/>
      <c r="G65" s="104"/>
      <c r="H65" s="104"/>
      <c r="I65" s="16" t="s">
        <v>407</v>
      </c>
      <c r="R65"/>
    </row>
    <row r="66" spans="1:19" ht="15.75" customHeight="1" x14ac:dyDescent="0.35">
      <c r="A66" s="88" t="s">
        <v>43</v>
      </c>
      <c r="B66" s="88"/>
      <c r="C66" s="88"/>
      <c r="D66" s="108" t="s">
        <v>395</v>
      </c>
      <c r="E66" s="108"/>
      <c r="F66" s="108"/>
      <c r="G66" s="108"/>
      <c r="H66" s="108"/>
      <c r="J66" s="20"/>
      <c r="K66" s="19"/>
      <c r="N66" s="19"/>
      <c r="S66"/>
    </row>
    <row r="67" spans="1:19" ht="15.75" customHeight="1" x14ac:dyDescent="0.35">
      <c r="A67" s="88" t="s">
        <v>82</v>
      </c>
      <c r="B67" s="88"/>
      <c r="C67" s="88"/>
      <c r="D67" s="137" t="str">
        <f>(IF(G60="NA","60 Years After Completion",IF(G60&lt;&gt;"NA",""&amp;60-ROUNDDOWN((E3-G60)/360,0)&amp;" Years"," ")))</f>
        <v>60 Years After Completion</v>
      </c>
      <c r="E67" s="137"/>
      <c r="F67" s="137"/>
      <c r="G67" s="137"/>
      <c r="H67" s="137"/>
      <c r="N67" s="19"/>
      <c r="S67"/>
    </row>
    <row r="68" spans="1:19" ht="15.75" customHeight="1" x14ac:dyDescent="0.35">
      <c r="A68" s="88" t="s">
        <v>83</v>
      </c>
      <c r="B68" s="88"/>
      <c r="C68" s="88"/>
      <c r="D68" s="130" t="s">
        <v>23</v>
      </c>
      <c r="E68" s="130"/>
      <c r="F68" s="130"/>
      <c r="G68" s="130"/>
      <c r="H68" s="130"/>
      <c r="J68" s="21"/>
      <c r="K68" s="21"/>
      <c r="S68"/>
    </row>
    <row r="69" spans="1:19" ht="53.4" customHeight="1" x14ac:dyDescent="0.35">
      <c r="A69" s="104" t="s">
        <v>400</v>
      </c>
      <c r="B69" s="104"/>
      <c r="C69" s="104"/>
      <c r="D69" s="90" t="s">
        <v>403</v>
      </c>
      <c r="E69" s="130"/>
      <c r="F69" s="130"/>
      <c r="G69" s="130"/>
      <c r="H69" s="130"/>
      <c r="S69"/>
    </row>
    <row r="70" spans="1:19" x14ac:dyDescent="0.35">
      <c r="A70" s="130" t="s">
        <v>141</v>
      </c>
      <c r="B70" s="130"/>
      <c r="C70" s="130"/>
      <c r="D70" s="130" t="s">
        <v>28</v>
      </c>
      <c r="E70" s="130"/>
      <c r="F70" s="130"/>
      <c r="G70" s="130"/>
      <c r="H70" s="130"/>
      <c r="I70" s="22"/>
      <c r="J70" s="22"/>
      <c r="K70" s="22"/>
      <c r="L70" s="22"/>
      <c r="M70" s="22"/>
      <c r="N70" s="22"/>
    </row>
    <row r="71" spans="1:19" ht="15.75" customHeight="1" x14ac:dyDescent="0.35">
      <c r="A71" s="88" t="s">
        <v>81</v>
      </c>
      <c r="B71" s="88"/>
      <c r="C71" s="88"/>
      <c r="D71" s="90" t="str">
        <f ca="1">(IF(G77&gt;95%,"Nothing",IF(G77&gt;0%,"Cement, Aggregate, Steel, etc",IF(G77=0%,"Work not yet Started"))))</f>
        <v>Cement, Aggregate, Steel, etc</v>
      </c>
      <c r="E71" s="90"/>
      <c r="F71" s="90"/>
      <c r="G71" s="90"/>
      <c r="H71" s="90"/>
      <c r="J71" s="21"/>
      <c r="S71"/>
    </row>
    <row r="72" spans="1:19" ht="33.75" customHeight="1" thickBot="1" x14ac:dyDescent="0.4">
      <c r="A72" s="130" t="s">
        <v>113</v>
      </c>
      <c r="B72" s="130"/>
      <c r="C72" s="130"/>
      <c r="D72" s="90" t="str">
        <f ca="1">(IF(D71="Nothing","Yes",IF(D71="Cement, Aggregate, Steel, etc","Under Construction",IF(D71="Work not yet Started","Work not yet Started"))))</f>
        <v>Under Construction</v>
      </c>
      <c r="E72" s="90"/>
      <c r="F72" s="90" t="str">
        <f ca="1">(IF(D71="Nothing","Yes",IF(D71="Cement, Aggregate, Steel, etc","Under Construction",IF(D71="Work not yet Started","Work not yet Started"))))</f>
        <v>Under Construction</v>
      </c>
      <c r="G72" s="90"/>
      <c r="H72" s="90"/>
      <c r="S72"/>
    </row>
    <row r="73" spans="1:19" ht="15.75" customHeight="1" x14ac:dyDescent="0.35">
      <c r="A73" s="136" t="s">
        <v>133</v>
      </c>
      <c r="B73" s="136"/>
      <c r="C73" s="136" t="str">
        <f>D65</f>
        <v>Tower C = B + Gr + 1P + Service Floor + 1st to 24th Floor</v>
      </c>
      <c r="D73" s="136"/>
      <c r="E73" s="136"/>
      <c r="F73" s="136"/>
      <c r="G73" s="136"/>
      <c r="H73" s="136"/>
      <c r="I73" s="190" t="str">
        <f ca="1">IF(D86=100%,"All work Completed. Possession granted to the Building.",IF(D85=100%,"All work Completed, Waiting for OC",I74&amp;""&amp;I75&amp;""&amp;J74&amp;""&amp;J73&amp;" "&amp;J75))</f>
        <v xml:space="preserve">Excavation work in process </v>
      </c>
      <c r="J73" s="41"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c>
      <c r="S73"/>
    </row>
    <row r="74" spans="1:19" x14ac:dyDescent="0.35">
      <c r="A74" s="40" t="s">
        <v>135</v>
      </c>
      <c r="B74" s="40">
        <v>1</v>
      </c>
      <c r="C74" s="40" t="s">
        <v>68</v>
      </c>
      <c r="D74" s="40">
        <v>1</v>
      </c>
      <c r="E74" s="40" t="s">
        <v>67</v>
      </c>
      <c r="F74" s="40">
        <v>1</v>
      </c>
      <c r="G74" s="40" t="s">
        <v>75</v>
      </c>
      <c r="H74" s="40">
        <f ca="1">--TRIM(RIGHT(SUBSTITUTE(LEFT(C73,_xlfn.AGGREGATE(16,6,FIND({0,1,2,3,4,5,6,7,8,9},C73,ROW(INDIRECT("1:"&amp;LEN(C73)))),1))," ",REPT(" ",LEN(C73))),LEN(C73)))</f>
        <v>24</v>
      </c>
      <c r="I74" s="191" t="str">
        <f ca="1">IF(D77=100%,"Excavation","")&amp;IF(D78=100%,", Plinth","")&amp;IF(D79=100%,", RCC Slab","")&amp;IF(D80=100%,", Brickwork","")&amp;IF(D81=100%,", Internal Plaster","")&amp;IF(D82=100%,", External Plaster","")&amp;IF(D83=100%,", Flooring","")&amp;IF(D84=100%,", Painting","")&amp;IF(D85=100%,", Building common Amenities","")</f>
        <v/>
      </c>
      <c r="J74" s="42"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Excavation work in process</v>
      </c>
      <c r="S74"/>
    </row>
    <row r="75" spans="1:19" x14ac:dyDescent="0.35">
      <c r="A75" s="131" t="s">
        <v>85</v>
      </c>
      <c r="B75" s="131"/>
      <c r="C75" s="136" t="str">
        <f ca="1">I73</f>
        <v xml:space="preserve">Excavation work in process </v>
      </c>
      <c r="D75" s="136"/>
      <c r="E75" s="136"/>
      <c r="F75" s="136"/>
      <c r="G75" s="136"/>
      <c r="H75" s="136"/>
      <c r="I75" s="191" t="str">
        <f ca="1">IF(I74&lt;&gt;""," Completed","")</f>
        <v/>
      </c>
      <c r="J75" s="42" t="str">
        <f ca="1">IF(J73&lt;&gt;"","Completed","")</f>
        <v/>
      </c>
      <c r="S75"/>
    </row>
    <row r="76" spans="1:19" ht="15.75" customHeight="1" x14ac:dyDescent="0.35">
      <c r="A76" s="98" t="s">
        <v>47</v>
      </c>
      <c r="B76" s="98"/>
      <c r="C76" s="86" t="s">
        <v>132</v>
      </c>
      <c r="D76" s="86" t="s">
        <v>78</v>
      </c>
      <c r="E76" s="98" t="s">
        <v>80</v>
      </c>
      <c r="F76" s="98"/>
      <c r="G76" s="98" t="s">
        <v>79</v>
      </c>
      <c r="H76" s="98"/>
      <c r="I76" s="13" t="s">
        <v>134</v>
      </c>
      <c r="J76" s="23">
        <f ca="1">H74*25%</f>
        <v>6</v>
      </c>
      <c r="S76"/>
    </row>
    <row r="77" spans="1:19" x14ac:dyDescent="0.35">
      <c r="A77" s="98" t="s">
        <v>121</v>
      </c>
      <c r="B77" s="98"/>
      <c r="C77" s="86">
        <f ca="1">J77</f>
        <v>12</v>
      </c>
      <c r="D77" s="84">
        <f ca="1">((100/H74)*C77)/100</f>
        <v>0.5</v>
      </c>
      <c r="E77" s="192">
        <f ca="1">(((C78/H74*10)+(40/(D74+F74+H74)*C79)+(7.5/(H74)*C80)+(7.5/(H74)*C81)+(10/H74*C82)+(10/H74*C83)+(5/H74*C84)+(5/H74*C85)+(5/H74*C86))/100)</f>
        <v>0</v>
      </c>
      <c r="F77" s="192"/>
      <c r="G77" s="192">
        <f ca="1">((((C77/H74)*20)+((C78/H74)*25)+(30/(H74+F74+D74)*C79)+(5/H74*C80)+(5/H74*C81)+(5/H74*C82)+(5/H74*C83)+(0/H74*C84)+(0/H74*C85)+(5/H74*C86))/100)</f>
        <v>0.1</v>
      </c>
      <c r="H77" s="192"/>
      <c r="I77" s="13" t="s">
        <v>95</v>
      </c>
      <c r="J77" s="24">
        <f ca="1">H74*50%</f>
        <v>12</v>
      </c>
    </row>
    <row r="78" spans="1:19" x14ac:dyDescent="0.35">
      <c r="A78" s="98" t="s">
        <v>48</v>
      </c>
      <c r="B78" s="98"/>
      <c r="C78" s="86">
        <v>0</v>
      </c>
      <c r="D78" s="84">
        <f ca="1">((100/H74)*C78)/100</f>
        <v>0</v>
      </c>
      <c r="E78" s="192"/>
      <c r="F78" s="192"/>
      <c r="G78" s="192"/>
      <c r="H78" s="192"/>
      <c r="I78" s="13" t="s">
        <v>96</v>
      </c>
      <c r="J78" s="24">
        <f ca="1">H74</f>
        <v>24</v>
      </c>
      <c r="S78"/>
    </row>
    <row r="79" spans="1:19" ht="15.75" customHeight="1" x14ac:dyDescent="0.35">
      <c r="A79" s="98" t="s">
        <v>122</v>
      </c>
      <c r="B79" s="98"/>
      <c r="C79" s="86">
        <v>0</v>
      </c>
      <c r="D79" s="84">
        <f ca="1">((100/(D74+F74+H74))*C79)/100</f>
        <v>0</v>
      </c>
      <c r="E79" s="192"/>
      <c r="F79" s="192"/>
      <c r="G79" s="192"/>
      <c r="H79" s="192"/>
      <c r="I79" s="13" t="s">
        <v>97</v>
      </c>
      <c r="J79" s="25">
        <f ca="1">(IF(B74&gt;1,(H74/(B74+2)),H74/4))</f>
        <v>6</v>
      </c>
      <c r="S79"/>
    </row>
    <row r="80" spans="1:19" ht="15.75" customHeight="1" x14ac:dyDescent="0.35">
      <c r="A80" s="98" t="s">
        <v>129</v>
      </c>
      <c r="B80" s="98" t="s">
        <v>123</v>
      </c>
      <c r="C80" s="86">
        <v>0</v>
      </c>
      <c r="D80" s="84">
        <f ca="1">((100/H74)*C80)/100</f>
        <v>0</v>
      </c>
      <c r="E80" s="192"/>
      <c r="F80" s="192"/>
      <c r="G80" s="192"/>
      <c r="H80" s="192"/>
      <c r="I80" s="13" t="s">
        <v>98</v>
      </c>
      <c r="J80" s="25">
        <f ca="1">(IF(B74&gt;1,(H74/(B74+2)+J79),H74/4+J79))</f>
        <v>12</v>
      </c>
    </row>
    <row r="81" spans="1:22" ht="15.75" customHeight="1" x14ac:dyDescent="0.35">
      <c r="A81" s="98" t="s">
        <v>130</v>
      </c>
      <c r="B81" s="98" t="s">
        <v>123</v>
      </c>
      <c r="C81" s="86">
        <v>0</v>
      </c>
      <c r="D81" s="84">
        <f ca="1">((100/H74)*C81)/100</f>
        <v>0</v>
      </c>
      <c r="E81" s="192"/>
      <c r="F81" s="192"/>
      <c r="G81" s="192"/>
      <c r="H81" s="192"/>
      <c r="I81" s="13" t="s">
        <v>139</v>
      </c>
      <c r="J81" s="25">
        <f>(IF(B74&gt;1,(H74/(B74+2)+J80),0))</f>
        <v>0</v>
      </c>
    </row>
    <row r="82" spans="1:22" ht="15" customHeight="1" x14ac:dyDescent="0.35">
      <c r="A82" s="98" t="s">
        <v>128</v>
      </c>
      <c r="B82" s="98" t="s">
        <v>125</v>
      </c>
      <c r="C82" s="86">
        <v>0</v>
      </c>
      <c r="D82" s="84">
        <f ca="1">((100/(H74))*C82)/100</f>
        <v>0</v>
      </c>
      <c r="E82" s="192"/>
      <c r="F82" s="192"/>
      <c r="G82" s="192"/>
      <c r="H82" s="192"/>
      <c r="I82" s="13" t="s">
        <v>136</v>
      </c>
      <c r="J82" s="25">
        <f>(IF(B74&gt;2,(H74/(B74+2)+J81),0))</f>
        <v>0</v>
      </c>
    </row>
    <row r="83" spans="1:22" ht="15.75" customHeight="1" x14ac:dyDescent="0.35">
      <c r="A83" s="98" t="s">
        <v>124</v>
      </c>
      <c r="B83" s="98" t="s">
        <v>124</v>
      </c>
      <c r="C83" s="86">
        <v>0</v>
      </c>
      <c r="D83" s="84">
        <f ca="1">((100/H74)*C83)/100</f>
        <v>0</v>
      </c>
      <c r="E83" s="192"/>
      <c r="F83" s="192"/>
      <c r="G83" s="192"/>
      <c r="H83" s="192"/>
      <c r="I83" s="13" t="s">
        <v>137</v>
      </c>
      <c r="J83" s="26">
        <f>(IF(B74&gt;3,(H74/(B74+2)+J82),0))</f>
        <v>0</v>
      </c>
    </row>
    <row r="84" spans="1:22" ht="15.75" customHeight="1" x14ac:dyDescent="0.35">
      <c r="A84" s="98" t="s">
        <v>131</v>
      </c>
      <c r="B84" s="98"/>
      <c r="C84" s="86">
        <v>0</v>
      </c>
      <c r="D84" s="84">
        <f ca="1">((100/H74)*C84)/100</f>
        <v>0</v>
      </c>
      <c r="E84" s="192"/>
      <c r="F84" s="192"/>
      <c r="G84" s="192"/>
      <c r="H84" s="192"/>
      <c r="I84" s="13" t="s">
        <v>138</v>
      </c>
      <c r="J84" s="25">
        <f>(IF(B74&gt;4,(H74/(B74+2)+J83),0))</f>
        <v>0</v>
      </c>
    </row>
    <row r="85" spans="1:22" ht="15.75" customHeight="1" x14ac:dyDescent="0.35">
      <c r="A85" s="98" t="s">
        <v>126</v>
      </c>
      <c r="B85" s="98" t="s">
        <v>126</v>
      </c>
      <c r="C85" s="86">
        <v>0</v>
      </c>
      <c r="D85" s="84">
        <f ca="1">((100/(H74))*C85)/100</f>
        <v>0</v>
      </c>
      <c r="E85" s="192"/>
      <c r="F85" s="192"/>
      <c r="G85" s="192"/>
      <c r="H85" s="192"/>
      <c r="I85" s="13" t="s">
        <v>140</v>
      </c>
      <c r="J85" s="25">
        <f ca="1">(IF(B74=1,(H74/(B74+3)+J80),IF(B74=0,(H74/4+J80),IF(B74&gt;1,0))))</f>
        <v>18</v>
      </c>
    </row>
    <row r="86" spans="1:22" ht="16" thickBot="1" x14ac:dyDescent="0.4">
      <c r="A86" s="98" t="s">
        <v>127</v>
      </c>
      <c r="B86" s="98"/>
      <c r="C86" s="86">
        <v>0</v>
      </c>
      <c r="D86" s="84">
        <f ca="1">((100/(H74))*C86)/100</f>
        <v>0</v>
      </c>
      <c r="E86" s="192"/>
      <c r="F86" s="192"/>
      <c r="G86" s="192"/>
      <c r="H86" s="192"/>
      <c r="I86" s="14" t="s">
        <v>99</v>
      </c>
      <c r="J86" s="27">
        <f ca="1">(IF(B74&gt;1.5,(H74/(B74+2)+J80+MAX(0,J81-J80)+MAX(0,J82-J81)+MAX(0,J83-J82)+MAX(0,J84-J83)+MAX(0,J85-J84)),IF(B74=1,(H74/(B74+3)+J85),IF(B74=0,H74/4+J85))))</f>
        <v>24</v>
      </c>
    </row>
    <row r="87" spans="1:22" x14ac:dyDescent="0.35">
      <c r="A87" s="182" t="s">
        <v>148</v>
      </c>
      <c r="B87" s="182"/>
      <c r="C87" s="182"/>
      <c r="D87" s="182"/>
      <c r="E87" s="182"/>
      <c r="F87" s="159" t="s">
        <v>152</v>
      </c>
      <c r="G87" s="159"/>
      <c r="H87" s="159"/>
      <c r="R87" t="s">
        <v>240</v>
      </c>
      <c r="S87" t="s">
        <v>162</v>
      </c>
      <c r="T87" t="s">
        <v>167</v>
      </c>
      <c r="U87" t="s">
        <v>181</v>
      </c>
      <c r="V87" t="s">
        <v>176</v>
      </c>
    </row>
    <row r="88" spans="1:22" x14ac:dyDescent="0.35">
      <c r="A88" s="88" t="s">
        <v>150</v>
      </c>
      <c r="B88" s="88"/>
      <c r="C88" s="88"/>
      <c r="D88" s="88"/>
      <c r="E88" s="88"/>
      <c r="F88" s="103">
        <v>14000</v>
      </c>
      <c r="G88" s="103"/>
      <c r="H88" s="103"/>
      <c r="K88" s="16" t="s">
        <v>421</v>
      </c>
      <c r="L88" s="16">
        <v>99</v>
      </c>
      <c r="R88"/>
      <c r="S88">
        <v>800000</v>
      </c>
      <c r="T88">
        <v>150000</v>
      </c>
      <c r="U88">
        <v>100000</v>
      </c>
      <c r="V88">
        <v>100000</v>
      </c>
    </row>
    <row r="89" spans="1:22" hidden="1" x14ac:dyDescent="0.35">
      <c r="A89" s="88" t="s">
        <v>149</v>
      </c>
      <c r="B89" s="88"/>
      <c r="C89" s="88"/>
      <c r="D89" s="88"/>
      <c r="E89" s="88"/>
      <c r="F89" s="103"/>
      <c r="G89" s="103"/>
      <c r="H89" s="103"/>
      <c r="I89" s="17"/>
      <c r="J89" s="79"/>
      <c r="K89" s="16" t="s">
        <v>422</v>
      </c>
      <c r="L89" s="16" t="s">
        <v>423</v>
      </c>
      <c r="R89"/>
      <c r="S89">
        <v>900000</v>
      </c>
      <c r="T89">
        <v>200000</v>
      </c>
      <c r="U89">
        <v>150000</v>
      </c>
      <c r="V89">
        <v>150000</v>
      </c>
    </row>
    <row r="90" spans="1:22" hidden="1" x14ac:dyDescent="0.35">
      <c r="A90" s="88" t="s">
        <v>151</v>
      </c>
      <c r="B90" s="88"/>
      <c r="C90" s="88"/>
      <c r="D90" s="88"/>
      <c r="E90" s="88"/>
      <c r="F90" s="103"/>
      <c r="G90" s="103"/>
      <c r="H90" s="103"/>
      <c r="I90" s="17"/>
      <c r="R90"/>
      <c r="S90">
        <v>1000000</v>
      </c>
      <c r="T90">
        <v>250000</v>
      </c>
      <c r="U90">
        <v>200000</v>
      </c>
      <c r="V90">
        <v>200000</v>
      </c>
    </row>
    <row r="91" spans="1:22" s="28" customFormat="1" hidden="1" x14ac:dyDescent="0.35">
      <c r="A91" s="88" t="s">
        <v>164</v>
      </c>
      <c r="B91" s="88"/>
      <c r="C91" s="88"/>
      <c r="D91" s="88"/>
      <c r="E91" s="88"/>
      <c r="F91" s="103"/>
      <c r="G91" s="103"/>
      <c r="H91" s="103"/>
      <c r="I91" s="79"/>
      <c r="R91"/>
      <c r="S91">
        <v>1100000</v>
      </c>
      <c r="T91">
        <v>300000</v>
      </c>
      <c r="U91">
        <v>250000</v>
      </c>
      <c r="V91" s="18">
        <v>250000</v>
      </c>
    </row>
    <row r="92" spans="1:22" s="28" customFormat="1" hidden="1" x14ac:dyDescent="0.35">
      <c r="A92" s="88" t="s">
        <v>89</v>
      </c>
      <c r="B92" s="88"/>
      <c r="C92" s="88"/>
      <c r="D92" s="88"/>
      <c r="E92" s="88"/>
      <c r="F92" s="103"/>
      <c r="G92" s="103"/>
      <c r="H92" s="103"/>
      <c r="R92"/>
      <c r="S92">
        <v>1200000</v>
      </c>
      <c r="T92">
        <v>350000</v>
      </c>
      <c r="U92">
        <v>300000</v>
      </c>
      <c r="V92">
        <v>300000</v>
      </c>
    </row>
    <row r="93" spans="1:22" s="28" customFormat="1" hidden="1" x14ac:dyDescent="0.35">
      <c r="A93" s="88" t="s">
        <v>90</v>
      </c>
      <c r="B93" s="88"/>
      <c r="C93" s="88"/>
      <c r="D93" s="88"/>
      <c r="E93" s="88"/>
      <c r="F93" s="103"/>
      <c r="G93" s="103"/>
      <c r="H93" s="103"/>
      <c r="R93"/>
      <c r="S93">
        <v>1300000</v>
      </c>
      <c r="T93">
        <v>400000</v>
      </c>
      <c r="U93">
        <v>350000</v>
      </c>
      <c r="V93" s="18">
        <v>400000</v>
      </c>
    </row>
    <row r="94" spans="1:22" s="28" customFormat="1" hidden="1" x14ac:dyDescent="0.35">
      <c r="A94" s="88" t="s">
        <v>91</v>
      </c>
      <c r="B94" s="88"/>
      <c r="C94" s="88"/>
      <c r="D94" s="88"/>
      <c r="E94" s="88"/>
      <c r="F94" s="103"/>
      <c r="G94" s="103"/>
      <c r="H94" s="103"/>
      <c r="R94"/>
      <c r="S94">
        <v>1400000</v>
      </c>
      <c r="T94">
        <v>500000</v>
      </c>
      <c r="U94">
        <v>400000</v>
      </c>
      <c r="V94"/>
    </row>
    <row r="95" spans="1:22" s="28" customFormat="1" hidden="1" x14ac:dyDescent="0.35">
      <c r="A95" s="88" t="s">
        <v>92</v>
      </c>
      <c r="B95" s="88"/>
      <c r="C95" s="88"/>
      <c r="D95" s="88"/>
      <c r="E95" s="88"/>
      <c r="F95" s="103"/>
      <c r="G95" s="103"/>
      <c r="H95" s="103"/>
      <c r="R95"/>
      <c r="S95">
        <v>1500000</v>
      </c>
      <c r="T95">
        <v>600000</v>
      </c>
      <c r="U95">
        <v>500000</v>
      </c>
      <c r="V95" s="18"/>
    </row>
    <row r="96" spans="1:22" s="28" customFormat="1" hidden="1" x14ac:dyDescent="0.35">
      <c r="A96" s="88" t="s">
        <v>93</v>
      </c>
      <c r="B96" s="88"/>
      <c r="C96" s="88"/>
      <c r="D96" s="88"/>
      <c r="E96" s="88"/>
      <c r="F96" s="103"/>
      <c r="G96" s="103"/>
      <c r="H96" s="103"/>
      <c r="R96"/>
      <c r="S96">
        <v>1600000</v>
      </c>
      <c r="T96">
        <v>700000</v>
      </c>
      <c r="U96">
        <v>600000</v>
      </c>
      <c r="V96"/>
    </row>
    <row r="97" spans="1:22" s="28" customFormat="1" hidden="1" x14ac:dyDescent="0.35">
      <c r="A97" s="88" t="s">
        <v>94</v>
      </c>
      <c r="B97" s="88"/>
      <c r="C97" s="88"/>
      <c r="D97" s="88"/>
      <c r="E97" s="88"/>
      <c r="F97" s="103"/>
      <c r="G97" s="103"/>
      <c r="H97" s="103"/>
      <c r="R97"/>
      <c r="S97">
        <v>1700000</v>
      </c>
      <c r="T97">
        <v>800000</v>
      </c>
      <c r="U97"/>
      <c r="V97" s="18"/>
    </row>
    <row r="98" spans="1:22" x14ac:dyDescent="0.35">
      <c r="A98" s="88" t="s">
        <v>49</v>
      </c>
      <c r="B98" s="88"/>
      <c r="C98" s="88"/>
      <c r="D98" s="88"/>
      <c r="E98" s="88"/>
      <c r="F98" s="103">
        <v>600000</v>
      </c>
      <c r="G98" s="103"/>
      <c r="H98" s="103"/>
      <c r="R98"/>
      <c r="S98">
        <v>1800000</v>
      </c>
      <c r="T98">
        <v>900000</v>
      </c>
      <c r="U98"/>
    </row>
    <row r="99" spans="1:22" s="29" customFormat="1" x14ac:dyDescent="0.35">
      <c r="A99" s="107" t="s">
        <v>50</v>
      </c>
      <c r="B99" s="107"/>
      <c r="C99" s="107"/>
      <c r="D99" s="107"/>
      <c r="E99" s="107"/>
      <c r="F99" s="103">
        <f>F88*0.8</f>
        <v>11200</v>
      </c>
      <c r="G99" s="103"/>
      <c r="H99" s="103"/>
      <c r="R99" s="16"/>
      <c r="S99" s="16"/>
      <c r="T99">
        <v>1000000</v>
      </c>
      <c r="U99"/>
      <c r="V99" s="16"/>
    </row>
    <row r="100" spans="1:22" s="30" customFormat="1" x14ac:dyDescent="0.35">
      <c r="A100" s="149" t="s">
        <v>66</v>
      </c>
      <c r="B100" s="149"/>
      <c r="C100" s="149"/>
      <c r="D100" s="149"/>
      <c r="E100" s="149"/>
      <c r="F100" s="149"/>
      <c r="G100" s="149"/>
      <c r="H100" s="149"/>
      <c r="T100"/>
    </row>
    <row r="101" spans="1:22" s="30" customFormat="1" ht="15.75" customHeight="1" x14ac:dyDescent="0.35">
      <c r="A101" s="151" t="s">
        <v>51</v>
      </c>
      <c r="B101" s="151"/>
      <c r="C101" s="161" t="s">
        <v>73</v>
      </c>
      <c r="D101" s="161"/>
      <c r="E101" s="155" t="s">
        <v>52</v>
      </c>
      <c r="F101" s="155"/>
      <c r="G101" s="151" t="s">
        <v>53</v>
      </c>
      <c r="H101" s="151"/>
      <c r="T101"/>
    </row>
    <row r="102" spans="1:22" s="30" customFormat="1" x14ac:dyDescent="0.35">
      <c r="A102" s="148" t="s">
        <v>394</v>
      </c>
      <c r="B102" s="148"/>
      <c r="C102" s="102">
        <f>COUNT(D115:D119)+COUNT(D123:D131)*17+COUNT(D133:D137,D139:D141)*4+COUNT(D143:D147,D150:D151)</f>
        <v>197</v>
      </c>
      <c r="D102" s="102"/>
      <c r="E102" s="102">
        <f>SUM(F115:F119)+SUM(F123:F131)*17+SUM(F133:F137,F139:F141)*4+SUM(F143:F147,F150:F151)</f>
        <v>156796.70582159999</v>
      </c>
      <c r="F102" s="102"/>
      <c r="G102" s="102">
        <f>SUM(H115:H119)+SUM(H123:H131)*17+SUM(H133:H137,H139:H141)*4+SUM(H143:H147,H150:H151)</f>
        <v>235195.05873239998</v>
      </c>
      <c r="H102" s="102"/>
      <c r="T102"/>
    </row>
    <row r="103" spans="1:22" s="30" customFormat="1" x14ac:dyDescent="0.35">
      <c r="A103" s="149" t="s">
        <v>143</v>
      </c>
      <c r="B103" s="149"/>
      <c r="C103" s="160">
        <f>SUM(C102)</f>
        <v>197</v>
      </c>
      <c r="D103" s="161"/>
      <c r="E103" s="169">
        <f>SUM(E102)</f>
        <v>156796.70582159999</v>
      </c>
      <c r="F103" s="155"/>
      <c r="G103" s="151">
        <f>SUM(G102)</f>
        <v>235195.05873239998</v>
      </c>
      <c r="H103" s="151"/>
      <c r="T103"/>
    </row>
    <row r="104" spans="1:22" s="29" customFormat="1" x14ac:dyDescent="0.35">
      <c r="A104" s="156" t="s">
        <v>341</v>
      </c>
      <c r="B104" s="156"/>
      <c r="C104" s="156"/>
      <c r="D104" s="156"/>
      <c r="E104" s="156"/>
      <c r="F104" s="156"/>
      <c r="G104" s="156"/>
      <c r="H104" s="156"/>
      <c r="T104" s="30"/>
    </row>
    <row r="105" spans="1:22" x14ac:dyDescent="0.35">
      <c r="A105" s="172" t="s">
        <v>391</v>
      </c>
      <c r="B105" s="172"/>
      <c r="C105" s="172"/>
      <c r="D105" s="172"/>
      <c r="E105" s="172"/>
      <c r="F105" s="172"/>
      <c r="G105" s="172"/>
      <c r="H105" s="172"/>
      <c r="T105" s="30"/>
    </row>
    <row r="106" spans="1:22" ht="47.25" customHeight="1" x14ac:dyDescent="0.35">
      <c r="A106" s="157" t="s">
        <v>392</v>
      </c>
      <c r="B106" s="91" t="s">
        <v>165</v>
      </c>
      <c r="C106" s="91" t="s">
        <v>54</v>
      </c>
      <c r="D106" s="91" t="s">
        <v>219</v>
      </c>
      <c r="E106" s="91" t="s">
        <v>386</v>
      </c>
      <c r="F106" s="91" t="s">
        <v>55</v>
      </c>
      <c r="G106" s="93" t="s">
        <v>56</v>
      </c>
      <c r="H106" s="80" t="s">
        <v>142</v>
      </c>
      <c r="I106" s="31">
        <f>10.764</f>
        <v>10.763999999999999</v>
      </c>
      <c r="T106" s="32"/>
    </row>
    <row r="107" spans="1:22" s="32" customFormat="1" x14ac:dyDescent="0.35">
      <c r="A107" s="158"/>
      <c r="B107" s="92"/>
      <c r="C107" s="92"/>
      <c r="D107" s="92"/>
      <c r="E107" s="92"/>
      <c r="F107" s="92"/>
      <c r="G107" s="94"/>
      <c r="H107" s="81">
        <v>0.5</v>
      </c>
      <c r="I107" s="31"/>
    </row>
    <row r="108" spans="1:22" s="32" customFormat="1" x14ac:dyDescent="0.35">
      <c r="A108" s="145" t="s">
        <v>408</v>
      </c>
      <c r="B108" s="146"/>
      <c r="C108" s="146"/>
      <c r="D108" s="146"/>
      <c r="E108" s="146"/>
      <c r="F108" s="146"/>
      <c r="G108" s="146"/>
      <c r="H108" s="147"/>
      <c r="J108" s="31"/>
    </row>
    <row r="109" spans="1:22" s="32" customFormat="1" x14ac:dyDescent="0.35">
      <c r="A109" s="145" t="s">
        <v>409</v>
      </c>
      <c r="B109" s="146"/>
      <c r="C109" s="146"/>
      <c r="D109" s="146"/>
      <c r="E109" s="146"/>
      <c r="F109" s="146"/>
      <c r="G109" s="146"/>
      <c r="H109" s="147"/>
      <c r="J109" s="31"/>
    </row>
    <row r="110" spans="1:22" s="32" customFormat="1" x14ac:dyDescent="0.35">
      <c r="A110" s="145" t="s">
        <v>410</v>
      </c>
      <c r="B110" s="146"/>
      <c r="C110" s="146"/>
      <c r="D110" s="146"/>
      <c r="E110" s="146"/>
      <c r="F110" s="146"/>
      <c r="G110" s="146"/>
      <c r="H110" s="147"/>
      <c r="J110" s="31"/>
    </row>
    <row r="111" spans="1:22" s="32" customFormat="1" x14ac:dyDescent="0.35">
      <c r="A111" s="145" t="s">
        <v>412</v>
      </c>
      <c r="B111" s="146"/>
      <c r="C111" s="146"/>
      <c r="D111" s="146"/>
      <c r="E111" s="146"/>
      <c r="F111" s="146"/>
      <c r="G111" s="146"/>
      <c r="H111" s="147"/>
      <c r="J111" s="31"/>
    </row>
    <row r="112" spans="1:22" s="32" customFormat="1" x14ac:dyDescent="0.35">
      <c r="A112" s="145" t="s">
        <v>377</v>
      </c>
      <c r="B112" s="146"/>
      <c r="C112" s="146"/>
      <c r="D112" s="146"/>
      <c r="E112" s="146"/>
      <c r="F112" s="146"/>
      <c r="G112" s="146"/>
      <c r="H112" s="147"/>
      <c r="I112" s="32">
        <f>1</f>
        <v>1</v>
      </c>
      <c r="J112" s="31"/>
    </row>
    <row r="113" spans="1:20" s="32" customFormat="1" ht="15.75" customHeight="1" x14ac:dyDescent="0.35">
      <c r="A113" s="96">
        <v>1</v>
      </c>
      <c r="B113" s="97"/>
      <c r="C113" s="96" t="s">
        <v>383</v>
      </c>
      <c r="D113" s="168"/>
      <c r="E113" s="168"/>
      <c r="F113" s="168"/>
      <c r="G113" s="168"/>
      <c r="H113" s="97"/>
      <c r="I113" s="31"/>
      <c r="L113" s="95"/>
      <c r="M113" s="95"/>
      <c r="N113" s="31"/>
    </row>
    <row r="114" spans="1:20" s="32" customFormat="1" ht="15.75" customHeight="1" x14ac:dyDescent="0.35">
      <c r="A114" s="193">
        <f>A113+1</f>
        <v>2</v>
      </c>
      <c r="B114" s="193"/>
      <c r="C114" s="193" t="s">
        <v>384</v>
      </c>
      <c r="D114" s="193"/>
      <c r="E114" s="193"/>
      <c r="F114" s="193"/>
      <c r="G114" s="193"/>
      <c r="H114" s="193"/>
      <c r="I114" s="31"/>
      <c r="L114" s="95"/>
      <c r="M114" s="95"/>
      <c r="N114" s="31"/>
    </row>
    <row r="115" spans="1:20" s="32" customFormat="1" ht="15.75" customHeight="1" x14ac:dyDescent="0.35">
      <c r="A115" s="193">
        <f>A114+1</f>
        <v>3</v>
      </c>
      <c r="B115" s="193"/>
      <c r="C115" s="37" t="s">
        <v>380</v>
      </c>
      <c r="D115" s="82">
        <f>(88.14)*(10.764)</f>
        <v>948.73895999999991</v>
      </c>
      <c r="E115" s="82">
        <f>(2.45*1.53+1.27*1.6)*(10.764)</f>
        <v>62.221301999999994</v>
      </c>
      <c r="F115" s="37">
        <f>D115+E115</f>
        <v>1010.9602619999999</v>
      </c>
      <c r="G115" s="37">
        <v>0</v>
      </c>
      <c r="H115" s="37">
        <f>F115*(($H$107)+1)+(IF(G115&lt;101,G115,IF(G115&lt;201,G115/2,IF(G115&lt;=301,G115/3,G115/4))))</f>
        <v>1516.4403929999999</v>
      </c>
      <c r="I115" s="31"/>
      <c r="J115" s="32">
        <f>3.35*5.78+0.6*3.7+2.45*2.74+3.1*3.36+3.36*4.1+3.76*3.14+1.37*2.27+1.52*2.44+1.37*2.45+0.9*4.1+0.9*2.7+1.6*1.6</f>
        <v>83.149599999999992</v>
      </c>
      <c r="K115" s="32">
        <f>1.27*1.6</f>
        <v>2.032</v>
      </c>
      <c r="L115" s="95">
        <f>2.45*1.53</f>
        <v>3.7485000000000004</v>
      </c>
      <c r="M115" s="95"/>
      <c r="N115" s="31"/>
    </row>
    <row r="116" spans="1:20" s="32" customFormat="1" ht="15.75" customHeight="1" x14ac:dyDescent="0.35">
      <c r="A116" s="193">
        <f>A115+1</f>
        <v>4</v>
      </c>
      <c r="B116" s="193"/>
      <c r="C116" s="37" t="s">
        <v>381</v>
      </c>
      <c r="D116" s="82">
        <f>(66.86)*(10.764)</f>
        <v>719.68103999999994</v>
      </c>
      <c r="E116" s="82">
        <f>(2.45*1.53+1.7*1.15)*(10.764)</f>
        <v>61.392473999999993</v>
      </c>
      <c r="F116" s="37">
        <f>D116+E116</f>
        <v>781.07351399999993</v>
      </c>
      <c r="G116" s="37">
        <v>0</v>
      </c>
      <c r="H116" s="37">
        <f>F116*(($H$107)+1)+(IF(G116&lt;101,G116,IF(G116&lt;201,G116/2,IF(G116&lt;=301,G116/3,G116/4))))</f>
        <v>1171.610271</v>
      </c>
      <c r="I116" s="31"/>
      <c r="J116" s="32">
        <f>3.34*5.79+2.29*2.81+3.05*4.06+3.99*3.74+2.28*1.36+1.52*2.44+0.9*4.1</f>
        <v>63.578699999999998</v>
      </c>
      <c r="K116" s="32">
        <f>1.7*1.15</f>
        <v>1.9549999999999998</v>
      </c>
      <c r="L116" s="95">
        <f>2.45*1.53</f>
        <v>3.7485000000000004</v>
      </c>
      <c r="M116" s="95"/>
      <c r="N116" s="31"/>
      <c r="T116" s="16"/>
    </row>
    <row r="117" spans="1:20" s="32" customFormat="1" ht="15.75" customHeight="1" x14ac:dyDescent="0.35">
      <c r="A117" s="193">
        <f t="shared" ref="A117:A121" si="0">A116+1</f>
        <v>5</v>
      </c>
      <c r="B117" s="193"/>
      <c r="C117" s="37" t="s">
        <v>380</v>
      </c>
      <c r="D117" s="82">
        <f>(87.84)*(10.764)</f>
        <v>945.50976000000003</v>
      </c>
      <c r="E117" s="82">
        <f>(2.45*1.53+1.27*1.59)*(10.764)</f>
        <v>62.084599200000007</v>
      </c>
      <c r="F117" s="37">
        <f>D117+E117</f>
        <v>1007.5943592</v>
      </c>
      <c r="G117" s="37">
        <v>0</v>
      </c>
      <c r="H117" s="37">
        <f>F117*(($H$107)+1)+(IF(G117&lt;101,G117,IF(G117&lt;201,G117/2,IF(G117&lt;=301,G117/3,G117/4))))</f>
        <v>1511.3915388</v>
      </c>
      <c r="I117" s="31"/>
      <c r="L117" s="95"/>
      <c r="M117" s="95"/>
      <c r="N117" s="31"/>
    </row>
    <row r="118" spans="1:20" s="32" customFormat="1" ht="15.75" customHeight="1" x14ac:dyDescent="0.35">
      <c r="A118" s="193" t="s">
        <v>378</v>
      </c>
      <c r="B118" s="193"/>
      <c r="C118" s="37" t="s">
        <v>382</v>
      </c>
      <c r="D118" s="82">
        <f>(43.96)*(10.764)</f>
        <v>473.18543999999997</v>
      </c>
      <c r="E118" s="82">
        <f>0*(10.764)</f>
        <v>0</v>
      </c>
      <c r="F118" s="37">
        <f>D118+E118</f>
        <v>473.18543999999997</v>
      </c>
      <c r="G118" s="37">
        <v>0</v>
      </c>
      <c r="H118" s="37">
        <f>F118*(($H$107)+1)+(IF(G118&lt;101,G118,IF(G118&lt;201,G118/2,IF(G118&lt;=301,G118/3,G118/4))))</f>
        <v>709.77815999999996</v>
      </c>
      <c r="I118" s="31"/>
      <c r="L118" s="95"/>
      <c r="M118" s="95"/>
      <c r="N118" s="31"/>
    </row>
    <row r="119" spans="1:20" s="32" customFormat="1" ht="15.75" customHeight="1" x14ac:dyDescent="0.35">
      <c r="A119" s="193" t="s">
        <v>379</v>
      </c>
      <c r="B119" s="193"/>
      <c r="C119" s="85" t="s">
        <v>413</v>
      </c>
      <c r="D119" s="82">
        <f>(22.7)*(10.764)</f>
        <v>244.34279999999998</v>
      </c>
      <c r="E119" s="82">
        <f>0*(10.764)</f>
        <v>0</v>
      </c>
      <c r="F119" s="37">
        <f>D119+E119</f>
        <v>244.34279999999998</v>
      </c>
      <c r="G119" s="37">
        <v>0</v>
      </c>
      <c r="H119" s="37">
        <f>F119*(($H$107)+1)+(IF(G119&lt;101,G119,IF(G119&lt;201,G119/2,IF(G119&lt;=301,G119/3,G119/4))))</f>
        <v>366.51419999999996</v>
      </c>
      <c r="I119" s="31"/>
      <c r="L119" s="95"/>
      <c r="M119" s="95"/>
      <c r="N119" s="31"/>
    </row>
    <row r="120" spans="1:20" s="32" customFormat="1" ht="15.75" customHeight="1" x14ac:dyDescent="0.35">
      <c r="A120" s="193">
        <v>7</v>
      </c>
      <c r="B120" s="193"/>
      <c r="C120" s="193" t="s">
        <v>385</v>
      </c>
      <c r="D120" s="193"/>
      <c r="E120" s="193"/>
      <c r="F120" s="193"/>
      <c r="G120" s="193"/>
      <c r="H120" s="193"/>
      <c r="I120" s="31"/>
      <c r="L120" s="95"/>
      <c r="M120" s="95"/>
      <c r="N120" s="31"/>
    </row>
    <row r="121" spans="1:20" s="32" customFormat="1" ht="15.75" customHeight="1" x14ac:dyDescent="0.35">
      <c r="A121" s="193">
        <f t="shared" si="0"/>
        <v>8</v>
      </c>
      <c r="B121" s="193"/>
      <c r="C121" s="193"/>
      <c r="D121" s="193"/>
      <c r="E121" s="193"/>
      <c r="F121" s="193"/>
      <c r="G121" s="193"/>
      <c r="H121" s="193"/>
      <c r="I121" s="31"/>
      <c r="L121" s="95"/>
      <c r="M121" s="95"/>
      <c r="N121" s="31"/>
      <c r="T121" s="16"/>
    </row>
    <row r="122" spans="1:20" s="32" customFormat="1" x14ac:dyDescent="0.35">
      <c r="A122" s="194" t="s">
        <v>390</v>
      </c>
      <c r="B122" s="194"/>
      <c r="C122" s="194"/>
      <c r="D122" s="194"/>
      <c r="E122" s="194"/>
      <c r="F122" s="194"/>
      <c r="G122" s="194"/>
      <c r="H122" s="194"/>
      <c r="I122" s="32">
        <f>4+3+4+2+4</f>
        <v>17</v>
      </c>
      <c r="J122" s="31"/>
    </row>
    <row r="123" spans="1:20" s="32" customFormat="1" ht="15.75" customHeight="1" x14ac:dyDescent="0.35">
      <c r="A123" s="193">
        <v>1</v>
      </c>
      <c r="B123" s="193"/>
      <c r="C123" s="37" t="s">
        <v>380</v>
      </c>
      <c r="D123" s="82">
        <f>(90.41)*(10.764)</f>
        <v>973.17323999999985</v>
      </c>
      <c r="E123" s="82">
        <f>(2.45*1.52+1.22*1.59)*(10.764)</f>
        <v>60.9651432</v>
      </c>
      <c r="F123" s="37">
        <f t="shared" ref="F123:F124" si="1">D123+E123</f>
        <v>1034.1383831999999</v>
      </c>
      <c r="G123" s="37">
        <v>0</v>
      </c>
      <c r="H123" s="37">
        <f t="shared" ref="H123:H124" si="2">F123*(($H$107)+1)+(IF(G123&lt;101,G123,IF(G123&lt;201,G123/2,IF(G123&lt;=301,G123/3,G123/4))))</f>
        <v>1551.2075747999997</v>
      </c>
      <c r="I123" s="31"/>
      <c r="J123" s="32">
        <v>24900000</v>
      </c>
      <c r="K123" s="32">
        <f t="shared" ref="K123:K128" si="3">J123/H123</f>
        <v>16052.01032054682</v>
      </c>
      <c r="L123" s="95"/>
      <c r="M123" s="95"/>
      <c r="N123" s="31"/>
    </row>
    <row r="124" spans="1:20" s="32" customFormat="1" ht="15.75" customHeight="1" x14ac:dyDescent="0.35">
      <c r="A124" s="193">
        <f>A123+1</f>
        <v>2</v>
      </c>
      <c r="B124" s="193"/>
      <c r="C124" s="37" t="s">
        <v>381</v>
      </c>
      <c r="D124" s="82">
        <f>( 71.07)*(10.764)</f>
        <v>764.99747999999988</v>
      </c>
      <c r="E124" s="82">
        <f>(2.45*1.53+1.22*0.6)*(10.764)</f>
        <v>48.228102</v>
      </c>
      <c r="F124" s="37">
        <f t="shared" si="1"/>
        <v>813.22558199999992</v>
      </c>
      <c r="G124" s="37">
        <v>0</v>
      </c>
      <c r="H124" s="37">
        <f t="shared" si="2"/>
        <v>1219.8383729999998</v>
      </c>
      <c r="I124" s="31"/>
      <c r="J124" s="32">
        <v>19100000</v>
      </c>
      <c r="K124" s="32">
        <f t="shared" si="3"/>
        <v>15657.812069829028</v>
      </c>
      <c r="L124" s="95"/>
      <c r="M124" s="95"/>
      <c r="N124" s="31"/>
    </row>
    <row r="125" spans="1:20" s="32" customFormat="1" ht="15.75" customHeight="1" x14ac:dyDescent="0.35">
      <c r="A125" s="193">
        <f>A124+1</f>
        <v>3</v>
      </c>
      <c r="B125" s="193"/>
      <c r="C125" s="37" t="s">
        <v>380</v>
      </c>
      <c r="D125" s="82">
        <f>(88.14)*(10.764)</f>
        <v>948.73895999999991</v>
      </c>
      <c r="E125" s="82">
        <f>(2.45*1.53+1.27*1.6)*(10.764)</f>
        <v>62.221301999999994</v>
      </c>
      <c r="F125" s="37">
        <f>D125+E125</f>
        <v>1010.9602619999999</v>
      </c>
      <c r="G125" s="37">
        <v>0</v>
      </c>
      <c r="H125" s="37">
        <f>F125*(($H$107)+1)+(IF(G125&lt;101,G125,IF(G125&lt;201,G125/2,IF(G125&lt;=301,G125/3,G125/4))))</f>
        <v>1516.4403929999999</v>
      </c>
      <c r="I125" s="31"/>
      <c r="J125" s="32">
        <v>23800000</v>
      </c>
      <c r="K125" s="32">
        <f t="shared" si="3"/>
        <v>15694.649199442687</v>
      </c>
      <c r="L125" s="95"/>
      <c r="M125" s="95"/>
      <c r="N125" s="31"/>
    </row>
    <row r="126" spans="1:20" s="32" customFormat="1" ht="15.75" customHeight="1" x14ac:dyDescent="0.35">
      <c r="A126" s="193">
        <f>A125+1</f>
        <v>4</v>
      </c>
      <c r="B126" s="193"/>
      <c r="C126" s="37" t="s">
        <v>381</v>
      </c>
      <c r="D126" s="82">
        <f>(66.86)*(10.764)</f>
        <v>719.68103999999994</v>
      </c>
      <c r="E126" s="82">
        <f>(2.45*1.53+1.7*1.15)*(10.764)</f>
        <v>61.392473999999993</v>
      </c>
      <c r="F126" s="37">
        <f>D126+E126</f>
        <v>781.07351399999993</v>
      </c>
      <c r="G126" s="37">
        <v>0</v>
      </c>
      <c r="H126" s="37">
        <f>F126*(($H$107)+1)+(IF(G126&lt;101,G126,IF(G126&lt;201,G126/2,IF(G126&lt;=301,G126/3,G126/4))))</f>
        <v>1171.610271</v>
      </c>
      <c r="I126" s="31"/>
      <c r="J126" s="32">
        <v>17900000</v>
      </c>
      <c r="K126" s="32">
        <f t="shared" si="3"/>
        <v>15278.118025307069</v>
      </c>
      <c r="L126" s="95"/>
      <c r="M126" s="95"/>
      <c r="N126" s="31"/>
      <c r="T126" s="16"/>
    </row>
    <row r="127" spans="1:20" s="32" customFormat="1" ht="15.75" customHeight="1" x14ac:dyDescent="0.35">
      <c r="A127" s="193">
        <f t="shared" ref="A127" si="4">A126+1</f>
        <v>5</v>
      </c>
      <c r="B127" s="193"/>
      <c r="C127" s="37" t="s">
        <v>380</v>
      </c>
      <c r="D127" s="82">
        <f>(87.84)*(10.764)</f>
        <v>945.50976000000003</v>
      </c>
      <c r="E127" s="82">
        <f>(2.45*1.53+1.27*1.59)*(10.764)</f>
        <v>62.084599200000007</v>
      </c>
      <c r="F127" s="37">
        <f>D127+E127</f>
        <v>1007.5943592</v>
      </c>
      <c r="G127" s="37">
        <v>0</v>
      </c>
      <c r="H127" s="37">
        <f>F127*(($H$107)+1)+(IF(G127&lt;101,G127,IF(G127&lt;201,G127/2,IF(G127&lt;=301,G127/3,G127/4))))</f>
        <v>1511.3915388</v>
      </c>
      <c r="I127" s="31"/>
      <c r="J127" s="32">
        <v>23700000</v>
      </c>
      <c r="K127" s="32">
        <f t="shared" si="3"/>
        <v>15680.913510219261</v>
      </c>
      <c r="L127" s="95"/>
      <c r="M127" s="95"/>
      <c r="N127" s="31"/>
    </row>
    <row r="128" spans="1:20" s="32" customFormat="1" ht="15.75" customHeight="1" x14ac:dyDescent="0.35">
      <c r="A128" s="193" t="s">
        <v>378</v>
      </c>
      <c r="B128" s="193"/>
      <c r="C128" s="37" t="s">
        <v>382</v>
      </c>
      <c r="D128" s="82">
        <f>(43.98)*(10.764)</f>
        <v>473.40071999999992</v>
      </c>
      <c r="E128" s="82">
        <f>0*(10.764)</f>
        <v>0</v>
      </c>
      <c r="F128" s="37">
        <f>D128+E128</f>
        <v>473.40071999999992</v>
      </c>
      <c r="G128" s="37">
        <v>0</v>
      </c>
      <c r="H128" s="37">
        <f>F128*(($H$107)+1)+(IF(G128&lt;101,G128,IF(G128&lt;201,G128/2,IF(G128&lt;=301,G128/3,G128/4))))</f>
        <v>710.10107999999991</v>
      </c>
      <c r="I128" s="31"/>
      <c r="J128" s="32">
        <v>11800000</v>
      </c>
      <c r="K128" s="32">
        <f t="shared" si="3"/>
        <v>16617.352560567859</v>
      </c>
      <c r="L128" s="95"/>
      <c r="M128" s="95"/>
      <c r="N128" s="32">
        <v>14700000</v>
      </c>
      <c r="O128" s="32">
        <f>N128/H126</f>
        <v>12546.834355978432</v>
      </c>
    </row>
    <row r="129" spans="1:20" s="32" customFormat="1" ht="15.75" customHeight="1" x14ac:dyDescent="0.35">
      <c r="A129" s="193" t="s">
        <v>379</v>
      </c>
      <c r="B129" s="193"/>
      <c r="C129" s="85" t="s">
        <v>413</v>
      </c>
      <c r="D129" s="82">
        <f>(22.7)*(10.764)</f>
        <v>244.34279999999998</v>
      </c>
      <c r="E129" s="82">
        <f>0*(10.764)</f>
        <v>0</v>
      </c>
      <c r="F129" s="37">
        <f>D129+E129</f>
        <v>244.34279999999998</v>
      </c>
      <c r="G129" s="37">
        <v>0</v>
      </c>
      <c r="H129" s="37">
        <f>F129*(($H$107)+1)+(IF(G129&lt;101,G129,IF(G129&lt;201,G129/2,IF(G129&lt;=301,G129/3,G129/4))))</f>
        <v>366.51419999999996</v>
      </c>
      <c r="I129" s="31"/>
      <c r="L129" s="95"/>
      <c r="M129" s="95"/>
      <c r="N129" s="32">
        <v>20400000</v>
      </c>
      <c r="O129" s="32">
        <f>N129/H127</f>
        <v>13497.495173353289</v>
      </c>
    </row>
    <row r="130" spans="1:20" s="32" customFormat="1" ht="15.75" customHeight="1" x14ac:dyDescent="0.35">
      <c r="A130" s="193">
        <v>7</v>
      </c>
      <c r="B130" s="193"/>
      <c r="C130" s="37" t="s">
        <v>380</v>
      </c>
      <c r="D130" s="82">
        <f>(87.96)*(10.764)</f>
        <v>946.80143999999984</v>
      </c>
      <c r="E130" s="82">
        <f>(2.45*1.53+1.27*1.22)*(10.764)</f>
        <v>57.0265956</v>
      </c>
      <c r="F130" s="37">
        <f t="shared" ref="F130:F131" si="5">D130+E130</f>
        <v>1003.8280355999998</v>
      </c>
      <c r="G130" s="37">
        <v>0</v>
      </c>
      <c r="H130" s="37">
        <f t="shared" ref="H130:H131" si="6">F130*(($H$107)+1)+(IF(G130&lt;101,G130,IF(G130&lt;201,G130/2,IF(G130&lt;=301,G130/3,G130/4))))</f>
        <v>1505.7420533999998</v>
      </c>
      <c r="I130" s="31"/>
      <c r="L130" s="95"/>
      <c r="M130" s="95"/>
      <c r="N130" s="31"/>
    </row>
    <row r="131" spans="1:20" s="32" customFormat="1" ht="15.75" customHeight="1" x14ac:dyDescent="0.35">
      <c r="A131" s="96">
        <f t="shared" ref="A131" si="7">A130+1</f>
        <v>8</v>
      </c>
      <c r="B131" s="97"/>
      <c r="C131" s="37" t="s">
        <v>381</v>
      </c>
      <c r="D131" s="82">
        <f>(61.41)*(10.764)</f>
        <v>661.0172399999999</v>
      </c>
      <c r="E131" s="82">
        <f>(2.16*1.53+1.68*1.15)*(10.764)</f>
        <v>56.368915199999996</v>
      </c>
      <c r="F131" s="37">
        <f t="shared" si="5"/>
        <v>717.38615519999985</v>
      </c>
      <c r="G131" s="37">
        <v>0</v>
      </c>
      <c r="H131" s="37">
        <f t="shared" si="6"/>
        <v>1076.0792327999998</v>
      </c>
      <c r="I131" s="31"/>
      <c r="J131" s="32">
        <v>16600000</v>
      </c>
      <c r="K131" s="32">
        <f>J131/H131</f>
        <v>15426.373350599992</v>
      </c>
      <c r="L131" s="95"/>
      <c r="M131" s="95"/>
      <c r="N131" s="31"/>
      <c r="T131" s="16"/>
    </row>
    <row r="132" spans="1:20" s="32" customFormat="1" x14ac:dyDescent="0.35">
      <c r="A132" s="145" t="s">
        <v>415</v>
      </c>
      <c r="B132" s="146"/>
      <c r="C132" s="146"/>
      <c r="D132" s="146"/>
      <c r="E132" s="146"/>
      <c r="F132" s="146"/>
      <c r="G132" s="146"/>
      <c r="H132" s="147"/>
      <c r="I132" s="32">
        <f>4</f>
        <v>4</v>
      </c>
      <c r="J132" s="31"/>
    </row>
    <row r="133" spans="1:20" s="32" customFormat="1" ht="15.75" customHeight="1" x14ac:dyDescent="0.35">
      <c r="A133" s="96">
        <v>1</v>
      </c>
      <c r="B133" s="97"/>
      <c r="C133" s="37" t="s">
        <v>380</v>
      </c>
      <c r="D133" s="82">
        <f>(90.41)*(10.764)</f>
        <v>973.17323999999985</v>
      </c>
      <c r="E133" s="82">
        <f>(2.45*1.52+1.22*1.59)*(10.764)</f>
        <v>60.9651432</v>
      </c>
      <c r="F133" s="37">
        <f t="shared" ref="F133:F134" si="8">D133+E133</f>
        <v>1034.1383831999999</v>
      </c>
      <c r="G133" s="37">
        <v>0</v>
      </c>
      <c r="H133" s="37">
        <f t="shared" ref="H133:H134" si="9">F133*(($H$107)+1)+(IF(G133&lt;101,G133,IF(G133&lt;201,G133/2,IF(G133&lt;=301,G133/3,G133/4))))</f>
        <v>1551.2075747999997</v>
      </c>
      <c r="I133" s="31"/>
      <c r="L133" s="95"/>
      <c r="M133" s="95"/>
      <c r="N133" s="31"/>
    </row>
    <row r="134" spans="1:20" s="32" customFormat="1" ht="15.75" customHeight="1" x14ac:dyDescent="0.35">
      <c r="A134" s="96">
        <f>A133+1</f>
        <v>2</v>
      </c>
      <c r="B134" s="97"/>
      <c r="C134" s="37" t="s">
        <v>381</v>
      </c>
      <c r="D134" s="82">
        <f>( 71.07)*(10.764)</f>
        <v>764.99747999999988</v>
      </c>
      <c r="E134" s="82">
        <f>(2.45*1.53+1.22*0.6)*(10.764)</f>
        <v>48.228102</v>
      </c>
      <c r="F134" s="37">
        <f t="shared" si="8"/>
        <v>813.22558199999992</v>
      </c>
      <c r="G134" s="37">
        <v>0</v>
      </c>
      <c r="H134" s="37">
        <f t="shared" si="9"/>
        <v>1219.8383729999998</v>
      </c>
      <c r="I134" s="31"/>
      <c r="L134" s="95"/>
      <c r="M134" s="95"/>
      <c r="N134" s="31"/>
    </row>
    <row r="135" spans="1:20" s="32" customFormat="1" ht="15.75" customHeight="1" x14ac:dyDescent="0.35">
      <c r="A135" s="96">
        <f>A134+1</f>
        <v>3</v>
      </c>
      <c r="B135" s="97"/>
      <c r="C135" s="37" t="s">
        <v>380</v>
      </c>
      <c r="D135" s="82">
        <f>(88.14)*(10.764)</f>
        <v>948.73895999999991</v>
      </c>
      <c r="E135" s="82">
        <f>(2.45*1.53+1.27*1.6)*(10.764)</f>
        <v>62.221301999999994</v>
      </c>
      <c r="F135" s="37">
        <f>D135+E135</f>
        <v>1010.9602619999999</v>
      </c>
      <c r="G135" s="37">
        <v>0</v>
      </c>
      <c r="H135" s="37">
        <f>F135*(($H$107)+1)+(IF(G135&lt;101,G135,IF(G135&lt;201,G135/2,IF(G135&lt;=301,G135/3,G135/4))))</f>
        <v>1516.4403929999999</v>
      </c>
      <c r="I135" s="31"/>
      <c r="L135" s="95"/>
      <c r="M135" s="95"/>
      <c r="N135" s="31"/>
    </row>
    <row r="136" spans="1:20" s="32" customFormat="1" ht="15.75" customHeight="1" x14ac:dyDescent="0.35">
      <c r="A136" s="96">
        <f>A135+1</f>
        <v>4</v>
      </c>
      <c r="B136" s="97"/>
      <c r="C136" s="37" t="s">
        <v>381</v>
      </c>
      <c r="D136" s="82">
        <f>(66.86)*(10.764)</f>
        <v>719.68103999999994</v>
      </c>
      <c r="E136" s="82">
        <f>(2.45*1.53+1.7*1.15)*(10.764)</f>
        <v>61.392473999999993</v>
      </c>
      <c r="F136" s="37">
        <f>D136+E136</f>
        <v>781.07351399999993</v>
      </c>
      <c r="G136" s="37">
        <v>0</v>
      </c>
      <c r="H136" s="37">
        <f>F136*(($H$107)+1)+(IF(G136&lt;101,G136,IF(G136&lt;201,G136/2,IF(G136&lt;=301,G136/3,G136/4))))</f>
        <v>1171.610271</v>
      </c>
      <c r="I136" s="31"/>
      <c r="L136" s="95"/>
      <c r="M136" s="95"/>
      <c r="N136" s="31"/>
      <c r="T136" s="16"/>
    </row>
    <row r="137" spans="1:20" s="32" customFormat="1" ht="15.75" customHeight="1" x14ac:dyDescent="0.35">
      <c r="A137" s="96">
        <f t="shared" ref="A137" si="10">A136+1</f>
        <v>5</v>
      </c>
      <c r="B137" s="97"/>
      <c r="C137" s="37" t="s">
        <v>380</v>
      </c>
      <c r="D137" s="82">
        <f>(87.84)*(10.764)</f>
        <v>945.50976000000003</v>
      </c>
      <c r="E137" s="82">
        <f>(2.45*1.53+1.27*1.59)*(10.764)</f>
        <v>62.084599200000007</v>
      </c>
      <c r="F137" s="37">
        <f>D137+E137</f>
        <v>1007.5943592</v>
      </c>
      <c r="G137" s="37">
        <v>0</v>
      </c>
      <c r="H137" s="37">
        <f>F137*(($H$107)+1)+(IF(G137&lt;101,G137,IF(G137&lt;201,G137/2,IF(G137&lt;=301,G137/3,G137/4))))</f>
        <v>1511.3915388</v>
      </c>
      <c r="I137" s="31"/>
      <c r="L137" s="95"/>
      <c r="M137" s="95"/>
      <c r="N137" s="31"/>
    </row>
    <row r="138" spans="1:20" s="32" customFormat="1" ht="15.75" customHeight="1" x14ac:dyDescent="0.35">
      <c r="A138" s="96" t="s">
        <v>378</v>
      </c>
      <c r="B138" s="97"/>
      <c r="C138" s="96" t="s">
        <v>387</v>
      </c>
      <c r="D138" s="168"/>
      <c r="E138" s="168"/>
      <c r="F138" s="168"/>
      <c r="G138" s="168"/>
      <c r="H138" s="97"/>
      <c r="I138" s="31"/>
      <c r="L138" s="95"/>
      <c r="M138" s="95"/>
      <c r="N138" s="31"/>
    </row>
    <row r="139" spans="1:20" s="32" customFormat="1" ht="15.75" customHeight="1" x14ac:dyDescent="0.35">
      <c r="A139" s="96" t="s">
        <v>379</v>
      </c>
      <c r="B139" s="97"/>
      <c r="C139" s="85" t="s">
        <v>413</v>
      </c>
      <c r="D139" s="82">
        <f>(22.7)*(10.764)</f>
        <v>244.34279999999998</v>
      </c>
      <c r="E139" s="82">
        <f>0*(10.764)</f>
        <v>0</v>
      </c>
      <c r="F139" s="37">
        <f>D139+E139</f>
        <v>244.34279999999998</v>
      </c>
      <c r="G139" s="37">
        <v>0</v>
      </c>
      <c r="H139" s="37">
        <f>F139*(($H$107)+1)+(IF(G139&lt;101,G139,IF(G139&lt;201,G139/2,IF(G139&lt;=301,G139/3,G139/4))))</f>
        <v>366.51419999999996</v>
      </c>
      <c r="I139" s="31"/>
      <c r="L139" s="95"/>
      <c r="M139" s="95"/>
      <c r="N139" s="31"/>
    </row>
    <row r="140" spans="1:20" s="32" customFormat="1" ht="15.75" customHeight="1" x14ac:dyDescent="0.35">
      <c r="A140" s="96">
        <v>7</v>
      </c>
      <c r="B140" s="97"/>
      <c r="C140" s="37" t="s">
        <v>380</v>
      </c>
      <c r="D140" s="82">
        <f>(87.96)*(10.764)</f>
        <v>946.80143999999984</v>
      </c>
      <c r="E140" s="82">
        <f>(2.45*1.53+1.27*1.22)*(10.764)</f>
        <v>57.0265956</v>
      </c>
      <c r="F140" s="37">
        <f t="shared" ref="F140:F141" si="11">D140+E140</f>
        <v>1003.8280355999998</v>
      </c>
      <c r="G140" s="37">
        <v>0</v>
      </c>
      <c r="H140" s="37">
        <f t="shared" ref="H140:H141" si="12">F140*(($H$107)+1)+(IF(G140&lt;101,G140,IF(G140&lt;201,G140/2,IF(G140&lt;=301,G140/3,G140/4))))</f>
        <v>1505.7420533999998</v>
      </c>
      <c r="I140" s="31"/>
      <c r="L140" s="95"/>
      <c r="M140" s="95"/>
      <c r="N140" s="31"/>
    </row>
    <row r="141" spans="1:20" s="32" customFormat="1" ht="15.75" customHeight="1" x14ac:dyDescent="0.35">
      <c r="A141" s="96">
        <f t="shared" ref="A141" si="13">A140+1</f>
        <v>8</v>
      </c>
      <c r="B141" s="97"/>
      <c r="C141" s="37" t="s">
        <v>381</v>
      </c>
      <c r="D141" s="82">
        <f>(61.41)*(10.764)</f>
        <v>661.0172399999999</v>
      </c>
      <c r="E141" s="82">
        <f>(2.16*1.53+1.68*1.15)*(10.764)</f>
        <v>56.368915199999996</v>
      </c>
      <c r="F141" s="37">
        <f t="shared" si="11"/>
        <v>717.38615519999985</v>
      </c>
      <c r="G141" s="37">
        <v>0</v>
      </c>
      <c r="H141" s="37">
        <f t="shared" si="12"/>
        <v>1076.0792327999998</v>
      </c>
      <c r="I141" s="31"/>
      <c r="L141" s="95"/>
      <c r="M141" s="95"/>
      <c r="N141" s="31"/>
      <c r="T141" s="16"/>
    </row>
    <row r="142" spans="1:20" s="32" customFormat="1" x14ac:dyDescent="0.35">
      <c r="A142" s="145" t="s">
        <v>414</v>
      </c>
      <c r="B142" s="146"/>
      <c r="C142" s="146"/>
      <c r="D142" s="146"/>
      <c r="E142" s="146"/>
      <c r="F142" s="146"/>
      <c r="G142" s="146"/>
      <c r="H142" s="147"/>
      <c r="I142" s="32">
        <f>1</f>
        <v>1</v>
      </c>
      <c r="J142" s="31"/>
    </row>
    <row r="143" spans="1:20" s="32" customFormat="1" ht="15.75" customHeight="1" x14ac:dyDescent="0.35">
      <c r="A143" s="96">
        <v>1</v>
      </c>
      <c r="B143" s="97"/>
      <c r="C143" s="37" t="s">
        <v>380</v>
      </c>
      <c r="D143" s="82">
        <f>(90.41)*(10.764)</f>
        <v>973.17323999999985</v>
      </c>
      <c r="E143" s="82">
        <f>(2.45*1.52+1.22*1.59)*(10.764)</f>
        <v>60.9651432</v>
      </c>
      <c r="F143" s="37">
        <f t="shared" ref="F143:F144" si="14">D143+E143</f>
        <v>1034.1383831999999</v>
      </c>
      <c r="G143" s="37">
        <v>0</v>
      </c>
      <c r="H143" s="37">
        <f t="shared" ref="H143:H144" si="15">F143*(($H$107)+1)+(IF(G143&lt;101,G143,IF(G143&lt;201,G143/2,IF(G143&lt;=301,G143/3,G143/4))))</f>
        <v>1551.2075747999997</v>
      </c>
      <c r="I143" s="31"/>
      <c r="L143" s="95"/>
      <c r="M143" s="95"/>
      <c r="N143" s="31"/>
    </row>
    <row r="144" spans="1:20" s="32" customFormat="1" ht="15.75" customHeight="1" x14ac:dyDescent="0.35">
      <c r="A144" s="96">
        <f>A143+1</f>
        <v>2</v>
      </c>
      <c r="B144" s="97"/>
      <c r="C144" s="37" t="s">
        <v>381</v>
      </c>
      <c r="D144" s="82">
        <f>( 71.07)*(10.764)</f>
        <v>764.99747999999988</v>
      </c>
      <c r="E144" s="82">
        <f>(2.45*1.53+1.22*0.6)*(10.764)</f>
        <v>48.228102</v>
      </c>
      <c r="F144" s="37">
        <f t="shared" si="14"/>
        <v>813.22558199999992</v>
      </c>
      <c r="G144" s="37">
        <v>0</v>
      </c>
      <c r="H144" s="37">
        <f t="shared" si="15"/>
        <v>1219.8383729999998</v>
      </c>
      <c r="I144" s="31"/>
      <c r="L144" s="95"/>
      <c r="M144" s="95"/>
      <c r="N144" s="31"/>
    </row>
    <row r="145" spans="1:20" s="32" customFormat="1" ht="15.75" customHeight="1" x14ac:dyDescent="0.35">
      <c r="A145" s="96">
        <f>A144+1</f>
        <v>3</v>
      </c>
      <c r="B145" s="97"/>
      <c r="C145" s="37" t="s">
        <v>380</v>
      </c>
      <c r="D145" s="82">
        <f>(88.14)*(10.764)</f>
        <v>948.73895999999991</v>
      </c>
      <c r="E145" s="82">
        <f>(2.45*1.53+1.27*1.6)*(10.764)</f>
        <v>62.221301999999994</v>
      </c>
      <c r="F145" s="37">
        <f>D145+E145</f>
        <v>1010.9602619999999</v>
      </c>
      <c r="G145" s="37">
        <v>0</v>
      </c>
      <c r="H145" s="37">
        <f>F145*(($H$107)+1)+(IF(G145&lt;101,G145,IF(G145&lt;201,G145/2,IF(G145&lt;=301,G145/3,G145/4))))</f>
        <v>1516.4403929999999</v>
      </c>
      <c r="I145" s="31"/>
      <c r="L145" s="95"/>
      <c r="M145" s="95"/>
      <c r="N145" s="31"/>
    </row>
    <row r="146" spans="1:20" s="32" customFormat="1" ht="15.75" customHeight="1" x14ac:dyDescent="0.35">
      <c r="A146" s="96">
        <f>A145+1</f>
        <v>4</v>
      </c>
      <c r="B146" s="97"/>
      <c r="C146" s="37" t="s">
        <v>381</v>
      </c>
      <c r="D146" s="82">
        <f>(66.86)*(10.764)</f>
        <v>719.68103999999994</v>
      </c>
      <c r="E146" s="82">
        <f>(2.45*1.53+1.7*1.15)*(10.764)</f>
        <v>61.392473999999993</v>
      </c>
      <c r="F146" s="37">
        <f>D146+E146</f>
        <v>781.07351399999993</v>
      </c>
      <c r="G146" s="37">
        <v>0</v>
      </c>
      <c r="H146" s="37">
        <f>F146*(($H$107)+1)+(IF(G146&lt;101,G146,IF(G146&lt;201,G146/2,IF(G146&lt;=301,G146/3,G146/4))))</f>
        <v>1171.610271</v>
      </c>
      <c r="I146" s="31"/>
      <c r="L146" s="95"/>
      <c r="M146" s="95"/>
      <c r="N146" s="31"/>
      <c r="T146" s="16"/>
    </row>
    <row r="147" spans="1:20" s="32" customFormat="1" ht="15.75" customHeight="1" x14ac:dyDescent="0.35">
      <c r="A147" s="96">
        <f t="shared" ref="A147" si="16">A146+1</f>
        <v>5</v>
      </c>
      <c r="B147" s="97"/>
      <c r="C147" s="37" t="s">
        <v>380</v>
      </c>
      <c r="D147" s="82">
        <f>(87.84)*(10.764)</f>
        <v>945.50976000000003</v>
      </c>
      <c r="E147" s="82">
        <f>(2.45*1.53+1.27*1.59)*(10.764)</f>
        <v>62.084599200000007</v>
      </c>
      <c r="F147" s="37">
        <f>D147+E147</f>
        <v>1007.5943592</v>
      </c>
      <c r="G147" s="37">
        <v>0</v>
      </c>
      <c r="H147" s="37">
        <f>F147*(($H$107)+1)+(IF(G147&lt;101,G147,IF(G147&lt;201,G147/2,IF(G147&lt;=301,G147/3,G147/4))))</f>
        <v>1511.3915388</v>
      </c>
      <c r="I147" s="31"/>
      <c r="L147" s="95"/>
      <c r="M147" s="95"/>
      <c r="N147" s="31"/>
    </row>
    <row r="148" spans="1:20" s="32" customFormat="1" ht="15.75" customHeight="1" x14ac:dyDescent="0.35">
      <c r="A148" s="96" t="s">
        <v>378</v>
      </c>
      <c r="B148" s="97"/>
      <c r="C148" s="96" t="s">
        <v>389</v>
      </c>
      <c r="D148" s="168"/>
      <c r="E148" s="168"/>
      <c r="F148" s="168"/>
      <c r="G148" s="168"/>
      <c r="H148" s="97"/>
      <c r="I148" s="31"/>
      <c r="L148" s="95"/>
      <c r="M148" s="95"/>
      <c r="N148" s="31"/>
    </row>
    <row r="149" spans="1:20" s="32" customFormat="1" ht="15.75" customHeight="1" x14ac:dyDescent="0.35">
      <c r="A149" s="96" t="s">
        <v>379</v>
      </c>
      <c r="B149" s="97"/>
      <c r="C149" s="96" t="s">
        <v>388</v>
      </c>
      <c r="D149" s="168"/>
      <c r="E149" s="168"/>
      <c r="F149" s="168"/>
      <c r="G149" s="168"/>
      <c r="H149" s="97"/>
      <c r="I149" s="31"/>
      <c r="L149" s="95"/>
      <c r="M149" s="95"/>
      <c r="N149" s="31"/>
    </row>
    <row r="150" spans="1:20" s="32" customFormat="1" ht="15.75" customHeight="1" x14ac:dyDescent="0.35">
      <c r="A150" s="96">
        <v>7</v>
      </c>
      <c r="B150" s="97"/>
      <c r="C150" s="37" t="s">
        <v>380</v>
      </c>
      <c r="D150" s="82">
        <f>(87.96)*(10.764)</f>
        <v>946.80143999999984</v>
      </c>
      <c r="E150" s="82">
        <f>(2.45*1.53+1.27*1.22)*(10.764)</f>
        <v>57.0265956</v>
      </c>
      <c r="F150" s="37">
        <f t="shared" ref="F150:F151" si="17">D150+E150</f>
        <v>1003.8280355999998</v>
      </c>
      <c r="G150" s="37">
        <v>0</v>
      </c>
      <c r="H150" s="37">
        <f t="shared" ref="H150:H151" si="18">F150*(($H$107)+1)+(IF(G150&lt;101,G150,IF(G150&lt;201,G150/2,IF(G150&lt;=301,G150/3,G150/4))))</f>
        <v>1505.7420533999998</v>
      </c>
      <c r="I150" s="31"/>
      <c r="L150" s="95"/>
      <c r="M150" s="95"/>
      <c r="N150" s="31"/>
    </row>
    <row r="151" spans="1:20" s="32" customFormat="1" ht="15.75" customHeight="1" x14ac:dyDescent="0.35">
      <c r="A151" s="96">
        <f t="shared" ref="A151" si="19">A150+1</f>
        <v>8</v>
      </c>
      <c r="B151" s="97"/>
      <c r="C151" s="37" t="s">
        <v>381</v>
      </c>
      <c r="D151" s="82">
        <f>(61.41)*(10.764)</f>
        <v>661.0172399999999</v>
      </c>
      <c r="E151" s="82">
        <f>(2.16*1.53+1.68*1.15)*(10.764)</f>
        <v>56.368915199999996</v>
      </c>
      <c r="F151" s="37">
        <f t="shared" si="17"/>
        <v>717.38615519999985</v>
      </c>
      <c r="G151" s="37">
        <v>0</v>
      </c>
      <c r="H151" s="37">
        <f t="shared" si="18"/>
        <v>1076.0792327999998</v>
      </c>
      <c r="I151" s="31"/>
      <c r="L151" s="95"/>
      <c r="M151" s="95"/>
      <c r="N151" s="31"/>
      <c r="T151" s="16"/>
    </row>
    <row r="152" spans="1:20" s="32" customFormat="1" hidden="1" x14ac:dyDescent="0.35">
      <c r="A152" s="145" t="s">
        <v>416</v>
      </c>
      <c r="B152" s="146"/>
      <c r="C152" s="146"/>
      <c r="D152" s="146"/>
      <c r="E152" s="146"/>
      <c r="F152" s="146"/>
      <c r="G152" s="146"/>
      <c r="H152" s="147"/>
      <c r="I152" s="32">
        <f>1</f>
        <v>1</v>
      </c>
      <c r="J152" s="31"/>
    </row>
    <row r="153" spans="1:20" s="32" customFormat="1" ht="15.75" hidden="1" customHeight="1" x14ac:dyDescent="0.35">
      <c r="A153" s="96">
        <v>1</v>
      </c>
      <c r="B153" s="97"/>
      <c r="C153" s="37" t="s">
        <v>380</v>
      </c>
      <c r="D153" s="82">
        <f>(90.41)*(10.764)</f>
        <v>973.17323999999985</v>
      </c>
      <c r="E153" s="82">
        <f>(2.45*1.52+1.22*1.59)*(10.764)</f>
        <v>60.9651432</v>
      </c>
      <c r="F153" s="37">
        <f t="shared" ref="F153:F154" si="20">D153+E153</f>
        <v>1034.1383831999999</v>
      </c>
      <c r="G153" s="37">
        <v>0</v>
      </c>
      <c r="H153" s="37">
        <f t="shared" ref="H153:H154" si="21">F153*(($H$107)+1)+(IF(G153&lt;101,G153,IF(G153&lt;201,G153/2,IF(G153&lt;=301,G153/3,G153/4))))</f>
        <v>1551.2075747999997</v>
      </c>
      <c r="I153" s="31"/>
      <c r="L153" s="95"/>
      <c r="M153" s="95"/>
      <c r="N153" s="31"/>
    </row>
    <row r="154" spans="1:20" s="32" customFormat="1" ht="15.75" hidden="1" customHeight="1" x14ac:dyDescent="0.35">
      <c r="A154" s="96">
        <f>A153+1</f>
        <v>2</v>
      </c>
      <c r="B154" s="97"/>
      <c r="C154" s="37" t="s">
        <v>381</v>
      </c>
      <c r="D154" s="82">
        <f>( 71.07)*(10.764)</f>
        <v>764.99747999999988</v>
      </c>
      <c r="E154" s="82">
        <f>(2.45*1.53+1.22*0.6)*(10.764)</f>
        <v>48.228102</v>
      </c>
      <c r="F154" s="37">
        <f t="shared" si="20"/>
        <v>813.22558199999992</v>
      </c>
      <c r="G154" s="37">
        <v>0</v>
      </c>
      <c r="H154" s="37">
        <f t="shared" si="21"/>
        <v>1219.8383729999998</v>
      </c>
      <c r="I154" s="31"/>
      <c r="L154" s="95"/>
      <c r="M154" s="95"/>
      <c r="N154" s="31"/>
    </row>
    <row r="155" spans="1:20" s="32" customFormat="1" ht="15.75" hidden="1" customHeight="1" x14ac:dyDescent="0.35">
      <c r="A155" s="96">
        <f>A154+1</f>
        <v>3</v>
      </c>
      <c r="B155" s="97"/>
      <c r="C155" s="37" t="s">
        <v>380</v>
      </c>
      <c r="D155" s="82">
        <f>(88.14)*(10.764)</f>
        <v>948.73895999999991</v>
      </c>
      <c r="E155" s="82">
        <f>(2.45*1.53+1.27*1.6)*(10.764)</f>
        <v>62.221301999999994</v>
      </c>
      <c r="F155" s="37">
        <f>D155+E155</f>
        <v>1010.9602619999999</v>
      </c>
      <c r="G155" s="37">
        <v>0</v>
      </c>
      <c r="H155" s="37">
        <f>F155*(($H$107)+1)+(IF(G155&lt;101,G155,IF(G155&lt;201,G155/2,IF(G155&lt;=301,G155/3,G155/4))))</f>
        <v>1516.4403929999999</v>
      </c>
      <c r="I155" s="31"/>
      <c r="L155" s="95"/>
      <c r="M155" s="95"/>
      <c r="N155" s="31"/>
    </row>
    <row r="156" spans="1:20" s="32" customFormat="1" ht="15.75" hidden="1" customHeight="1" x14ac:dyDescent="0.35">
      <c r="A156" s="96">
        <f>A155+1</f>
        <v>4</v>
      </c>
      <c r="B156" s="97"/>
      <c r="C156" s="37" t="s">
        <v>381</v>
      </c>
      <c r="D156" s="82">
        <f>(66.86)*(10.764)</f>
        <v>719.68103999999994</v>
      </c>
      <c r="E156" s="82">
        <f>(2.45*1.53+1.7*1.15)*(10.764)</f>
        <v>61.392473999999993</v>
      </c>
      <c r="F156" s="37">
        <f>D156+E156</f>
        <v>781.07351399999993</v>
      </c>
      <c r="G156" s="37">
        <v>0</v>
      </c>
      <c r="H156" s="37">
        <f>F156*(($H$107)+1)+(IF(G156&lt;101,G156,IF(G156&lt;201,G156/2,IF(G156&lt;=301,G156/3,G156/4))))</f>
        <v>1171.610271</v>
      </c>
      <c r="I156" s="31"/>
      <c r="L156" s="95"/>
      <c r="M156" s="95"/>
      <c r="N156" s="31"/>
      <c r="T156" s="16"/>
    </row>
    <row r="157" spans="1:20" s="32" customFormat="1" ht="15.75" hidden="1" customHeight="1" x14ac:dyDescent="0.35">
      <c r="A157" s="96">
        <f t="shared" ref="A157" si="22">A156+1</f>
        <v>5</v>
      </c>
      <c r="B157" s="97"/>
      <c r="C157" s="37" t="s">
        <v>380</v>
      </c>
      <c r="D157" s="82">
        <f>(87.84)*(10.764)</f>
        <v>945.50976000000003</v>
      </c>
      <c r="E157" s="82">
        <f>(2.45*1.53+1.27*1.59)*(10.764)</f>
        <v>62.084599200000007</v>
      </c>
      <c r="F157" s="37">
        <f>D157+E157</f>
        <v>1007.5943592</v>
      </c>
      <c r="G157" s="37">
        <v>0</v>
      </c>
      <c r="H157" s="37">
        <f>F157*(($H$107)+1)+(IF(G157&lt;101,G157,IF(G157&lt;201,G157/2,IF(G157&lt;=301,G157/3,G157/4))))</f>
        <v>1511.3915388</v>
      </c>
      <c r="I157" s="31"/>
      <c r="L157" s="95"/>
      <c r="M157" s="95"/>
      <c r="N157" s="31"/>
    </row>
    <row r="158" spans="1:20" s="32" customFormat="1" ht="15.75" hidden="1" customHeight="1" x14ac:dyDescent="0.35">
      <c r="A158" s="96" t="s">
        <v>378</v>
      </c>
      <c r="B158" s="97"/>
      <c r="C158" s="96" t="s">
        <v>389</v>
      </c>
      <c r="D158" s="168"/>
      <c r="E158" s="168"/>
      <c r="F158" s="168"/>
      <c r="G158" s="168"/>
      <c r="H158" s="97"/>
      <c r="I158" s="31"/>
      <c r="L158" s="95"/>
      <c r="M158" s="95"/>
      <c r="N158" s="31"/>
    </row>
    <row r="159" spans="1:20" s="32" customFormat="1" ht="15.75" hidden="1" customHeight="1" x14ac:dyDescent="0.35">
      <c r="A159" s="96" t="s">
        <v>379</v>
      </c>
      <c r="B159" s="97"/>
      <c r="C159" s="85" t="s">
        <v>413</v>
      </c>
      <c r="D159" s="82">
        <f>(22.7)*(10.764)</f>
        <v>244.34279999999998</v>
      </c>
      <c r="E159" s="82">
        <f>0*(10.764)</f>
        <v>0</v>
      </c>
      <c r="F159" s="37">
        <f>D159+E159</f>
        <v>244.34279999999998</v>
      </c>
      <c r="G159" s="37">
        <v>0</v>
      </c>
      <c r="H159" s="37">
        <f>F159*(($H$107)+1)+(IF(G159&lt;101,G159,IF(G159&lt;201,G159/2,IF(G159&lt;=301,G159/3,G159/4))))</f>
        <v>366.51419999999996</v>
      </c>
      <c r="I159" s="31"/>
      <c r="L159" s="95"/>
      <c r="M159" s="95"/>
      <c r="N159" s="31"/>
    </row>
    <row r="160" spans="1:20" s="32" customFormat="1" ht="15.75" hidden="1" customHeight="1" x14ac:dyDescent="0.35">
      <c r="A160" s="96">
        <v>7</v>
      </c>
      <c r="B160" s="97"/>
      <c r="C160" s="37" t="s">
        <v>380</v>
      </c>
      <c r="D160" s="82">
        <f>(87.96)*(10.764)</f>
        <v>946.80143999999984</v>
      </c>
      <c r="E160" s="82">
        <f>(2.45*1.53+1.27*1.22)*(10.764)</f>
        <v>57.0265956</v>
      </c>
      <c r="F160" s="37">
        <f t="shared" ref="F160:F161" si="23">D160+E160</f>
        <v>1003.8280355999998</v>
      </c>
      <c r="G160" s="37">
        <v>0</v>
      </c>
      <c r="H160" s="37">
        <f t="shared" ref="H160:H161" si="24">F160*(($H$107)+1)+(IF(G160&lt;101,G160,IF(G160&lt;201,G160/2,IF(G160&lt;=301,G160/3,G160/4))))</f>
        <v>1505.7420533999998</v>
      </c>
      <c r="I160" s="31"/>
      <c r="L160" s="95"/>
      <c r="M160" s="95"/>
      <c r="N160" s="31"/>
    </row>
    <row r="161" spans="1:20" s="32" customFormat="1" ht="15.75" hidden="1" customHeight="1" x14ac:dyDescent="0.35">
      <c r="A161" s="96">
        <f t="shared" ref="A161" si="25">A160+1</f>
        <v>8</v>
      </c>
      <c r="B161" s="97"/>
      <c r="C161" s="37" t="s">
        <v>381</v>
      </c>
      <c r="D161" s="82">
        <f>(61.41)*(10.764)</f>
        <v>661.0172399999999</v>
      </c>
      <c r="E161" s="82">
        <f>(2.16*1.53+1.68*1.15)*(10.764)</f>
        <v>56.368915199999996</v>
      </c>
      <c r="F161" s="37">
        <f t="shared" si="23"/>
        <v>717.38615519999985</v>
      </c>
      <c r="G161" s="37">
        <v>0</v>
      </c>
      <c r="H161" s="37">
        <f t="shared" si="24"/>
        <v>1076.0792327999998</v>
      </c>
      <c r="I161" s="31"/>
      <c r="L161" s="95"/>
      <c r="M161" s="95"/>
      <c r="N161" s="31"/>
      <c r="T161" s="16"/>
    </row>
    <row r="162" spans="1:20" s="30" customFormat="1" x14ac:dyDescent="0.35">
      <c r="A162" s="183" t="s">
        <v>64</v>
      </c>
      <c r="B162" s="183"/>
      <c r="C162" s="183"/>
      <c r="D162" s="183"/>
      <c r="E162" s="183"/>
      <c r="F162" s="183"/>
      <c r="G162" s="183"/>
      <c r="H162" s="183"/>
      <c r="T162" s="32"/>
    </row>
    <row r="163" spans="1:20" s="30" customFormat="1" x14ac:dyDescent="0.35">
      <c r="A163" s="39">
        <v>1</v>
      </c>
      <c r="B163" s="162" t="s">
        <v>428</v>
      </c>
      <c r="C163" s="163"/>
      <c r="D163" s="163"/>
      <c r="E163" s="163"/>
      <c r="F163" s="163"/>
      <c r="G163" s="163"/>
      <c r="H163" s="164"/>
      <c r="T163" s="32"/>
    </row>
    <row r="164" spans="1:20" s="30" customFormat="1" x14ac:dyDescent="0.35">
      <c r="A164" s="39">
        <f>A163+1</f>
        <v>2</v>
      </c>
      <c r="B164" s="162" t="str">
        <f>(IF(H106="Saleable area Loading :","We have considered Saleable area of Flats as per our Calculation.","We considered Saleable area of Flat as per Builder area Sheet."))</f>
        <v>We have considered Saleable area of Flats as per our Calculation.</v>
      </c>
      <c r="C164" s="163"/>
      <c r="D164" s="163"/>
      <c r="E164" s="163"/>
      <c r="F164" s="163"/>
      <c r="G164" s="163"/>
      <c r="H164" s="164"/>
      <c r="T164" s="32"/>
    </row>
    <row r="165" spans="1:20" s="30" customFormat="1" x14ac:dyDescent="0.35">
      <c r="A165" s="39">
        <f t="shared" ref="A165:A171" si="26">A164+1</f>
        <v>3</v>
      </c>
      <c r="B165" s="162" t="s">
        <v>116</v>
      </c>
      <c r="C165" s="163"/>
      <c r="D165" s="163"/>
      <c r="E165" s="163"/>
      <c r="F165" s="163"/>
      <c r="G165" s="163"/>
      <c r="H165" s="164"/>
      <c r="T165" s="32"/>
    </row>
    <row r="166" spans="1:20" s="30" customFormat="1" x14ac:dyDescent="0.35">
      <c r="A166" s="39">
        <f t="shared" si="26"/>
        <v>4</v>
      </c>
      <c r="B166" s="162" t="s">
        <v>393</v>
      </c>
      <c r="C166" s="163"/>
      <c r="D166" s="163"/>
      <c r="E166" s="163"/>
      <c r="F166" s="163"/>
      <c r="G166" s="163"/>
      <c r="H166" s="164"/>
      <c r="T166" s="32"/>
    </row>
    <row r="167" spans="1:20" s="30" customFormat="1" x14ac:dyDescent="0.35">
      <c r="A167" s="39">
        <f t="shared" si="26"/>
        <v>5</v>
      </c>
      <c r="B167" s="152" t="s">
        <v>145</v>
      </c>
      <c r="C167" s="153"/>
      <c r="D167" s="153"/>
      <c r="E167" s="153"/>
      <c r="F167" s="153"/>
      <c r="G167" s="153"/>
      <c r="H167" s="154"/>
    </row>
    <row r="168" spans="1:20" s="30" customFormat="1" x14ac:dyDescent="0.35">
      <c r="A168" s="39">
        <f t="shared" si="26"/>
        <v>6</v>
      </c>
      <c r="B168" s="152" t="s">
        <v>117</v>
      </c>
      <c r="C168" s="153"/>
      <c r="D168" s="153"/>
      <c r="E168" s="153"/>
      <c r="F168" s="153"/>
      <c r="G168" s="153"/>
      <c r="H168" s="154"/>
    </row>
    <row r="169" spans="1:20" s="30" customFormat="1" ht="34.5" customHeight="1" x14ac:dyDescent="0.35">
      <c r="A169" s="39">
        <f t="shared" si="26"/>
        <v>7</v>
      </c>
      <c r="B169" s="162" t="s">
        <v>146</v>
      </c>
      <c r="C169" s="163"/>
      <c r="D169" s="163"/>
      <c r="E169" s="163"/>
      <c r="F169" s="163"/>
      <c r="G169" s="163"/>
      <c r="H169" s="164"/>
    </row>
    <row r="170" spans="1:20" s="30" customFormat="1" x14ac:dyDescent="0.35">
      <c r="A170" s="39">
        <f t="shared" si="26"/>
        <v>8</v>
      </c>
      <c r="B170" s="152" t="s">
        <v>118</v>
      </c>
      <c r="C170" s="153"/>
      <c r="D170" s="153"/>
      <c r="E170" s="153"/>
      <c r="F170" s="153"/>
      <c r="G170" s="153"/>
      <c r="H170" s="154"/>
    </row>
    <row r="171" spans="1:20" s="30" customFormat="1" hidden="1" x14ac:dyDescent="0.35">
      <c r="A171" s="39">
        <f t="shared" si="26"/>
        <v>9</v>
      </c>
      <c r="B171" s="165" t="s">
        <v>336</v>
      </c>
      <c r="C171" s="166"/>
      <c r="D171" s="166"/>
      <c r="E171" s="166"/>
      <c r="F171" s="166"/>
      <c r="G171" s="166"/>
      <c r="H171" s="167"/>
    </row>
    <row r="172" spans="1:20" s="30" customFormat="1" ht="33.65" customHeight="1" x14ac:dyDescent="0.35">
      <c r="A172" s="87">
        <f>A170+1</f>
        <v>9</v>
      </c>
      <c r="B172" s="195" t="s">
        <v>418</v>
      </c>
      <c r="C172" s="195"/>
      <c r="D172" s="195"/>
      <c r="E172" s="195"/>
      <c r="F172" s="195"/>
      <c r="G172" s="195"/>
      <c r="H172" s="195"/>
    </row>
    <row r="173" spans="1:20" s="30" customFormat="1" ht="46.25" customHeight="1" x14ac:dyDescent="0.35">
      <c r="A173" s="87">
        <f>A172+1</f>
        <v>10</v>
      </c>
      <c r="B173" s="195" t="s">
        <v>419</v>
      </c>
      <c r="C173" s="195"/>
      <c r="D173" s="195"/>
      <c r="E173" s="195"/>
      <c r="F173" s="195"/>
      <c r="G173" s="195"/>
      <c r="H173" s="195"/>
    </row>
    <row r="174" spans="1:20" s="30" customFormat="1" ht="109.75" customHeight="1" x14ac:dyDescent="0.35">
      <c r="A174" s="87">
        <f>A173+1</f>
        <v>11</v>
      </c>
      <c r="B174" s="195" t="s">
        <v>417</v>
      </c>
      <c r="C174" s="195"/>
      <c r="D174" s="195"/>
      <c r="E174" s="195"/>
      <c r="F174" s="195"/>
      <c r="G174" s="195"/>
      <c r="H174" s="195"/>
    </row>
    <row r="175" spans="1:20" x14ac:dyDescent="0.35">
      <c r="A175" s="129" t="s">
        <v>57</v>
      </c>
      <c r="B175" s="129"/>
      <c r="C175" s="129"/>
      <c r="D175" s="129"/>
      <c r="E175" s="129"/>
      <c r="F175" s="129"/>
      <c r="G175" s="129"/>
      <c r="H175" s="129"/>
      <c r="T175" s="30"/>
    </row>
    <row r="176" spans="1:20" x14ac:dyDescent="0.35">
      <c r="A176" s="88" t="s">
        <v>58</v>
      </c>
      <c r="B176" s="88"/>
      <c r="C176" s="88"/>
      <c r="D176" s="88"/>
      <c r="E176" s="88"/>
      <c r="F176" s="88"/>
      <c r="G176" s="88"/>
      <c r="H176" s="88"/>
      <c r="T176" s="30"/>
    </row>
    <row r="177" spans="1:20" ht="15.75" customHeight="1" x14ac:dyDescent="0.35">
      <c r="A177" s="150" t="s">
        <v>59</v>
      </c>
      <c r="B177" s="150"/>
      <c r="C177" s="150"/>
      <c r="D177" s="150"/>
      <c r="E177" s="150"/>
      <c r="F177" s="150"/>
      <c r="G177" s="150"/>
      <c r="H177" s="150"/>
      <c r="T177" s="30"/>
    </row>
    <row r="178" spans="1:20" x14ac:dyDescent="0.35">
      <c r="A178" s="88" t="s">
        <v>60</v>
      </c>
      <c r="B178" s="88"/>
      <c r="C178" s="88"/>
      <c r="D178" s="88"/>
      <c r="E178" s="88"/>
      <c r="F178" s="88"/>
      <c r="G178" s="88"/>
      <c r="H178" s="88"/>
      <c r="T178" s="30"/>
    </row>
    <row r="179" spans="1:20" x14ac:dyDescent="0.35">
      <c r="A179" s="88" t="s">
        <v>61</v>
      </c>
      <c r="B179" s="88"/>
      <c r="C179" s="88"/>
      <c r="D179" s="88"/>
      <c r="E179" s="88"/>
      <c r="F179" s="88"/>
      <c r="G179" s="88"/>
      <c r="H179" s="88"/>
      <c r="T179" s="30"/>
    </row>
    <row r="180" spans="1:20" x14ac:dyDescent="0.35">
      <c r="A180" s="88" t="s">
        <v>119</v>
      </c>
      <c r="B180" s="88"/>
      <c r="C180" s="88"/>
      <c r="D180" s="88"/>
      <c r="E180" s="88"/>
      <c r="F180" s="88"/>
      <c r="G180" s="88"/>
      <c r="H180" s="88"/>
      <c r="T180" s="30"/>
    </row>
    <row r="181" spans="1:20" ht="33.9" customHeight="1" x14ac:dyDescent="0.35">
      <c r="A181" s="130" t="s">
        <v>120</v>
      </c>
      <c r="B181" s="130"/>
      <c r="C181" s="130"/>
      <c r="D181" s="130"/>
      <c r="E181" s="130"/>
      <c r="F181" s="130"/>
      <c r="G181" s="130"/>
      <c r="H181" s="130"/>
    </row>
    <row r="182" spans="1:20" x14ac:dyDescent="0.35">
      <c r="A182" s="144" t="s">
        <v>72</v>
      </c>
      <c r="B182" s="144"/>
      <c r="C182" s="144" t="s">
        <v>401</v>
      </c>
      <c r="D182" s="144"/>
      <c r="E182" s="144" t="s">
        <v>101</v>
      </c>
      <c r="F182" s="144"/>
      <c r="G182" s="144" t="s">
        <v>427</v>
      </c>
      <c r="H182" s="144"/>
    </row>
    <row r="183" spans="1:20" x14ac:dyDescent="0.35">
      <c r="A183" s="143" t="s">
        <v>74</v>
      </c>
      <c r="B183" s="143"/>
      <c r="C183" s="143"/>
      <c r="D183" s="143"/>
      <c r="E183" s="143"/>
      <c r="F183" s="143"/>
      <c r="G183" s="143"/>
      <c r="H183" s="143"/>
    </row>
    <row r="184" spans="1:20" x14ac:dyDescent="0.35">
      <c r="A184" s="143"/>
      <c r="B184" s="143"/>
      <c r="C184" s="143"/>
      <c r="D184" s="143"/>
      <c r="E184" s="143"/>
      <c r="F184" s="143"/>
      <c r="G184" s="143"/>
      <c r="H184" s="143"/>
    </row>
    <row r="185" spans="1:20" x14ac:dyDescent="0.35">
      <c r="A185" s="143"/>
      <c r="B185" s="143"/>
      <c r="C185" s="143"/>
      <c r="D185" s="143"/>
      <c r="E185" s="143"/>
      <c r="F185" s="143"/>
      <c r="G185" s="143"/>
      <c r="H185" s="143"/>
    </row>
    <row r="186" spans="1:20" x14ac:dyDescent="0.35">
      <c r="A186" s="143"/>
      <c r="B186" s="143"/>
      <c r="C186" s="143"/>
      <c r="D186" s="143"/>
      <c r="E186" s="143"/>
      <c r="F186" s="143"/>
      <c r="G186" s="143"/>
      <c r="H186" s="143"/>
    </row>
    <row r="187" spans="1:20" x14ac:dyDescent="0.35">
      <c r="A187" s="33" t="s">
        <v>62</v>
      </c>
      <c r="B187" s="34"/>
      <c r="C187" s="34"/>
      <c r="D187" s="33" t="str">
        <f>E9</f>
        <v>Purva Panorama Tower C</v>
      </c>
      <c r="F187" s="34"/>
      <c r="G187" s="34"/>
      <c r="H187" s="34"/>
    </row>
    <row r="188" spans="1:20" x14ac:dyDescent="0.35">
      <c r="A188" s="34"/>
      <c r="B188" s="34"/>
      <c r="C188" s="34"/>
      <c r="D188" s="34"/>
      <c r="E188" s="34"/>
      <c r="F188" s="34"/>
      <c r="G188" s="34"/>
      <c r="H188" s="34"/>
    </row>
    <row r="189" spans="1:20" x14ac:dyDescent="0.35">
      <c r="A189" s="34"/>
      <c r="B189" s="34"/>
      <c r="C189" s="34"/>
      <c r="D189" s="34"/>
      <c r="E189" s="34"/>
      <c r="F189" s="34"/>
      <c r="G189" s="34"/>
      <c r="H189" s="34"/>
    </row>
    <row r="190" spans="1:20" ht="15" customHeight="1" x14ac:dyDescent="0.35"/>
    <row r="231" spans="1:1" x14ac:dyDescent="0.35">
      <c r="A231" s="36" t="s">
        <v>420</v>
      </c>
    </row>
    <row r="275" spans="1:1" x14ac:dyDescent="0.35">
      <c r="A275" s="36" t="s">
        <v>155</v>
      </c>
    </row>
    <row r="319" spans="1:1" x14ac:dyDescent="0.35">
      <c r="A319" s="36" t="s">
        <v>63</v>
      </c>
    </row>
  </sheetData>
  <mergeCells count="352">
    <mergeCell ref="B174:H174"/>
    <mergeCell ref="B173:H173"/>
    <mergeCell ref="L160:M160"/>
    <mergeCell ref="A161:B161"/>
    <mergeCell ref="L161:M161"/>
    <mergeCell ref="A156:B156"/>
    <mergeCell ref="L156:M156"/>
    <mergeCell ref="A157:B157"/>
    <mergeCell ref="L157:M157"/>
    <mergeCell ref="A158:B158"/>
    <mergeCell ref="C158:H158"/>
    <mergeCell ref="L158:M158"/>
    <mergeCell ref="A159:B159"/>
    <mergeCell ref="L159:M159"/>
    <mergeCell ref="B172:H172"/>
    <mergeCell ref="L150:M150"/>
    <mergeCell ref="L151:M151"/>
    <mergeCell ref="C149:H149"/>
    <mergeCell ref="A152:H152"/>
    <mergeCell ref="L153:M153"/>
    <mergeCell ref="L154:M154"/>
    <mergeCell ref="A155:B155"/>
    <mergeCell ref="L155:M155"/>
    <mergeCell ref="A143:B143"/>
    <mergeCell ref="L143:M143"/>
    <mergeCell ref="L144:M144"/>
    <mergeCell ref="L145:M145"/>
    <mergeCell ref="L146:M146"/>
    <mergeCell ref="L147:M147"/>
    <mergeCell ref="C148:H148"/>
    <mergeCell ref="L148:M148"/>
    <mergeCell ref="A149:B149"/>
    <mergeCell ref="L149:M149"/>
    <mergeCell ref="A144:B144"/>
    <mergeCell ref="L137:M137"/>
    <mergeCell ref="A138:B138"/>
    <mergeCell ref="L138:M138"/>
    <mergeCell ref="L139:M139"/>
    <mergeCell ref="L140:M140"/>
    <mergeCell ref="L141:M141"/>
    <mergeCell ref="C138:H138"/>
    <mergeCell ref="A111:H111"/>
    <mergeCell ref="A142:H142"/>
    <mergeCell ref="A130:B130"/>
    <mergeCell ref="L130:M130"/>
    <mergeCell ref="A131:B131"/>
    <mergeCell ref="L131:M131"/>
    <mergeCell ref="L133:M133"/>
    <mergeCell ref="L134:M134"/>
    <mergeCell ref="L135:M135"/>
    <mergeCell ref="L136:M136"/>
    <mergeCell ref="A125:B125"/>
    <mergeCell ref="L125:M125"/>
    <mergeCell ref="A126:B126"/>
    <mergeCell ref="L126:M126"/>
    <mergeCell ref="A127:B127"/>
    <mergeCell ref="L127:M127"/>
    <mergeCell ref="A128:B128"/>
    <mergeCell ref="A78:B78"/>
    <mergeCell ref="A145:B145"/>
    <mergeCell ref="A153:B153"/>
    <mergeCell ref="A63:C63"/>
    <mergeCell ref="C56:E56"/>
    <mergeCell ref="L128:M128"/>
    <mergeCell ref="A129:B129"/>
    <mergeCell ref="L129:M129"/>
    <mergeCell ref="C114:H114"/>
    <mergeCell ref="C120:H121"/>
    <mergeCell ref="A122:H122"/>
    <mergeCell ref="A123:B123"/>
    <mergeCell ref="L123:M123"/>
    <mergeCell ref="A124:B124"/>
    <mergeCell ref="L124:M124"/>
    <mergeCell ref="L117:M117"/>
    <mergeCell ref="A118:B118"/>
    <mergeCell ref="L118:M118"/>
    <mergeCell ref="A120:B120"/>
    <mergeCell ref="L120:M120"/>
    <mergeCell ref="A121:B121"/>
    <mergeCell ref="L121:M121"/>
    <mergeCell ref="A119:B119"/>
    <mergeCell ref="L119:M119"/>
    <mergeCell ref="A87:E87"/>
    <mergeCell ref="F91:H91"/>
    <mergeCell ref="A91:E91"/>
    <mergeCell ref="A116:B116"/>
    <mergeCell ref="B169:H169"/>
    <mergeCell ref="E43:H43"/>
    <mergeCell ref="A43:D43"/>
    <mergeCell ref="A82:B82"/>
    <mergeCell ref="A50:B50"/>
    <mergeCell ref="A162:H162"/>
    <mergeCell ref="A147:B147"/>
    <mergeCell ref="A148:B148"/>
    <mergeCell ref="A70:C70"/>
    <mergeCell ref="D71:H71"/>
    <mergeCell ref="A77:B77"/>
    <mergeCell ref="G76:H76"/>
    <mergeCell ref="A85:B85"/>
    <mergeCell ref="A86:B86"/>
    <mergeCell ref="A81:B81"/>
    <mergeCell ref="A80:B80"/>
    <mergeCell ref="E76:F76"/>
    <mergeCell ref="A108:H108"/>
    <mergeCell ref="A110:H110"/>
    <mergeCell ref="A109:H109"/>
    <mergeCell ref="A92:E92"/>
    <mergeCell ref="A103:B103"/>
    <mergeCell ref="E103:F103"/>
    <mergeCell ref="A97:E97"/>
    <mergeCell ref="A176:H176"/>
    <mergeCell ref="A93:E93"/>
    <mergeCell ref="A83:B83"/>
    <mergeCell ref="I15:P15"/>
    <mergeCell ref="F97:H97"/>
    <mergeCell ref="F95:H95"/>
    <mergeCell ref="A140:B140"/>
    <mergeCell ref="A105:H105"/>
    <mergeCell ref="A96:E96"/>
    <mergeCell ref="A60:B60"/>
    <mergeCell ref="C60:E60"/>
    <mergeCell ref="D62:H62"/>
    <mergeCell ref="F96:H96"/>
    <mergeCell ref="C101:D101"/>
    <mergeCell ref="D70:H70"/>
    <mergeCell ref="D63:H63"/>
    <mergeCell ref="G60:H60"/>
    <mergeCell ref="A54:B55"/>
    <mergeCell ref="A90:E90"/>
    <mergeCell ref="F88:H88"/>
    <mergeCell ref="B166:H166"/>
    <mergeCell ref="A150:B150"/>
    <mergeCell ref="A151:B151"/>
    <mergeCell ref="A154:B154"/>
    <mergeCell ref="B171:H171"/>
    <mergeCell ref="A117:B117"/>
    <mergeCell ref="C113:H113"/>
    <mergeCell ref="B170:H170"/>
    <mergeCell ref="B168:H168"/>
    <mergeCell ref="B163:H163"/>
    <mergeCell ref="B164:H164"/>
    <mergeCell ref="B165:H165"/>
    <mergeCell ref="F90:H90"/>
    <mergeCell ref="A94:E94"/>
    <mergeCell ref="E101:F101"/>
    <mergeCell ref="A104:H104"/>
    <mergeCell ref="A106:A107"/>
    <mergeCell ref="F106:F107"/>
    <mergeCell ref="A160:B160"/>
    <mergeCell ref="F87:H87"/>
    <mergeCell ref="F92:H92"/>
    <mergeCell ref="A113:B113"/>
    <mergeCell ref="F93:H93"/>
    <mergeCell ref="A95:E95"/>
    <mergeCell ref="A101:B101"/>
    <mergeCell ref="D106:D107"/>
    <mergeCell ref="E106:E107"/>
    <mergeCell ref="G103:H103"/>
    <mergeCell ref="A139:B139"/>
    <mergeCell ref="B106:B107"/>
    <mergeCell ref="A137:B137"/>
    <mergeCell ref="A134:B134"/>
    <mergeCell ref="A135:B135"/>
    <mergeCell ref="F94:H94"/>
    <mergeCell ref="C103:D103"/>
    <mergeCell ref="A112:H112"/>
    <mergeCell ref="A183:H186"/>
    <mergeCell ref="A182:B182"/>
    <mergeCell ref="E182:F182"/>
    <mergeCell ref="C182:D182"/>
    <mergeCell ref="G182:H182"/>
    <mergeCell ref="A98:E98"/>
    <mergeCell ref="F98:H98"/>
    <mergeCell ref="A99:E99"/>
    <mergeCell ref="F99:H99"/>
    <mergeCell ref="A132:H132"/>
    <mergeCell ref="A102:B102"/>
    <mergeCell ref="A141:B141"/>
    <mergeCell ref="A178:H178"/>
    <mergeCell ref="A100:H100"/>
    <mergeCell ref="A181:H181"/>
    <mergeCell ref="A179:H179"/>
    <mergeCell ref="A180:H180"/>
    <mergeCell ref="A177:H177"/>
    <mergeCell ref="A133:B133"/>
    <mergeCell ref="A175:H175"/>
    <mergeCell ref="G101:H101"/>
    <mergeCell ref="B167:H167"/>
    <mergeCell ref="A146:B146"/>
    <mergeCell ref="A136:B136"/>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E27:H27"/>
    <mergeCell ref="A29:D29"/>
    <mergeCell ref="E29:H29"/>
    <mergeCell ref="A26:D26"/>
    <mergeCell ref="E26:H26"/>
    <mergeCell ref="A25:D25"/>
    <mergeCell ref="E25:H25"/>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75:B75"/>
    <mergeCell ref="C59:E59"/>
    <mergeCell ref="G54:H54"/>
    <mergeCell ref="A56:B57"/>
    <mergeCell ref="G59:H59"/>
    <mergeCell ref="A73:B73"/>
    <mergeCell ref="C73:H73"/>
    <mergeCell ref="A68:C68"/>
    <mergeCell ref="D68:H68"/>
    <mergeCell ref="C75:H75"/>
    <mergeCell ref="A69:C69"/>
    <mergeCell ref="D69:H69"/>
    <mergeCell ref="A72:C72"/>
    <mergeCell ref="D72:H72"/>
    <mergeCell ref="A71:C71"/>
    <mergeCell ref="D67:H67"/>
    <mergeCell ref="A65:C65"/>
    <mergeCell ref="D65:H65"/>
    <mergeCell ref="A44:D44"/>
    <mergeCell ref="E44:H44"/>
    <mergeCell ref="E45:H45"/>
    <mergeCell ref="E46:H46"/>
    <mergeCell ref="E47:H47"/>
    <mergeCell ref="C57:H57"/>
    <mergeCell ref="A48:H48"/>
    <mergeCell ref="D64:H64"/>
    <mergeCell ref="A64:C64"/>
    <mergeCell ref="A45:D45"/>
    <mergeCell ref="A49:B49"/>
    <mergeCell ref="C49:H49"/>
    <mergeCell ref="G52:H52"/>
    <mergeCell ref="A61:H61"/>
    <mergeCell ref="C53:H53"/>
    <mergeCell ref="A62:C62"/>
    <mergeCell ref="A38:H38"/>
    <mergeCell ref="A37:B37"/>
    <mergeCell ref="C37:E37"/>
    <mergeCell ref="A42:D42"/>
    <mergeCell ref="E42:H42"/>
    <mergeCell ref="A41:H41"/>
    <mergeCell ref="A66:C66"/>
    <mergeCell ref="A67:C67"/>
    <mergeCell ref="D66:H66"/>
    <mergeCell ref="F37:H37"/>
    <mergeCell ref="C51:E51"/>
    <mergeCell ref="C50:E50"/>
    <mergeCell ref="G50:H50"/>
    <mergeCell ref="A51:B51"/>
    <mergeCell ref="G56:H56"/>
    <mergeCell ref="A58:B59"/>
    <mergeCell ref="C58:E58"/>
    <mergeCell ref="G58:H58"/>
    <mergeCell ref="G51:H51"/>
    <mergeCell ref="A39:B39"/>
    <mergeCell ref="C39:H39"/>
    <mergeCell ref="C55:H55"/>
    <mergeCell ref="A52:B53"/>
    <mergeCell ref="C54:E54"/>
    <mergeCell ref="A40:B40"/>
    <mergeCell ref="C40:H40"/>
    <mergeCell ref="C106:C107"/>
    <mergeCell ref="G106:G107"/>
    <mergeCell ref="L116:M116"/>
    <mergeCell ref="L113:M113"/>
    <mergeCell ref="A114:B114"/>
    <mergeCell ref="L114:M114"/>
    <mergeCell ref="A115:B115"/>
    <mergeCell ref="L115:M115"/>
    <mergeCell ref="A79:B79"/>
    <mergeCell ref="E77:F86"/>
    <mergeCell ref="G77:H86"/>
    <mergeCell ref="C52:E52"/>
    <mergeCell ref="A84:B84"/>
    <mergeCell ref="C102:D102"/>
    <mergeCell ref="E102:F102"/>
    <mergeCell ref="G102:H102"/>
    <mergeCell ref="A88:E88"/>
    <mergeCell ref="F89:H89"/>
    <mergeCell ref="A89:E89"/>
    <mergeCell ref="A76:B76"/>
    <mergeCell ref="A46:D46"/>
    <mergeCell ref="A47:D47"/>
  </mergeCells>
  <dataValidations disablePrompts="1" count="15">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G182:H182">
      <formula1>"Kunal Kadam,Pranita Mhatre,Shruti Fule,Pooja Kawale,Gaurav Panchal,Shruti Tathare, Dipti Gothawade,Saurav Panse, Sachin Sawant"</formula1>
    </dataValidation>
    <dataValidation type="list" allowBlank="1" showInputMessage="1" showErrorMessage="1" sqref="F87:H87">
      <formula1>"On Saleable Area,On Builtup Area,On Carpet Area,On Plot Area"</formula1>
    </dataValidation>
    <dataValidation type="list" allowBlank="1" showInputMessage="1" showErrorMessage="1" sqref="F98:H98">
      <formula1>OFFSET($S$87,1,MATCH($G20,$S$87:$W$87,0)-1,15,1)</formula1>
    </dataValidation>
    <dataValidation type="list" allowBlank="1" showInputMessage="1" showErrorMessage="1" sqref="B106:B107">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06:E107">
      <formula1>"Fungible area,Balcony Area,Chajja Area,Cornice Area,AP Area,WS Area"</formula1>
    </dataValidation>
    <dataValidation type="list" allowBlank="1" showInputMessage="1" showErrorMessage="1" sqref="H107">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06">
      <formula1>"Saleable area Loading :,Builder Saleable Area"</formula1>
    </dataValidation>
    <dataValidation type="list" allowBlank="1" showInputMessage="1" showErrorMessage="1" sqref="D106:D107">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scale="96" orientation="portrait" r:id="rId2"/>
  <headerFooter>
    <oddHeader>&amp;C&amp;G</oddHeader>
    <oddFooter>&amp;L&amp;"Times New Roman,Bold"&amp;12Ref No: &amp;F&amp;R&amp;"Times New Roman,Bold"&amp;12&amp;P</oddFooter>
  </headerFooter>
  <rowBreaks count="6" manualBreakCount="6">
    <brk id="38" max="7" man="1"/>
    <brk id="72" max="16383" man="1"/>
    <brk id="186" max="16383" man="1"/>
    <brk id="230" max="16383" man="1"/>
    <brk id="274" max="16383" man="1"/>
    <brk id="318"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6328125" defaultRowHeight="14.5" x14ac:dyDescent="0.35"/>
  <cols>
    <col min="1" max="1" width="8.6328125" style="1"/>
    <col min="2" max="2" width="22.08984375" style="1" customWidth="1"/>
    <col min="3" max="3" width="37" style="1" customWidth="1"/>
    <col min="4" max="5" width="11.453125" style="1" customWidth="1"/>
    <col min="6" max="6" width="14" style="1" customWidth="1"/>
    <col min="7" max="7" width="20" style="1" customWidth="1"/>
    <col min="8" max="8" width="16.453125" style="1" customWidth="1"/>
    <col min="9" max="16384" width="8.6328125" style="1"/>
  </cols>
  <sheetData>
    <row r="1" spans="1:9" ht="15" customHeight="1" x14ac:dyDescent="0.35"/>
    <row r="2" spans="1:9" ht="15" customHeight="1" x14ac:dyDescent="0.35">
      <c r="A2" s="2"/>
      <c r="B2" s="2"/>
      <c r="C2" s="2"/>
      <c r="D2" s="2"/>
      <c r="E2" s="2"/>
      <c r="F2" s="2"/>
      <c r="G2" s="2"/>
      <c r="H2" s="2"/>
    </row>
    <row r="3" spans="1:9" ht="15.75" customHeight="1" x14ac:dyDescent="0.35">
      <c r="A3" s="2"/>
      <c r="B3" s="184" t="s">
        <v>102</v>
      </c>
      <c r="C3" s="184"/>
      <c r="D3" s="184"/>
      <c r="E3" s="184"/>
      <c r="F3" s="184"/>
      <c r="G3" s="184"/>
      <c r="H3" s="184"/>
    </row>
    <row r="4" spans="1:9" x14ac:dyDescent="0.35">
      <c r="A4" s="2"/>
      <c r="B4" s="3" t="s">
        <v>103</v>
      </c>
      <c r="C4" s="3" t="s">
        <v>104</v>
      </c>
      <c r="D4" s="3" t="s">
        <v>65</v>
      </c>
      <c r="E4" s="3" t="s">
        <v>105</v>
      </c>
      <c r="F4" s="3" t="s">
        <v>111</v>
      </c>
      <c r="G4" s="3" t="s">
        <v>112</v>
      </c>
      <c r="H4" s="3" t="s">
        <v>106</v>
      </c>
    </row>
    <row r="5" spans="1:9" ht="15" customHeight="1" x14ac:dyDescent="0.35">
      <c r="A5" s="2"/>
      <c r="B5" s="5" t="s">
        <v>107</v>
      </c>
      <c r="C5" s="6"/>
      <c r="D5" s="5"/>
      <c r="E5" s="5"/>
      <c r="F5" s="7">
        <f>E5*1.6</f>
        <v>0</v>
      </c>
      <c r="G5" s="7" t="e">
        <f>H5/F5</f>
        <v>#DIV/0!</v>
      </c>
      <c r="H5" s="8"/>
    </row>
    <row r="6" spans="1:9" x14ac:dyDescent="0.35">
      <c r="A6" s="2"/>
      <c r="B6" s="5" t="s">
        <v>107</v>
      </c>
      <c r="C6" s="9"/>
      <c r="D6" s="5"/>
      <c r="E6" s="5"/>
      <c r="F6" s="7">
        <f t="shared" ref="F6:F11" si="0">E6*1.6</f>
        <v>0</v>
      </c>
      <c r="G6" s="7" t="e">
        <f t="shared" ref="G6:G11" si="1">H6/F6</f>
        <v>#DIV/0!</v>
      </c>
      <c r="H6" s="8"/>
    </row>
    <row r="7" spans="1:9" ht="15" customHeight="1" x14ac:dyDescent="0.35">
      <c r="A7" s="2"/>
      <c r="B7" s="5" t="s">
        <v>107</v>
      </c>
      <c r="C7" s="6"/>
      <c r="D7" s="5"/>
      <c r="E7" s="5"/>
      <c r="F7" s="7">
        <f t="shared" si="0"/>
        <v>0</v>
      </c>
      <c r="G7" s="7" t="e">
        <f t="shared" si="1"/>
        <v>#DIV/0!</v>
      </c>
      <c r="H7" s="8"/>
    </row>
    <row r="8" spans="1:9" x14ac:dyDescent="0.35">
      <c r="A8" s="2"/>
      <c r="B8" s="5" t="s">
        <v>107</v>
      </c>
      <c r="C8" s="9"/>
      <c r="D8" s="5"/>
      <c r="E8" s="5"/>
      <c r="F8" s="7">
        <f t="shared" si="0"/>
        <v>0</v>
      </c>
      <c r="G8" s="7" t="e">
        <f t="shared" si="1"/>
        <v>#DIV/0!</v>
      </c>
      <c r="H8" s="8"/>
    </row>
    <row r="9" spans="1:9" ht="15" customHeight="1" x14ac:dyDescent="0.35">
      <c r="A9" s="2"/>
      <c r="B9" s="5" t="s">
        <v>107</v>
      </c>
      <c r="C9" s="9"/>
      <c r="D9" s="5"/>
      <c r="E9" s="5"/>
      <c r="F9" s="7">
        <f t="shared" si="0"/>
        <v>0</v>
      </c>
      <c r="G9" s="7" t="e">
        <f t="shared" si="1"/>
        <v>#DIV/0!</v>
      </c>
      <c r="H9" s="8"/>
    </row>
    <row r="10" spans="1:9" ht="15" customHeight="1" x14ac:dyDescent="0.35">
      <c r="A10" s="2"/>
      <c r="B10" s="5" t="s">
        <v>108</v>
      </c>
      <c r="C10" s="6"/>
      <c r="D10" s="5"/>
      <c r="E10" s="5"/>
      <c r="F10" s="7">
        <f t="shared" si="0"/>
        <v>0</v>
      </c>
      <c r="G10" s="7" t="e">
        <f t="shared" si="1"/>
        <v>#DIV/0!</v>
      </c>
      <c r="H10" s="8"/>
    </row>
    <row r="11" spans="1:9" ht="15" customHeight="1" x14ac:dyDescent="0.35">
      <c r="A11" s="2"/>
      <c r="B11" s="5" t="s">
        <v>108</v>
      </c>
      <c r="C11" s="6"/>
      <c r="D11" s="5"/>
      <c r="E11" s="5"/>
      <c r="F11" s="7">
        <f t="shared" si="0"/>
        <v>0</v>
      </c>
      <c r="G11" s="7" t="e">
        <f t="shared" si="1"/>
        <v>#DIV/0!</v>
      </c>
      <c r="H11" s="8"/>
    </row>
    <row r="12" spans="1:9" ht="15" customHeight="1" x14ac:dyDescent="0.35">
      <c r="A12" s="2"/>
      <c r="B12" s="10" t="s">
        <v>109</v>
      </c>
      <c r="C12" s="5"/>
      <c r="D12" s="5"/>
      <c r="E12" s="5"/>
      <c r="F12" s="5"/>
      <c r="G12" s="11" t="e">
        <f>AVERAGE(G5:G11)</f>
        <v>#DIV/0!</v>
      </c>
      <c r="H12" s="5"/>
    </row>
    <row r="13" spans="1:9" ht="15" customHeight="1" x14ac:dyDescent="0.35">
      <c r="B13" s="10" t="s">
        <v>110</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90625" bestFit="1" customWidth="1"/>
    <col min="5" max="5" width="10.453125" bestFit="1" customWidth="1"/>
    <col min="6" max="6" width="12.453125" bestFit="1" customWidth="1"/>
    <col min="7" max="7" width="18.08984375" customWidth="1"/>
    <col min="8" max="8" width="10.54296875" bestFit="1" customWidth="1"/>
  </cols>
  <sheetData>
    <row r="3" spans="2:11" x14ac:dyDescent="0.35">
      <c r="J3">
        <v>1</v>
      </c>
      <c r="K3">
        <v>2</v>
      </c>
    </row>
    <row r="4" spans="2:11" x14ac:dyDescent="0.35">
      <c r="B4" s="43"/>
      <c r="C4" s="43" t="s">
        <v>11</v>
      </c>
      <c r="D4" s="44" t="s">
        <v>166</v>
      </c>
      <c r="E4" s="44" t="s">
        <v>176</v>
      </c>
      <c r="F4" s="44" t="s">
        <v>162</v>
      </c>
      <c r="G4" s="44" t="s">
        <v>181</v>
      </c>
      <c r="H4" s="44" t="s">
        <v>199</v>
      </c>
      <c r="J4" t="s">
        <v>181</v>
      </c>
      <c r="K4" t="s">
        <v>197</v>
      </c>
    </row>
    <row r="5" spans="2:11" x14ac:dyDescent="0.35">
      <c r="B5" s="43"/>
      <c r="C5" s="43"/>
      <c r="D5" s="44" t="s">
        <v>167</v>
      </c>
      <c r="E5" s="44" t="s">
        <v>174</v>
      </c>
      <c r="F5" s="44" t="s">
        <v>196</v>
      </c>
      <c r="G5" s="44" t="s">
        <v>182</v>
      </c>
      <c r="H5" s="44" t="s">
        <v>200</v>
      </c>
    </row>
    <row r="6" spans="2:11" x14ac:dyDescent="0.35">
      <c r="B6" s="43"/>
      <c r="C6" s="43"/>
      <c r="D6" s="44" t="s">
        <v>168</v>
      </c>
      <c r="E6" s="44" t="s">
        <v>175</v>
      </c>
      <c r="F6" s="44" t="s">
        <v>197</v>
      </c>
      <c r="G6" s="44" t="s">
        <v>183</v>
      </c>
      <c r="H6" s="44" t="s">
        <v>213</v>
      </c>
    </row>
    <row r="7" spans="2:11" x14ac:dyDescent="0.35">
      <c r="B7" s="43"/>
      <c r="C7" s="43"/>
      <c r="D7" s="44" t="s">
        <v>169</v>
      </c>
      <c r="E7" s="44" t="s">
        <v>177</v>
      </c>
      <c r="F7" s="44" t="s">
        <v>198</v>
      </c>
      <c r="G7" s="44" t="s">
        <v>184</v>
      </c>
      <c r="H7" s="44" t="s">
        <v>201</v>
      </c>
    </row>
    <row r="8" spans="2:11" x14ac:dyDescent="0.35">
      <c r="B8" s="43"/>
      <c r="C8" s="43"/>
      <c r="D8" s="44" t="s">
        <v>170</v>
      </c>
      <c r="E8" s="44" t="s">
        <v>178</v>
      </c>
      <c r="F8" s="44"/>
      <c r="G8" s="44" t="s">
        <v>185</v>
      </c>
      <c r="H8" s="44" t="s">
        <v>202</v>
      </c>
    </row>
    <row r="9" spans="2:11" x14ac:dyDescent="0.35">
      <c r="B9" s="43"/>
      <c r="C9" s="43"/>
      <c r="D9" s="44" t="s">
        <v>171</v>
      </c>
      <c r="E9" s="44" t="s">
        <v>176</v>
      </c>
      <c r="F9" s="44"/>
      <c r="G9" s="44" t="s">
        <v>186</v>
      </c>
      <c r="H9" s="44" t="s">
        <v>203</v>
      </c>
    </row>
    <row r="10" spans="2:11" x14ac:dyDescent="0.35">
      <c r="B10" s="43"/>
      <c r="C10" s="43"/>
      <c r="D10" s="44" t="s">
        <v>172</v>
      </c>
      <c r="E10" s="44" t="s">
        <v>179</v>
      </c>
      <c r="F10" s="44"/>
      <c r="G10" s="44" t="s">
        <v>187</v>
      </c>
      <c r="H10" s="44" t="s">
        <v>204</v>
      </c>
    </row>
    <row r="11" spans="2:11" x14ac:dyDescent="0.35">
      <c r="B11" s="43"/>
      <c r="C11" s="43"/>
      <c r="D11" s="44" t="s">
        <v>173</v>
      </c>
      <c r="E11" s="44" t="s">
        <v>180</v>
      </c>
      <c r="F11" s="44"/>
      <c r="G11" s="44" t="s">
        <v>188</v>
      </c>
      <c r="H11" s="44" t="s">
        <v>205</v>
      </c>
    </row>
    <row r="12" spans="2:11" x14ac:dyDescent="0.35">
      <c r="B12" s="43"/>
      <c r="C12" s="43"/>
      <c r="D12" s="44"/>
      <c r="E12" s="44"/>
      <c r="F12" s="44"/>
      <c r="G12" s="44" t="s">
        <v>189</v>
      </c>
      <c r="H12" s="44" t="s">
        <v>206</v>
      </c>
    </row>
    <row r="13" spans="2:11" x14ac:dyDescent="0.35">
      <c r="B13" s="43"/>
      <c r="C13" s="43"/>
      <c r="D13" s="44"/>
      <c r="E13" s="44"/>
      <c r="F13" s="44"/>
      <c r="G13" s="44" t="s">
        <v>190</v>
      </c>
      <c r="H13" s="44" t="s">
        <v>207</v>
      </c>
    </row>
    <row r="14" spans="2:11" x14ac:dyDescent="0.35">
      <c r="B14" s="43"/>
      <c r="C14" s="43"/>
      <c r="D14" s="44"/>
      <c r="E14" s="44"/>
      <c r="F14" s="44"/>
      <c r="G14" s="44" t="s">
        <v>191</v>
      </c>
      <c r="H14" s="44" t="s">
        <v>208</v>
      </c>
    </row>
    <row r="15" spans="2:11" x14ac:dyDescent="0.35">
      <c r="B15" s="43"/>
      <c r="C15" s="43"/>
      <c r="D15" s="44"/>
      <c r="E15" s="44"/>
      <c r="F15" s="44"/>
      <c r="G15" s="44" t="s">
        <v>192</v>
      </c>
      <c r="H15" s="44" t="s">
        <v>209</v>
      </c>
    </row>
    <row r="16" spans="2:11" x14ac:dyDescent="0.35">
      <c r="B16" s="43"/>
      <c r="C16" s="43"/>
      <c r="D16" s="44"/>
      <c r="E16" s="44"/>
      <c r="F16" s="44"/>
      <c r="G16" s="44" t="s">
        <v>193</v>
      </c>
      <c r="H16" s="44" t="s">
        <v>210</v>
      </c>
    </row>
    <row r="17" spans="2:8" x14ac:dyDescent="0.35">
      <c r="B17" s="43"/>
      <c r="C17" s="43"/>
      <c r="D17" s="44"/>
      <c r="E17" s="44"/>
      <c r="F17" s="44"/>
      <c r="G17" s="44" t="s">
        <v>194</v>
      </c>
      <c r="H17" s="44" t="s">
        <v>211</v>
      </c>
    </row>
    <row r="18" spans="2:8" x14ac:dyDescent="0.35">
      <c r="B18" s="43"/>
      <c r="C18" s="43"/>
      <c r="D18" s="44"/>
      <c r="E18" s="44"/>
      <c r="F18" s="44"/>
      <c r="G18" s="44" t="s">
        <v>195</v>
      </c>
      <c r="H18" s="44" t="s">
        <v>212</v>
      </c>
    </row>
    <row r="24" spans="2:8" x14ac:dyDescent="0.35">
      <c r="C24" t="s">
        <v>159</v>
      </c>
    </row>
    <row r="25" spans="2:8" x14ac:dyDescent="0.35">
      <c r="C25" t="s">
        <v>214</v>
      </c>
    </row>
    <row r="26" spans="2:8" x14ac:dyDescent="0.35">
      <c r="C26" t="s">
        <v>215</v>
      </c>
    </row>
    <row r="27" spans="2:8" x14ac:dyDescent="0.35">
      <c r="C27" t="s">
        <v>216</v>
      </c>
    </row>
    <row r="28" spans="2:8" x14ac:dyDescent="0.35">
      <c r="C28" t="s">
        <v>217</v>
      </c>
    </row>
    <row r="29" spans="2:8" x14ac:dyDescent="0.35">
      <c r="C29" t="s">
        <v>218</v>
      </c>
    </row>
    <row r="30" spans="2:8" x14ac:dyDescent="0.35">
      <c r="C30" t="s">
        <v>159</v>
      </c>
    </row>
    <row r="33" spans="3:11" x14ac:dyDescent="0.35">
      <c r="J33">
        <v>1</v>
      </c>
      <c r="K33">
        <v>2</v>
      </c>
    </row>
    <row r="34" spans="3:11" x14ac:dyDescent="0.35">
      <c r="C34" s="45" t="s">
        <v>223</v>
      </c>
      <c r="D34" s="44" t="s">
        <v>221</v>
      </c>
      <c r="E34" s="44" t="s">
        <v>226</v>
      </c>
      <c r="F34" s="44" t="s">
        <v>224</v>
      </c>
      <c r="G34" s="44" t="s">
        <v>225</v>
      </c>
      <c r="H34" s="44" t="s">
        <v>227</v>
      </c>
      <c r="J34" t="s">
        <v>181</v>
      </c>
      <c r="K34" t="s">
        <v>197</v>
      </c>
    </row>
    <row r="35" spans="3:11" x14ac:dyDescent="0.35">
      <c r="C35" s="43" t="s">
        <v>222</v>
      </c>
      <c r="D35" s="44" t="s">
        <v>160</v>
      </c>
      <c r="E35" s="44" t="s">
        <v>231</v>
      </c>
      <c r="F35" s="44" t="s">
        <v>233</v>
      </c>
      <c r="G35" s="44" t="s">
        <v>235</v>
      </c>
      <c r="H35" s="44"/>
    </row>
    <row r="36" spans="3:11" x14ac:dyDescent="0.35">
      <c r="C36" s="43"/>
      <c r="D36" s="44" t="s">
        <v>228</v>
      </c>
      <c r="E36" s="44" t="s">
        <v>232</v>
      </c>
      <c r="F36" s="44" t="s">
        <v>234</v>
      </c>
      <c r="G36" s="44" t="s">
        <v>236</v>
      </c>
      <c r="H36" s="44"/>
    </row>
    <row r="37" spans="3:11" x14ac:dyDescent="0.35">
      <c r="C37" s="43"/>
      <c r="D37" s="44" t="s">
        <v>229</v>
      </c>
      <c r="E37" s="44"/>
      <c r="F37" s="44"/>
      <c r="G37" s="44" t="s">
        <v>237</v>
      </c>
      <c r="H37" s="44"/>
    </row>
    <row r="38" spans="3:11" x14ac:dyDescent="0.35">
      <c r="C38" s="43"/>
      <c r="D38" s="44" t="s">
        <v>230</v>
      </c>
      <c r="E38" s="44"/>
      <c r="F38" s="44"/>
      <c r="G38" s="44" t="s">
        <v>237</v>
      </c>
      <c r="H38" s="44"/>
    </row>
    <row r="39" spans="3:11" x14ac:dyDescent="0.35">
      <c r="C39" s="43"/>
      <c r="D39" s="44"/>
      <c r="E39" s="44"/>
      <c r="F39" s="44"/>
      <c r="G39" s="44" t="s">
        <v>238</v>
      </c>
      <c r="H39" s="44"/>
    </row>
    <row r="40" spans="3:11" x14ac:dyDescent="0.35">
      <c r="C40" s="43"/>
      <c r="D40" s="44"/>
      <c r="E40" s="44"/>
      <c r="F40" s="44"/>
      <c r="G40" s="44" t="s">
        <v>239</v>
      </c>
      <c r="H40" s="44"/>
    </row>
    <row r="41" spans="3:11" x14ac:dyDescent="0.35">
      <c r="C41" s="43"/>
      <c r="D41" s="44"/>
      <c r="E41" s="44"/>
      <c r="F41" s="44"/>
      <c r="G41" s="44"/>
      <c r="H41" s="44"/>
    </row>
    <row r="43" spans="3:11" x14ac:dyDescent="0.35">
      <c r="C43" t="s">
        <v>240</v>
      </c>
    </row>
    <row r="44" spans="3:11" x14ac:dyDescent="0.35">
      <c r="C44" t="s">
        <v>162</v>
      </c>
      <c r="D44" t="s">
        <v>241</v>
      </c>
    </row>
    <row r="45" spans="3:11" x14ac:dyDescent="0.35">
      <c r="D45" t="s">
        <v>242</v>
      </c>
    </row>
    <row r="46" spans="3:11" x14ac:dyDescent="0.35">
      <c r="D46" t="s">
        <v>243</v>
      </c>
    </row>
    <row r="47" spans="3:11" x14ac:dyDescent="0.35">
      <c r="D47" t="s">
        <v>244</v>
      </c>
    </row>
    <row r="48" spans="3:11" x14ac:dyDescent="0.35">
      <c r="D48" t="s">
        <v>245</v>
      </c>
    </row>
    <row r="49" spans="3:4" x14ac:dyDescent="0.35">
      <c r="C49" t="s">
        <v>166</v>
      </c>
      <c r="D49" t="s">
        <v>246</v>
      </c>
    </row>
    <row r="50" spans="3:4" x14ac:dyDescent="0.35">
      <c r="D50" t="s">
        <v>247</v>
      </c>
    </row>
    <row r="51" spans="3:4" x14ac:dyDescent="0.35">
      <c r="D51" t="s">
        <v>248</v>
      </c>
    </row>
    <row r="52" spans="3:4" x14ac:dyDescent="0.35">
      <c r="D52" t="s">
        <v>251</v>
      </c>
    </row>
    <row r="53" spans="3:4" x14ac:dyDescent="0.35">
      <c r="D53" t="s">
        <v>249</v>
      </c>
    </row>
    <row r="54" spans="3:4" x14ac:dyDescent="0.35">
      <c r="D54" t="s">
        <v>250</v>
      </c>
    </row>
    <row r="55" spans="3:4" x14ac:dyDescent="0.35">
      <c r="D55" t="s">
        <v>252</v>
      </c>
    </row>
    <row r="56" spans="3:4" x14ac:dyDescent="0.35">
      <c r="D56" t="s">
        <v>253</v>
      </c>
    </row>
    <row r="57" spans="3:4" x14ac:dyDescent="0.35">
      <c r="D57" t="s">
        <v>254</v>
      </c>
    </row>
    <row r="58" spans="3:4" x14ac:dyDescent="0.35">
      <c r="D58" t="s">
        <v>256</v>
      </c>
    </row>
    <row r="59" spans="3:4" x14ac:dyDescent="0.35">
      <c r="D59" t="s">
        <v>265</v>
      </c>
    </row>
    <row r="60" spans="3:4" x14ac:dyDescent="0.35">
      <c r="C60" t="s">
        <v>181</v>
      </c>
      <c r="D60" t="s">
        <v>257</v>
      </c>
    </row>
    <row r="61" spans="3:4" x14ac:dyDescent="0.35">
      <c r="D61" t="s">
        <v>255</v>
      </c>
    </row>
    <row r="62" spans="3:4" x14ac:dyDescent="0.35">
      <c r="D62" t="s">
        <v>245</v>
      </c>
    </row>
    <row r="63" spans="3:4" x14ac:dyDescent="0.35">
      <c r="D63" t="s">
        <v>258</v>
      </c>
    </row>
    <row r="64" spans="3:4" x14ac:dyDescent="0.35">
      <c r="D64" t="s">
        <v>259</v>
      </c>
    </row>
    <row r="65" spans="3:4" x14ac:dyDescent="0.35">
      <c r="D65" t="s">
        <v>260</v>
      </c>
    </row>
    <row r="66" spans="3:4" x14ac:dyDescent="0.35">
      <c r="D66" t="s">
        <v>261</v>
      </c>
    </row>
    <row r="67" spans="3:4" x14ac:dyDescent="0.35">
      <c r="C67" t="s">
        <v>176</v>
      </c>
      <c r="D67" t="s">
        <v>262</v>
      </c>
    </row>
    <row r="68" spans="3:4" x14ac:dyDescent="0.35">
      <c r="D68" t="s">
        <v>263</v>
      </c>
    </row>
    <row r="69" spans="3:4" x14ac:dyDescent="0.35">
      <c r="D69" t="s">
        <v>264</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D49"/>
  <sheetViews>
    <sheetView topLeftCell="A38" zoomScaleNormal="100" workbookViewId="0">
      <selection activeCell="C50" sqref="C50"/>
    </sheetView>
  </sheetViews>
  <sheetFormatPr defaultRowHeight="14.5" x14ac:dyDescent="0.35"/>
  <cols>
    <col min="2" max="2" width="3" bestFit="1" customWidth="1"/>
    <col min="3" max="3" width="155.36328125" customWidth="1"/>
  </cols>
  <sheetData>
    <row r="2" spans="2:3" ht="15" customHeight="1" x14ac:dyDescent="0.35">
      <c r="B2" s="46">
        <v>1</v>
      </c>
      <c r="C2" s="48" t="s">
        <v>270</v>
      </c>
    </row>
    <row r="3" spans="2:3" x14ac:dyDescent="0.35">
      <c r="B3" s="46">
        <v>2</v>
      </c>
      <c r="C3" s="47" t="s">
        <v>271</v>
      </c>
    </row>
    <row r="4" spans="2:3" x14ac:dyDescent="0.35">
      <c r="B4" s="46">
        <v>3</v>
      </c>
      <c r="C4" s="46" t="s">
        <v>272</v>
      </c>
    </row>
    <row r="5" spans="2:3" x14ac:dyDescent="0.35">
      <c r="B5" s="46">
        <v>4</v>
      </c>
      <c r="C5" s="47" t="s">
        <v>273</v>
      </c>
    </row>
    <row r="6" spans="2:3" x14ac:dyDescent="0.35">
      <c r="B6" s="46">
        <v>5</v>
      </c>
      <c r="C6" s="46" t="s">
        <v>274</v>
      </c>
    </row>
    <row r="7" spans="2:3" ht="29" x14ac:dyDescent="0.35">
      <c r="B7" s="46">
        <v>6</v>
      </c>
      <c r="C7" s="47" t="s">
        <v>275</v>
      </c>
    </row>
    <row r="8" spans="2:3" ht="72.5" x14ac:dyDescent="0.35">
      <c r="B8" s="46">
        <v>7</v>
      </c>
      <c r="C8" s="47" t="s">
        <v>276</v>
      </c>
    </row>
    <row r="9" spans="2:3" x14ac:dyDescent="0.35">
      <c r="B9" s="46">
        <v>8</v>
      </c>
      <c r="C9" s="46" t="s">
        <v>277</v>
      </c>
    </row>
    <row r="10" spans="2:3" x14ac:dyDescent="0.35">
      <c r="B10" s="46">
        <v>9</v>
      </c>
      <c r="C10" s="46" t="s">
        <v>278</v>
      </c>
    </row>
    <row r="11" spans="2:3" x14ac:dyDescent="0.35">
      <c r="B11" s="46">
        <v>10</v>
      </c>
      <c r="C11" s="46" t="s">
        <v>279</v>
      </c>
    </row>
    <row r="12" spans="2:3" x14ac:dyDescent="0.35">
      <c r="B12" s="46">
        <v>11</v>
      </c>
      <c r="C12" s="46" t="s">
        <v>280</v>
      </c>
    </row>
    <row r="13" spans="2:3" x14ac:dyDescent="0.35">
      <c r="B13" s="46">
        <v>12</v>
      </c>
      <c r="C13" s="46" t="s">
        <v>281</v>
      </c>
    </row>
    <row r="14" spans="2:3" x14ac:dyDescent="0.35">
      <c r="B14" s="46">
        <v>13</v>
      </c>
      <c r="C14" s="46" t="s">
        <v>282</v>
      </c>
    </row>
    <row r="15" spans="2:3" x14ac:dyDescent="0.35">
      <c r="B15" s="46">
        <v>14</v>
      </c>
      <c r="C15" s="46" t="s">
        <v>272</v>
      </c>
    </row>
    <row r="16" spans="2:3" x14ac:dyDescent="0.35">
      <c r="B16" s="46">
        <v>15</v>
      </c>
      <c r="C16" s="46" t="s">
        <v>284</v>
      </c>
    </row>
    <row r="17" spans="2:3" x14ac:dyDescent="0.35">
      <c r="B17" s="64">
        <v>16</v>
      </c>
      <c r="C17" s="51" t="s">
        <v>285</v>
      </c>
    </row>
    <row r="18" spans="2:3" x14ac:dyDescent="0.35">
      <c r="B18" s="50">
        <v>17</v>
      </c>
      <c r="C18" s="51" t="s">
        <v>286</v>
      </c>
    </row>
    <row r="19" spans="2:3" x14ac:dyDescent="0.35">
      <c r="B19" s="49">
        <v>18</v>
      </c>
      <c r="C19" s="46" t="s">
        <v>287</v>
      </c>
    </row>
    <row r="20" spans="2:3" x14ac:dyDescent="0.35">
      <c r="B20" s="50">
        <v>19</v>
      </c>
      <c r="C20" s="46" t="s">
        <v>323</v>
      </c>
    </row>
    <row r="21" spans="2:3" x14ac:dyDescent="0.35">
      <c r="B21" s="46">
        <v>20</v>
      </c>
      <c r="C21" s="46" t="s">
        <v>288</v>
      </c>
    </row>
    <row r="22" spans="2:3" x14ac:dyDescent="0.35">
      <c r="B22" s="50">
        <v>21</v>
      </c>
      <c r="C22" s="46" t="s">
        <v>287</v>
      </c>
    </row>
    <row r="23" spans="2:3" s="59" customFormat="1" ht="29.25" customHeight="1" x14ac:dyDescent="0.35">
      <c r="B23" s="58">
        <v>22</v>
      </c>
      <c r="C23" s="48" t="s">
        <v>315</v>
      </c>
    </row>
    <row r="24" spans="2:3" s="59" customFormat="1" ht="30.75" customHeight="1" x14ac:dyDescent="0.35">
      <c r="B24" s="60">
        <v>23</v>
      </c>
      <c r="C24" s="48" t="s">
        <v>316</v>
      </c>
    </row>
    <row r="25" spans="2:3" x14ac:dyDescent="0.35">
      <c r="B25" s="46">
        <v>24</v>
      </c>
      <c r="C25" s="46" t="s">
        <v>319</v>
      </c>
    </row>
    <row r="26" spans="2:3" x14ac:dyDescent="0.35">
      <c r="B26" s="50">
        <v>25</v>
      </c>
      <c r="C26" s="46" t="s">
        <v>317</v>
      </c>
    </row>
    <row r="27" spans="2:3" x14ac:dyDescent="0.35">
      <c r="B27" s="60">
        <v>26</v>
      </c>
      <c r="C27" s="46" t="s">
        <v>318</v>
      </c>
    </row>
    <row r="28" spans="2:3" x14ac:dyDescent="0.35">
      <c r="B28" s="50">
        <v>27</v>
      </c>
      <c r="C28" s="46" t="s">
        <v>320</v>
      </c>
    </row>
    <row r="29" spans="2:3" ht="43.5" x14ac:dyDescent="0.35">
      <c r="B29" s="63">
        <v>28</v>
      </c>
      <c r="C29" s="47" t="s">
        <v>321</v>
      </c>
    </row>
    <row r="30" spans="2:3" x14ac:dyDescent="0.35">
      <c r="B30" s="60">
        <v>29</v>
      </c>
      <c r="C30" s="46" t="s">
        <v>322</v>
      </c>
    </row>
    <row r="31" spans="2:3" ht="29" x14ac:dyDescent="0.35">
      <c r="B31" s="60">
        <v>30</v>
      </c>
      <c r="C31" s="47" t="s">
        <v>324</v>
      </c>
    </row>
    <row r="32" spans="2:3" x14ac:dyDescent="0.35">
      <c r="B32" s="60">
        <v>31</v>
      </c>
      <c r="C32" s="46" t="s">
        <v>325</v>
      </c>
    </row>
    <row r="33" spans="2:4" x14ac:dyDescent="0.35">
      <c r="B33" s="60">
        <v>32</v>
      </c>
      <c r="C33" s="46" t="s">
        <v>326</v>
      </c>
    </row>
    <row r="34" spans="2:4" ht="36.75" customHeight="1" x14ac:dyDescent="0.35">
      <c r="B34" s="60">
        <v>33</v>
      </c>
      <c r="C34" s="51" t="s">
        <v>327</v>
      </c>
    </row>
    <row r="35" spans="2:4" x14ac:dyDescent="0.35">
      <c r="B35" s="58">
        <v>34</v>
      </c>
      <c r="C35" s="46" t="s">
        <v>335</v>
      </c>
    </row>
    <row r="36" spans="2:4" ht="58" x14ac:dyDescent="0.35">
      <c r="B36" s="58">
        <v>35</v>
      </c>
      <c r="C36" s="47" t="s">
        <v>337</v>
      </c>
    </row>
    <row r="37" spans="2:4" x14ac:dyDescent="0.35">
      <c r="B37" s="46">
        <v>36</v>
      </c>
      <c r="C37" s="47" t="s">
        <v>348</v>
      </c>
    </row>
    <row r="38" spans="2:4" x14ac:dyDescent="0.35">
      <c r="B38" s="46">
        <f t="shared" ref="B38:B44" si="0">B37+1</f>
        <v>37</v>
      </c>
      <c r="C38" s="46" t="s">
        <v>344</v>
      </c>
    </row>
    <row r="39" spans="2:4" x14ac:dyDescent="0.35">
      <c r="B39" s="46">
        <f t="shared" si="0"/>
        <v>38</v>
      </c>
      <c r="C39" s="46" t="s">
        <v>345</v>
      </c>
    </row>
    <row r="40" spans="2:4" x14ac:dyDescent="0.35">
      <c r="B40" s="46">
        <f t="shared" si="0"/>
        <v>39</v>
      </c>
      <c r="C40" s="46" t="s">
        <v>346</v>
      </c>
    </row>
    <row r="41" spans="2:4" x14ac:dyDescent="0.35">
      <c r="B41" s="46">
        <f t="shared" si="0"/>
        <v>40</v>
      </c>
      <c r="C41" s="46" t="s">
        <v>347</v>
      </c>
    </row>
    <row r="42" spans="2:4" ht="29.5" thickBot="1" x14ac:dyDescent="0.4">
      <c r="B42" s="67">
        <f t="shared" si="0"/>
        <v>41</v>
      </c>
      <c r="C42" s="68" t="s">
        <v>349</v>
      </c>
    </row>
    <row r="43" spans="2:4" ht="29" x14ac:dyDescent="0.35">
      <c r="B43" s="71">
        <f t="shared" si="0"/>
        <v>42</v>
      </c>
      <c r="C43" s="76" t="s">
        <v>354</v>
      </c>
      <c r="D43" t="s">
        <v>355</v>
      </c>
    </row>
    <row r="44" spans="2:4" ht="15" thickBot="1" x14ac:dyDescent="0.4">
      <c r="B44" s="73">
        <f t="shared" si="0"/>
        <v>43</v>
      </c>
      <c r="C44" s="75" t="s">
        <v>350</v>
      </c>
    </row>
    <row r="45" spans="2:4" ht="15" thickBot="1" x14ac:dyDescent="0.4">
      <c r="B45" s="69">
        <f t="shared" ref="B45:B49" si="1">B44+1</f>
        <v>44</v>
      </c>
      <c r="C45" s="70" t="s">
        <v>351</v>
      </c>
    </row>
    <row r="46" spans="2:4" ht="29" x14ac:dyDescent="0.35">
      <c r="B46" s="71">
        <f t="shared" si="1"/>
        <v>45</v>
      </c>
      <c r="C46" s="72" t="s">
        <v>352</v>
      </c>
    </row>
    <row r="47" spans="2:4" ht="15" thickBot="1" x14ac:dyDescent="0.4">
      <c r="B47" s="73">
        <f t="shared" si="1"/>
        <v>46</v>
      </c>
      <c r="C47" s="74" t="s">
        <v>353</v>
      </c>
    </row>
    <row r="48" spans="2:4" x14ac:dyDescent="0.35">
      <c r="B48" s="77">
        <f t="shared" si="1"/>
        <v>47</v>
      </c>
      <c r="C48" s="78" t="s">
        <v>356</v>
      </c>
    </row>
    <row r="49" spans="2:3" x14ac:dyDescent="0.35">
      <c r="B49" s="77">
        <f t="shared" si="1"/>
        <v>48</v>
      </c>
      <c r="C49" s="78" t="s">
        <v>357</v>
      </c>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08984375" defaultRowHeight="14.5" x14ac:dyDescent="0.35"/>
  <cols>
    <col min="1" max="1" width="9.08984375" style="43"/>
    <col min="2" max="2" width="12.36328125" style="43" customWidth="1"/>
    <col min="3" max="16384" width="9.08984375" style="43"/>
  </cols>
  <sheetData>
    <row r="2" spans="1:12" x14ac:dyDescent="0.35">
      <c r="B2" s="52" t="s">
        <v>289</v>
      </c>
      <c r="C2" s="185"/>
      <c r="D2" s="185"/>
    </row>
    <row r="3" spans="1:12" x14ac:dyDescent="0.35">
      <c r="D3" s="53"/>
      <c r="E3" s="53"/>
      <c r="F3" s="53"/>
      <c r="G3" s="53"/>
      <c r="H3" s="53"/>
      <c r="I3" s="53"/>
    </row>
    <row r="4" spans="1:12" x14ac:dyDescent="0.35">
      <c r="A4" s="52" t="s">
        <v>65</v>
      </c>
      <c r="B4" s="54" t="s">
        <v>290</v>
      </c>
      <c r="C4" s="186" t="s">
        <v>291</v>
      </c>
      <c r="D4" s="186"/>
      <c r="E4" s="186"/>
      <c r="F4" s="54"/>
      <c r="G4" s="187" t="s">
        <v>292</v>
      </c>
      <c r="H4" s="187"/>
      <c r="I4" s="187"/>
      <c r="J4" s="188" t="s">
        <v>293</v>
      </c>
      <c r="K4" s="188"/>
      <c r="L4" s="188"/>
    </row>
    <row r="5" spans="1:12" x14ac:dyDescent="0.35">
      <c r="A5" s="52"/>
      <c r="B5" s="54"/>
      <c r="C5" s="54" t="s">
        <v>294</v>
      </c>
      <c r="D5" s="54" t="s">
        <v>295</v>
      </c>
      <c r="E5" s="54" t="s">
        <v>296</v>
      </c>
      <c r="F5" s="54"/>
      <c r="G5" s="54" t="s">
        <v>294</v>
      </c>
      <c r="H5" s="54" t="s">
        <v>295</v>
      </c>
      <c r="I5" s="54" t="s">
        <v>296</v>
      </c>
      <c r="J5" s="54" t="s">
        <v>294</v>
      </c>
      <c r="K5" s="54" t="s">
        <v>295</v>
      </c>
      <c r="L5" s="54" t="s">
        <v>296</v>
      </c>
    </row>
    <row r="6" spans="1:12" x14ac:dyDescent="0.35">
      <c r="B6" s="44" t="s">
        <v>297</v>
      </c>
      <c r="C6" s="44"/>
      <c r="D6" s="44"/>
      <c r="E6" s="44">
        <f>C6*D6</f>
        <v>0</v>
      </c>
      <c r="F6" s="44" t="s">
        <v>314</v>
      </c>
      <c r="G6" s="44"/>
      <c r="H6" s="44"/>
      <c r="I6" s="44">
        <f>G6*H6</f>
        <v>0</v>
      </c>
      <c r="J6" s="44"/>
      <c r="K6" s="44"/>
      <c r="L6" s="44">
        <f>J6*K6</f>
        <v>0</v>
      </c>
    </row>
    <row r="7" spans="1:12" x14ac:dyDescent="0.35">
      <c r="B7" s="44"/>
      <c r="C7" s="44"/>
      <c r="D7" s="44"/>
      <c r="E7" s="44">
        <f t="shared" ref="E7:E41" si="0">C7*D7</f>
        <v>0</v>
      </c>
      <c r="F7" s="44" t="s">
        <v>314</v>
      </c>
      <c r="G7" s="44"/>
      <c r="H7" s="44"/>
      <c r="I7" s="44">
        <f t="shared" ref="I7:I35" si="1">G7*H7</f>
        <v>0</v>
      </c>
      <c r="J7" s="44"/>
      <c r="K7" s="44"/>
      <c r="L7" s="44">
        <f t="shared" ref="L7:L35" si="2">J7*K7</f>
        <v>0</v>
      </c>
    </row>
    <row r="8" spans="1:12" x14ac:dyDescent="0.35">
      <c r="B8" s="44"/>
      <c r="C8" s="44"/>
      <c r="D8" s="44"/>
      <c r="E8" s="44">
        <f t="shared" si="0"/>
        <v>0</v>
      </c>
      <c r="F8" s="44"/>
      <c r="G8" s="44"/>
      <c r="H8" s="44"/>
      <c r="I8" s="44">
        <f t="shared" si="1"/>
        <v>0</v>
      </c>
      <c r="J8" s="44"/>
      <c r="K8" s="44"/>
      <c r="L8" s="44">
        <f t="shared" si="2"/>
        <v>0</v>
      </c>
    </row>
    <row r="9" spans="1:12" x14ac:dyDescent="0.35">
      <c r="B9" s="44"/>
      <c r="C9" s="44"/>
      <c r="D9" s="44"/>
      <c r="E9" s="44">
        <f t="shared" si="0"/>
        <v>0</v>
      </c>
      <c r="F9" s="44" t="s">
        <v>298</v>
      </c>
      <c r="G9" s="44"/>
      <c r="H9" s="44"/>
      <c r="I9" s="44">
        <f t="shared" si="1"/>
        <v>0</v>
      </c>
      <c r="J9" s="44"/>
      <c r="K9" s="44"/>
      <c r="L9" s="44">
        <f t="shared" si="2"/>
        <v>0</v>
      </c>
    </row>
    <row r="10" spans="1:12" x14ac:dyDescent="0.35">
      <c r="B10" s="44" t="s">
        <v>299</v>
      </c>
      <c r="C10" s="44"/>
      <c r="D10" s="44"/>
      <c r="E10" s="44">
        <f t="shared" si="0"/>
        <v>0</v>
      </c>
      <c r="F10" s="44" t="s">
        <v>298</v>
      </c>
      <c r="G10" s="44"/>
      <c r="H10" s="44"/>
      <c r="I10" s="44">
        <f t="shared" si="1"/>
        <v>0</v>
      </c>
      <c r="J10" s="44"/>
      <c r="K10" s="44"/>
      <c r="L10" s="44">
        <f t="shared" si="2"/>
        <v>0</v>
      </c>
    </row>
    <row r="11" spans="1:12" x14ac:dyDescent="0.35">
      <c r="B11" s="44"/>
      <c r="C11" s="44"/>
      <c r="D11" s="44"/>
      <c r="E11" s="44">
        <f t="shared" si="0"/>
        <v>0</v>
      </c>
      <c r="F11" s="44" t="s">
        <v>300</v>
      </c>
      <c r="G11" s="44"/>
      <c r="H11" s="44"/>
      <c r="I11" s="44">
        <f t="shared" si="1"/>
        <v>0</v>
      </c>
      <c r="J11" s="44"/>
      <c r="K11" s="44"/>
      <c r="L11" s="44">
        <f t="shared" si="2"/>
        <v>0</v>
      </c>
    </row>
    <row r="12" spans="1:12" x14ac:dyDescent="0.35">
      <c r="B12" s="44"/>
      <c r="C12" s="44"/>
      <c r="D12" s="44"/>
      <c r="E12" s="44">
        <f t="shared" si="0"/>
        <v>0</v>
      </c>
      <c r="F12" s="44"/>
      <c r="G12" s="44"/>
      <c r="H12" s="44"/>
      <c r="I12" s="44">
        <f t="shared" si="1"/>
        <v>0</v>
      </c>
      <c r="J12" s="44"/>
      <c r="K12" s="44"/>
      <c r="L12" s="44">
        <f t="shared" si="2"/>
        <v>0</v>
      </c>
    </row>
    <row r="13" spans="1:12" x14ac:dyDescent="0.35">
      <c r="B13" s="44"/>
      <c r="C13" s="44"/>
      <c r="D13" s="44"/>
      <c r="E13" s="44">
        <f t="shared" si="0"/>
        <v>0</v>
      </c>
      <c r="F13" s="44"/>
      <c r="G13" s="44"/>
      <c r="H13" s="44"/>
      <c r="I13" s="44">
        <f t="shared" si="1"/>
        <v>0</v>
      </c>
      <c r="J13" s="44"/>
      <c r="K13" s="44"/>
      <c r="L13" s="44">
        <f t="shared" si="2"/>
        <v>0</v>
      </c>
    </row>
    <row r="14" spans="1:12" x14ac:dyDescent="0.35">
      <c r="B14" s="44" t="s">
        <v>301</v>
      </c>
      <c r="C14" s="44"/>
      <c r="D14" s="44"/>
      <c r="E14" s="44">
        <f t="shared" si="0"/>
        <v>0</v>
      </c>
      <c r="F14" s="44" t="s">
        <v>298</v>
      </c>
      <c r="G14" s="44"/>
      <c r="H14" s="44"/>
      <c r="I14" s="44">
        <f t="shared" si="1"/>
        <v>0</v>
      </c>
      <c r="J14" s="44"/>
      <c r="K14" s="44"/>
      <c r="L14" s="44">
        <f t="shared" si="2"/>
        <v>0</v>
      </c>
    </row>
    <row r="15" spans="1:12" x14ac:dyDescent="0.35">
      <c r="B15" s="44"/>
      <c r="C15" s="44"/>
      <c r="D15" s="44"/>
      <c r="E15" s="44">
        <f t="shared" si="0"/>
        <v>0</v>
      </c>
      <c r="F15" s="44" t="s">
        <v>300</v>
      </c>
      <c r="G15" s="44"/>
      <c r="H15" s="44"/>
      <c r="I15" s="44">
        <f t="shared" si="1"/>
        <v>0</v>
      </c>
      <c r="J15" s="44"/>
      <c r="K15" s="44"/>
      <c r="L15" s="44">
        <f t="shared" si="2"/>
        <v>0</v>
      </c>
    </row>
    <row r="16" spans="1:12" x14ac:dyDescent="0.35">
      <c r="B16" s="44"/>
      <c r="C16" s="44"/>
      <c r="D16" s="44"/>
      <c r="E16" s="44">
        <f t="shared" si="0"/>
        <v>0</v>
      </c>
      <c r="F16" s="44"/>
      <c r="G16" s="44"/>
      <c r="H16" s="44"/>
      <c r="I16" s="44">
        <f t="shared" si="1"/>
        <v>0</v>
      </c>
      <c r="J16" s="44"/>
      <c r="K16" s="44"/>
      <c r="L16" s="44">
        <f t="shared" si="2"/>
        <v>0</v>
      </c>
    </row>
    <row r="17" spans="2:12" x14ac:dyDescent="0.35">
      <c r="B17" s="44"/>
      <c r="C17" s="44"/>
      <c r="D17" s="44"/>
      <c r="E17" s="44">
        <f t="shared" si="0"/>
        <v>0</v>
      </c>
      <c r="F17" s="44"/>
      <c r="G17" s="44"/>
      <c r="H17" s="44"/>
      <c r="I17" s="44">
        <f t="shared" si="1"/>
        <v>0</v>
      </c>
      <c r="J17" s="44"/>
      <c r="K17" s="44"/>
      <c r="L17" s="44">
        <f t="shared" si="2"/>
        <v>0</v>
      </c>
    </row>
    <row r="18" spans="2:12" x14ac:dyDescent="0.35">
      <c r="B18" s="44" t="s">
        <v>302</v>
      </c>
      <c r="C18" s="44"/>
      <c r="D18" s="44"/>
      <c r="E18" s="44">
        <f t="shared" si="0"/>
        <v>0</v>
      </c>
      <c r="F18" s="44" t="s">
        <v>298</v>
      </c>
      <c r="G18" s="44"/>
      <c r="H18" s="44"/>
      <c r="I18" s="44">
        <f t="shared" si="1"/>
        <v>0</v>
      </c>
      <c r="J18" s="44"/>
      <c r="K18" s="44"/>
      <c r="L18" s="44">
        <f t="shared" si="2"/>
        <v>0</v>
      </c>
    </row>
    <row r="19" spans="2:12" x14ac:dyDescent="0.35">
      <c r="B19" s="44"/>
      <c r="C19" s="44"/>
      <c r="D19" s="44"/>
      <c r="E19" s="44">
        <f t="shared" si="0"/>
        <v>0</v>
      </c>
      <c r="F19" s="44" t="s">
        <v>300</v>
      </c>
      <c r="G19" s="44"/>
      <c r="H19" s="44"/>
      <c r="I19" s="44">
        <f t="shared" si="1"/>
        <v>0</v>
      </c>
      <c r="J19" s="44"/>
      <c r="K19" s="44"/>
      <c r="L19" s="44">
        <f t="shared" si="2"/>
        <v>0</v>
      </c>
    </row>
    <row r="20" spans="2:12" x14ac:dyDescent="0.35">
      <c r="B20" s="44"/>
      <c r="C20" s="44"/>
      <c r="D20" s="44"/>
      <c r="E20" s="44">
        <f t="shared" si="0"/>
        <v>0</v>
      </c>
      <c r="F20" s="44"/>
      <c r="G20" s="44"/>
      <c r="H20" s="44"/>
      <c r="I20" s="44">
        <f t="shared" si="1"/>
        <v>0</v>
      </c>
      <c r="J20" s="44"/>
      <c r="K20" s="44"/>
      <c r="L20" s="44">
        <f t="shared" si="2"/>
        <v>0</v>
      </c>
    </row>
    <row r="21" spans="2:12" x14ac:dyDescent="0.35">
      <c r="B21" s="44" t="s">
        <v>303</v>
      </c>
      <c r="C21" s="44"/>
      <c r="D21" s="44"/>
      <c r="E21" s="44">
        <f t="shared" si="0"/>
        <v>0</v>
      </c>
      <c r="F21" s="44" t="s">
        <v>298</v>
      </c>
      <c r="G21" s="44"/>
      <c r="H21" s="44"/>
      <c r="I21" s="44">
        <f t="shared" si="1"/>
        <v>0</v>
      </c>
      <c r="J21" s="44"/>
      <c r="K21" s="44"/>
      <c r="L21" s="44">
        <f t="shared" si="2"/>
        <v>0</v>
      </c>
    </row>
    <row r="22" spans="2:12" x14ac:dyDescent="0.35">
      <c r="B22" s="44"/>
      <c r="C22" s="44"/>
      <c r="D22" s="44"/>
      <c r="E22" s="44">
        <f t="shared" si="0"/>
        <v>0</v>
      </c>
      <c r="F22" s="44" t="s">
        <v>300</v>
      </c>
      <c r="G22" s="44"/>
      <c r="H22" s="44"/>
      <c r="I22" s="44">
        <f t="shared" si="1"/>
        <v>0</v>
      </c>
      <c r="J22" s="44"/>
      <c r="K22" s="44"/>
      <c r="L22" s="44">
        <f t="shared" si="2"/>
        <v>0</v>
      </c>
    </row>
    <row r="23" spans="2:12" x14ac:dyDescent="0.35">
      <c r="B23" s="44"/>
      <c r="C23" s="44"/>
      <c r="D23" s="44"/>
      <c r="E23" s="44">
        <f t="shared" si="0"/>
        <v>0</v>
      </c>
      <c r="F23" s="44"/>
      <c r="G23" s="44"/>
      <c r="H23" s="44"/>
      <c r="I23" s="44">
        <f t="shared" si="1"/>
        <v>0</v>
      </c>
      <c r="J23" s="44"/>
      <c r="K23" s="44"/>
      <c r="L23" s="44">
        <f t="shared" si="2"/>
        <v>0</v>
      </c>
    </row>
    <row r="24" spans="2:12" x14ac:dyDescent="0.35">
      <c r="B24" s="44" t="s">
        <v>304</v>
      </c>
      <c r="C24" s="44"/>
      <c r="D24" s="44"/>
      <c r="E24" s="44">
        <f t="shared" si="0"/>
        <v>0</v>
      </c>
      <c r="F24" s="44" t="s">
        <v>305</v>
      </c>
      <c r="G24" s="44"/>
      <c r="H24" s="44"/>
      <c r="I24" s="44">
        <f t="shared" si="1"/>
        <v>0</v>
      </c>
      <c r="J24" s="44"/>
      <c r="K24" s="44"/>
      <c r="L24" s="44">
        <f t="shared" si="2"/>
        <v>0</v>
      </c>
    </row>
    <row r="25" spans="2:12" x14ac:dyDescent="0.35">
      <c r="B25" s="44"/>
      <c r="C25" s="44"/>
      <c r="D25" s="44"/>
      <c r="E25" s="44">
        <f>C25*D25</f>
        <v>0</v>
      </c>
      <c r="F25" s="44" t="s">
        <v>305</v>
      </c>
      <c r="G25" s="44"/>
      <c r="H25" s="44"/>
      <c r="I25" s="44">
        <f>G25*H25</f>
        <v>0</v>
      </c>
      <c r="J25" s="44"/>
      <c r="K25" s="44"/>
      <c r="L25" s="44">
        <f>J25*K25</f>
        <v>0</v>
      </c>
    </row>
    <row r="26" spans="2:12" x14ac:dyDescent="0.35">
      <c r="B26" s="44"/>
      <c r="C26" s="44"/>
      <c r="D26" s="44"/>
      <c r="E26" s="44">
        <f>C26*D26</f>
        <v>0</v>
      </c>
      <c r="F26" s="44" t="s">
        <v>305</v>
      </c>
      <c r="G26" s="44"/>
      <c r="H26" s="44"/>
      <c r="I26" s="44">
        <f>G26*H26</f>
        <v>0</v>
      </c>
      <c r="J26" s="44"/>
      <c r="K26" s="44"/>
      <c r="L26" s="44">
        <f>J26*K26</f>
        <v>0</v>
      </c>
    </row>
    <row r="27" spans="2:12" x14ac:dyDescent="0.35">
      <c r="B27" s="44"/>
      <c r="C27" s="44"/>
      <c r="D27" s="44"/>
      <c r="E27" s="44">
        <f>C27*D27</f>
        <v>0</v>
      </c>
      <c r="F27" s="44" t="s">
        <v>305</v>
      </c>
      <c r="G27" s="44"/>
      <c r="H27" s="44"/>
      <c r="I27" s="44">
        <f>G27*H27</f>
        <v>0</v>
      </c>
      <c r="J27" s="44"/>
      <c r="K27" s="44"/>
      <c r="L27" s="44">
        <f>J27*K27</f>
        <v>0</v>
      </c>
    </row>
    <row r="28" spans="2:12" x14ac:dyDescent="0.35">
      <c r="B28" s="44" t="s">
        <v>306</v>
      </c>
      <c r="C28" s="44"/>
      <c r="D28" s="44"/>
      <c r="E28" s="44">
        <f t="shared" si="0"/>
        <v>0</v>
      </c>
      <c r="F28" s="44" t="s">
        <v>305</v>
      </c>
      <c r="G28" s="44"/>
      <c r="H28" s="44"/>
      <c r="I28" s="44">
        <f t="shared" si="1"/>
        <v>0</v>
      </c>
      <c r="J28" s="44"/>
      <c r="K28" s="44"/>
      <c r="L28" s="44">
        <f t="shared" si="2"/>
        <v>0</v>
      </c>
    </row>
    <row r="29" spans="2:12" x14ac:dyDescent="0.35">
      <c r="B29" s="44" t="s">
        <v>307</v>
      </c>
      <c r="C29" s="44"/>
      <c r="D29" s="44"/>
      <c r="E29" s="44">
        <f t="shared" si="0"/>
        <v>0</v>
      </c>
      <c r="F29" s="44" t="s">
        <v>305</v>
      </c>
      <c r="G29" s="44"/>
      <c r="H29" s="44"/>
      <c r="I29" s="44">
        <f t="shared" si="1"/>
        <v>0</v>
      </c>
      <c r="J29" s="44"/>
      <c r="K29" s="44"/>
      <c r="L29" s="44">
        <f t="shared" si="2"/>
        <v>0</v>
      </c>
    </row>
    <row r="30" spans="2:12" x14ac:dyDescent="0.35">
      <c r="B30" s="44" t="s">
        <v>311</v>
      </c>
      <c r="C30" s="44"/>
      <c r="D30" s="44"/>
      <c r="E30" s="44">
        <f t="shared" si="0"/>
        <v>0</v>
      </c>
      <c r="F30" s="44"/>
      <c r="G30" s="44"/>
      <c r="H30" s="44"/>
      <c r="I30" s="44">
        <f t="shared" si="1"/>
        <v>0</v>
      </c>
      <c r="J30" s="44"/>
      <c r="K30" s="44"/>
      <c r="L30" s="44">
        <f t="shared" si="2"/>
        <v>0</v>
      </c>
    </row>
    <row r="31" spans="2:12" x14ac:dyDescent="0.35">
      <c r="B31" s="44"/>
      <c r="C31" s="44"/>
      <c r="D31" s="44"/>
      <c r="E31" s="44">
        <f>C31*D31</f>
        <v>0</v>
      </c>
      <c r="F31" s="44"/>
      <c r="G31" s="44"/>
      <c r="H31" s="44"/>
      <c r="I31" s="44">
        <f>G31*H31</f>
        <v>0</v>
      </c>
      <c r="J31" s="44"/>
      <c r="K31" s="44"/>
      <c r="L31" s="44">
        <f>J31*K31</f>
        <v>0</v>
      </c>
    </row>
    <row r="32" spans="2:12" x14ac:dyDescent="0.35">
      <c r="B32" s="44"/>
      <c r="C32" s="44"/>
      <c r="D32" s="44"/>
      <c r="E32" s="44">
        <f>C32*D32</f>
        <v>0</v>
      </c>
      <c r="F32" s="44"/>
      <c r="G32" s="44"/>
      <c r="H32" s="44"/>
      <c r="I32" s="44">
        <f>G32*H32</f>
        <v>0</v>
      </c>
      <c r="J32" s="44"/>
      <c r="K32" s="44"/>
      <c r="L32" s="44">
        <f>J32*K32</f>
        <v>0</v>
      </c>
    </row>
    <row r="33" spans="2:12" x14ac:dyDescent="0.35">
      <c r="B33" s="44" t="s">
        <v>308</v>
      </c>
      <c r="C33" s="44"/>
      <c r="D33" s="44"/>
      <c r="E33" s="44">
        <f t="shared" si="0"/>
        <v>0</v>
      </c>
      <c r="F33" s="44"/>
      <c r="G33" s="44"/>
      <c r="H33" s="44"/>
      <c r="I33" s="44">
        <f t="shared" si="1"/>
        <v>0</v>
      </c>
      <c r="J33" s="44"/>
      <c r="K33" s="44"/>
      <c r="L33" s="44">
        <f t="shared" si="2"/>
        <v>0</v>
      </c>
    </row>
    <row r="34" spans="2:12" x14ac:dyDescent="0.35">
      <c r="B34" s="44" t="s">
        <v>312</v>
      </c>
      <c r="C34" s="44"/>
      <c r="D34" s="44"/>
      <c r="E34" s="44">
        <f t="shared" si="0"/>
        <v>0</v>
      </c>
      <c r="F34" s="44"/>
      <c r="G34" s="44"/>
      <c r="H34" s="44"/>
      <c r="I34" s="44">
        <f t="shared" si="1"/>
        <v>0</v>
      </c>
      <c r="J34" s="44"/>
      <c r="K34" s="44"/>
      <c r="L34" s="44">
        <f t="shared" si="2"/>
        <v>0</v>
      </c>
    </row>
    <row r="35" spans="2:12" x14ac:dyDescent="0.35">
      <c r="B35" s="44" t="s">
        <v>309</v>
      </c>
      <c r="C35" s="44"/>
      <c r="D35" s="44"/>
      <c r="E35" s="44">
        <f t="shared" si="0"/>
        <v>0</v>
      </c>
      <c r="F35" s="44"/>
      <c r="G35" s="44"/>
      <c r="H35" s="44"/>
      <c r="I35" s="44">
        <f t="shared" si="1"/>
        <v>0</v>
      </c>
      <c r="J35" s="44"/>
      <c r="K35" s="44"/>
      <c r="L35" s="44">
        <f t="shared" si="2"/>
        <v>0</v>
      </c>
    </row>
    <row r="36" spans="2:12" x14ac:dyDescent="0.35">
      <c r="B36" s="44" t="s">
        <v>310</v>
      </c>
      <c r="C36" s="44"/>
      <c r="D36" s="44"/>
      <c r="E36" s="44">
        <f t="shared" si="0"/>
        <v>0</v>
      </c>
      <c r="F36" s="44"/>
      <c r="G36" s="44"/>
      <c r="H36" s="44"/>
      <c r="I36" s="44">
        <f t="shared" ref="I36:I41" si="3">G36*H36</f>
        <v>0</v>
      </c>
      <c r="J36" s="44"/>
      <c r="K36" s="44"/>
      <c r="L36" s="44">
        <f t="shared" ref="L36:L41" si="4">J36*K36</f>
        <v>0</v>
      </c>
    </row>
    <row r="37" spans="2:12" x14ac:dyDescent="0.35">
      <c r="B37" s="44"/>
      <c r="C37" s="44"/>
      <c r="D37" s="44"/>
      <c r="E37" s="44">
        <f>C37*D37</f>
        <v>0</v>
      </c>
      <c r="F37" s="44"/>
      <c r="G37" s="44"/>
      <c r="H37" s="44"/>
      <c r="I37" s="44">
        <f t="shared" si="3"/>
        <v>0</v>
      </c>
      <c r="J37" s="44"/>
      <c r="K37" s="44"/>
      <c r="L37" s="44">
        <f t="shared" si="4"/>
        <v>0</v>
      </c>
    </row>
    <row r="38" spans="2:12" x14ac:dyDescent="0.35">
      <c r="B38" s="44" t="s">
        <v>313</v>
      </c>
      <c r="C38" s="44"/>
      <c r="D38" s="44"/>
      <c r="E38" s="44">
        <f>C38*D38</f>
        <v>0</v>
      </c>
      <c r="F38" s="44"/>
      <c r="G38" s="44"/>
      <c r="H38" s="44"/>
      <c r="I38" s="44">
        <f t="shared" si="3"/>
        <v>0</v>
      </c>
      <c r="J38" s="44"/>
      <c r="K38" s="44"/>
      <c r="L38" s="44">
        <f t="shared" si="4"/>
        <v>0</v>
      </c>
    </row>
    <row r="39" spans="2:12" x14ac:dyDescent="0.35">
      <c r="B39" s="44"/>
      <c r="C39" s="44"/>
      <c r="D39" s="44"/>
      <c r="E39" s="44">
        <f t="shared" si="0"/>
        <v>0</v>
      </c>
      <c r="F39" s="44"/>
      <c r="G39" s="44"/>
      <c r="H39" s="44"/>
      <c r="I39" s="44">
        <f t="shared" si="3"/>
        <v>0</v>
      </c>
      <c r="J39" s="44"/>
      <c r="K39" s="44"/>
      <c r="L39" s="44">
        <f t="shared" si="4"/>
        <v>0</v>
      </c>
    </row>
    <row r="40" spans="2:12" x14ac:dyDescent="0.35">
      <c r="B40" s="44"/>
      <c r="C40" s="44"/>
      <c r="D40" s="44"/>
      <c r="E40" s="44">
        <f t="shared" si="0"/>
        <v>0</v>
      </c>
      <c r="F40" s="44"/>
      <c r="G40" s="44"/>
      <c r="H40" s="44"/>
      <c r="I40" s="44">
        <f t="shared" si="3"/>
        <v>0</v>
      </c>
      <c r="J40" s="44"/>
      <c r="K40" s="44"/>
      <c r="L40" s="44">
        <f t="shared" si="4"/>
        <v>0</v>
      </c>
    </row>
    <row r="41" spans="2:12" x14ac:dyDescent="0.35">
      <c r="B41" s="44"/>
      <c r="C41" s="44"/>
      <c r="D41" s="44"/>
      <c r="E41" s="44">
        <f t="shared" si="0"/>
        <v>0</v>
      </c>
      <c r="F41" s="44"/>
      <c r="G41" s="44"/>
      <c r="H41" s="44"/>
      <c r="I41" s="44">
        <f t="shared" si="3"/>
        <v>0</v>
      </c>
      <c r="J41" s="44"/>
      <c r="K41" s="44"/>
      <c r="L41" s="44">
        <f t="shared" si="4"/>
        <v>0</v>
      </c>
    </row>
    <row r="42" spans="2:12" x14ac:dyDescent="0.35">
      <c r="B42" s="44" t="s">
        <v>143</v>
      </c>
      <c r="C42" s="44"/>
      <c r="D42" s="44">
        <f>E42*10.764</f>
        <v>0</v>
      </c>
      <c r="E42" s="57">
        <f>SUM(E6:E41)</f>
        <v>0</v>
      </c>
      <c r="F42" s="44"/>
      <c r="G42" s="44"/>
      <c r="H42" s="44">
        <f>I42*10.764</f>
        <v>0</v>
      </c>
      <c r="I42" s="56">
        <f>SUM(I6:I41)</f>
        <v>0</v>
      </c>
      <c r="J42" s="44"/>
      <c r="K42" s="44">
        <f>L42*10.764</f>
        <v>0</v>
      </c>
      <c r="L42" s="55">
        <f>SUM(L6:L41)</f>
        <v>0</v>
      </c>
    </row>
    <row r="44" spans="2:12" x14ac:dyDescent="0.35">
      <c r="D44" s="43">
        <f>D42+H42</f>
        <v>0</v>
      </c>
      <c r="E44" s="43">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2025-08-30T12:52:58Z</cp:lastPrinted>
  <dcterms:created xsi:type="dcterms:W3CDTF">2019-07-16T09:29:46Z</dcterms:created>
  <dcterms:modified xsi:type="dcterms:W3CDTF">2025-08-30T12:54:45Z</dcterms:modified>
</cp:coreProperties>
</file>