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745"/>
  </bookViews>
  <sheets>
    <sheet name="Report" sheetId="15" r:id="rId1"/>
    <sheet name="Valuation" sheetId="23" r:id="rId2"/>
  </sheets>
  <definedNames>
    <definedName name="_xlnm.Print_Area" localSheetId="0">Report!$A$1:$H$351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6" i="15" l="1"/>
  <c r="L119" i="15"/>
  <c r="J182" i="15"/>
  <c r="I43" i="15" l="1"/>
  <c r="I44" i="15" s="1"/>
  <c r="E47" i="15"/>
  <c r="E46" i="15"/>
  <c r="E45" i="15"/>
  <c r="E44" i="15"/>
  <c r="E43" i="15"/>
  <c r="E48" i="15" s="1"/>
  <c r="G80" i="15" l="1"/>
  <c r="G79" i="15"/>
  <c r="C79" i="15"/>
  <c r="G143" i="15"/>
  <c r="G142" i="15"/>
  <c r="E143" i="15"/>
  <c r="C143" i="15"/>
  <c r="E142" i="15"/>
  <c r="C142" i="15"/>
  <c r="A143" i="15"/>
  <c r="E139" i="15"/>
  <c r="D139" i="15"/>
  <c r="C139" i="15"/>
  <c r="E138" i="15"/>
  <c r="D138" i="15"/>
  <c r="C138" i="15"/>
  <c r="E137" i="15"/>
  <c r="D137" i="15"/>
  <c r="C137" i="15"/>
  <c r="E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F130" i="15" s="1"/>
  <c r="H130" i="15" s="1"/>
  <c r="D130" i="15"/>
  <c r="C130" i="15"/>
  <c r="E129" i="15"/>
  <c r="D129" i="15"/>
  <c r="C129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I125" i="15"/>
  <c r="I116" i="15"/>
  <c r="P139" i="15"/>
  <c r="O139" i="15"/>
  <c r="N139" i="15" s="1"/>
  <c r="A130" i="15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P126" i="15"/>
  <c r="O126" i="15"/>
  <c r="N126" i="15" s="1"/>
  <c r="P114" i="15"/>
  <c r="O114" i="15"/>
  <c r="N114" i="15" s="1"/>
  <c r="O141" i="15"/>
  <c r="P141" i="15"/>
  <c r="F134" i="15" l="1"/>
  <c r="H134" i="15" s="1"/>
  <c r="F126" i="15"/>
  <c r="H126" i="15" s="1"/>
  <c r="F135" i="15"/>
  <c r="H135" i="15" s="1"/>
  <c r="F138" i="15"/>
  <c r="H138" i="15" s="1"/>
  <c r="F131" i="15"/>
  <c r="H131" i="15" s="1"/>
  <c r="F137" i="15"/>
  <c r="H137" i="15" s="1"/>
  <c r="F129" i="15"/>
  <c r="H129" i="15" s="1"/>
  <c r="F132" i="15"/>
  <c r="H132" i="15" s="1"/>
  <c r="F143" i="15"/>
  <c r="H143" i="15" s="1"/>
  <c r="F142" i="15"/>
  <c r="H142" i="15" s="1"/>
  <c r="F133" i="15"/>
  <c r="H133" i="15" s="1"/>
  <c r="F136" i="15"/>
  <c r="H136" i="15" s="1"/>
  <c r="F139" i="15"/>
  <c r="H139" i="15" s="1"/>
  <c r="P142" i="15"/>
  <c r="P143" i="15" s="1"/>
  <c r="N141" i="15"/>
  <c r="O142" i="15"/>
  <c r="F127" i="15"/>
  <c r="H127" i="15" s="1"/>
  <c r="B53" i="15"/>
  <c r="N142" i="15" l="1"/>
  <c r="O143" i="15"/>
  <c r="J60" i="15"/>
  <c r="J62" i="15"/>
  <c r="J61" i="15"/>
  <c r="J63" i="15"/>
  <c r="H53" i="15"/>
  <c r="N143" i="15" l="1"/>
  <c r="D61" i="15"/>
  <c r="D60" i="15"/>
  <c r="J58" i="15"/>
  <c r="J59" i="15" s="1"/>
  <c r="J64" i="15" s="1"/>
  <c r="J65" i="15" s="1"/>
  <c r="C57" i="15" s="1"/>
  <c r="E56" i="15" s="1"/>
  <c r="J55" i="15"/>
  <c r="D64" i="15"/>
  <c r="J56" i="15"/>
  <c r="D65" i="15"/>
  <c r="D62" i="15"/>
  <c r="D63" i="15"/>
  <c r="J57" i="15"/>
  <c r="C56" i="15" s="1"/>
  <c r="D59" i="15"/>
  <c r="D58" i="15"/>
  <c r="D56" i="15" l="1"/>
  <c r="I52" i="15" s="1"/>
  <c r="C54" i="15" s="1"/>
  <c r="G56" i="15"/>
  <c r="D57" i="15"/>
  <c r="F168" i="15"/>
  <c r="F176" i="15" l="1"/>
  <c r="H176" i="15" s="1"/>
  <c r="F175" i="15"/>
  <c r="H175" i="15" s="1"/>
  <c r="F174" i="15"/>
  <c r="H174" i="15" s="1"/>
  <c r="F173" i="15"/>
  <c r="H173" i="15" s="1"/>
  <c r="F172" i="15"/>
  <c r="H172" i="15" s="1"/>
  <c r="F171" i="15"/>
  <c r="H171" i="15" s="1"/>
  <c r="F170" i="15"/>
  <c r="H170" i="15" s="1"/>
  <c r="F169" i="15"/>
  <c r="H169" i="15" s="1"/>
  <c r="H168" i="15"/>
  <c r="F167" i="15"/>
  <c r="H167" i="15" s="1"/>
  <c r="F159" i="15"/>
  <c r="H159" i="15" s="1"/>
  <c r="F165" i="15"/>
  <c r="H165" i="15" s="1"/>
  <c r="F164" i="15"/>
  <c r="H164" i="15" s="1"/>
  <c r="F163" i="15"/>
  <c r="H163" i="15" s="1"/>
  <c r="F162" i="15"/>
  <c r="H162" i="15" s="1"/>
  <c r="F161" i="15"/>
  <c r="H161" i="15" s="1"/>
  <c r="F160" i="15"/>
  <c r="H160" i="15" s="1"/>
  <c r="F158" i="15"/>
  <c r="H158" i="15" s="1"/>
  <c r="F157" i="15"/>
  <c r="H157" i="15" s="1"/>
  <c r="F156" i="15"/>
  <c r="H156" i="15" s="1"/>
  <c r="F154" i="15"/>
  <c r="H154" i="15" s="1"/>
  <c r="F153" i="15"/>
  <c r="H153" i="15" s="1"/>
  <c r="F152" i="15"/>
  <c r="H152" i="15" s="1"/>
  <c r="F151" i="15"/>
  <c r="H151" i="15" s="1"/>
  <c r="F150" i="15"/>
  <c r="H150" i="15" s="1"/>
  <c r="F149" i="15"/>
  <c r="H149" i="15" s="1"/>
  <c r="F148" i="15"/>
  <c r="H148" i="15" s="1"/>
  <c r="F147" i="15"/>
  <c r="H147" i="15" s="1"/>
  <c r="F146" i="15"/>
  <c r="H146" i="15" s="1"/>
  <c r="F145" i="15"/>
  <c r="H145" i="15" s="1"/>
  <c r="F117" i="15"/>
  <c r="H117" i="15" s="1"/>
  <c r="J117" i="15" s="1"/>
  <c r="F118" i="15"/>
  <c r="H118" i="15" s="1"/>
  <c r="J118" i="15" s="1"/>
  <c r="F119" i="15"/>
  <c r="H119" i="15" s="1"/>
  <c r="J119" i="15" s="1"/>
  <c r="F120" i="15"/>
  <c r="H120" i="15" s="1"/>
  <c r="F121" i="15"/>
  <c r="H121" i="15" s="1"/>
  <c r="F122" i="15"/>
  <c r="H122" i="15" s="1"/>
  <c r="F123" i="15"/>
  <c r="H123" i="15" s="1"/>
  <c r="F124" i="15"/>
  <c r="H124" i="15" s="1"/>
  <c r="F125" i="15"/>
  <c r="H125" i="15" s="1"/>
  <c r="F116" i="15"/>
  <c r="F104" i="15"/>
  <c r="H104" i="15" s="1"/>
  <c r="F105" i="15"/>
  <c r="H105" i="15" s="1"/>
  <c r="F106" i="15"/>
  <c r="H106" i="15" s="1"/>
  <c r="F107" i="15"/>
  <c r="H107" i="15" s="1"/>
  <c r="F108" i="15"/>
  <c r="H108" i="15" s="1"/>
  <c r="E13" i="15"/>
  <c r="E33" i="15"/>
  <c r="E35" i="15"/>
  <c r="C96" i="15" l="1"/>
  <c r="C97" i="15" s="1"/>
  <c r="C98" i="15" s="1"/>
  <c r="E96" i="15"/>
  <c r="H116" i="15"/>
  <c r="E97" i="15"/>
  <c r="E98" i="15" s="1"/>
  <c r="H185" i="15"/>
  <c r="G96" i="15" l="1"/>
  <c r="G97" i="15" s="1"/>
  <c r="I41" i="15"/>
  <c r="A212" i="15" l="1"/>
  <c r="A213" i="15" s="1"/>
  <c r="A214" i="15" s="1"/>
  <c r="A215" i="15" s="1"/>
  <c r="A216" i="15" s="1"/>
  <c r="A217" i="15" s="1"/>
  <c r="A168" i="15" l="1"/>
  <c r="A157" i="15"/>
  <c r="A158" i="15" s="1"/>
  <c r="A159" i="15" s="1"/>
  <c r="A160" i="15" s="1"/>
  <c r="A161" i="15" s="1"/>
  <c r="A162" i="15" s="1"/>
  <c r="A163" i="15" s="1"/>
  <c r="A164" i="15" s="1"/>
  <c r="A165" i="15" s="1"/>
  <c r="A146" i="15"/>
  <c r="A147" i="15" s="1"/>
  <c r="A148" i="15" s="1"/>
  <c r="A149" i="15" s="1"/>
  <c r="A150" i="15" s="1"/>
  <c r="A151" i="15" s="1"/>
  <c r="A152" i="15" s="1"/>
  <c r="A153" i="15" s="1"/>
  <c r="A154" i="15" s="1"/>
  <c r="A117" i="15"/>
  <c r="A118" i="15" s="1"/>
  <c r="A119" i="15" s="1"/>
  <c r="A120" i="15" s="1"/>
  <c r="A105" i="15"/>
  <c r="A106" i="15" s="1"/>
  <c r="A107" i="15" s="1"/>
  <c r="A108" i="15" s="1"/>
  <c r="O128" i="15"/>
  <c r="O129" i="15" l="1"/>
  <c r="A169" i="15"/>
  <c r="A170" i="15" s="1"/>
  <c r="A171" i="15" s="1"/>
  <c r="A172" i="15" s="1"/>
  <c r="A173" i="15" s="1"/>
  <c r="A174" i="15" s="1"/>
  <c r="A175" i="15" s="1"/>
  <c r="A176" i="15" s="1"/>
  <c r="G98" i="15"/>
  <c r="P128" i="15"/>
  <c r="N128" i="15" l="1"/>
  <c r="P129" i="15"/>
  <c r="P130" i="15" s="1"/>
  <c r="P131" i="15" s="1"/>
  <c r="P132" i="15" s="1"/>
  <c r="P133" i="15" s="1"/>
  <c r="P134" i="15" s="1"/>
  <c r="P135" i="15" s="1"/>
  <c r="P136" i="15" s="1"/>
  <c r="P137" i="15" s="1"/>
  <c r="O130" i="15"/>
  <c r="A44" i="15"/>
  <c r="A45" i="15" s="1"/>
  <c r="A46" i="15" s="1"/>
  <c r="N129" i="15" l="1"/>
  <c r="A48" i="15"/>
  <c r="A47" i="15"/>
  <c r="N130" i="15"/>
  <c r="O131" i="15"/>
  <c r="D218" i="15"/>
  <c r="O115" i="15"/>
  <c r="P115" i="15"/>
  <c r="O132" i="15" l="1"/>
  <c r="N131" i="15"/>
  <c r="N115" i="15"/>
  <c r="P116" i="15"/>
  <c r="P117" i="15" s="1"/>
  <c r="P118" i="15" s="1"/>
  <c r="P119" i="15" s="1"/>
  <c r="P120" i="15" s="1"/>
  <c r="P121" i="15" s="1"/>
  <c r="P122" i="15" s="1"/>
  <c r="P123" i="15" s="1"/>
  <c r="P124" i="15" s="1"/>
  <c r="O116" i="15"/>
  <c r="P102" i="15"/>
  <c r="O144" i="15"/>
  <c r="O102" i="15"/>
  <c r="P144" i="15"/>
  <c r="N132" i="15" l="1"/>
  <c r="O133" i="15"/>
  <c r="N116" i="15"/>
  <c r="O117" i="15"/>
  <c r="N117" i="15" s="1"/>
  <c r="N144" i="15"/>
  <c r="O145" i="15"/>
  <c r="P145" i="15"/>
  <c r="P146" i="15" s="1"/>
  <c r="P147" i="15" s="1"/>
  <c r="P148" i="15" s="1"/>
  <c r="P149" i="15" s="1"/>
  <c r="P150" i="15" s="1"/>
  <c r="P151" i="15" s="1"/>
  <c r="P152" i="15" s="1"/>
  <c r="P153" i="15" s="1"/>
  <c r="P103" i="15"/>
  <c r="P104" i="15" s="1"/>
  <c r="P105" i="15" s="1"/>
  <c r="P106" i="15" s="1"/>
  <c r="P107" i="15" s="1"/>
  <c r="P108" i="15" s="1"/>
  <c r="P109" i="15" s="1"/>
  <c r="P110" i="15" s="1"/>
  <c r="P111" i="15" s="1"/>
  <c r="P113" i="15" s="1"/>
  <c r="O103" i="15"/>
  <c r="N102" i="15"/>
  <c r="A121" i="15"/>
  <c r="A122" i="15" s="1"/>
  <c r="A123" i="15" s="1"/>
  <c r="A124" i="15" s="1"/>
  <c r="A125" i="15" s="1"/>
  <c r="A126" i="15" s="1"/>
  <c r="A127" i="15" s="1"/>
  <c r="N133" i="15" l="1"/>
  <c r="O134" i="15"/>
  <c r="O118" i="15"/>
  <c r="N118" i="15" s="1"/>
  <c r="N145" i="15"/>
  <c r="O146" i="15"/>
  <c r="N146" i="15" s="1"/>
  <c r="O104" i="15"/>
  <c r="N103" i="15"/>
  <c r="N134" i="15" l="1"/>
  <c r="O135" i="15"/>
  <c r="O119" i="15"/>
  <c r="N119" i="15" s="1"/>
  <c r="O147" i="15"/>
  <c r="N147" i="15" s="1"/>
  <c r="O105" i="15"/>
  <c r="N104" i="15"/>
  <c r="N135" i="15" l="1"/>
  <c r="O136" i="15"/>
  <c r="O120" i="15"/>
  <c r="N120" i="15" s="1"/>
  <c r="O148" i="15"/>
  <c r="N148" i="15" s="1"/>
  <c r="O106" i="15"/>
  <c r="N105" i="15"/>
  <c r="O137" i="15" l="1"/>
  <c r="N137" i="15" s="1"/>
  <c r="N136" i="15"/>
  <c r="O121" i="15"/>
  <c r="N121" i="15" s="1"/>
  <c r="O149" i="15"/>
  <c r="N149" i="15" s="1"/>
  <c r="O107" i="15"/>
  <c r="N106" i="15"/>
  <c r="O122" i="15" l="1"/>
  <c r="N122" i="15" s="1"/>
  <c r="O150" i="15"/>
  <c r="N150" i="15" s="1"/>
  <c r="O108" i="15"/>
  <c r="N107" i="15"/>
  <c r="O123" i="15" l="1"/>
  <c r="N123" i="15" s="1"/>
  <c r="O151" i="15"/>
  <c r="N151" i="15" s="1"/>
  <c r="O109" i="15"/>
  <c r="N108" i="15"/>
  <c r="O124" i="15" l="1"/>
  <c r="N124" i="15" s="1"/>
  <c r="O152" i="15"/>
  <c r="N152" i="15" s="1"/>
  <c r="O110" i="15"/>
  <c r="N109" i="15"/>
  <c r="O153" i="15" l="1"/>
  <c r="N153" i="15" s="1"/>
  <c r="O111" i="15"/>
  <c r="O113" i="15" s="1"/>
  <c r="N113" i="15" s="1"/>
  <c r="N110" i="15"/>
  <c r="N111" i="15" l="1"/>
  <c r="H202" i="15" l="1"/>
</calcChain>
</file>

<file path=xl/comments1.xml><?xml version="1.0" encoding="utf-8"?>
<comments xmlns="http://schemas.openxmlformats.org/spreadsheetml/2006/main">
  <authors>
    <author>SACHIN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Visit Date 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 xml:space="preserve">Visitor Name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Met person &amp; No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mention it if provided by builder or else NA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2 School
2 Shopping Centre or mall
2 Hospital</t>
        </r>
      </text>
    </comment>
    <comment ref="E178" authorId="0" shapeId="0">
      <text>
        <r>
          <rPr>
            <b/>
            <sz val="9"/>
            <color indexed="81"/>
            <rFont val="Tahoma"/>
            <family val="2"/>
          </rPr>
          <t>Proposed Structure</t>
        </r>
      </text>
    </comment>
  </commentList>
</comments>
</file>

<file path=xl/sharedStrings.xml><?xml version="1.0" encoding="utf-8"?>
<sst xmlns="http://schemas.openxmlformats.org/spreadsheetml/2006/main" count="306" uniqueCount="240">
  <si>
    <t>Undertaking :</t>
  </si>
  <si>
    <t>2) I/We have no direct or Indirect Interest in the property being valued</t>
  </si>
  <si>
    <t>Description</t>
  </si>
  <si>
    <t>1) We have personally visited the property &amp; identified the same based on the documents provided</t>
  </si>
  <si>
    <t>Type of Work</t>
  </si>
  <si>
    <t>Plinth</t>
  </si>
  <si>
    <t>3) The information furnished above is true and correct to my/our knowledge.</t>
  </si>
  <si>
    <t>5) Legal title of the property is not verified by us.</t>
  </si>
  <si>
    <t xml:space="preserve">Valuation Report </t>
  </si>
  <si>
    <t>Yes</t>
  </si>
  <si>
    <t>NA</t>
  </si>
  <si>
    <t xml:space="preserve">4)  The saleable area is as per Our Calculation.  </t>
  </si>
  <si>
    <t>Total</t>
  </si>
  <si>
    <t xml:space="preserve">Recommended rate of Parking </t>
  </si>
  <si>
    <t>Particulars</t>
  </si>
  <si>
    <t>Google Map :</t>
  </si>
  <si>
    <t>Sr.No.</t>
  </si>
  <si>
    <t>Details</t>
  </si>
  <si>
    <t>Name of the project</t>
  </si>
  <si>
    <t>Address as per the site visit</t>
  </si>
  <si>
    <t>Closest landmark</t>
  </si>
  <si>
    <t>Address as per the Sale brochure</t>
  </si>
  <si>
    <t>Address as per the plans &amp; permissions</t>
  </si>
  <si>
    <t>Address as per the legal documentation</t>
  </si>
  <si>
    <t>Date of APF initiation from YBL</t>
  </si>
  <si>
    <t>List of documents provided</t>
  </si>
  <si>
    <t>Queries communicated to YBL regarding discrepancies in documentation, details etc</t>
  </si>
  <si>
    <t>Date of query resolution from YBL</t>
  </si>
  <si>
    <t>Any further documentation that needs to be complied prior to start of disbursement in the project? Provide complete details.</t>
  </si>
  <si>
    <t>Date of contacting concerned developer personnel for site visit</t>
  </si>
  <si>
    <t>Date, day &amp; timing of Site visit</t>
  </si>
  <si>
    <t>Name of the person conducting the site visit &amp; contact details</t>
  </si>
  <si>
    <t>Details of Financial Institutions who's APF Approval Letters / Boards were displayed on site</t>
  </si>
  <si>
    <t>Details of sold v/s unsold units</t>
  </si>
  <si>
    <t>Has the developer availed any kind of construction / project finance? If yes, details are required.</t>
  </si>
  <si>
    <t>Developer name</t>
  </si>
  <si>
    <t>Developer group parent company</t>
  </si>
  <si>
    <t>Developer office address along with contact details</t>
  </si>
  <si>
    <t>Architect details ( Name, office address, mobile number, registration number )</t>
  </si>
  <si>
    <t>Authority jurisdiction for the project location</t>
  </si>
  <si>
    <t>Zoning Approval for the project location as per the MDP</t>
  </si>
  <si>
    <t>Does the proposed development match with the Zoning Approval? Detailed feedback</t>
  </si>
  <si>
    <t>Project type ( Residential / Mixed / Flats / Villas / Row Houses etc )</t>
  </si>
  <si>
    <t>Does the ongoing construction match with the Approved Site Layout? If no, details expected.</t>
  </si>
  <si>
    <t>Permissible TDR</t>
  </si>
  <si>
    <t>Project launch date</t>
  </si>
  <si>
    <t>Average weighted stage of construction for the project with construction stages of individual wings</t>
  </si>
  <si>
    <t>Phase, building &amp; wingwise naming &amp; numbering details</t>
  </si>
  <si>
    <t>Are there any deviations between the ongoing construction &amp; the available plans &amp; permissions. If yes, details are expected.</t>
  </si>
  <si>
    <t>Pricing comparisons ( Builder pricing v/s Resale v/s Nearby Projects with Rationale &amp; justification )</t>
  </si>
  <si>
    <t>Transaction documentation details ( Black / White percentages etc )</t>
  </si>
  <si>
    <t>Different types of payment schemes offered such as CLPP, TLPP, C &amp; TLPP, Interest Subvention Plans etc</t>
  </si>
  <si>
    <t>Schedule of Payment as per the developer</t>
  </si>
  <si>
    <t>Are there any discrepancies in the legal / technical documentation that may affect the business interests of YBL? If yes, please elaborate.</t>
  </si>
  <si>
    <t>Any evidences of social disturbances at the project site that may affect the business interests of YBL? If yes, please elaborate.</t>
  </si>
  <si>
    <t>Any notices or boards of litigation at project site / developer office that may affect the business interests of YBL? If yes, please elaborate.</t>
  </si>
  <si>
    <t>Any further documentation that needs to be tracked by the Financial Institution &amp; obtained from the customer / developer post project completion? Provide complete details.</t>
  </si>
  <si>
    <t>Declarations :-</t>
  </si>
  <si>
    <t>(a)</t>
  </si>
  <si>
    <t>Have you done APF technical for this project for any other Financial Institution?</t>
  </si>
  <si>
    <t>Have you done evaluation of this project for the Project / Construction Finance perspective for any Financial Insitution?</t>
  </si>
  <si>
    <t>(b)</t>
  </si>
  <si>
    <t>Physical &amp; social infrastructure availability details ( Bus stop, railway station, public park, main road, airport, hospital, public transport, school, market etc )</t>
  </si>
  <si>
    <t>Boundary details ( Are they matching as per the legal &amp; technical documentation )</t>
  </si>
  <si>
    <t>Phase, building &amp; wingwise structure details ( Approvals v/s proposed v/s constructed ( If 100 % complete ) ( Deviations to be pointed out )</t>
  </si>
  <si>
    <t>None</t>
  </si>
  <si>
    <t>As per Site Details :</t>
  </si>
  <si>
    <t>No</t>
  </si>
  <si>
    <t>Yes its comes under Residential zone</t>
  </si>
  <si>
    <t>Yes as per plan. But NA order not provided to verify.</t>
  </si>
  <si>
    <t>Permissions applicable v/s available (Detailed analysis)</t>
  </si>
  <si>
    <t>Building &amp; Wing</t>
  </si>
  <si>
    <t>No. of Units</t>
  </si>
  <si>
    <t>Total Carpet Area</t>
  </si>
  <si>
    <t>Total Saleable Area</t>
  </si>
  <si>
    <t xml:space="preserve">Approval Detail : Plan approval </t>
  </si>
  <si>
    <t>Dated</t>
  </si>
  <si>
    <t xml:space="preserve">O. Certificate No.: </t>
  </si>
  <si>
    <t>NA
Approved upto :</t>
  </si>
  <si>
    <t xml:space="preserve">Date of approval: </t>
  </si>
  <si>
    <t>Does the Plot Area match as per the legal documentation?</t>
  </si>
  <si>
    <t>Does the Plot Area match as per the Non Agriculture documentation?</t>
  </si>
  <si>
    <t>PHOTOGRAPHS OF PROPERTY :</t>
  </si>
  <si>
    <t>RERA Name &amp; No.</t>
  </si>
  <si>
    <t>Basement</t>
  </si>
  <si>
    <t>Podium</t>
  </si>
  <si>
    <t>Ground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</si>
  <si>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</si>
  <si>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</si>
  <si>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</si>
  <si>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</si>
  <si>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</si>
  <si>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</si>
  <si>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r>
      <rPr>
        <b/>
        <u/>
        <sz val="11"/>
        <rFont val="Times New Roman"/>
        <family val="1"/>
      </rPr>
      <t>Lifestyle Amenities :</t>
    </r>
    <r>
      <rPr>
        <sz val="11"/>
        <rFont val="Times New Roman"/>
        <family val="1"/>
      </rPr>
      <t xml:space="preserve">
Internal Paved roads.
Decorative compound Walls with security features
Power backup for lifts &amp; common areas
</t>
    </r>
    <r>
      <rPr>
        <b/>
        <u/>
        <sz val="11"/>
        <rFont val="Times New Roman"/>
        <family val="1"/>
      </rPr>
      <t>Modern Amenities ;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FLOORING</t>
    </r>
    <r>
      <rPr>
        <sz val="11"/>
        <rFont val="Times New Roman"/>
        <family val="1"/>
      </rPr>
      <t xml:space="preserve">
Vitrified flooring in all rooms
Anti-skid tiles in attached terrace area
</t>
    </r>
    <r>
      <rPr>
        <b/>
        <sz val="11"/>
        <rFont val="Times New Roman"/>
        <family val="1"/>
      </rPr>
      <t>KITCHEN</t>
    </r>
    <r>
      <rPr>
        <sz val="11"/>
        <rFont val="Times New Roman"/>
        <family val="1"/>
      </rPr>
      <t xml:space="preserve">
Granite kitchen platform
Stainless steel and sink mixture
</t>
    </r>
    <r>
      <rPr>
        <b/>
        <sz val="11"/>
        <rFont val="Times New Roman"/>
        <family val="1"/>
      </rPr>
      <t>TOILETS</t>
    </r>
    <r>
      <rPr>
        <sz val="11"/>
        <rFont val="Times New Roman"/>
        <family val="1"/>
      </rPr>
      <t xml:space="preserve">
Designer bathroom with branded sanitary ware
Concealed plumbing with premium C. P. fittings
Geyser connection to all bathrooms
</t>
    </r>
    <r>
      <rPr>
        <b/>
        <sz val="11"/>
        <rFont val="Times New Roman"/>
        <family val="1"/>
      </rPr>
      <t xml:space="preserve">WINDOWS
</t>
    </r>
    <r>
      <rPr>
        <sz val="11"/>
        <rFont val="Times New Roman"/>
        <family val="1"/>
      </rPr>
      <t xml:space="preserve">Powdered Aluminium Sliding windows
</t>
    </r>
    <r>
      <rPr>
        <b/>
        <sz val="11"/>
        <color indexed="8"/>
        <rFont val="Times New Roman"/>
        <family val="1"/>
      </rPr>
      <t/>
    </r>
  </si>
  <si>
    <r>
      <rPr>
        <b/>
        <sz val="11"/>
        <rFont val="Times New Roman"/>
        <family val="1"/>
      </rPr>
      <t>SECURITY</t>
    </r>
    <r>
      <rPr>
        <sz val="11"/>
        <rFont val="Times New Roman"/>
        <family val="1"/>
      </rPr>
      <t xml:space="preserve">
Modern security system with CCTV at security cabin
Intercom facility in each flat
</t>
    </r>
    <r>
      <rPr>
        <b/>
        <sz val="11"/>
        <rFont val="Times New Roman"/>
        <family val="1"/>
      </rPr>
      <t>ELECTRIFICATION</t>
    </r>
    <r>
      <rPr>
        <sz val="11"/>
        <rFont val="Times New Roman"/>
        <family val="1"/>
      </rPr>
      <t xml:space="preserve">
Branded concealed copper wiring with isolater / MCB TV, telephone &amp; internet points in all rooms
</t>
    </r>
    <r>
      <rPr>
        <b/>
        <sz val="11"/>
        <rFont val="Times New Roman"/>
        <family val="1"/>
      </rPr>
      <t>WALLS AND PAINTS</t>
    </r>
    <r>
      <rPr>
        <sz val="11"/>
        <rFont val="Times New Roman"/>
        <family val="1"/>
      </rPr>
      <t xml:space="preserve">
Gypsum finished internal walls with plastic paints</t>
    </r>
  </si>
  <si>
    <t>Shop</t>
  </si>
  <si>
    <t>2nd to 6th Floor</t>
  </si>
  <si>
    <t>Flats</t>
  </si>
  <si>
    <t>Commercial Area Details :</t>
  </si>
  <si>
    <t>Commecement</t>
  </si>
  <si>
    <t>1st Slab</t>
  </si>
  <si>
    <t>2nd Slab</t>
  </si>
  <si>
    <t>3rd Slab</t>
  </si>
  <si>
    <t>4th Slab</t>
  </si>
  <si>
    <t>5th Slab</t>
  </si>
  <si>
    <t>Completion of Brick work</t>
  </si>
  <si>
    <t>Completion of Plaster work</t>
  </si>
  <si>
    <t>Completion of Water Proofing</t>
  </si>
  <si>
    <t>Completion of Flooring, Doors &amp; Windows</t>
  </si>
  <si>
    <t>Painting, Electrical &amp; Sanitary Fittings</t>
  </si>
  <si>
    <t>On Possession</t>
  </si>
  <si>
    <t>3rd, 5th, 7th, 9th Floor</t>
  </si>
  <si>
    <t>2nd &amp; 6th Floor</t>
  </si>
  <si>
    <t>Name of developer personnel for site visit coordination with contact details (Mobile, landline, email)</t>
  </si>
  <si>
    <t>Name of person met at site (Full Name, Designation, Mobile Number, Landline Number, email id)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</si>
  <si>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</si>
  <si>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</si>
  <si>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</si>
  <si>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</si>
  <si>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</si>
  <si>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</si>
  <si>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</si>
  <si>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</si>
  <si>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</si>
  <si>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</si>
  <si>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</si>
  <si>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</si>
  <si>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</si>
  <si>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</si>
  <si>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</si>
  <si>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</si>
  <si>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</si>
  <si>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</si>
  <si>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</si>
  <si>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</si>
  <si>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</si>
  <si>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</si>
  <si>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</si>
  <si>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Name of Engineer Visited the property</t>
  </si>
  <si>
    <t>Phase, building, wing, unit wise pricing details (Base pricing, floor rise, location / view specific, etc)</t>
  </si>
  <si>
    <t xml:space="preserve">Same </t>
  </si>
  <si>
    <t>Location Link</t>
  </si>
  <si>
    <t>Layout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</si>
  <si>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</si>
  <si>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 :</t>
  </si>
  <si>
    <t xml:space="preserve">Permissible FSI / FAR
</t>
  </si>
  <si>
    <t xml:space="preserve">Premium FSI / FAR
</t>
  </si>
  <si>
    <t>Ancillary FSI / FAR</t>
  </si>
  <si>
    <t>Total FSI</t>
  </si>
  <si>
    <t>As per Market Enquiry :</t>
  </si>
  <si>
    <t xml:space="preserve">All details payable </t>
  </si>
  <si>
    <t>Name / No of the Existing Building</t>
  </si>
  <si>
    <t xml:space="preserve">Remarks:  </t>
  </si>
  <si>
    <t xml:space="preserve">We considered  Saleable area as per our calculation.
</t>
  </si>
  <si>
    <t xml:space="preserve">We considered Carpet area as per Approved Plan.
</t>
  </si>
  <si>
    <t xml:space="preserve">We have considered rate by verifying it from market inquire.
</t>
  </si>
  <si>
    <t xml:space="preserve">Car parking is subjected to authentic documentation.
</t>
  </si>
  <si>
    <t>Recommended rate should be considered as all inclusive rate if other charges are not mentioned. (Excluding GST &amp; other government Taxes)</t>
  </si>
  <si>
    <t>Realizable Rate of the flat Per Sq. Ft. (on Saleable area)</t>
  </si>
  <si>
    <t>Grand Total</t>
  </si>
  <si>
    <t>Otla
Area</t>
  </si>
  <si>
    <t>Building Details Floor Wise</t>
  </si>
  <si>
    <t>Project Construction Start date</t>
  </si>
  <si>
    <t>As projected by the Developer</t>
  </si>
  <si>
    <t>As projected by the RERA</t>
  </si>
  <si>
    <t>Construction Details:</t>
  </si>
  <si>
    <t>Loft Area</t>
  </si>
  <si>
    <t>Valid Upto 
Date</t>
  </si>
  <si>
    <t xml:space="preserve">Approved Floor </t>
  </si>
  <si>
    <t>Proposed Floor</t>
  </si>
  <si>
    <t xml:space="preserve">Commencement Certificate No. 
Valid Up to: 
</t>
  </si>
  <si>
    <t>Flat No. 
(Approved  Plan)</t>
  </si>
  <si>
    <t>Saleable Area
Loading :</t>
  </si>
  <si>
    <t>Gross Carpet Area</t>
  </si>
  <si>
    <t>Attached Terrace Area</t>
  </si>
  <si>
    <r>
      <rPr>
        <sz val="11"/>
        <rFont val="Times New Roman"/>
        <family val="1"/>
      </rPr>
      <t xml:space="preserve">Proposed Amenities    </t>
    </r>
    <r>
      <rPr>
        <sz val="11"/>
        <color rgb="FFFF0000"/>
        <rFont val="Times New Roman"/>
        <family val="1"/>
      </rPr>
      <t xml:space="preserve">   </t>
    </r>
  </si>
  <si>
    <t>Carpet Area</t>
  </si>
  <si>
    <t>Net Plot Area (Sq.M)</t>
  </si>
  <si>
    <t>Plot Area (Sq.M)</t>
  </si>
  <si>
    <t>Ground Floor For Commercial &amp; Parking</t>
  </si>
  <si>
    <t xml:space="preserve">Details of Residential in Building     </t>
  </si>
  <si>
    <t xml:space="preserve">Details of Commercial in Building     </t>
  </si>
  <si>
    <t xml:space="preserve">Expected Completion Date </t>
  </si>
  <si>
    <t>Authorized Signatory
Name &amp; Seal of the Agency</t>
  </si>
  <si>
    <t>Date of documents delivery / Receipt</t>
  </si>
  <si>
    <t>Builtup Area (Sq.M)</t>
  </si>
  <si>
    <t xml:space="preserve">Layout Plan No. </t>
  </si>
  <si>
    <t>Approved Floor Plan No</t>
  </si>
  <si>
    <t xml:space="preserve">Fire Noc No
Valid Up to: 
</t>
  </si>
  <si>
    <t xml:space="preserve">Airport Noc No
Valid Up for: 
</t>
  </si>
  <si>
    <t xml:space="preserve">Environmental Clearance Certificate (EC) No
Valid Up for: 
</t>
  </si>
  <si>
    <t>P99000080543</t>
  </si>
  <si>
    <t>Super Homez-padmavati Paradise</t>
  </si>
  <si>
    <t xml:space="preserve">Super Homez-padmavati Paradise
</t>
  </si>
  <si>
    <t>Dec - 2028</t>
  </si>
  <si>
    <t>Ground Floor For Meter Room, Society Office, Drivers Room, Entrance Lobby &amp; Parking</t>
  </si>
  <si>
    <t>1st to 7th, 9th to 12th, 14th to 17th, 19th &amp; 20th Floor for Residential</t>
  </si>
  <si>
    <t>8th, 13th &amp; 18th Floor (Part Refuge Area)</t>
  </si>
  <si>
    <t>-</t>
  </si>
  <si>
    <t>Refuge Area</t>
  </si>
  <si>
    <t>2BHK</t>
  </si>
  <si>
    <t>1BHK</t>
  </si>
  <si>
    <t>1RK</t>
  </si>
  <si>
    <t>E.P Area</t>
  </si>
  <si>
    <t>21st Floor (Part Terrace Area)</t>
  </si>
  <si>
    <t>Building No.2 (Wing A + B) = Gr/St + 1st to 21st Floor</t>
  </si>
  <si>
    <t>VVCMC/TP/AMEND/VP/0333/35/2024-25</t>
  </si>
  <si>
    <t>VVCMC/TP/RDP/VP-0333/35/2024-25</t>
  </si>
  <si>
    <t>Building No.2 = Gr/St + 1st to 21st Floor
No. of Flats = 239 Nos.
Total BUA = 12036.34 Sq.Mt.</t>
  </si>
  <si>
    <t>Enclose Balcony Area</t>
  </si>
  <si>
    <t>Flats = 239</t>
  </si>
  <si>
    <t>We considered Gross carpet area = Net carpet + Enclose Balcony + E.P. Area.</t>
  </si>
  <si>
    <t>https://maps.app.goo.gl/wEqFVQLHM3ehP6nC7</t>
  </si>
  <si>
    <t>19.4597065,72.8121199</t>
  </si>
  <si>
    <t>S.No.350, H.No.A/1/A/2/1/A/3/7, S.No.19, H.No.A/14. A/21, 10/C/13, Vitthal Wadi, Veer Savarkar Marg, Near Prasadam bldg, Virar (East), Tal - Vasai.</t>
  </si>
  <si>
    <t xml:space="preserve">SCHOOL :
NGV English Medium High School - 0.65 Km
Star English Medium School - 0.5 Km
SHOPPING :
D Martt - 1.6 Km
D'lite Mart - 0.45 Km
HOSPITALS :
Lifeline Hospital - 0.9 Km
Mahavir Hospital - 1.2 Km
PETROL PUMP :
Nayana Energy Petrol Pump - 2.6Km
HP Petrol Pump - 3.0Km
</t>
  </si>
  <si>
    <t>Incentive TDR</t>
  </si>
  <si>
    <t>Builtup Area of Building No 02 (Sq.M)</t>
  </si>
  <si>
    <t>Residential Area Details : Building No. 02</t>
  </si>
  <si>
    <t>Building No. 02</t>
  </si>
  <si>
    <t>Farooqiya Masjid</t>
  </si>
  <si>
    <t>Proposed Residential with Shopline cum Comm. Bldg (EWS Scheme) on property bearing S.no.350/E, 350/1/D, 350/A/16/3, 350/1/A/3/C, 350/A/1/A/2, 350/1/A/3/7, 350/A/1/A/3/B, 19/B/9, 18/3, 19/10/C, 19/13, 19/A/14, 19/17, 19/A/21 of Vill - Virar, Tal - Vasai, Dist - Palghar</t>
  </si>
  <si>
    <t xml:space="preserve">Approved Plan
C.C
RERA Certificate
Builder Profile
</t>
  </si>
  <si>
    <t>M/s.Mangalmurti Estate Developers LLP</t>
  </si>
  <si>
    <t>18,19,20, 4th floor, Plot No.195, Saheb Building, Jivaji Lane, Bora Bazar, Fort, Mumbai, Maharashtra : 400001.</t>
  </si>
  <si>
    <t>Shree Consultants Architects : B/203, Akanksha Tower, Near Railway station, Nallasopara (East).</t>
  </si>
  <si>
    <t>Vasai-Virar City Municipal Corporation (VVCMC)</t>
  </si>
  <si>
    <t>Multipurpose Turf, Yoga &amp; Meditation Area, Open Gym, Toddlers Play Area, Kids Play Area, Star Gazing, Outdoor Function Area, Jogging Track, Barbeque Pit, Pergola Sitting</t>
  </si>
  <si>
    <t>Building No.2 (Wing A) = Gr/St + 1st to 21st Floor</t>
  </si>
  <si>
    <t>Building No.2 (Wing B) = Gr/St + 1st to 21st Floor</t>
  </si>
  <si>
    <t>Building No.2 (Wing A &amp; B) = Gr/St + 1st to 21st Floor</t>
  </si>
  <si>
    <t xml:space="preserve">Mr. Navnath Bhatkar </t>
  </si>
  <si>
    <t>S.No.19 &amp; 350, Vitthalwadi, Near Prasanna, Veer Savarkar Road, Virar (East)</t>
  </si>
  <si>
    <t>Apoorva : 7249277967</t>
  </si>
  <si>
    <t>04/09/2025 Thursday @ 03:46 PM</t>
  </si>
  <si>
    <t>Mr. Navnath Bhatkar : 8983468660</t>
  </si>
  <si>
    <t>Mr. Dhanesh : 7666169742.</t>
  </si>
  <si>
    <t>June 2025</t>
  </si>
  <si>
    <t xml:space="preserve">Construction work is in process at the time of Visit.
</t>
  </si>
  <si>
    <t>55 to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</si>
</sst>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14">
    <xf numFmtId="0" fontId="0" fillId="0" borderId="0" xfId="0"/>
    <xf numFmtId="1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Protection="1">
      <protection hidden="1"/>
    </xf>
    <xf numFmtId="0" fontId="8" fillId="0" borderId="16" xfId="0" applyFont="1" applyFill="1" applyBorder="1" applyProtection="1">
      <protection hidden="1"/>
    </xf>
    <xf numFmtId="0" fontId="9" fillId="0" borderId="10" xfId="2" applyFont="1" applyFill="1" applyBorder="1" applyProtection="1">
      <protection hidden="1"/>
    </xf>
    <xf numFmtId="0" fontId="4" fillId="0" borderId="22" xfId="2" applyFont="1" applyFill="1" applyBorder="1" applyAlignment="1" applyProtection="1">
      <alignment horizontal="center" vertical="top"/>
      <protection locked="0"/>
    </xf>
    <xf numFmtId="0" fontId="4" fillId="0" borderId="1" xfId="2" applyFont="1" applyFill="1" applyBorder="1" applyAlignment="1" applyProtection="1">
      <alignment horizontal="center" vertical="top"/>
      <protection locked="0"/>
    </xf>
    <xf numFmtId="0" fontId="9" fillId="0" borderId="0" xfId="2" applyFont="1" applyFill="1" applyBorder="1" applyProtection="1">
      <protection hidden="1"/>
    </xf>
    <xf numFmtId="0" fontId="9" fillId="0" borderId="0" xfId="0" applyFont="1" applyFill="1"/>
    <xf numFmtId="0" fontId="5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9" fillId="0" borderId="21" xfId="2" applyFont="1" applyFill="1" applyBorder="1" applyProtection="1">
      <protection hidden="1"/>
    </xf>
    <xf numFmtId="0" fontId="9" fillId="0" borderId="23" xfId="2" applyFont="1" applyFill="1" applyBorder="1" applyProtection="1">
      <protection hidden="1"/>
    </xf>
    <xf numFmtId="0" fontId="9" fillId="0" borderId="23" xfId="2" applyFont="1" applyFill="1" applyBorder="1"/>
    <xf numFmtId="0" fontId="8" fillId="0" borderId="23" xfId="0" applyNumberFormat="1" applyFont="1" applyFill="1" applyBorder="1" applyProtection="1">
      <protection hidden="1"/>
    </xf>
    <xf numFmtId="1" fontId="6" fillId="0" borderId="23" xfId="0" applyNumberFormat="1" applyFont="1" applyFill="1" applyBorder="1"/>
    <xf numFmtId="1" fontId="6" fillId="0" borderId="23" xfId="0" applyNumberFormat="1" applyFont="1" applyFill="1" applyBorder="1" applyAlignment="1">
      <alignment horizontal="right"/>
    </xf>
    <xf numFmtId="1" fontId="6" fillId="0" borderId="19" xfId="0" applyNumberFormat="1" applyFont="1" applyFill="1" applyBorder="1"/>
    <xf numFmtId="0" fontId="4" fillId="0" borderId="1" xfId="2" applyFont="1" applyFill="1" applyBorder="1" applyAlignment="1">
      <alignment horizontal="left" vertical="top"/>
    </xf>
    <xf numFmtId="0" fontId="4" fillId="0" borderId="1" xfId="2" applyFont="1" applyFill="1" applyBorder="1" applyAlignment="1">
      <alignment vertical="top"/>
    </xf>
    <xf numFmtId="0" fontId="10" fillId="0" borderId="0" xfId="0" applyFont="1" applyFill="1"/>
    <xf numFmtId="1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14" fontId="2" fillId="0" borderId="0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9" fontId="10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/>
    </xf>
    <xf numFmtId="0" fontId="4" fillId="0" borderId="6" xfId="2" applyFont="1" applyFill="1" applyBorder="1" applyAlignment="1" applyProtection="1">
      <alignment horizontal="center" vertical="top"/>
      <protection locked="0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5" xfId="2" applyFont="1" applyFill="1" applyBorder="1" applyAlignment="1" applyProtection="1">
      <alignment horizontal="center" vertical="top"/>
      <protection locked="0"/>
    </xf>
    <xf numFmtId="14" fontId="4" fillId="0" borderId="5" xfId="0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top"/>
    </xf>
    <xf numFmtId="0" fontId="10" fillId="0" borderId="1" xfId="2" applyFont="1" applyFill="1" applyBorder="1" applyAlignment="1">
      <alignment vertical="top" wrapText="1"/>
    </xf>
    <xf numFmtId="0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1" fontId="2" fillId="0" borderId="1" xfId="2" applyNumberFormat="1" applyFont="1" applyFill="1" applyBorder="1" applyAlignment="1">
      <alignment horizontal="center" vertical="top" wrapText="1"/>
    </xf>
    <xf numFmtId="1" fontId="5" fillId="0" borderId="1" xfId="2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top"/>
    </xf>
    <xf numFmtId="1" fontId="9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1" xfId="2" applyFont="1" applyFill="1" applyBorder="1" applyAlignment="1" applyProtection="1">
      <alignment horizontal="center" vertical="top" wrapText="1"/>
      <protection locked="0"/>
    </xf>
    <xf numFmtId="0" fontId="4" fillId="0" borderId="1" xfId="2" applyFont="1" applyFill="1" applyBorder="1" applyAlignment="1" applyProtection="1">
      <alignment horizontal="center" wrapText="1"/>
      <protection locked="0"/>
    </xf>
    <xf numFmtId="9" fontId="4" fillId="0" borderId="3" xfId="2" applyNumberFormat="1" applyFont="1" applyFill="1" applyBorder="1" applyAlignment="1" applyProtection="1">
      <alignment horizontal="center" vertical="center" wrapText="1"/>
      <protection hidden="1"/>
    </xf>
    <xf numFmtId="1" fontId="4" fillId="0" borderId="1" xfId="2" applyNumberFormat="1" applyFont="1" applyFill="1" applyBorder="1" applyAlignment="1" applyProtection="1">
      <alignment horizontal="center" wrapText="1"/>
      <protection locked="0"/>
    </xf>
    <xf numFmtId="0" fontId="4" fillId="0" borderId="18" xfId="2" applyFont="1" applyFill="1" applyBorder="1" applyAlignment="1" applyProtection="1">
      <alignment horizontal="center" wrapText="1"/>
      <protection locked="0"/>
    </xf>
    <xf numFmtId="9" fontId="4" fillId="0" borderId="17" xfId="2" applyNumberFormat="1" applyFont="1" applyFill="1" applyBorder="1" applyAlignment="1" applyProtection="1">
      <alignment horizontal="center" vertical="center" wrapText="1"/>
      <protection hidden="1"/>
    </xf>
    <xf numFmtId="1" fontId="9" fillId="0" borderId="0" xfId="0" applyNumberFormat="1" applyFont="1" applyFill="1"/>
    <xf numFmtId="0" fontId="4" fillId="0" borderId="0" xfId="0" applyFont="1" applyFill="1"/>
    <xf numFmtId="9" fontId="14" fillId="0" borderId="1" xfId="6" applyFont="1" applyFill="1" applyBorder="1" applyAlignment="1" applyProtection="1">
      <alignment horizontal="center" vertical="top" wrapText="1"/>
      <protection locked="0"/>
    </xf>
    <xf numFmtId="9" fontId="5" fillId="0" borderId="1" xfId="6" applyFont="1" applyFill="1" applyBorder="1" applyAlignment="1" applyProtection="1">
      <alignment horizontal="center" vertical="top" wrapText="1"/>
      <protection locked="0"/>
    </xf>
    <xf numFmtId="1" fontId="9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1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>
      <alignment horizontal="center" vertical="top" wrapText="1"/>
    </xf>
    <xf numFmtId="0" fontId="10" fillId="0" borderId="1" xfId="2" applyFont="1" applyFill="1" applyBorder="1" applyAlignment="1">
      <alignment horizontal="left" vertical="top" wrapText="1"/>
    </xf>
    <xf numFmtId="0" fontId="5" fillId="0" borderId="22" xfId="2" applyFont="1" applyFill="1" applyBorder="1" applyAlignment="1" applyProtection="1">
      <alignment horizontal="left" vertical="top"/>
      <protection locked="0"/>
    </xf>
    <xf numFmtId="0" fontId="5" fillId="0" borderId="1" xfId="2" applyFont="1" applyFill="1" applyBorder="1" applyAlignment="1" applyProtection="1">
      <alignment horizontal="left" vertical="top"/>
      <protection locked="0"/>
    </xf>
    <xf numFmtId="0" fontId="5" fillId="0" borderId="3" xfId="2" applyFont="1" applyFill="1" applyBorder="1" applyAlignment="1" applyProtection="1">
      <alignment horizontal="left" vertical="top" wrapText="1"/>
      <protection locked="0"/>
    </xf>
    <xf numFmtId="0" fontId="5" fillId="0" borderId="4" xfId="2" applyFont="1" applyFill="1" applyBorder="1" applyAlignment="1" applyProtection="1">
      <alignment horizontal="left" vertical="top" wrapText="1"/>
      <protection locked="0"/>
    </xf>
    <xf numFmtId="0" fontId="5" fillId="0" borderId="15" xfId="2" applyFont="1" applyFill="1" applyBorder="1" applyAlignment="1" applyProtection="1">
      <alignment horizontal="left" vertical="top" wrapText="1"/>
      <protection locked="0"/>
    </xf>
    <xf numFmtId="0" fontId="4" fillId="0" borderId="24" xfId="2" applyFont="1" applyFill="1" applyBorder="1" applyAlignment="1" applyProtection="1">
      <alignment horizontal="center" vertical="top" wrapText="1"/>
      <protection locked="0"/>
    </xf>
    <xf numFmtId="0" fontId="4" fillId="0" borderId="6" xfId="2" applyFont="1" applyFill="1" applyBorder="1" applyAlignment="1" applyProtection="1">
      <alignment horizontal="center" vertical="top" wrapText="1"/>
      <protection locked="0"/>
    </xf>
    <xf numFmtId="0" fontId="4" fillId="0" borderId="3" xfId="2" applyFont="1" applyFill="1" applyBorder="1" applyAlignment="1" applyProtection="1">
      <alignment horizontal="center" vertical="top" wrapText="1"/>
      <protection locked="0"/>
    </xf>
    <xf numFmtId="0" fontId="4" fillId="0" borderId="1" xfId="2" applyFont="1" applyFill="1" applyBorder="1" applyAlignment="1" applyProtection="1">
      <alignment horizontal="center" vertical="top" wrapText="1"/>
      <protection locked="0"/>
    </xf>
    <xf numFmtId="0" fontId="4" fillId="0" borderId="25" xfId="2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5" fillId="0" borderId="20" xfId="2" applyFont="1" applyFill="1" applyBorder="1" applyAlignment="1" applyProtection="1">
      <alignment horizontal="center" vertical="top"/>
      <protection locked="0"/>
    </xf>
    <xf numFmtId="0" fontId="5" fillId="0" borderId="13" xfId="2" applyFont="1" applyFill="1" applyBorder="1" applyAlignment="1" applyProtection="1">
      <alignment horizontal="center" vertical="top"/>
      <protection locked="0"/>
    </xf>
    <xf numFmtId="0" fontId="9" fillId="0" borderId="0" xfId="0" applyFont="1" applyFill="1" applyBorder="1" applyAlignment="1">
      <alignment horizontal="center"/>
    </xf>
    <xf numFmtId="1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top" wrapTex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28" xfId="0" applyNumberFormat="1" applyFont="1" applyFill="1" applyBorder="1" applyAlignment="1">
      <alignment horizontal="center" vertical="top" wrapText="1"/>
    </xf>
    <xf numFmtId="14" fontId="4" fillId="0" borderId="7" xfId="0" applyNumberFormat="1" applyFont="1" applyFill="1" applyBorder="1" applyAlignment="1">
      <alignment horizontal="left" vertical="top" wrapText="1"/>
    </xf>
    <xf numFmtId="14" fontId="4" fillId="0" borderId="8" xfId="0" applyNumberFormat="1" applyFont="1" applyFill="1" applyBorder="1" applyAlignment="1">
      <alignment horizontal="left" vertical="top" wrapText="1"/>
    </xf>
    <xf numFmtId="14" fontId="4" fillId="0" borderId="28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14" fontId="4" fillId="0" borderId="3" xfId="0" applyNumberFormat="1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left" vertical="top" wrapText="1"/>
    </xf>
    <xf numFmtId="14" fontId="4" fillId="0" borderId="6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left" vertical="top" wrapText="1"/>
    </xf>
    <xf numFmtId="14" fontId="15" fillId="0" borderId="3" xfId="7" applyNumberFormat="1" applyFill="1" applyBorder="1" applyAlignment="1">
      <alignment horizontal="left" vertical="top" wrapText="1"/>
    </xf>
    <xf numFmtId="14" fontId="4" fillId="0" borderId="3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2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/>
    </xf>
    <xf numFmtId="14" fontId="5" fillId="0" borderId="11" xfId="2" applyNumberFormat="1" applyFont="1" applyFill="1" applyBorder="1" applyAlignment="1" applyProtection="1">
      <alignment horizontal="left" vertical="top" wrapText="1"/>
      <protection locked="0"/>
    </xf>
    <xf numFmtId="0" fontId="5" fillId="0" borderId="12" xfId="2" applyNumberFormat="1" applyFont="1" applyFill="1" applyBorder="1" applyAlignment="1" applyProtection="1">
      <alignment horizontal="left" vertical="top" wrapText="1"/>
      <protection locked="0"/>
    </xf>
    <xf numFmtId="0" fontId="5" fillId="0" borderId="14" xfId="2" applyNumberFormat="1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2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14" fontId="3" fillId="0" borderId="2" xfId="0" applyNumberFormat="1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horizontal="left" vertical="top" wrapText="1"/>
    </xf>
    <xf numFmtId="1" fontId="2" fillId="0" borderId="1" xfId="2" applyNumberFormat="1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center"/>
    </xf>
    <xf numFmtId="1" fontId="2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top"/>
    </xf>
    <xf numFmtId="0" fontId="2" fillId="0" borderId="1" xfId="2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/>
    </xf>
    <xf numFmtId="14" fontId="9" fillId="0" borderId="3" xfId="0" applyNumberFormat="1" applyFont="1" applyFill="1" applyBorder="1" applyAlignment="1">
      <alignment horizontal="left" vertical="top" wrapText="1"/>
    </xf>
    <xf numFmtId="14" fontId="9" fillId="0" borderId="4" xfId="0" applyNumberFormat="1" applyFont="1" applyFill="1" applyBorder="1" applyAlignment="1">
      <alignment horizontal="left" vertical="top" wrapText="1"/>
    </xf>
    <xf numFmtId="14" fontId="9" fillId="0" borderId="6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14" fontId="4" fillId="0" borderId="29" xfId="0" applyNumberFormat="1" applyFont="1" applyFill="1" applyBorder="1" applyAlignment="1">
      <alignment horizontal="left" vertical="top" wrapText="1"/>
    </xf>
    <xf numFmtId="14" fontId="4" fillId="0" borderId="30" xfId="0" applyNumberFormat="1" applyFont="1" applyFill="1" applyBorder="1" applyAlignment="1">
      <alignment horizontal="left" vertical="top" wrapText="1"/>
    </xf>
    <xf numFmtId="14" fontId="4" fillId="0" borderId="31" xfId="0" applyNumberFormat="1" applyFont="1" applyFill="1" applyBorder="1" applyAlignment="1">
      <alignment horizontal="left" vertical="top" wrapText="1"/>
    </xf>
    <xf numFmtId="0" fontId="4" fillId="0" borderId="22" xfId="2" applyFont="1" applyFill="1" applyBorder="1" applyAlignment="1" applyProtection="1">
      <alignment horizontal="center" vertical="top" wrapText="1"/>
      <protection locked="0"/>
    </xf>
    <xf numFmtId="9" fontId="4" fillId="0" borderId="1" xfId="2" applyNumberFormat="1" applyFont="1" applyFill="1" applyBorder="1" applyAlignment="1" applyProtection="1">
      <alignment horizontal="center" vertical="center" wrapText="1"/>
      <protection hidden="1"/>
    </xf>
    <xf numFmtId="9" fontId="4" fillId="0" borderId="18" xfId="2" applyNumberFormat="1" applyFont="1" applyFill="1" applyBorder="1" applyAlignment="1" applyProtection="1">
      <alignment horizontal="center" vertical="center" wrapText="1"/>
      <protection hidden="1"/>
    </xf>
    <xf numFmtId="9" fontId="4" fillId="0" borderId="7" xfId="2" applyNumberFormat="1" applyFont="1" applyFill="1" applyBorder="1" applyAlignment="1" applyProtection="1">
      <alignment horizontal="center" vertical="center" wrapText="1"/>
      <protection hidden="1"/>
    </xf>
    <xf numFmtId="9" fontId="4" fillId="0" borderId="28" xfId="2" applyNumberFormat="1" applyFont="1" applyFill="1" applyBorder="1" applyAlignment="1" applyProtection="1">
      <alignment horizontal="center" vertical="center" wrapText="1"/>
      <protection hidden="1"/>
    </xf>
    <xf numFmtId="9" fontId="4" fillId="0" borderId="9" xfId="2" applyNumberFormat="1" applyFont="1" applyFill="1" applyBorder="1" applyAlignment="1" applyProtection="1">
      <alignment horizontal="center" vertical="center" wrapText="1"/>
      <protection hidden="1"/>
    </xf>
    <xf numFmtId="9" fontId="4" fillId="0" borderId="33" xfId="2" applyNumberFormat="1" applyFont="1" applyFill="1" applyBorder="1" applyAlignment="1" applyProtection="1">
      <alignment horizontal="center" vertical="center" wrapText="1"/>
      <protection hidden="1"/>
    </xf>
    <xf numFmtId="9" fontId="4" fillId="0" borderId="27" xfId="2" applyNumberFormat="1" applyFont="1" applyFill="1" applyBorder="1" applyAlignment="1" applyProtection="1">
      <alignment horizontal="center" vertical="center" wrapText="1"/>
      <protection hidden="1"/>
    </xf>
    <xf numFmtId="9" fontId="4" fillId="0" borderId="36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26" xfId="2" applyFont="1" applyFill="1" applyBorder="1" applyAlignment="1" applyProtection="1">
      <alignment horizontal="center" vertical="top" wrapText="1"/>
      <protection locked="0"/>
    </xf>
    <xf numFmtId="0" fontId="4" fillId="0" borderId="18" xfId="2" applyFont="1" applyFill="1" applyBorder="1" applyAlignment="1" applyProtection="1">
      <alignment horizontal="center" vertical="top" wrapText="1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14" fontId="4" fillId="0" borderId="35" xfId="0" applyNumberFormat="1" applyFont="1" applyFill="1" applyBorder="1" applyAlignment="1">
      <alignment horizontal="left" vertical="top" wrapText="1"/>
    </xf>
    <xf numFmtId="14" fontId="4" fillId="0" borderId="10" xfId="0" applyNumberFormat="1" applyFont="1" applyFill="1" applyBorder="1" applyAlignment="1">
      <alignment horizontal="left" vertical="top" wrapText="1"/>
    </xf>
    <xf numFmtId="14" fontId="4" fillId="0" borderId="33" xfId="0" applyNumberFormat="1" applyFont="1" applyFill="1" applyBorder="1" applyAlignment="1">
      <alignment horizontal="left" vertical="top" wrapText="1"/>
    </xf>
  </cellXfs>
  <cellStyles count="8">
    <cellStyle name="Comma 2" xfId="5"/>
    <cellStyle name="Excel Built-in Normal" xfId="1"/>
    <cellStyle name="Excel Built-in Normal 2" xfId="3"/>
    <cellStyle name="Hyperlink" xfId="7" builtinId="8"/>
    <cellStyle name="Normal" xfId="0" builtinId="0"/>
    <cellStyle name="Normal 3" xfId="2"/>
    <cellStyle name="Normal 4" xfId="4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465667</xdr:colOff>
      <xdr:row>72</xdr:row>
      <xdr:rowOff>98778</xdr:rowOff>
    </xdr:from>
    <xdr:to>
      <xdr:col>17</xdr:col>
      <xdr:colOff>566445</xdr:colOff>
      <xdr:row>95</xdr:row>
      <xdr:rowOff>55459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4278" y="26373667"/>
          <a:ext cx="4320000" cy="29083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571499</xdr:colOff>
      <xdr:row>327</xdr:row>
      <xdr:rowOff>52537</xdr:rowOff>
    </xdr:from>
    <xdr:to>
      <xdr:col>6</xdr:col>
      <xdr:colOff>142943</xdr:colOff>
      <xdr:row>343</xdr:row>
      <xdr:rowOff>93699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1721" y="67468370"/>
          <a:ext cx="3960000" cy="28633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430389</xdr:colOff>
      <xdr:row>309</xdr:row>
      <xdr:rowOff>77612</xdr:rowOff>
    </xdr:from>
    <xdr:to>
      <xdr:col>6</xdr:col>
      <xdr:colOff>361833</xdr:colOff>
      <xdr:row>326</xdr:row>
      <xdr:rowOff>134454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0611" y="64318445"/>
          <a:ext cx="4320000" cy="30554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430388</xdr:colOff>
      <xdr:row>332</xdr:row>
      <xdr:rowOff>24314</xdr:rowOff>
    </xdr:from>
    <xdr:to>
      <xdr:col>4</xdr:col>
      <xdr:colOff>476954</xdr:colOff>
      <xdr:row>334</xdr:row>
      <xdr:rowOff>14111</xdr:rowOff>
    </xdr:to>
    <xdr:sp macro="" textlink="">
      <xdr:nvSpPr>
        <xdr:cNvPr id="5" name="Rectangle 4"/>
        <xdr:cNvSpPr/>
      </xdr:nvSpPr>
      <xdr:spPr>
        <a:xfrm>
          <a:off x="2998610" y="68322092"/>
          <a:ext cx="914400" cy="34257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148166</xdr:colOff>
      <xdr:row>266</xdr:row>
      <xdr:rowOff>0</xdr:rowOff>
    </xdr:from>
    <xdr:to>
      <xdr:col>7</xdr:col>
      <xdr:colOff>645055</xdr:colOff>
      <xdr:row>289</xdr:row>
      <xdr:rowOff>152339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8166" y="56656111"/>
          <a:ext cx="6480000" cy="42092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4</xdr:col>
      <xdr:colOff>77612</xdr:colOff>
      <xdr:row>272</xdr:row>
      <xdr:rowOff>98779</xdr:rowOff>
    </xdr:from>
    <xdr:ext cx="810222" cy="264560"/>
    <xdr:sp macro="" textlink="">
      <xdr:nvSpPr>
        <xdr:cNvPr id="7" name="TextBox 6"/>
        <xdr:cNvSpPr txBox="1"/>
      </xdr:nvSpPr>
      <xdr:spPr>
        <a:xfrm rot="2108915">
          <a:off x="3513668" y="57813223"/>
          <a:ext cx="8102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No.02</a:t>
          </a:r>
        </a:p>
      </xdr:txBody>
    </xdr:sp>
    <xdr:clientData/>
  </xdr:oneCellAnchor>
  <xdr:twoCellAnchor>
    <xdr:from>
      <xdr:col>1</xdr:col>
      <xdr:colOff>903111</xdr:colOff>
      <xdr:row>327</xdr:row>
      <xdr:rowOff>63500</xdr:rowOff>
    </xdr:from>
    <xdr:to>
      <xdr:col>2</xdr:col>
      <xdr:colOff>310444</xdr:colOff>
      <xdr:row>343</xdr:row>
      <xdr:rowOff>77611</xdr:rowOff>
    </xdr:to>
    <xdr:cxnSp macro="">
      <xdr:nvCxnSpPr>
        <xdr:cNvPr id="9" name="Straight Connector 8"/>
        <xdr:cNvCxnSpPr/>
      </xdr:nvCxnSpPr>
      <xdr:spPr>
        <a:xfrm>
          <a:off x="1693333" y="67479333"/>
          <a:ext cx="331611" cy="2836334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716844</xdr:colOff>
      <xdr:row>327</xdr:row>
      <xdr:rowOff>81844</xdr:rowOff>
    </xdr:from>
    <xdr:to>
      <xdr:col>2</xdr:col>
      <xdr:colOff>124177</xdr:colOff>
      <xdr:row>343</xdr:row>
      <xdr:rowOff>95955</xdr:rowOff>
    </xdr:to>
    <xdr:cxnSp macro="">
      <xdr:nvCxnSpPr>
        <xdr:cNvPr id="12" name="Straight Connector 11"/>
        <xdr:cNvCxnSpPr/>
      </xdr:nvCxnSpPr>
      <xdr:spPr>
        <a:xfrm>
          <a:off x="1507066" y="67497677"/>
          <a:ext cx="331611" cy="2836334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852193</xdr:colOff>
      <xdr:row>332</xdr:row>
      <xdr:rowOff>124620</xdr:rowOff>
    </xdr:from>
    <xdr:ext cx="264560" cy="967060"/>
    <xdr:sp macro="" textlink="">
      <xdr:nvSpPr>
        <xdr:cNvPr id="14" name="TextBox 13"/>
        <xdr:cNvSpPr txBox="1"/>
      </xdr:nvSpPr>
      <xdr:spPr>
        <a:xfrm rot="5085515">
          <a:off x="1291165" y="68773648"/>
          <a:ext cx="9670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>
              <a:solidFill>
                <a:srgbClr val="FFFF00"/>
              </a:solidFill>
            </a:rPr>
            <a:t>Railway Track</a:t>
          </a:r>
        </a:p>
      </xdr:txBody>
    </xdr:sp>
    <xdr:clientData/>
  </xdr:oneCellAnchor>
  <xdr:twoCellAnchor editAs="oneCell">
    <xdr:from>
      <xdr:col>8</xdr:col>
      <xdr:colOff>395942</xdr:colOff>
      <xdr:row>3</xdr:row>
      <xdr:rowOff>97119</xdr:rowOff>
    </xdr:from>
    <xdr:to>
      <xdr:col>22</xdr:col>
      <xdr:colOff>162706</xdr:colOff>
      <xdr:row>7</xdr:row>
      <xdr:rowOff>81638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06560" y="1027207"/>
          <a:ext cx="6781646" cy="9930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537883</xdr:colOff>
      <xdr:row>62</xdr:row>
      <xdr:rowOff>126999</xdr:rowOff>
    </xdr:from>
    <xdr:to>
      <xdr:col>16</xdr:col>
      <xdr:colOff>233131</xdr:colOff>
      <xdr:row>71</xdr:row>
      <xdr:rowOff>201382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51059" y="21978470"/>
          <a:ext cx="3273660" cy="46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104588</xdr:colOff>
      <xdr:row>218</xdr:row>
      <xdr:rowOff>164352</xdr:rowOff>
    </xdr:from>
    <xdr:to>
      <xdr:col>7</xdr:col>
      <xdr:colOff>665467</xdr:colOff>
      <xdr:row>259</xdr:row>
      <xdr:rowOff>56163</xdr:rowOff>
    </xdr:to>
    <xdr:grpSp>
      <xdr:nvGrpSpPr>
        <xdr:cNvPr id="35" name="Group 34"/>
        <xdr:cNvGrpSpPr/>
      </xdr:nvGrpSpPr>
      <xdr:grpSpPr>
        <a:xfrm>
          <a:off x="104588" y="41951087"/>
          <a:ext cx="6275879" cy="7702311"/>
          <a:chOff x="104588" y="40976176"/>
          <a:chExt cx="6544820" cy="7242869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5053" y="40976176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2009" y="461670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870" y="4398561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3729" y="4398561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3729" y="461670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2011" y="4398561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1088" y="40976176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588" y="43985611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2869" y="461670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588" y="46167045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1</xdr:row>
      <xdr:rowOff>44450</xdr:rowOff>
    </xdr:from>
    <xdr:to>
      <xdr:col>8</xdr:col>
      <xdr:colOff>554950</xdr:colOff>
      <xdr:row>17</xdr:row>
      <xdr:rowOff>135550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22860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64717</xdr:colOff>
      <xdr:row>1</xdr:row>
      <xdr:rowOff>50800</xdr:rowOff>
    </xdr:from>
    <xdr:to>
      <xdr:col>17</xdr:col>
      <xdr:colOff>587917</xdr:colOff>
      <xdr:row>17</xdr:row>
      <xdr:rowOff>141900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1117" y="23495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wEqFVQLHM3ehP6nC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52"/>
  <sheetViews>
    <sheetView tabSelected="1" view="pageBreakPreview" zoomScale="85" zoomScaleNormal="85" zoomScaleSheetLayoutView="85" zoomScalePageLayoutView="85" workbookViewId="0">
      <selection activeCell="Q12" sqref="Q12"/>
    </sheetView>
  </sheetViews>
  <sheetFormatPr defaultColWidth="9.140625" defaultRowHeight="15" x14ac:dyDescent="0.25"/>
  <cols>
    <col min="1" max="1" width="11.28515625" style="8" customWidth="1"/>
    <col min="2" max="2" width="13.28515625" style="8" customWidth="1"/>
    <col min="3" max="3" width="12.140625" style="8" customWidth="1"/>
    <col min="4" max="4" width="12.42578125" style="8" customWidth="1"/>
    <col min="5" max="5" width="11.7109375" style="8" customWidth="1"/>
    <col min="6" max="6" width="13.28515625" style="8" customWidth="1"/>
    <col min="7" max="7" width="11.5703125" style="8" customWidth="1"/>
    <col min="8" max="8" width="11.85546875" style="8" customWidth="1"/>
    <col min="9" max="9" width="14.42578125" style="8" customWidth="1"/>
    <col min="10" max="13" width="9.140625" style="8"/>
    <col min="14" max="16" width="0" style="8" hidden="1" customWidth="1"/>
    <col min="17" max="16384" width="9.140625" style="8"/>
  </cols>
  <sheetData>
    <row r="1" spans="1:9" ht="43.9" customHeight="1" x14ac:dyDescent="0.25">
      <c r="A1" s="130" t="s">
        <v>143</v>
      </c>
      <c r="B1" s="130"/>
      <c r="C1" s="130"/>
      <c r="D1" s="130"/>
      <c r="E1" s="130"/>
      <c r="F1" s="130"/>
      <c r="G1" s="130"/>
      <c r="H1" s="130"/>
    </row>
    <row r="2" spans="1:9" x14ac:dyDescent="0.25">
      <c r="A2" s="131" t="s">
        <v>8</v>
      </c>
      <c r="B2" s="131"/>
      <c r="C2" s="131"/>
      <c r="D2" s="131"/>
      <c r="E2" s="131"/>
      <c r="F2" s="131"/>
      <c r="G2" s="131"/>
      <c r="H2" s="131"/>
    </row>
    <row r="3" spans="1:9" x14ac:dyDescent="0.25">
      <c r="A3" s="9" t="s">
        <v>16</v>
      </c>
      <c r="B3" s="133" t="s">
        <v>14</v>
      </c>
      <c r="C3" s="133"/>
      <c r="D3" s="133"/>
      <c r="E3" s="132" t="s">
        <v>17</v>
      </c>
      <c r="F3" s="132"/>
      <c r="G3" s="132"/>
      <c r="H3" s="132"/>
    </row>
    <row r="4" spans="1:9" ht="15" customHeight="1" x14ac:dyDescent="0.25">
      <c r="A4" s="10">
        <v>1</v>
      </c>
      <c r="B4" s="96" t="s">
        <v>18</v>
      </c>
      <c r="C4" s="96"/>
      <c r="D4" s="96"/>
      <c r="E4" s="134" t="s">
        <v>192</v>
      </c>
      <c r="F4" s="134"/>
      <c r="G4" s="134"/>
      <c r="H4" s="134"/>
    </row>
    <row r="5" spans="1:9" ht="32.450000000000003" customHeight="1" x14ac:dyDescent="0.25">
      <c r="A5" s="83">
        <v>2</v>
      </c>
      <c r="B5" s="96" t="s">
        <v>19</v>
      </c>
      <c r="C5" s="96"/>
      <c r="D5" s="96"/>
      <c r="E5" s="122" t="s">
        <v>232</v>
      </c>
      <c r="F5" s="122"/>
      <c r="G5" s="122"/>
      <c r="H5" s="122"/>
    </row>
    <row r="6" spans="1:9" ht="15.75" customHeight="1" x14ac:dyDescent="0.25">
      <c r="A6" s="84"/>
      <c r="B6" s="96"/>
      <c r="C6" s="96"/>
      <c r="D6" s="96"/>
      <c r="E6" s="136" t="s">
        <v>144</v>
      </c>
      <c r="F6" s="137"/>
      <c r="G6" s="140" t="s">
        <v>213</v>
      </c>
      <c r="H6" s="140"/>
    </row>
    <row r="7" spans="1:9" ht="15.75" customHeight="1" x14ac:dyDescent="0.25">
      <c r="A7" s="84"/>
      <c r="B7" s="138" t="s">
        <v>141</v>
      </c>
      <c r="C7" s="139"/>
      <c r="D7" s="139"/>
      <c r="E7" s="135" t="s">
        <v>212</v>
      </c>
      <c r="F7" s="127"/>
      <c r="G7" s="127"/>
      <c r="H7" s="128"/>
    </row>
    <row r="8" spans="1:9" ht="28.5" customHeight="1" x14ac:dyDescent="0.25">
      <c r="A8" s="84"/>
      <c r="B8" s="96" t="s">
        <v>83</v>
      </c>
      <c r="C8" s="96"/>
      <c r="D8" s="96"/>
      <c r="E8" s="126" t="s">
        <v>193</v>
      </c>
      <c r="F8" s="128"/>
      <c r="G8" s="136" t="s">
        <v>191</v>
      </c>
      <c r="H8" s="137"/>
    </row>
    <row r="9" spans="1:9" x14ac:dyDescent="0.25">
      <c r="A9" s="85"/>
      <c r="B9" s="96" t="s">
        <v>151</v>
      </c>
      <c r="C9" s="96"/>
      <c r="D9" s="96"/>
      <c r="E9" s="122" t="s">
        <v>10</v>
      </c>
      <c r="F9" s="122"/>
      <c r="G9" s="122"/>
      <c r="H9" s="122"/>
    </row>
    <row r="10" spans="1:9" x14ac:dyDescent="0.25">
      <c r="A10" s="10">
        <v>3</v>
      </c>
      <c r="B10" s="96" t="s">
        <v>20</v>
      </c>
      <c r="C10" s="96"/>
      <c r="D10" s="96"/>
      <c r="E10" s="122" t="s">
        <v>220</v>
      </c>
      <c r="F10" s="122"/>
      <c r="G10" s="122"/>
      <c r="H10" s="122"/>
    </row>
    <row r="11" spans="1:9" ht="32.25" customHeight="1" x14ac:dyDescent="0.25">
      <c r="A11" s="10">
        <v>4</v>
      </c>
      <c r="B11" s="96" t="s">
        <v>21</v>
      </c>
      <c r="C11" s="96"/>
      <c r="D11" s="96"/>
      <c r="E11" s="122" t="s">
        <v>214</v>
      </c>
      <c r="F11" s="122"/>
      <c r="G11" s="122"/>
      <c r="H11" s="122"/>
    </row>
    <row r="12" spans="1:9" ht="79.5" customHeight="1" x14ac:dyDescent="0.25">
      <c r="A12" s="10">
        <v>5</v>
      </c>
      <c r="B12" s="96" t="s">
        <v>22</v>
      </c>
      <c r="C12" s="96"/>
      <c r="D12" s="96"/>
      <c r="E12" s="122" t="s">
        <v>221</v>
      </c>
      <c r="F12" s="122"/>
      <c r="G12" s="122"/>
      <c r="H12" s="122"/>
      <c r="I12" s="167" t="s">
        <v>140</v>
      </c>
    </row>
    <row r="13" spans="1:9" ht="74.45" customHeight="1" x14ac:dyDescent="0.25">
      <c r="A13" s="10">
        <v>6</v>
      </c>
      <c r="B13" s="96" t="s">
        <v>23</v>
      </c>
      <c r="C13" s="96"/>
      <c r="D13" s="96"/>
      <c r="E13" s="97" t="str">
        <f>E12</f>
        <v>Proposed Residential with Shopline cum Comm. Bldg (EWS Scheme) on property bearing S.no.350/E, 350/1/D, 350/A/16/3, 350/1/A/3/C, 350/A/1/A/2, 350/1/A/3/7, 350/A/1/A/3/B, 19/B/9, 18/3, 19/10/C, 19/13, 19/A/14, 19/17, 19/A/21 of Vill - Virar, Tal - Vasai, Dist - Palghar</v>
      </c>
      <c r="F13" s="97"/>
      <c r="G13" s="97"/>
      <c r="H13" s="97"/>
      <c r="I13" s="167"/>
    </row>
    <row r="14" spans="1:9" ht="15" customHeight="1" x14ac:dyDescent="0.25">
      <c r="A14" s="10">
        <v>7</v>
      </c>
      <c r="B14" s="96" t="s">
        <v>24</v>
      </c>
      <c r="C14" s="96"/>
      <c r="D14" s="96"/>
      <c r="E14" s="122">
        <v>45898</v>
      </c>
      <c r="F14" s="122"/>
      <c r="G14" s="122"/>
      <c r="H14" s="122"/>
    </row>
    <row r="15" spans="1:9" ht="15" customHeight="1" x14ac:dyDescent="0.25">
      <c r="A15" s="10">
        <v>8</v>
      </c>
      <c r="B15" s="96" t="s">
        <v>184</v>
      </c>
      <c r="C15" s="96"/>
      <c r="D15" s="96"/>
      <c r="E15" s="122">
        <v>45898</v>
      </c>
      <c r="F15" s="122"/>
      <c r="G15" s="122"/>
      <c r="H15" s="122"/>
    </row>
    <row r="16" spans="1:9" ht="63" customHeight="1" x14ac:dyDescent="0.25">
      <c r="A16" s="10">
        <v>9</v>
      </c>
      <c r="B16" s="96" t="s">
        <v>25</v>
      </c>
      <c r="C16" s="96"/>
      <c r="D16" s="96"/>
      <c r="E16" s="122" t="s">
        <v>222</v>
      </c>
      <c r="F16" s="122"/>
      <c r="G16" s="122"/>
      <c r="H16" s="122"/>
    </row>
    <row r="17" spans="1:10" ht="30.75" customHeight="1" x14ac:dyDescent="0.25">
      <c r="A17" s="10">
        <v>10</v>
      </c>
      <c r="B17" s="87" t="s">
        <v>26</v>
      </c>
      <c r="C17" s="87"/>
      <c r="D17" s="87"/>
      <c r="E17" s="109" t="s">
        <v>9</v>
      </c>
      <c r="F17" s="109"/>
      <c r="G17" s="109"/>
      <c r="H17" s="109"/>
    </row>
    <row r="18" spans="1:10" x14ac:dyDescent="0.25">
      <c r="A18" s="10">
        <v>11</v>
      </c>
      <c r="B18" s="96" t="s">
        <v>27</v>
      </c>
      <c r="C18" s="96"/>
      <c r="D18" s="96"/>
      <c r="E18" s="109">
        <v>45904</v>
      </c>
      <c r="F18" s="109"/>
      <c r="G18" s="109"/>
      <c r="H18" s="109"/>
    </row>
    <row r="19" spans="1:10" ht="46.5" customHeight="1" x14ac:dyDescent="0.25">
      <c r="A19" s="10">
        <v>12</v>
      </c>
      <c r="B19" s="87" t="s">
        <v>28</v>
      </c>
      <c r="C19" s="87"/>
      <c r="D19" s="87"/>
      <c r="E19" s="109" t="s">
        <v>65</v>
      </c>
      <c r="F19" s="109"/>
      <c r="G19" s="109"/>
      <c r="H19" s="109"/>
    </row>
    <row r="20" spans="1:10" ht="47.25" customHeight="1" x14ac:dyDescent="0.25">
      <c r="A20" s="49">
        <v>13</v>
      </c>
      <c r="B20" s="87" t="s">
        <v>113</v>
      </c>
      <c r="C20" s="87"/>
      <c r="D20" s="87"/>
      <c r="E20" s="122" t="s">
        <v>233</v>
      </c>
      <c r="F20" s="122"/>
      <c r="G20" s="122"/>
      <c r="H20" s="122"/>
    </row>
    <row r="21" spans="1:10" ht="29.25" customHeight="1" x14ac:dyDescent="0.25">
      <c r="A21" s="49">
        <v>14</v>
      </c>
      <c r="B21" s="87" t="s">
        <v>29</v>
      </c>
      <c r="C21" s="87"/>
      <c r="D21" s="87"/>
      <c r="E21" s="122">
        <v>45903</v>
      </c>
      <c r="F21" s="122"/>
      <c r="G21" s="122"/>
      <c r="H21" s="122"/>
    </row>
    <row r="22" spans="1:10" ht="15" customHeight="1" x14ac:dyDescent="0.25">
      <c r="A22" s="49">
        <v>15</v>
      </c>
      <c r="B22" s="87" t="s">
        <v>30</v>
      </c>
      <c r="C22" s="87"/>
      <c r="D22" s="87"/>
      <c r="E22" s="122" t="s">
        <v>234</v>
      </c>
      <c r="F22" s="122"/>
      <c r="G22" s="122"/>
      <c r="H22" s="122"/>
      <c r="I22" s="168"/>
      <c r="J22" s="169"/>
    </row>
    <row r="23" spans="1:10" ht="30" customHeight="1" x14ac:dyDescent="0.25">
      <c r="A23" s="49">
        <v>16</v>
      </c>
      <c r="B23" s="87" t="s">
        <v>31</v>
      </c>
      <c r="C23" s="87"/>
      <c r="D23" s="87"/>
      <c r="E23" s="122" t="s">
        <v>235</v>
      </c>
      <c r="F23" s="122"/>
      <c r="G23" s="122"/>
      <c r="H23" s="122"/>
      <c r="I23" s="168"/>
      <c r="J23" s="169"/>
    </row>
    <row r="24" spans="1:10" ht="46.5" customHeight="1" x14ac:dyDescent="0.25">
      <c r="A24" s="49">
        <v>17</v>
      </c>
      <c r="B24" s="87" t="s">
        <v>114</v>
      </c>
      <c r="C24" s="87"/>
      <c r="D24" s="87"/>
      <c r="E24" s="122" t="s">
        <v>236</v>
      </c>
      <c r="F24" s="122"/>
      <c r="G24" s="122"/>
      <c r="H24" s="122"/>
      <c r="I24" s="168"/>
      <c r="J24" s="169"/>
    </row>
    <row r="25" spans="1:10" ht="31.5" customHeight="1" x14ac:dyDescent="0.25">
      <c r="A25" s="49">
        <v>18</v>
      </c>
      <c r="B25" s="87" t="s">
        <v>32</v>
      </c>
      <c r="C25" s="87"/>
      <c r="D25" s="87"/>
      <c r="E25" s="109" t="s">
        <v>65</v>
      </c>
      <c r="F25" s="109"/>
      <c r="G25" s="109"/>
      <c r="H25" s="109"/>
    </row>
    <row r="26" spans="1:10" x14ac:dyDescent="0.25">
      <c r="A26" s="49">
        <v>19</v>
      </c>
      <c r="B26" s="87" t="s">
        <v>33</v>
      </c>
      <c r="C26" s="87"/>
      <c r="D26" s="87"/>
      <c r="E26" s="122" t="s">
        <v>10</v>
      </c>
      <c r="F26" s="122"/>
      <c r="G26" s="122"/>
      <c r="H26" s="122"/>
    </row>
    <row r="27" spans="1:10" ht="45" customHeight="1" x14ac:dyDescent="0.25">
      <c r="A27" s="49">
        <v>20</v>
      </c>
      <c r="B27" s="87" t="s">
        <v>34</v>
      </c>
      <c r="C27" s="87"/>
      <c r="D27" s="87"/>
      <c r="E27" s="109" t="s">
        <v>65</v>
      </c>
      <c r="F27" s="109"/>
      <c r="G27" s="109"/>
      <c r="H27" s="109"/>
    </row>
    <row r="28" spans="1:10" ht="14.1" customHeight="1" x14ac:dyDescent="0.25">
      <c r="A28" s="10">
        <v>21</v>
      </c>
      <c r="B28" s="87" t="s">
        <v>35</v>
      </c>
      <c r="C28" s="87"/>
      <c r="D28" s="87"/>
      <c r="E28" s="122" t="s">
        <v>223</v>
      </c>
      <c r="F28" s="122"/>
      <c r="G28" s="122"/>
      <c r="H28" s="122"/>
    </row>
    <row r="29" spans="1:10" ht="15" customHeight="1" x14ac:dyDescent="0.25">
      <c r="A29" s="10">
        <v>22</v>
      </c>
      <c r="B29" s="87" t="s">
        <v>36</v>
      </c>
      <c r="C29" s="87"/>
      <c r="D29" s="87"/>
      <c r="E29" s="122" t="s">
        <v>223</v>
      </c>
      <c r="F29" s="122"/>
      <c r="G29" s="122"/>
      <c r="H29" s="122"/>
    </row>
    <row r="30" spans="1:10" ht="32.1" customHeight="1" x14ac:dyDescent="0.25">
      <c r="A30" s="10">
        <v>23</v>
      </c>
      <c r="B30" s="87" t="s">
        <v>37</v>
      </c>
      <c r="C30" s="87"/>
      <c r="D30" s="87"/>
      <c r="E30" s="122" t="s">
        <v>224</v>
      </c>
      <c r="F30" s="122"/>
      <c r="G30" s="122"/>
      <c r="H30" s="122"/>
    </row>
    <row r="31" spans="1:10" ht="33" customHeight="1" x14ac:dyDescent="0.25">
      <c r="A31" s="10">
        <v>24</v>
      </c>
      <c r="B31" s="87" t="s">
        <v>38</v>
      </c>
      <c r="C31" s="87"/>
      <c r="D31" s="87"/>
      <c r="E31" s="122" t="s">
        <v>225</v>
      </c>
      <c r="F31" s="122"/>
      <c r="G31" s="122"/>
      <c r="H31" s="122"/>
    </row>
    <row r="32" spans="1:10" x14ac:dyDescent="0.25">
      <c r="A32" s="10">
        <v>25</v>
      </c>
      <c r="B32" s="87" t="s">
        <v>39</v>
      </c>
      <c r="C32" s="87"/>
      <c r="D32" s="87"/>
      <c r="E32" s="122" t="s">
        <v>226</v>
      </c>
      <c r="F32" s="122"/>
      <c r="G32" s="122"/>
      <c r="H32" s="122"/>
      <c r="I32" s="110" t="s">
        <v>140</v>
      </c>
      <c r="J32" s="170"/>
    </row>
    <row r="33" spans="1:10" ht="30" customHeight="1" x14ac:dyDescent="0.25">
      <c r="A33" s="10">
        <v>26</v>
      </c>
      <c r="B33" s="87" t="s">
        <v>40</v>
      </c>
      <c r="C33" s="87"/>
      <c r="D33" s="87"/>
      <c r="E33" s="97" t="str">
        <f>E32</f>
        <v>Vasai-Virar City Municipal Corporation (VVCMC)</v>
      </c>
      <c r="F33" s="97"/>
      <c r="G33" s="97"/>
      <c r="H33" s="97"/>
      <c r="I33" s="110"/>
      <c r="J33" s="170"/>
    </row>
    <row r="34" spans="1:10" ht="33.75" customHeight="1" x14ac:dyDescent="0.25">
      <c r="A34" s="10">
        <v>27</v>
      </c>
      <c r="B34" s="87" t="s">
        <v>41</v>
      </c>
      <c r="C34" s="87"/>
      <c r="D34" s="87"/>
      <c r="E34" s="109" t="s">
        <v>68</v>
      </c>
      <c r="F34" s="109"/>
      <c r="G34" s="109"/>
      <c r="H34" s="109"/>
    </row>
    <row r="35" spans="1:10" ht="29.25" customHeight="1" x14ac:dyDescent="0.25">
      <c r="A35" s="10">
        <v>28</v>
      </c>
      <c r="B35" s="87" t="s">
        <v>42</v>
      </c>
      <c r="C35" s="87"/>
      <c r="D35" s="87"/>
      <c r="E35" s="109" t="str">
        <f>IF(AND(ISNUMBER(SEARCH("Flat",E179)),ISNUMBER(SEARCH("Shop",E179)),ISNUMBER(SEARCH("Office",E179))),"Residential + Commercial",IF(AND(ISNUMBER(SEARCH("Flat",E179)),ISNUMBER(SEARCH("Shop",E179))),"Residential + Commercial",IF(AND(ISNUMBER(SEARCH("Flat",E179)),ISNUMBER(SEARCH("Office",E179))),"Residential + Commercial",IF(AND(ISNUMBER(SEARCH("Shop",E179)),ISNUMBER(SEARCH("Office",E179))),"Commercial",IF(ISNUMBER(SEARCH("Shop",E179)),"Commercial",IF(ISNUMBER(SEARCH("Office",E179)),"Commercial",IF(ISNUMBER(SEARCH("Flat",E179)),"Residential")))))))</f>
        <v>Residential</v>
      </c>
      <c r="F35" s="109"/>
      <c r="G35" s="109"/>
      <c r="H35" s="109"/>
    </row>
    <row r="36" spans="1:10" ht="15" customHeight="1" x14ac:dyDescent="0.25">
      <c r="A36" s="10">
        <v>29</v>
      </c>
      <c r="B36" s="87" t="s">
        <v>178</v>
      </c>
      <c r="C36" s="87"/>
      <c r="D36" s="87"/>
      <c r="E36" s="171">
        <v>7518.81</v>
      </c>
      <c r="F36" s="171"/>
      <c r="G36" s="171"/>
      <c r="H36" s="171"/>
    </row>
    <row r="37" spans="1:10" ht="31.5" customHeight="1" x14ac:dyDescent="0.25">
      <c r="A37" s="10">
        <v>30</v>
      </c>
      <c r="B37" s="87" t="s">
        <v>80</v>
      </c>
      <c r="C37" s="87"/>
      <c r="D37" s="87"/>
      <c r="E37" s="109" t="s">
        <v>9</v>
      </c>
      <c r="F37" s="109"/>
      <c r="G37" s="109"/>
      <c r="H37" s="109"/>
    </row>
    <row r="38" spans="1:10" ht="31.5" customHeight="1" x14ac:dyDescent="0.25">
      <c r="A38" s="10">
        <v>31</v>
      </c>
      <c r="B38" s="87" t="s">
        <v>81</v>
      </c>
      <c r="C38" s="87"/>
      <c r="D38" s="87"/>
      <c r="E38" s="109" t="s">
        <v>69</v>
      </c>
      <c r="F38" s="109"/>
      <c r="G38" s="109"/>
      <c r="H38" s="109"/>
    </row>
    <row r="39" spans="1:10" ht="47.25" customHeight="1" x14ac:dyDescent="0.25">
      <c r="A39" s="10">
        <v>32</v>
      </c>
      <c r="B39" s="87" t="s">
        <v>43</v>
      </c>
      <c r="C39" s="87"/>
      <c r="D39" s="87"/>
      <c r="E39" s="109" t="s">
        <v>9</v>
      </c>
      <c r="F39" s="109"/>
      <c r="G39" s="109"/>
      <c r="H39" s="109"/>
    </row>
    <row r="40" spans="1:10" x14ac:dyDescent="0.25">
      <c r="A40" s="181">
        <v>33</v>
      </c>
      <c r="B40" s="68" t="s">
        <v>177</v>
      </c>
      <c r="C40" s="68"/>
      <c r="D40" s="68"/>
      <c r="E40" s="97">
        <v>6908.36</v>
      </c>
      <c r="F40" s="97"/>
      <c r="G40" s="97"/>
      <c r="H40" s="97"/>
    </row>
    <row r="41" spans="1:10" x14ac:dyDescent="0.25">
      <c r="A41" s="182"/>
      <c r="B41" s="68" t="s">
        <v>185</v>
      </c>
      <c r="C41" s="68"/>
      <c r="D41" s="68"/>
      <c r="E41" s="97">
        <v>28086.080000000002</v>
      </c>
      <c r="F41" s="97"/>
      <c r="G41" s="97"/>
      <c r="H41" s="97"/>
      <c r="I41" s="8">
        <f>E41/E40</f>
        <v>4.065520615601967</v>
      </c>
    </row>
    <row r="42" spans="1:10" ht="15" customHeight="1" x14ac:dyDescent="0.25">
      <c r="A42" s="183"/>
      <c r="B42" s="184" t="s">
        <v>217</v>
      </c>
      <c r="C42" s="184"/>
      <c r="D42" s="184"/>
      <c r="E42" s="185">
        <v>12036.34</v>
      </c>
      <c r="F42" s="185"/>
      <c r="G42" s="185"/>
      <c r="H42" s="185"/>
    </row>
    <row r="43" spans="1:10" x14ac:dyDescent="0.25">
      <c r="A43" s="28">
        <v>34</v>
      </c>
      <c r="B43" s="68" t="s">
        <v>145</v>
      </c>
      <c r="C43" s="68"/>
      <c r="D43" s="68"/>
      <c r="E43" s="69">
        <f>7599.19/E40</f>
        <v>1.0999991314870678</v>
      </c>
      <c r="F43" s="69"/>
      <c r="G43" s="69"/>
      <c r="H43" s="69"/>
      <c r="I43" s="8">
        <f>7599.19+1732.04+3759.4+6766.92+1605+8509.71</f>
        <v>29972.26</v>
      </c>
    </row>
    <row r="44" spans="1:10" ht="15" customHeight="1" x14ac:dyDescent="0.25">
      <c r="A44" s="28">
        <f>A43+1</f>
        <v>35</v>
      </c>
      <c r="B44" s="100" t="s">
        <v>146</v>
      </c>
      <c r="C44" s="101"/>
      <c r="D44" s="102"/>
      <c r="E44" s="69">
        <f>3759.4/E40</f>
        <v>0.5441812528588551</v>
      </c>
      <c r="F44" s="69"/>
      <c r="G44" s="69"/>
      <c r="H44" s="69"/>
      <c r="I44" s="8">
        <f>I43/E40</f>
        <v>4.3385492359981237</v>
      </c>
    </row>
    <row r="45" spans="1:10" x14ac:dyDescent="0.25">
      <c r="A45" s="28">
        <f t="shared" ref="A45:A47" si="0">A44+1</f>
        <v>36</v>
      </c>
      <c r="B45" s="68" t="s">
        <v>147</v>
      </c>
      <c r="C45" s="68"/>
      <c r="D45" s="68"/>
      <c r="E45" s="69">
        <f>8509.71/E40</f>
        <v>1.2317988639850848</v>
      </c>
      <c r="F45" s="69"/>
      <c r="G45" s="69"/>
      <c r="H45" s="69"/>
    </row>
    <row r="46" spans="1:10" ht="16.5" customHeight="1" x14ac:dyDescent="0.25">
      <c r="A46" s="28">
        <f t="shared" si="0"/>
        <v>37</v>
      </c>
      <c r="B46" s="68" t="s">
        <v>44</v>
      </c>
      <c r="C46" s="68"/>
      <c r="D46" s="68"/>
      <c r="E46" s="69">
        <f>6766.92/E40</f>
        <v>0.97952625514593916</v>
      </c>
      <c r="F46" s="69"/>
      <c r="G46" s="69"/>
      <c r="H46" s="69"/>
    </row>
    <row r="47" spans="1:10" ht="16.5" customHeight="1" x14ac:dyDescent="0.25">
      <c r="A47" s="43">
        <f t="shared" si="0"/>
        <v>38</v>
      </c>
      <c r="B47" s="68" t="s">
        <v>216</v>
      </c>
      <c r="C47" s="68"/>
      <c r="D47" s="68"/>
      <c r="E47" s="69">
        <f>(1605+1732.04)/E41</f>
        <v>0.11881472957422323</v>
      </c>
      <c r="F47" s="69"/>
      <c r="G47" s="69"/>
      <c r="H47" s="69"/>
    </row>
    <row r="48" spans="1:10" ht="16.5" customHeight="1" x14ac:dyDescent="0.25">
      <c r="A48" s="28">
        <f>A46+1</f>
        <v>38</v>
      </c>
      <c r="B48" s="68" t="s">
        <v>148</v>
      </c>
      <c r="C48" s="68"/>
      <c r="D48" s="68"/>
      <c r="E48" s="69">
        <f>SUM(E43:H47)</f>
        <v>3.9743202330511704</v>
      </c>
      <c r="F48" s="69"/>
      <c r="G48" s="69"/>
      <c r="H48" s="69"/>
    </row>
    <row r="49" spans="1:10" x14ac:dyDescent="0.25">
      <c r="A49" s="98">
        <v>39</v>
      </c>
      <c r="B49" s="68" t="s">
        <v>45</v>
      </c>
      <c r="C49" s="68"/>
      <c r="D49" s="68"/>
      <c r="E49" s="122">
        <v>45824</v>
      </c>
      <c r="F49" s="122"/>
      <c r="G49" s="122"/>
      <c r="H49" s="122"/>
    </row>
    <row r="50" spans="1:10" x14ac:dyDescent="0.25">
      <c r="A50" s="99"/>
      <c r="B50" s="68" t="s">
        <v>162</v>
      </c>
      <c r="C50" s="68"/>
      <c r="D50" s="68"/>
      <c r="E50" s="124" t="s">
        <v>237</v>
      </c>
      <c r="F50" s="124"/>
      <c r="G50" s="124"/>
      <c r="H50" s="124"/>
    </row>
    <row r="51" spans="1:10" ht="15.75" thickBot="1" x14ac:dyDescent="0.3">
      <c r="A51" s="56">
        <v>40</v>
      </c>
      <c r="B51" s="121" t="s">
        <v>46</v>
      </c>
      <c r="C51" s="121"/>
      <c r="D51" s="121"/>
      <c r="E51" s="121"/>
      <c r="F51" s="121"/>
      <c r="G51" s="121"/>
      <c r="H51" s="121"/>
    </row>
    <row r="52" spans="1:10" ht="14.1" customHeight="1" x14ac:dyDescent="0.25">
      <c r="A52" s="103" t="s">
        <v>165</v>
      </c>
      <c r="B52" s="104"/>
      <c r="C52" s="144" t="s">
        <v>230</v>
      </c>
      <c r="D52" s="145"/>
      <c r="E52" s="145"/>
      <c r="F52" s="145"/>
      <c r="G52" s="145"/>
      <c r="H52" s="146"/>
      <c r="I52" s="4" t="str">
        <f ca="1">(IF(E56&gt;99%,"All work completed. Please provide OC.",IF(E56&gt;89.8%,"Plinth, RCC, Brick, Plaster, Flooring, Painting work Completed. Finishing work is in process.",IF(E56&lt;94%,(IF(C56=0,"Work not yet Started.",IF(D56=25%,"Piling work in process",IF(D56=50%,"Excavation work in process",IF(D56=100%,"Excavation work Completed. ","0")))&amp;(IF(C57=0%,"",IF(C57=J58,"Footing work is process",IF(C57=J59,"Footing work Completed",IF(C57=J60,"1st Basement Completed",IF(C57=J61,"1st &amp; 2nd Basement Completed",IF(C57=J62,"1st to 3rd Basement Completed",IF(C57=J63,"1st to 4th Basement Completed",IF(C57=J64,"Plinth work is process",IF(C57=J65,"Plinth work completed","0")))))))))))&amp;(IF(C58=(D53+F53+H53),", RCC Slab",IF(C58&gt;0,", RCC upto "&amp;C58&amp;" Slab",""))&amp;(IF(C59=H53,", Brickwork",IF(C59&gt;0,", Brickwork upto "&amp;C59&amp;" Floor",""))&amp;(IF(C60=H53,", Internal Plaster",IF(C60&gt;0,", Internal Plaster upto "&amp;C60&amp;" Floor",""))&amp;(IF(C61=H53,", External Plaster",IF(C61&gt;0,", External Plaster upto "&amp;C61&amp;" Floor",""))&amp;(IF(C62=H53,", Flooring",IF(C62&gt;0,", Flooring upto "&amp;C62&amp;" Floor",""))&amp;(IF(C63=H53,", Painting",IF(C63&gt;0,", Painting upto "&amp;C63&amp;" Floor",""))&amp;(IF(C64&gt;0,", Finishing upto "&amp;C64&amp;" Floor","")&amp;(IF(C58&gt;0.5," Completed",""))))))))))))))</f>
        <v>Excavation work Completed. Plinth work completed</v>
      </c>
      <c r="J52" s="11"/>
    </row>
    <row r="53" spans="1:10" x14ac:dyDescent="0.25">
      <c r="A53" s="5" t="s">
        <v>84</v>
      </c>
      <c r="B53" s="6">
        <f>IF(AND(ISNUMBER(SEARCH("1B",C52))),1,IF(AND(ISNUMBER(SEARCH("2B",C52))),2,IF(AND(ISNUMBER(SEARCH("3B",C52))),3,IF(AND(ISNUMBER(SEARCH("4B",C52))),4,IF(ISNUMBER(SEARCH("5B",C52)),5,0)))))</f>
        <v>0</v>
      </c>
      <c r="C53" s="6" t="s">
        <v>86</v>
      </c>
      <c r="D53" s="6">
        <v>1</v>
      </c>
      <c r="E53" s="34" t="s">
        <v>85</v>
      </c>
      <c r="F53" s="6">
        <v>0</v>
      </c>
      <c r="G53" s="6" t="s">
        <v>115</v>
      </c>
      <c r="H53" s="36">
        <f ca="1">--TRIM(RIGHT(SUBSTITUTE(LEFT(C52,_xlfn.AGGREGATE(16,6,FIND({0,1,2,3,4,5,6,7,8,9},C52,ROW(INDIRECT("1:"&amp;LEN(C52)))),1))," ",REPT(" ",LEN(C52))),LEN(C52)))</f>
        <v>21</v>
      </c>
      <c r="I53" s="7"/>
      <c r="J53" s="12"/>
    </row>
    <row r="54" spans="1:10" x14ac:dyDescent="0.25">
      <c r="A54" s="73" t="s">
        <v>116</v>
      </c>
      <c r="B54" s="74"/>
      <c r="C54" s="75" t="str">
        <f ca="1">I52</f>
        <v>Excavation work Completed. Plinth work completed</v>
      </c>
      <c r="D54" s="76"/>
      <c r="E54" s="76"/>
      <c r="F54" s="76"/>
      <c r="G54" s="76"/>
      <c r="H54" s="77"/>
      <c r="I54" s="7" t="s">
        <v>117</v>
      </c>
      <c r="J54" s="12"/>
    </row>
    <row r="55" spans="1:10" x14ac:dyDescent="0.25">
      <c r="A55" s="78" t="s">
        <v>4</v>
      </c>
      <c r="B55" s="79"/>
      <c r="C55" s="57" t="s">
        <v>118</v>
      </c>
      <c r="D55" s="57" t="s">
        <v>119</v>
      </c>
      <c r="E55" s="80" t="s">
        <v>120</v>
      </c>
      <c r="F55" s="79"/>
      <c r="G55" s="81" t="s">
        <v>121</v>
      </c>
      <c r="H55" s="82"/>
      <c r="I55" s="2" t="s">
        <v>122</v>
      </c>
      <c r="J55" s="13">
        <f ca="1">H53*25%</f>
        <v>5.25</v>
      </c>
    </row>
    <row r="56" spans="1:10" x14ac:dyDescent="0.25">
      <c r="A56" s="197" t="s">
        <v>123</v>
      </c>
      <c r="B56" s="81"/>
      <c r="C56" s="58">
        <f ca="1">J57</f>
        <v>21</v>
      </c>
      <c r="D56" s="59">
        <f ca="1">((100/H53)*C56)/100</f>
        <v>1</v>
      </c>
      <c r="E56" s="198">
        <f ca="1">(((C57/H53*20)+(30/(D53+F53+H53)*C58)+(10/(H53)*C59)+(5/(H53)*C60)+(5/H53*C61)+(10/H53*C62)+(5/H53*C63)+(5/H53*C64)+(10/H53*C65))/100)</f>
        <v>0.2</v>
      </c>
      <c r="F56" s="198"/>
      <c r="G56" s="200">
        <f ca="1">((((C56/H53)*10)+((C57/H53)*20)+(30/(H53+F53+D53)*C58)+(10/H53*C59)+(5/H53*C60)+(5/H53*C61)+(10/H53*C62)+(5/H53*C63)+(5/H53*C64)+(0/H53*C65))/100)</f>
        <v>0.3</v>
      </c>
      <c r="H56" s="201"/>
      <c r="I56" s="2" t="s">
        <v>87</v>
      </c>
      <c r="J56" s="14">
        <f ca="1">H53*50%</f>
        <v>10.5</v>
      </c>
    </row>
    <row r="57" spans="1:10" x14ac:dyDescent="0.25">
      <c r="A57" s="197" t="s">
        <v>5</v>
      </c>
      <c r="B57" s="81"/>
      <c r="C57" s="60">
        <f ca="1">J65</f>
        <v>21</v>
      </c>
      <c r="D57" s="59">
        <f ca="1">((100/H53)*C57)/100</f>
        <v>1</v>
      </c>
      <c r="E57" s="198"/>
      <c r="F57" s="198"/>
      <c r="G57" s="202"/>
      <c r="H57" s="203"/>
      <c r="I57" s="2" t="s">
        <v>88</v>
      </c>
      <c r="J57" s="14">
        <f ca="1">H53</f>
        <v>21</v>
      </c>
    </row>
    <row r="58" spans="1:10" x14ac:dyDescent="0.25">
      <c r="A58" s="197" t="s">
        <v>124</v>
      </c>
      <c r="B58" s="81"/>
      <c r="C58" s="60">
        <v>0</v>
      </c>
      <c r="D58" s="59">
        <f ca="1">((100/(D53+F53+H53))*C58)/100</f>
        <v>0</v>
      </c>
      <c r="E58" s="198"/>
      <c r="F58" s="198"/>
      <c r="G58" s="202"/>
      <c r="H58" s="203"/>
      <c r="I58" s="2" t="s">
        <v>89</v>
      </c>
      <c r="J58" s="15">
        <f ca="1">(IF(B53&gt;1,(H53/(B53+2)),H53/4))</f>
        <v>5.25</v>
      </c>
    </row>
    <row r="59" spans="1:10" x14ac:dyDescent="0.25">
      <c r="A59" s="197" t="s">
        <v>125</v>
      </c>
      <c r="B59" s="81" t="s">
        <v>126</v>
      </c>
      <c r="C59" s="58">
        <v>0</v>
      </c>
      <c r="D59" s="59">
        <f ca="1">((100/H53)*C59)/100</f>
        <v>0</v>
      </c>
      <c r="E59" s="198"/>
      <c r="F59" s="198"/>
      <c r="G59" s="202"/>
      <c r="H59" s="203"/>
      <c r="I59" s="2" t="s">
        <v>90</v>
      </c>
      <c r="J59" s="15">
        <f ca="1">(IF(B53&gt;1,(H53/(B53+2)+J58),H53/4+J58))</f>
        <v>10.5</v>
      </c>
    </row>
    <row r="60" spans="1:10" x14ac:dyDescent="0.25">
      <c r="A60" s="197" t="s">
        <v>127</v>
      </c>
      <c r="B60" s="81" t="s">
        <v>126</v>
      </c>
      <c r="C60" s="58">
        <v>0</v>
      </c>
      <c r="D60" s="59">
        <f ca="1">((100/H53)*C60)/100</f>
        <v>0</v>
      </c>
      <c r="E60" s="198"/>
      <c r="F60" s="198"/>
      <c r="G60" s="202"/>
      <c r="H60" s="203"/>
      <c r="I60" s="2" t="s">
        <v>128</v>
      </c>
      <c r="J60" s="15">
        <f>(IF(B53&gt;1,(H53/(B53+2)+J59),0))</f>
        <v>0</v>
      </c>
    </row>
    <row r="61" spans="1:10" x14ac:dyDescent="0.25">
      <c r="A61" s="197" t="s">
        <v>129</v>
      </c>
      <c r="B61" s="81" t="s">
        <v>130</v>
      </c>
      <c r="C61" s="58">
        <v>0</v>
      </c>
      <c r="D61" s="59">
        <f ca="1">((100/(H53))*C61)/100</f>
        <v>0</v>
      </c>
      <c r="E61" s="198"/>
      <c r="F61" s="198"/>
      <c r="G61" s="202"/>
      <c r="H61" s="203"/>
      <c r="I61" s="2" t="s">
        <v>131</v>
      </c>
      <c r="J61" s="15">
        <f>(IF(B53&gt;2,(H53/(B53+2)+J60),0))</f>
        <v>0</v>
      </c>
    </row>
    <row r="62" spans="1:10" x14ac:dyDescent="0.25">
      <c r="A62" s="197" t="s">
        <v>132</v>
      </c>
      <c r="B62" s="81" t="s">
        <v>132</v>
      </c>
      <c r="C62" s="58">
        <v>0</v>
      </c>
      <c r="D62" s="59">
        <f ca="1">((100/H53)*C62)/100</f>
        <v>0</v>
      </c>
      <c r="E62" s="198"/>
      <c r="F62" s="198"/>
      <c r="G62" s="202"/>
      <c r="H62" s="203"/>
      <c r="I62" s="2" t="s">
        <v>133</v>
      </c>
      <c r="J62" s="16">
        <f>(IF(B53&gt;3,(H53/(B53+2)+J61),0))</f>
        <v>0</v>
      </c>
    </row>
    <row r="63" spans="1:10" x14ac:dyDescent="0.25">
      <c r="A63" s="197" t="s">
        <v>134</v>
      </c>
      <c r="B63" s="81"/>
      <c r="C63" s="58">
        <v>0</v>
      </c>
      <c r="D63" s="59">
        <f ca="1">((100/H53)*C63)/100</f>
        <v>0</v>
      </c>
      <c r="E63" s="198"/>
      <c r="F63" s="198"/>
      <c r="G63" s="202"/>
      <c r="H63" s="203"/>
      <c r="I63" s="2" t="s">
        <v>135</v>
      </c>
      <c r="J63" s="15">
        <f>(IF(B53&gt;4,(H53/(B53+2)+J62),0))</f>
        <v>0</v>
      </c>
    </row>
    <row r="64" spans="1:10" x14ac:dyDescent="0.25">
      <c r="A64" s="197" t="s">
        <v>136</v>
      </c>
      <c r="B64" s="81" t="s">
        <v>136</v>
      </c>
      <c r="C64" s="58">
        <v>0</v>
      </c>
      <c r="D64" s="59">
        <f ca="1">((100/(H53))*C64)/100</f>
        <v>0</v>
      </c>
      <c r="E64" s="198"/>
      <c r="F64" s="198"/>
      <c r="G64" s="202"/>
      <c r="H64" s="203"/>
      <c r="I64" s="2" t="s">
        <v>91</v>
      </c>
      <c r="J64" s="15">
        <f ca="1">(IF(B53=1,(H53/(B53+3)+J59),IF(B53=0,(H53/4+J59),IF(B53&gt;1,0))))</f>
        <v>15.75</v>
      </c>
    </row>
    <row r="65" spans="1:11" ht="15.75" thickBot="1" x14ac:dyDescent="0.3">
      <c r="A65" s="206" t="s">
        <v>137</v>
      </c>
      <c r="B65" s="207"/>
      <c r="C65" s="61">
        <v>0</v>
      </c>
      <c r="D65" s="62">
        <f ca="1">((100/(H53))*C65)/100</f>
        <v>0</v>
      </c>
      <c r="E65" s="199"/>
      <c r="F65" s="199"/>
      <c r="G65" s="204"/>
      <c r="H65" s="205"/>
      <c r="I65" s="3" t="s">
        <v>92</v>
      </c>
      <c r="J65" s="17">
        <f ca="1">(IF(B53&gt;1.5,(H53/(B53+2)+J59+MAX(0,J60-J59)+MAX(0,J61-J60)+MAX(0,J62-J61)+MAX(0,J63-J62)+MAX(0,J64-J63)),IF(B53=1,(H53/(B53+3)+J64),IF(B53=0,H53/4+J64))))</f>
        <v>21</v>
      </c>
    </row>
    <row r="66" spans="1:11" x14ac:dyDescent="0.25">
      <c r="A66" s="208">
        <v>41</v>
      </c>
      <c r="B66" s="209" t="s">
        <v>182</v>
      </c>
      <c r="C66" s="210"/>
      <c r="D66" s="210"/>
      <c r="E66" s="211" t="s">
        <v>164</v>
      </c>
      <c r="F66" s="212"/>
      <c r="G66" s="213"/>
      <c r="H66" s="37">
        <v>47118</v>
      </c>
    </row>
    <row r="67" spans="1:11" x14ac:dyDescent="0.25">
      <c r="A67" s="183"/>
      <c r="B67" s="192"/>
      <c r="C67" s="193"/>
      <c r="D67" s="193"/>
      <c r="E67" s="122" t="s">
        <v>163</v>
      </c>
      <c r="F67" s="122"/>
      <c r="G67" s="122"/>
      <c r="H67" s="35" t="s">
        <v>194</v>
      </c>
    </row>
    <row r="68" spans="1:11" ht="31.5" customHeight="1" x14ac:dyDescent="0.25">
      <c r="A68" s="10">
        <v>42</v>
      </c>
      <c r="B68" s="87" t="s">
        <v>70</v>
      </c>
      <c r="C68" s="87"/>
      <c r="D68" s="87"/>
      <c r="E68" s="109" t="s">
        <v>10</v>
      </c>
      <c r="F68" s="109"/>
      <c r="G68" s="109"/>
      <c r="H68" s="109"/>
    </row>
    <row r="69" spans="1:11" ht="175.5" customHeight="1" x14ac:dyDescent="0.25">
      <c r="A69" s="10">
        <v>43</v>
      </c>
      <c r="B69" s="87" t="s">
        <v>62</v>
      </c>
      <c r="C69" s="87"/>
      <c r="D69" s="87"/>
      <c r="E69" s="122" t="s">
        <v>215</v>
      </c>
      <c r="F69" s="122"/>
      <c r="G69" s="122"/>
      <c r="H69" s="122"/>
    </row>
    <row r="70" spans="1:11" s="20" customFormat="1" ht="46.5" customHeight="1" x14ac:dyDescent="0.25">
      <c r="A70" s="30">
        <v>44</v>
      </c>
      <c r="B70" s="129" t="s">
        <v>175</v>
      </c>
      <c r="C70" s="129"/>
      <c r="D70" s="129"/>
      <c r="E70" s="122" t="s">
        <v>227</v>
      </c>
      <c r="F70" s="122"/>
      <c r="G70" s="122"/>
      <c r="H70" s="122"/>
      <c r="I70" s="8"/>
      <c r="J70" s="8"/>
      <c r="K70" s="8"/>
    </row>
    <row r="71" spans="1:11" s="20" customFormat="1" ht="36" customHeight="1" x14ac:dyDescent="0.25">
      <c r="A71" s="10">
        <v>45</v>
      </c>
      <c r="B71" s="87" t="s">
        <v>63</v>
      </c>
      <c r="C71" s="87"/>
      <c r="D71" s="87"/>
      <c r="E71" s="109" t="s">
        <v>9</v>
      </c>
      <c r="F71" s="109"/>
      <c r="G71" s="109"/>
      <c r="H71" s="109"/>
      <c r="I71" s="8"/>
      <c r="J71" s="8"/>
      <c r="K71" s="8"/>
    </row>
    <row r="72" spans="1:11" ht="15.75" customHeight="1" x14ac:dyDescent="0.25">
      <c r="A72" s="83">
        <v>46</v>
      </c>
      <c r="B72" s="186" t="s">
        <v>64</v>
      </c>
      <c r="C72" s="187"/>
      <c r="D72" s="188"/>
      <c r="E72" s="125" t="s">
        <v>168</v>
      </c>
      <c r="F72" s="125"/>
      <c r="G72" s="125"/>
      <c r="H72" s="125"/>
    </row>
    <row r="73" spans="1:11" ht="15.75" customHeight="1" x14ac:dyDescent="0.25">
      <c r="A73" s="84"/>
      <c r="B73" s="189"/>
      <c r="C73" s="190"/>
      <c r="D73" s="191"/>
      <c r="E73" s="126" t="s">
        <v>205</v>
      </c>
      <c r="F73" s="127"/>
      <c r="G73" s="127"/>
      <c r="H73" s="128"/>
    </row>
    <row r="74" spans="1:11" s="20" customFormat="1" x14ac:dyDescent="0.25">
      <c r="A74" s="84"/>
      <c r="B74" s="189"/>
      <c r="C74" s="190"/>
      <c r="D74" s="191"/>
      <c r="E74" s="112" t="s">
        <v>169</v>
      </c>
      <c r="F74" s="113"/>
      <c r="G74" s="113"/>
      <c r="H74" s="114"/>
      <c r="I74" s="8"/>
      <c r="J74" s="8"/>
      <c r="K74" s="8"/>
    </row>
    <row r="75" spans="1:11" s="20" customFormat="1" x14ac:dyDescent="0.25">
      <c r="A75" s="84"/>
      <c r="B75" s="189"/>
      <c r="C75" s="190"/>
      <c r="D75" s="190"/>
      <c r="E75" s="115" t="s">
        <v>228</v>
      </c>
      <c r="F75" s="116"/>
      <c r="G75" s="116"/>
      <c r="H75" s="117"/>
      <c r="I75" s="8"/>
      <c r="J75" s="8"/>
      <c r="K75" s="8"/>
    </row>
    <row r="76" spans="1:11" s="20" customFormat="1" x14ac:dyDescent="0.25">
      <c r="A76" s="85"/>
      <c r="B76" s="192"/>
      <c r="C76" s="193"/>
      <c r="D76" s="193"/>
      <c r="E76" s="194" t="s">
        <v>229</v>
      </c>
      <c r="F76" s="195"/>
      <c r="G76" s="195"/>
      <c r="H76" s="196"/>
      <c r="I76" s="8"/>
      <c r="J76" s="8"/>
      <c r="K76" s="8"/>
    </row>
    <row r="77" spans="1:11" x14ac:dyDescent="0.25">
      <c r="A77" s="123" t="s">
        <v>75</v>
      </c>
      <c r="B77" s="123"/>
      <c r="C77" s="123"/>
      <c r="D77" s="123"/>
      <c r="E77" s="123"/>
      <c r="F77" s="123"/>
      <c r="G77" s="123"/>
      <c r="H77" s="123"/>
    </row>
    <row r="78" spans="1:11" ht="31.5" customHeight="1" x14ac:dyDescent="0.25">
      <c r="A78" s="88" t="s">
        <v>186</v>
      </c>
      <c r="B78" s="88"/>
      <c r="C78" s="90" t="s">
        <v>206</v>
      </c>
      <c r="D78" s="90"/>
      <c r="E78" s="90"/>
      <c r="F78" s="18" t="s">
        <v>76</v>
      </c>
      <c r="G78" s="89">
        <v>45485</v>
      </c>
      <c r="H78" s="90"/>
    </row>
    <row r="79" spans="1:11" ht="31.5" customHeight="1" x14ac:dyDescent="0.25">
      <c r="A79" s="88" t="s">
        <v>187</v>
      </c>
      <c r="B79" s="88"/>
      <c r="C79" s="90" t="str">
        <f>C78</f>
        <v>VVCMC/TP/AMEND/VP/0333/35/2024-25</v>
      </c>
      <c r="D79" s="90"/>
      <c r="E79" s="90"/>
      <c r="F79" s="18" t="s">
        <v>76</v>
      </c>
      <c r="G79" s="89">
        <f>G78</f>
        <v>45485</v>
      </c>
      <c r="H79" s="90"/>
    </row>
    <row r="80" spans="1:11" x14ac:dyDescent="0.25">
      <c r="A80" s="88" t="s">
        <v>170</v>
      </c>
      <c r="B80" s="88"/>
      <c r="C80" s="90" t="s">
        <v>207</v>
      </c>
      <c r="D80" s="90"/>
      <c r="E80" s="90"/>
      <c r="F80" s="19" t="s">
        <v>76</v>
      </c>
      <c r="G80" s="89">
        <f>G78</f>
        <v>45485</v>
      </c>
      <c r="H80" s="90"/>
    </row>
    <row r="81" spans="1:11" ht="46.5" customHeight="1" x14ac:dyDescent="0.25">
      <c r="A81" s="88"/>
      <c r="B81" s="88"/>
      <c r="C81" s="90" t="s">
        <v>208</v>
      </c>
      <c r="D81" s="90"/>
      <c r="E81" s="90"/>
      <c r="F81" s="90"/>
      <c r="G81" s="90"/>
      <c r="H81" s="90"/>
    </row>
    <row r="82" spans="1:11" hidden="1" x14ac:dyDescent="0.25">
      <c r="A82" s="72" t="s">
        <v>188</v>
      </c>
      <c r="B82" s="72"/>
      <c r="C82" s="72"/>
      <c r="D82" s="72"/>
      <c r="E82" s="72"/>
      <c r="F82" s="39" t="s">
        <v>76</v>
      </c>
      <c r="G82" s="72"/>
      <c r="H82" s="72"/>
    </row>
    <row r="83" spans="1:11" ht="15" hidden="1" customHeight="1" x14ac:dyDescent="0.25">
      <c r="A83" s="72"/>
      <c r="B83" s="72"/>
      <c r="C83" s="71"/>
      <c r="D83" s="71"/>
      <c r="E83" s="71"/>
      <c r="F83" s="71"/>
      <c r="G83" s="71"/>
      <c r="H83" s="71"/>
    </row>
    <row r="84" spans="1:11" ht="15" hidden="1" customHeight="1" x14ac:dyDescent="0.25">
      <c r="A84" s="72" t="s">
        <v>190</v>
      </c>
      <c r="B84" s="72"/>
      <c r="C84" s="72"/>
      <c r="D84" s="72"/>
      <c r="E84" s="72"/>
      <c r="F84" s="39" t="s">
        <v>76</v>
      </c>
      <c r="G84" s="72"/>
      <c r="H84" s="72"/>
    </row>
    <row r="85" spans="1:11" ht="15" hidden="1" customHeight="1" x14ac:dyDescent="0.25">
      <c r="A85" s="72"/>
      <c r="B85" s="72"/>
      <c r="C85" s="71"/>
      <c r="D85" s="71"/>
      <c r="E85" s="71"/>
      <c r="F85" s="71"/>
      <c r="G85" s="71"/>
      <c r="H85" s="71"/>
      <c r="I85" s="20"/>
      <c r="J85" s="20"/>
      <c r="K85" s="20"/>
    </row>
    <row r="86" spans="1:11" ht="15" hidden="1" customHeight="1" x14ac:dyDescent="0.25">
      <c r="A86" s="72" t="s">
        <v>189</v>
      </c>
      <c r="B86" s="72"/>
      <c r="C86" s="71"/>
      <c r="D86" s="71"/>
      <c r="E86" s="71"/>
      <c r="F86" s="39" t="s">
        <v>76</v>
      </c>
      <c r="G86" s="72"/>
      <c r="H86" s="72"/>
      <c r="I86" s="20"/>
      <c r="J86" s="20"/>
      <c r="K86" s="20"/>
    </row>
    <row r="87" spans="1:11" ht="34.5" hidden="1" customHeight="1" x14ac:dyDescent="0.25">
      <c r="A87" s="72"/>
      <c r="B87" s="72"/>
      <c r="C87" s="71"/>
      <c r="D87" s="71"/>
      <c r="E87" s="71"/>
      <c r="F87" s="40" t="s">
        <v>167</v>
      </c>
      <c r="G87" s="72"/>
      <c r="H87" s="72"/>
    </row>
    <row r="88" spans="1:11" ht="34.5" hidden="1" customHeight="1" x14ac:dyDescent="0.25">
      <c r="A88" s="72"/>
      <c r="B88" s="72"/>
      <c r="C88" s="71"/>
      <c r="D88" s="71"/>
      <c r="E88" s="71"/>
      <c r="F88" s="71"/>
      <c r="G88" s="71"/>
      <c r="H88" s="71"/>
    </row>
    <row r="89" spans="1:11" x14ac:dyDescent="0.25">
      <c r="A89" s="154" t="s">
        <v>77</v>
      </c>
      <c r="B89" s="154"/>
      <c r="C89" s="155" t="s">
        <v>78</v>
      </c>
      <c r="D89" s="162"/>
      <c r="E89" s="162" t="s">
        <v>79</v>
      </c>
      <c r="F89" s="53" t="s">
        <v>76</v>
      </c>
      <c r="G89" s="155" t="s">
        <v>10</v>
      </c>
      <c r="H89" s="155" t="s">
        <v>10</v>
      </c>
    </row>
    <row r="90" spans="1:11" hidden="1" x14ac:dyDescent="0.25">
      <c r="A90" s="92" t="s">
        <v>98</v>
      </c>
      <c r="B90" s="92"/>
      <c r="C90" s="92"/>
      <c r="D90" s="92"/>
      <c r="E90" s="92"/>
      <c r="F90" s="92"/>
      <c r="G90" s="92"/>
      <c r="H90" s="92"/>
      <c r="I90" s="20"/>
      <c r="J90" s="20"/>
      <c r="K90" s="20"/>
    </row>
    <row r="91" spans="1:11" hidden="1" x14ac:dyDescent="0.25">
      <c r="A91" s="93" t="s">
        <v>71</v>
      </c>
      <c r="B91" s="93"/>
      <c r="C91" s="91" t="s">
        <v>72</v>
      </c>
      <c r="D91" s="91"/>
      <c r="E91" s="94" t="s">
        <v>73</v>
      </c>
      <c r="F91" s="94"/>
      <c r="G91" s="94" t="s">
        <v>74</v>
      </c>
      <c r="H91" s="94"/>
      <c r="I91" s="20"/>
      <c r="J91" s="20"/>
      <c r="K91" s="20"/>
    </row>
    <row r="92" spans="1:11" ht="15" hidden="1" customHeight="1" x14ac:dyDescent="0.25">
      <c r="A92" s="95" t="s">
        <v>95</v>
      </c>
      <c r="B92" s="95"/>
      <c r="C92" s="119"/>
      <c r="D92" s="120"/>
      <c r="E92" s="149"/>
      <c r="F92" s="149"/>
      <c r="G92" s="149"/>
      <c r="H92" s="149"/>
    </row>
    <row r="93" spans="1:11" hidden="1" x14ac:dyDescent="0.25">
      <c r="A93" s="141" t="s">
        <v>12</v>
      </c>
      <c r="B93" s="141"/>
      <c r="C93" s="150"/>
      <c r="D93" s="91"/>
      <c r="E93" s="94"/>
      <c r="F93" s="94"/>
      <c r="G93" s="94"/>
      <c r="H93" s="94"/>
    </row>
    <row r="94" spans="1:11" x14ac:dyDescent="0.25">
      <c r="A94" s="92" t="s">
        <v>218</v>
      </c>
      <c r="B94" s="92"/>
      <c r="C94" s="92"/>
      <c r="D94" s="92"/>
      <c r="E94" s="92"/>
      <c r="F94" s="92"/>
      <c r="G94" s="92"/>
      <c r="H94" s="92"/>
    </row>
    <row r="95" spans="1:11" x14ac:dyDescent="0.25">
      <c r="A95" s="93" t="s">
        <v>71</v>
      </c>
      <c r="B95" s="93"/>
      <c r="C95" s="91" t="s">
        <v>72</v>
      </c>
      <c r="D95" s="91"/>
      <c r="E95" s="94" t="s">
        <v>73</v>
      </c>
      <c r="F95" s="94"/>
      <c r="G95" s="94" t="s">
        <v>74</v>
      </c>
      <c r="H95" s="94"/>
    </row>
    <row r="96" spans="1:11" x14ac:dyDescent="0.25">
      <c r="A96" s="95" t="s">
        <v>97</v>
      </c>
      <c r="B96" s="95"/>
      <c r="C96" s="119">
        <f>COUNT(F116:F127)*17+COUNT(F129:F139)*3+COUNT(F142:F143)</f>
        <v>239</v>
      </c>
      <c r="D96" s="120"/>
      <c r="E96" s="149">
        <f>SUM(F116:F127)*17+SUM(F129:F139)*3+SUM(F142:F143)</f>
        <v>107080.02980999999</v>
      </c>
      <c r="F96" s="149"/>
      <c r="G96" s="149">
        <f>SUM(H116:H127)*17+SUM(H129:H139)*3+SUM(H142:H143)</f>
        <v>160751.57182500002</v>
      </c>
      <c r="H96" s="149"/>
    </row>
    <row r="97" spans="1:17" x14ac:dyDescent="0.25">
      <c r="A97" s="141" t="s">
        <v>12</v>
      </c>
      <c r="B97" s="141"/>
      <c r="C97" s="150">
        <f>SUM(C96)</f>
        <v>239</v>
      </c>
      <c r="D97" s="91"/>
      <c r="E97" s="94">
        <f>SUM(E96)</f>
        <v>107080.02980999999</v>
      </c>
      <c r="F97" s="94"/>
      <c r="G97" s="94">
        <f>SUM(G96)</f>
        <v>160751.57182500002</v>
      </c>
      <c r="H97" s="94"/>
    </row>
    <row r="98" spans="1:17" hidden="1" x14ac:dyDescent="0.25">
      <c r="A98" s="141" t="s">
        <v>159</v>
      </c>
      <c r="B98" s="141"/>
      <c r="C98" s="150">
        <f>C93+C97</f>
        <v>239</v>
      </c>
      <c r="D98" s="91"/>
      <c r="E98" s="94">
        <f>E93+E97</f>
        <v>107080.02980999999</v>
      </c>
      <c r="F98" s="94"/>
      <c r="G98" s="94">
        <f>G93+G97</f>
        <v>160751.57182500002</v>
      </c>
      <c r="H98" s="94"/>
    </row>
    <row r="99" spans="1:17" ht="15" customHeight="1" x14ac:dyDescent="0.25">
      <c r="A99" s="163" t="s">
        <v>161</v>
      </c>
      <c r="B99" s="163"/>
      <c r="C99" s="163"/>
      <c r="D99" s="163"/>
      <c r="E99" s="163"/>
      <c r="F99" s="163"/>
      <c r="G99" s="163"/>
      <c r="H99" s="163"/>
    </row>
    <row r="100" spans="1:17" ht="15" customHeight="1" x14ac:dyDescent="0.25">
      <c r="A100" s="164" t="s">
        <v>181</v>
      </c>
      <c r="B100" s="164"/>
      <c r="C100" s="164"/>
      <c r="D100" s="164"/>
      <c r="E100" s="164"/>
      <c r="F100" s="164"/>
      <c r="G100" s="164"/>
      <c r="H100" s="164"/>
    </row>
    <row r="101" spans="1:17" ht="42.75" hidden="1" x14ac:dyDescent="0.25">
      <c r="A101" s="142" t="s">
        <v>171</v>
      </c>
      <c r="B101" s="156" t="s">
        <v>2</v>
      </c>
      <c r="C101" s="142" t="s">
        <v>176</v>
      </c>
      <c r="D101" s="142" t="s">
        <v>160</v>
      </c>
      <c r="E101" s="142" t="s">
        <v>166</v>
      </c>
      <c r="F101" s="142" t="s">
        <v>173</v>
      </c>
      <c r="G101" s="142" t="s">
        <v>174</v>
      </c>
      <c r="H101" s="50" t="s">
        <v>172</v>
      </c>
    </row>
    <row r="102" spans="1:17" ht="15" hidden="1" customHeight="1" x14ac:dyDescent="0.25">
      <c r="A102" s="142"/>
      <c r="B102" s="156"/>
      <c r="C102" s="142"/>
      <c r="D102" s="142"/>
      <c r="E102" s="142"/>
      <c r="F102" s="142"/>
      <c r="G102" s="142"/>
      <c r="H102" s="65">
        <v>0.5</v>
      </c>
      <c r="N102" s="8" t="str">
        <f ca="1">O102&amp;" to "&amp;P102</f>
        <v>201 to 601</v>
      </c>
      <c r="O102" s="8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10^ROW(INDIRECT("1:"&amp;LEN((LEFT(A144,SUM(LEN(A144)-LEN(SUBSTITUTE(A144,{"0","1","2"},""))))))))/10))*100+1</f>
        <v>201</v>
      </c>
      <c r="P102" s="8">
        <f ca="1">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",LEN(A144))),LEN(A144)))))))/10))*100+1</f>
        <v>601</v>
      </c>
    </row>
    <row r="103" spans="1:17" ht="15" hidden="1" customHeight="1" x14ac:dyDescent="0.25">
      <c r="A103" s="106" t="s">
        <v>179</v>
      </c>
      <c r="B103" s="106"/>
      <c r="C103" s="106"/>
      <c r="D103" s="106"/>
      <c r="E103" s="106"/>
      <c r="F103" s="106"/>
      <c r="G103" s="106"/>
      <c r="H103" s="106"/>
      <c r="N103" s="8" t="str">
        <f t="shared" ref="N103:N111" ca="1" si="1">O103&amp;" to "&amp;P103</f>
        <v>202 to 602</v>
      </c>
      <c r="O103" s="8">
        <f ca="1">O102+1</f>
        <v>202</v>
      </c>
      <c r="P103" s="8">
        <f ca="1">P102+1</f>
        <v>602</v>
      </c>
    </row>
    <row r="104" spans="1:17" ht="15" hidden="1" customHeight="1" x14ac:dyDescent="0.25">
      <c r="A104" s="52">
        <v>1</v>
      </c>
      <c r="B104" s="1"/>
      <c r="C104" s="1"/>
      <c r="D104" s="1"/>
      <c r="E104" s="1">
        <v>0</v>
      </c>
      <c r="F104" s="1">
        <f>C104+D104+E104</f>
        <v>0</v>
      </c>
      <c r="G104" s="1">
        <v>0</v>
      </c>
      <c r="H104" s="1">
        <f>F104*(($H$102)+1)+G104</f>
        <v>0</v>
      </c>
      <c r="N104" s="8" t="str">
        <f t="shared" ca="1" si="1"/>
        <v>203 to 603</v>
      </c>
      <c r="O104" s="8">
        <f t="shared" ref="O104:O111" ca="1" si="2">O103+1</f>
        <v>203</v>
      </c>
      <c r="P104" s="8">
        <f t="shared" ref="P104:P111" ca="1" si="3">P103+1</f>
        <v>603</v>
      </c>
    </row>
    <row r="105" spans="1:17" ht="30.75" hidden="1" customHeight="1" x14ac:dyDescent="0.25">
      <c r="A105" s="52">
        <f>A104+1</f>
        <v>2</v>
      </c>
      <c r="B105" s="1"/>
      <c r="C105" s="1"/>
      <c r="D105" s="1"/>
      <c r="E105" s="1">
        <v>0</v>
      </c>
      <c r="F105" s="1">
        <f t="shared" ref="F105:F108" si="4">C105+D105+E105</f>
        <v>0</v>
      </c>
      <c r="G105" s="1">
        <v>0</v>
      </c>
      <c r="H105" s="1">
        <f>F105*(($H$102)+1)+G105</f>
        <v>0</v>
      </c>
      <c r="N105" s="8" t="str">
        <f t="shared" ca="1" si="1"/>
        <v>204 to 604</v>
      </c>
      <c r="O105" s="8">
        <f t="shared" ca="1" si="2"/>
        <v>204</v>
      </c>
      <c r="P105" s="8">
        <f t="shared" ca="1" si="3"/>
        <v>604</v>
      </c>
    </row>
    <row r="106" spans="1:17" ht="15" hidden="1" customHeight="1" x14ac:dyDescent="0.25">
      <c r="A106" s="52">
        <f>A105+1</f>
        <v>3</v>
      </c>
      <c r="B106" s="1"/>
      <c r="C106" s="1"/>
      <c r="D106" s="1"/>
      <c r="E106" s="1">
        <v>0</v>
      </c>
      <c r="F106" s="1">
        <f t="shared" si="4"/>
        <v>0</v>
      </c>
      <c r="G106" s="1">
        <v>0</v>
      </c>
      <c r="H106" s="1">
        <f>F106*(($H$102)+1)+G106</f>
        <v>0</v>
      </c>
      <c r="N106" s="8" t="str">
        <f t="shared" ca="1" si="1"/>
        <v>205 to 605</v>
      </c>
      <c r="O106" s="8">
        <f t="shared" ca="1" si="2"/>
        <v>205</v>
      </c>
      <c r="P106" s="8">
        <f t="shared" ca="1" si="3"/>
        <v>605</v>
      </c>
    </row>
    <row r="107" spans="1:17" ht="15" hidden="1" customHeight="1" x14ac:dyDescent="0.25">
      <c r="A107" s="52">
        <f>A106+1</f>
        <v>4</v>
      </c>
      <c r="B107" s="1"/>
      <c r="C107" s="1"/>
      <c r="D107" s="1"/>
      <c r="E107" s="1">
        <v>0</v>
      </c>
      <c r="F107" s="1">
        <f t="shared" si="4"/>
        <v>0</v>
      </c>
      <c r="G107" s="1">
        <v>0</v>
      </c>
      <c r="H107" s="1">
        <f>F107*(($H$102)+1)+G107</f>
        <v>0</v>
      </c>
      <c r="N107" s="8" t="str">
        <f t="shared" ca="1" si="1"/>
        <v>206 to 606</v>
      </c>
      <c r="O107" s="8">
        <f t="shared" ca="1" si="2"/>
        <v>206</v>
      </c>
      <c r="P107" s="8">
        <f t="shared" ca="1" si="3"/>
        <v>606</v>
      </c>
    </row>
    <row r="108" spans="1:17" ht="15" hidden="1" customHeight="1" x14ac:dyDescent="0.25">
      <c r="A108" s="52">
        <f>A107+1</f>
        <v>5</v>
      </c>
      <c r="B108" s="1"/>
      <c r="C108" s="1"/>
      <c r="D108" s="1"/>
      <c r="E108" s="1">
        <v>0</v>
      </c>
      <c r="F108" s="1">
        <f t="shared" si="4"/>
        <v>0</v>
      </c>
      <c r="G108" s="1">
        <v>0</v>
      </c>
      <c r="H108" s="1">
        <f>F108*(($H$102)+1)+G108</f>
        <v>0</v>
      </c>
      <c r="N108" s="8" t="str">
        <f t="shared" ca="1" si="1"/>
        <v>207 to 607</v>
      </c>
      <c r="O108" s="8">
        <f t="shared" ca="1" si="2"/>
        <v>207</v>
      </c>
      <c r="P108" s="8">
        <f t="shared" ca="1" si="3"/>
        <v>607</v>
      </c>
    </row>
    <row r="109" spans="1:17" ht="15" hidden="1" customHeight="1" x14ac:dyDescent="0.25">
      <c r="A109" s="165"/>
      <c r="B109" s="165"/>
      <c r="C109" s="165"/>
      <c r="D109" s="165"/>
      <c r="E109" s="165"/>
      <c r="F109" s="165"/>
      <c r="G109" s="165"/>
      <c r="H109" s="165"/>
      <c r="N109" s="8" t="str">
        <f t="shared" ca="1" si="1"/>
        <v>208 to 608</v>
      </c>
      <c r="O109" s="8">
        <f t="shared" ca="1" si="2"/>
        <v>208</v>
      </c>
      <c r="P109" s="8">
        <f t="shared" ca="1" si="3"/>
        <v>608</v>
      </c>
    </row>
    <row r="110" spans="1:17" ht="15" customHeight="1" x14ac:dyDescent="0.25">
      <c r="A110" s="157" t="s">
        <v>180</v>
      </c>
      <c r="B110" s="157"/>
      <c r="C110" s="157"/>
      <c r="D110" s="157"/>
      <c r="E110" s="157"/>
      <c r="F110" s="157"/>
      <c r="G110" s="157"/>
      <c r="H110" s="157"/>
      <c r="N110" s="8" t="str">
        <f t="shared" ca="1" si="1"/>
        <v>209 to 609</v>
      </c>
      <c r="O110" s="8">
        <f t="shared" ca="1" si="2"/>
        <v>209</v>
      </c>
      <c r="P110" s="8">
        <f t="shared" ca="1" si="3"/>
        <v>609</v>
      </c>
    </row>
    <row r="111" spans="1:17" ht="50.25" customHeight="1" x14ac:dyDescent="0.25">
      <c r="A111" s="151" t="s">
        <v>171</v>
      </c>
      <c r="B111" s="166" t="s">
        <v>2</v>
      </c>
      <c r="C111" s="151" t="s">
        <v>176</v>
      </c>
      <c r="D111" s="151" t="s">
        <v>209</v>
      </c>
      <c r="E111" s="151" t="s">
        <v>203</v>
      </c>
      <c r="F111" s="151" t="s">
        <v>173</v>
      </c>
      <c r="G111" s="151" t="s">
        <v>174</v>
      </c>
      <c r="H111" s="51" t="s">
        <v>172</v>
      </c>
      <c r="L111" s="8">
        <v>1</v>
      </c>
      <c r="M111" s="8">
        <v>44</v>
      </c>
      <c r="N111" s="8" t="str">
        <f t="shared" ca="1" si="1"/>
        <v>210 to 610</v>
      </c>
      <c r="O111" s="8">
        <f t="shared" ca="1" si="2"/>
        <v>210</v>
      </c>
      <c r="P111" s="8">
        <f t="shared" ca="1" si="3"/>
        <v>610</v>
      </c>
    </row>
    <row r="112" spans="1:17" x14ac:dyDescent="0.25">
      <c r="A112" s="151"/>
      <c r="B112" s="166"/>
      <c r="C112" s="151"/>
      <c r="D112" s="151"/>
      <c r="E112" s="151"/>
      <c r="F112" s="151"/>
      <c r="G112" s="151"/>
      <c r="H112" s="66">
        <v>0.5</v>
      </c>
      <c r="M112" s="8">
        <v>2</v>
      </c>
      <c r="Q112" s="8" t="s">
        <v>239</v>
      </c>
    </row>
    <row r="113" spans="1:16" ht="15" customHeight="1" x14ac:dyDescent="0.25">
      <c r="A113" s="70" t="s">
        <v>219</v>
      </c>
      <c r="B113" s="70"/>
      <c r="C113" s="70"/>
      <c r="D113" s="70"/>
      <c r="E113" s="70"/>
      <c r="F113" s="70"/>
      <c r="G113" s="70"/>
      <c r="H113" s="70"/>
      <c r="N113" s="8" t="str">
        <f t="shared" ref="N113" ca="1" si="5">O113&amp;" to "&amp;P113</f>
        <v>211 to 611</v>
      </c>
      <c r="O113" s="8">
        <f ca="1">O111+1</f>
        <v>211</v>
      </c>
      <c r="P113" s="8">
        <f ca="1">P111+1</f>
        <v>611</v>
      </c>
    </row>
    <row r="114" spans="1:16" ht="15" customHeight="1" x14ac:dyDescent="0.25">
      <c r="A114" s="70" t="s">
        <v>195</v>
      </c>
      <c r="B114" s="70"/>
      <c r="C114" s="70"/>
      <c r="D114" s="70"/>
      <c r="E114" s="70"/>
      <c r="F114" s="70"/>
      <c r="G114" s="107"/>
      <c r="H114" s="70"/>
      <c r="N114" s="8" t="str">
        <f t="shared" ref="N114" si="6">O114&amp;" to "&amp;P114</f>
        <v>1 to 1</v>
      </c>
      <c r="O114" s="8">
        <f>O112+1</f>
        <v>1</v>
      </c>
      <c r="P114" s="8">
        <f>P112+1</f>
        <v>1</v>
      </c>
    </row>
    <row r="115" spans="1:16" ht="15" customHeight="1" x14ac:dyDescent="0.25">
      <c r="A115" s="70" t="s">
        <v>196</v>
      </c>
      <c r="B115" s="70"/>
      <c r="C115" s="70"/>
      <c r="D115" s="70"/>
      <c r="E115" s="70"/>
      <c r="F115" s="70"/>
      <c r="G115" s="107"/>
      <c r="H115" s="107"/>
      <c r="J115" s="42">
        <v>10.763999999999999</v>
      </c>
      <c r="N115" s="8" t="str">
        <f ca="1">O115&amp;" &amp; "&amp;P115</f>
        <v>201 &amp; 601</v>
      </c>
      <c r="O115" s="8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</f>
        <v>201</v>
      </c>
      <c r="P115" s="8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601</v>
      </c>
    </row>
    <row r="116" spans="1:16" ht="15" customHeight="1" x14ac:dyDescent="0.25">
      <c r="A116" s="46">
        <v>1</v>
      </c>
      <c r="B116" s="47" t="s">
        <v>200</v>
      </c>
      <c r="C116" s="48">
        <f>(34.29)*10.764</f>
        <v>369.09755999999999</v>
      </c>
      <c r="D116" s="48">
        <f>(1.2*2.75)*10.764</f>
        <v>35.521199999999993</v>
      </c>
      <c r="E116" s="48">
        <f>(0.75*(2.75+2.1+2.75+2.75))*10.764</f>
        <v>83.555549999999982</v>
      </c>
      <c r="F116" s="47">
        <f t="shared" ref="F116:F125" si="7">C116+D116+E116</f>
        <v>488.17430999999993</v>
      </c>
      <c r="G116" s="47">
        <v>0</v>
      </c>
      <c r="H116" s="47">
        <f t="shared" ref="H116:H125" si="8">F116*(($H$112)+1)+(IF(G116&lt;101,G116,IF(G116&lt;201,G116/2,IF(G116&lt;=301,G116/3,G116/4))))</f>
        <v>732.26146499999993</v>
      </c>
      <c r="I116" s="45">
        <f>2.75*2.75+2.1*2.75+2.75*2.75+2.75*2.75+1.8*1.05+1.05*1.8</f>
        <v>32.2425</v>
      </c>
      <c r="L116" s="67">
        <f>5500000/H116</f>
        <v>7510.9783361329828</v>
      </c>
      <c r="N116" s="8" t="str">
        <f t="shared" ref="N116:N124" ca="1" si="9">O116&amp;" &amp; "&amp;P116</f>
        <v>202 &amp; 602</v>
      </c>
      <c r="O116" s="8">
        <f ca="1">O115+1</f>
        <v>202</v>
      </c>
      <c r="P116" s="8">
        <f ca="1">P115+1</f>
        <v>602</v>
      </c>
    </row>
    <row r="117" spans="1:16" ht="15" customHeight="1" x14ac:dyDescent="0.25">
      <c r="A117" s="46">
        <f>A116+1</f>
        <v>2</v>
      </c>
      <c r="B117" s="47" t="s">
        <v>200</v>
      </c>
      <c r="C117" s="48">
        <f>(34.32)*10.764</f>
        <v>369.42048</v>
      </c>
      <c r="D117" s="48">
        <f>(1.2*2.75)*10.764</f>
        <v>35.521199999999993</v>
      </c>
      <c r="E117" s="48">
        <f>(0.75*(2.75+2.1+2.75+2.75))*10.764</f>
        <v>83.555549999999982</v>
      </c>
      <c r="F117" s="47">
        <f t="shared" si="7"/>
        <v>488.49723</v>
      </c>
      <c r="G117" s="47">
        <v>0</v>
      </c>
      <c r="H117" s="47">
        <f t="shared" si="8"/>
        <v>732.74584500000003</v>
      </c>
      <c r="I117" s="22"/>
      <c r="J117" s="54">
        <f>4500000/H117</f>
        <v>6141.2835442280802</v>
      </c>
      <c r="L117" s="67"/>
      <c r="N117" s="8" t="str">
        <f t="shared" ca="1" si="9"/>
        <v>203 &amp; 603</v>
      </c>
      <c r="O117" s="8">
        <f t="shared" ref="O117:O126" ca="1" si="10">O116+1</f>
        <v>203</v>
      </c>
      <c r="P117" s="8">
        <f t="shared" ref="P117:P126" ca="1" si="11">P116+1</f>
        <v>603</v>
      </c>
    </row>
    <row r="118" spans="1:16" ht="15" customHeight="1" x14ac:dyDescent="0.25">
      <c r="A118" s="29">
        <f>A117+1</f>
        <v>3</v>
      </c>
      <c r="B118" s="1" t="s">
        <v>200</v>
      </c>
      <c r="C118" s="42">
        <f>(34.89)*10.764</f>
        <v>375.55595999999997</v>
      </c>
      <c r="D118" s="42">
        <f>(1.15*2.75)*10.764</f>
        <v>34.041149999999995</v>
      </c>
      <c r="E118" s="42">
        <f>(0.75*(2.75+2.1+2.75+2.75))*10.764</f>
        <v>83.555549999999982</v>
      </c>
      <c r="F118" s="1">
        <f t="shared" si="7"/>
        <v>493.15265999999997</v>
      </c>
      <c r="G118" s="1">
        <v>0</v>
      </c>
      <c r="H118" s="1">
        <f t="shared" si="8"/>
        <v>739.72898999999995</v>
      </c>
      <c r="I118" s="22"/>
      <c r="J118" s="55">
        <f>4600000/H118</f>
        <v>6218.4936134515974</v>
      </c>
      <c r="L118" s="67"/>
      <c r="N118" s="8" t="str">
        <f t="shared" ca="1" si="9"/>
        <v>204 &amp; 604</v>
      </c>
      <c r="O118" s="8">
        <f t="shared" ca="1" si="10"/>
        <v>204</v>
      </c>
      <c r="P118" s="8">
        <f t="shared" ca="1" si="11"/>
        <v>604</v>
      </c>
    </row>
    <row r="119" spans="1:16" ht="15" customHeight="1" x14ac:dyDescent="0.25">
      <c r="A119" s="29">
        <f>A118+1</f>
        <v>4</v>
      </c>
      <c r="B119" s="1" t="s">
        <v>201</v>
      </c>
      <c r="C119" s="42">
        <f>(27.43)*10.764</f>
        <v>295.25651999999997</v>
      </c>
      <c r="D119" s="42">
        <f>(1.15*2.75)*10.764</f>
        <v>34.041149999999995</v>
      </c>
      <c r="E119" s="42">
        <f>(0.75*(2.75+2.1+2.75))*10.764</f>
        <v>61.35479999999999</v>
      </c>
      <c r="F119" s="1">
        <f t="shared" si="7"/>
        <v>390.65246999999999</v>
      </c>
      <c r="G119" s="1">
        <v>0</v>
      </c>
      <c r="H119" s="1">
        <f t="shared" si="8"/>
        <v>585.97870499999999</v>
      </c>
      <c r="I119" s="22"/>
      <c r="J119" s="55">
        <f>3600000/H119</f>
        <v>6143.5679646413091</v>
      </c>
      <c r="L119" s="67">
        <f>4400000/H119</f>
        <v>7508.8052901171559</v>
      </c>
      <c r="N119" s="8" t="str">
        <f t="shared" ca="1" si="9"/>
        <v>205 &amp; 605</v>
      </c>
      <c r="O119" s="8">
        <f t="shared" ca="1" si="10"/>
        <v>205</v>
      </c>
      <c r="P119" s="8">
        <f t="shared" ca="1" si="11"/>
        <v>605</v>
      </c>
    </row>
    <row r="120" spans="1:16" ht="15" customHeight="1" x14ac:dyDescent="0.25">
      <c r="A120" s="29">
        <f>A119+1</f>
        <v>5</v>
      </c>
      <c r="B120" s="1" t="s">
        <v>201</v>
      </c>
      <c r="C120" s="42">
        <f>(27.43)*10.764</f>
        <v>295.25651999999997</v>
      </c>
      <c r="D120" s="42">
        <f>(1.15*2.75)*10.764</f>
        <v>34.041149999999995</v>
      </c>
      <c r="E120" s="42">
        <f>(0.75*(2.75+2.1+2.75))*10.764</f>
        <v>61.35479999999999</v>
      </c>
      <c r="F120" s="1">
        <f t="shared" si="7"/>
        <v>390.65246999999999</v>
      </c>
      <c r="G120" s="1">
        <v>0</v>
      </c>
      <c r="H120" s="1">
        <f t="shared" si="8"/>
        <v>585.97870499999999</v>
      </c>
      <c r="I120" s="22"/>
      <c r="J120" s="22"/>
      <c r="L120" s="67"/>
      <c r="N120" s="8" t="str">
        <f t="shared" ca="1" si="9"/>
        <v>206 &amp; 606</v>
      </c>
      <c r="O120" s="8">
        <f t="shared" ca="1" si="10"/>
        <v>206</v>
      </c>
      <c r="P120" s="8">
        <f t="shared" ca="1" si="11"/>
        <v>606</v>
      </c>
    </row>
    <row r="121" spans="1:16" ht="15" customHeight="1" x14ac:dyDescent="0.25">
      <c r="A121" s="21">
        <f t="shared" ref="A121:A127" si="12">A120+1</f>
        <v>6</v>
      </c>
      <c r="B121" s="1" t="s">
        <v>201</v>
      </c>
      <c r="C121" s="42">
        <f>(27.43)*10.764</f>
        <v>295.25651999999997</v>
      </c>
      <c r="D121" s="42">
        <f>(1.15*2.75)*10.764</f>
        <v>34.041149999999995</v>
      </c>
      <c r="E121" s="42">
        <f>(0.75*(2.75+2.1+2.75))*10.764</f>
        <v>61.35479999999999</v>
      </c>
      <c r="F121" s="1">
        <f t="shared" si="7"/>
        <v>390.65246999999999</v>
      </c>
      <c r="G121" s="1">
        <v>0</v>
      </c>
      <c r="H121" s="1">
        <f t="shared" si="8"/>
        <v>585.97870499999999</v>
      </c>
      <c r="I121" s="22"/>
      <c r="J121" s="22"/>
      <c r="L121" s="67"/>
      <c r="N121" s="8" t="str">
        <f t="shared" ca="1" si="9"/>
        <v>207 &amp; 607</v>
      </c>
      <c r="O121" s="8">
        <f t="shared" ca="1" si="10"/>
        <v>207</v>
      </c>
      <c r="P121" s="8">
        <f t="shared" ca="1" si="11"/>
        <v>607</v>
      </c>
    </row>
    <row r="122" spans="1:16" ht="15" customHeight="1" x14ac:dyDescent="0.25">
      <c r="A122" s="44">
        <f t="shared" si="12"/>
        <v>7</v>
      </c>
      <c r="B122" s="1" t="s">
        <v>201</v>
      </c>
      <c r="C122" s="44">
        <f>(27.43)*10.764</f>
        <v>295.25651999999997</v>
      </c>
      <c r="D122" s="44">
        <f>(1.15*2.75)*10.764</f>
        <v>34.041149999999995</v>
      </c>
      <c r="E122" s="44">
        <f>(0.75*(2.75+2.1+2.75))*10.764</f>
        <v>61.35479999999999</v>
      </c>
      <c r="F122" s="1">
        <f t="shared" si="7"/>
        <v>390.65246999999999</v>
      </c>
      <c r="G122" s="1">
        <v>0</v>
      </c>
      <c r="H122" s="1">
        <f t="shared" si="8"/>
        <v>585.97870499999999</v>
      </c>
      <c r="I122" s="22"/>
      <c r="J122" s="22"/>
      <c r="N122" s="8" t="str">
        <f t="shared" ca="1" si="9"/>
        <v>208 &amp; 608</v>
      </c>
      <c r="O122" s="8">
        <f t="shared" ca="1" si="10"/>
        <v>208</v>
      </c>
      <c r="P122" s="8">
        <f t="shared" ca="1" si="11"/>
        <v>608</v>
      </c>
    </row>
    <row r="123" spans="1:16" ht="15" customHeight="1" x14ac:dyDescent="0.25">
      <c r="A123" s="21">
        <f t="shared" si="12"/>
        <v>8</v>
      </c>
      <c r="B123" s="1" t="s">
        <v>202</v>
      </c>
      <c r="C123" s="42">
        <f>(25.73)*10.764</f>
        <v>276.95771999999999</v>
      </c>
      <c r="D123" s="42">
        <v>0</v>
      </c>
      <c r="E123" s="42">
        <f>(0.75*(3.75+2.7))*10.764</f>
        <v>52.07085</v>
      </c>
      <c r="F123" s="1">
        <f t="shared" si="7"/>
        <v>329.02857</v>
      </c>
      <c r="G123" s="1">
        <v>0</v>
      </c>
      <c r="H123" s="1">
        <f t="shared" si="8"/>
        <v>493.54285500000003</v>
      </c>
      <c r="I123" s="22"/>
      <c r="J123" s="22"/>
      <c r="N123" s="8" t="str">
        <f t="shared" ca="1" si="9"/>
        <v>209 &amp; 609</v>
      </c>
      <c r="O123" s="8">
        <f t="shared" ca="1" si="10"/>
        <v>209</v>
      </c>
      <c r="P123" s="8">
        <f t="shared" ca="1" si="11"/>
        <v>609</v>
      </c>
    </row>
    <row r="124" spans="1:16" ht="15" customHeight="1" x14ac:dyDescent="0.25">
      <c r="A124" s="21">
        <f t="shared" si="12"/>
        <v>9</v>
      </c>
      <c r="B124" s="1" t="s">
        <v>200</v>
      </c>
      <c r="C124" s="42">
        <f>(36.12)*10.764</f>
        <v>388.79567999999995</v>
      </c>
      <c r="D124" s="42">
        <f>(1.4*2.75)*10.764</f>
        <v>41.441399999999994</v>
      </c>
      <c r="E124" s="42">
        <f>(0.75*(2.75+2.1+2.75+2.75))*10.764</f>
        <v>83.555549999999982</v>
      </c>
      <c r="F124" s="1">
        <f t="shared" si="7"/>
        <v>513.79262999999992</v>
      </c>
      <c r="G124" s="1">
        <v>0</v>
      </c>
      <c r="H124" s="1">
        <f t="shared" si="8"/>
        <v>770.68894499999988</v>
      </c>
      <c r="I124" s="22"/>
      <c r="J124" s="22"/>
      <c r="N124" s="8" t="str">
        <f t="shared" ca="1" si="9"/>
        <v>210 &amp; 610</v>
      </c>
      <c r="O124" s="8">
        <f t="shared" ca="1" si="10"/>
        <v>210</v>
      </c>
      <c r="P124" s="8">
        <f t="shared" ca="1" si="11"/>
        <v>610</v>
      </c>
    </row>
    <row r="125" spans="1:16" x14ac:dyDescent="0.25">
      <c r="A125" s="21">
        <f t="shared" si="12"/>
        <v>10</v>
      </c>
      <c r="B125" s="1" t="s">
        <v>200</v>
      </c>
      <c r="C125" s="42">
        <f>(38.15)*10.764</f>
        <v>410.64659999999998</v>
      </c>
      <c r="D125" s="42">
        <f>(1.4*2.75)*10.764</f>
        <v>41.441399999999994</v>
      </c>
      <c r="E125" s="42">
        <f>(0.75*(2.75+2.1+2.75+3.24+0.6))*10.764</f>
        <v>92.355119999999999</v>
      </c>
      <c r="F125" s="1">
        <f t="shared" si="7"/>
        <v>544.44311999999991</v>
      </c>
      <c r="G125" s="1">
        <v>0</v>
      </c>
      <c r="H125" s="1">
        <f t="shared" si="8"/>
        <v>816.66467999999986</v>
      </c>
      <c r="I125" s="22">
        <f>2.85*2.75+2.45*2.1+2.75*2.75+3.24*2.83+0.6*1.87+1.05*2.1+1.05*1.8+0.9*1.45</f>
        <v>36.236200000000004</v>
      </c>
      <c r="J125" s="22"/>
    </row>
    <row r="126" spans="1:16" ht="15" customHeight="1" x14ac:dyDescent="0.25">
      <c r="A126" s="42">
        <f t="shared" si="12"/>
        <v>11</v>
      </c>
      <c r="B126" s="1" t="s">
        <v>200</v>
      </c>
      <c r="C126" s="42">
        <f>(34.86)*10.764</f>
        <v>375.23303999999996</v>
      </c>
      <c r="D126" s="42">
        <f>(1.2*2.75)*10.764</f>
        <v>35.521199999999993</v>
      </c>
      <c r="E126" s="42">
        <f>(0.75*(2.75+2.1+2.75+2.75))*10.764</f>
        <v>83.555549999999982</v>
      </c>
      <c r="F126" s="1">
        <f t="shared" ref="F126:F127" si="13">C126+D126+E126</f>
        <v>494.30978999999996</v>
      </c>
      <c r="G126" s="1">
        <v>0</v>
      </c>
      <c r="H126" s="1">
        <f t="shared" ref="H126:H127" si="14">F126*(($H$112)+1)+(IF(G126&lt;101,G126,IF(G126&lt;201,G126/2,IF(G126&lt;=301,G126/3,G126/4))))</f>
        <v>741.46468499999992</v>
      </c>
      <c r="I126" s="22"/>
      <c r="J126" s="22"/>
      <c r="N126" s="8" t="str">
        <f t="shared" ref="N126" si="15">O126&amp;" &amp; "&amp;P126</f>
        <v>1 &amp; 1</v>
      </c>
      <c r="O126" s="8">
        <f t="shared" si="10"/>
        <v>1</v>
      </c>
      <c r="P126" s="8">
        <f t="shared" si="11"/>
        <v>1</v>
      </c>
    </row>
    <row r="127" spans="1:16" x14ac:dyDescent="0.25">
      <c r="A127" s="42">
        <f t="shared" si="12"/>
        <v>12</v>
      </c>
      <c r="B127" s="1" t="s">
        <v>200</v>
      </c>
      <c r="C127" s="42">
        <f>(34.29)*10.764</f>
        <v>369.09755999999999</v>
      </c>
      <c r="D127" s="42">
        <f>(1.2*2.75)*10.764</f>
        <v>35.521199999999993</v>
      </c>
      <c r="E127" s="42">
        <f>(0.75*(2.75+2.1+2.75+2.75))*10.764</f>
        <v>83.555549999999982</v>
      </c>
      <c r="F127" s="1">
        <f t="shared" si="13"/>
        <v>488.17430999999993</v>
      </c>
      <c r="G127" s="1">
        <v>0</v>
      </c>
      <c r="H127" s="1">
        <f t="shared" si="14"/>
        <v>732.26146499999993</v>
      </c>
      <c r="I127" s="22"/>
      <c r="J127" s="22"/>
    </row>
    <row r="128" spans="1:16" ht="15" customHeight="1" x14ac:dyDescent="0.25">
      <c r="A128" s="106" t="s">
        <v>197</v>
      </c>
      <c r="B128" s="106"/>
      <c r="C128" s="106"/>
      <c r="D128" s="106"/>
      <c r="E128" s="106"/>
      <c r="F128" s="106"/>
      <c r="G128" s="158"/>
      <c r="H128" s="158"/>
      <c r="N128" s="8" t="str">
        <f ca="1">O128&amp;" &amp; "&amp;P128</f>
        <v>201 &amp; 201</v>
      </c>
      <c r="O128" s="8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10^ROW(INDIRECT("1:"&amp;LEN((LEFT(A168,SUM(LEN(A168)-LEN(SUBSTITUTE(A168,{"0","1","2"},""))))))))/10))*100+1</f>
        <v>201</v>
      </c>
      <c r="P128" s="8">
        <f ca="1">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",LEN(A168))),LEN(A168)))))))/10))*100+1</f>
        <v>201</v>
      </c>
    </row>
    <row r="129" spans="1:16" ht="15" customHeight="1" x14ac:dyDescent="0.25">
      <c r="A129" s="41">
        <v>1</v>
      </c>
      <c r="B129" s="1" t="s">
        <v>200</v>
      </c>
      <c r="C129" s="42">
        <f>(34.29)*10.764</f>
        <v>369.09755999999999</v>
      </c>
      <c r="D129" s="42">
        <f>(1.2*2.75)*10.764</f>
        <v>35.521199999999993</v>
      </c>
      <c r="E129" s="42">
        <f>(0.75*(2.75+2.1+2.75+2.75))*10.764</f>
        <v>83.555549999999982</v>
      </c>
      <c r="F129" s="1">
        <f t="shared" ref="F129:F139" si="16">C129+D129+E129</f>
        <v>488.17430999999993</v>
      </c>
      <c r="G129" s="1">
        <v>0</v>
      </c>
      <c r="H129" s="1">
        <f t="shared" ref="H129:H139" si="17">F129*(($H$112)+1)+(IF(G129&lt;101,G129,IF(G129&lt;201,G129/2,IF(G129&lt;=301,G129/3,G129/4))))</f>
        <v>732.26146499999993</v>
      </c>
      <c r="N129" s="8" t="str">
        <f t="shared" ref="N129:N137" ca="1" si="18">O129&amp;" &amp; "&amp;P129</f>
        <v>202 &amp; 202</v>
      </c>
      <c r="O129" s="8">
        <f ca="1">O128+1</f>
        <v>202</v>
      </c>
      <c r="P129" s="8">
        <f ca="1">P128+1</f>
        <v>202</v>
      </c>
    </row>
    <row r="130" spans="1:16" ht="15" customHeight="1" x14ac:dyDescent="0.25">
      <c r="A130" s="41">
        <f>A129+1</f>
        <v>2</v>
      </c>
      <c r="B130" s="1" t="s">
        <v>200</v>
      </c>
      <c r="C130" s="42">
        <f>(34.32)*10.764</f>
        <v>369.42048</v>
      </c>
      <c r="D130" s="42">
        <f>(1.2*2.75)*10.764</f>
        <v>35.521199999999993</v>
      </c>
      <c r="E130" s="42">
        <f>(0.75*(2.75+2.1+2.75+2.75))*10.764</f>
        <v>83.555549999999982</v>
      </c>
      <c r="F130" s="1">
        <f t="shared" si="16"/>
        <v>488.49723</v>
      </c>
      <c r="G130" s="1">
        <v>0</v>
      </c>
      <c r="H130" s="1">
        <f t="shared" si="17"/>
        <v>732.74584500000003</v>
      </c>
      <c r="I130" s="22"/>
      <c r="J130" s="22"/>
      <c r="N130" s="8" t="str">
        <f t="shared" ca="1" si="18"/>
        <v>203 &amp; 203</v>
      </c>
      <c r="O130" s="8">
        <f t="shared" ref="O130:P139" ca="1" si="19">O129+1</f>
        <v>203</v>
      </c>
      <c r="P130" s="8">
        <f t="shared" ca="1" si="19"/>
        <v>203</v>
      </c>
    </row>
    <row r="131" spans="1:16" ht="15" customHeight="1" x14ac:dyDescent="0.25">
      <c r="A131" s="41">
        <f>A130+1</f>
        <v>3</v>
      </c>
      <c r="B131" s="1" t="s">
        <v>200</v>
      </c>
      <c r="C131" s="42">
        <f>(34.89)*10.764</f>
        <v>375.55595999999997</v>
      </c>
      <c r="D131" s="42">
        <f>(1.15*2.75)*10.764</f>
        <v>34.041149999999995</v>
      </c>
      <c r="E131" s="42">
        <f>(0.75*(2.75+2.1+2.75+2.75))*10.764</f>
        <v>83.555549999999982</v>
      </c>
      <c r="F131" s="1">
        <f t="shared" si="16"/>
        <v>493.15265999999997</v>
      </c>
      <c r="G131" s="1">
        <v>0</v>
      </c>
      <c r="H131" s="1">
        <f t="shared" si="17"/>
        <v>739.72898999999995</v>
      </c>
      <c r="I131" s="22"/>
      <c r="J131" s="22"/>
      <c r="N131" s="8" t="str">
        <f t="shared" ca="1" si="18"/>
        <v>204 &amp; 204</v>
      </c>
      <c r="O131" s="8">
        <f t="shared" ca="1" si="19"/>
        <v>204</v>
      </c>
      <c r="P131" s="8">
        <f t="shared" ca="1" si="19"/>
        <v>204</v>
      </c>
    </row>
    <row r="132" spans="1:16" ht="15" customHeight="1" x14ac:dyDescent="0.25">
      <c r="A132" s="41">
        <f>A131+1</f>
        <v>4</v>
      </c>
      <c r="B132" s="1" t="s">
        <v>201</v>
      </c>
      <c r="C132" s="42">
        <f>(27.43)*10.764</f>
        <v>295.25651999999997</v>
      </c>
      <c r="D132" s="42">
        <f>(1.15*2.75)*10.764</f>
        <v>34.041149999999995</v>
      </c>
      <c r="E132" s="42">
        <f>(0.75*(2.75+2.1+2.75))*10.764</f>
        <v>61.35479999999999</v>
      </c>
      <c r="F132" s="1">
        <f t="shared" si="16"/>
        <v>390.65246999999999</v>
      </c>
      <c r="G132" s="1">
        <v>0</v>
      </c>
      <c r="H132" s="1">
        <f t="shared" si="17"/>
        <v>585.97870499999999</v>
      </c>
      <c r="I132" s="22"/>
      <c r="J132" s="22"/>
      <c r="N132" s="8" t="str">
        <f t="shared" ca="1" si="18"/>
        <v>205 &amp; 205</v>
      </c>
      <c r="O132" s="8">
        <f t="shared" ca="1" si="19"/>
        <v>205</v>
      </c>
      <c r="P132" s="8">
        <f t="shared" ca="1" si="19"/>
        <v>205</v>
      </c>
    </row>
    <row r="133" spans="1:16" ht="15" customHeight="1" x14ac:dyDescent="0.25">
      <c r="A133" s="41">
        <f>A132+1</f>
        <v>5</v>
      </c>
      <c r="B133" s="1" t="s">
        <v>201</v>
      </c>
      <c r="C133" s="42">
        <f>(27.43)*10.764</f>
        <v>295.25651999999997</v>
      </c>
      <c r="D133" s="42">
        <f>(1.15*2.75)*10.764</f>
        <v>34.041149999999995</v>
      </c>
      <c r="E133" s="42">
        <f>(0.75*(2.75+2.1+2.75))*10.764</f>
        <v>61.35479999999999</v>
      </c>
      <c r="F133" s="1">
        <f t="shared" si="16"/>
        <v>390.65246999999999</v>
      </c>
      <c r="G133" s="1">
        <v>0</v>
      </c>
      <c r="H133" s="1">
        <f t="shared" si="17"/>
        <v>585.97870499999999</v>
      </c>
      <c r="I133" s="22"/>
      <c r="J133" s="22"/>
      <c r="N133" s="8" t="str">
        <f t="shared" ca="1" si="18"/>
        <v>206 &amp; 206</v>
      </c>
      <c r="O133" s="8">
        <f t="shared" ca="1" si="19"/>
        <v>206</v>
      </c>
      <c r="P133" s="8">
        <f t="shared" ca="1" si="19"/>
        <v>206</v>
      </c>
    </row>
    <row r="134" spans="1:16" ht="15" customHeight="1" x14ac:dyDescent="0.25">
      <c r="A134" s="42">
        <f t="shared" ref="A134:A140" si="20">A133+1</f>
        <v>6</v>
      </c>
      <c r="B134" s="1" t="s">
        <v>201</v>
      </c>
      <c r="C134" s="42">
        <f>(27.43)*10.764</f>
        <v>295.25651999999997</v>
      </c>
      <c r="D134" s="42">
        <f>(1.15*2.75)*10.764</f>
        <v>34.041149999999995</v>
      </c>
      <c r="E134" s="42">
        <f>(0.75*(2.75+2.1+2.75))*10.764</f>
        <v>61.35479999999999</v>
      </c>
      <c r="F134" s="1">
        <f t="shared" si="16"/>
        <v>390.65246999999999</v>
      </c>
      <c r="G134" s="1">
        <v>0</v>
      </c>
      <c r="H134" s="1">
        <f t="shared" si="17"/>
        <v>585.97870499999999</v>
      </c>
      <c r="I134" s="22"/>
      <c r="J134" s="22"/>
      <c r="N134" s="8" t="str">
        <f t="shared" ca="1" si="18"/>
        <v>207 &amp; 207</v>
      </c>
      <c r="O134" s="8">
        <f t="shared" ca="1" si="19"/>
        <v>207</v>
      </c>
      <c r="P134" s="8">
        <f t="shared" ca="1" si="19"/>
        <v>207</v>
      </c>
    </row>
    <row r="135" spans="1:16" ht="15" customHeight="1" x14ac:dyDescent="0.25">
      <c r="A135" s="42">
        <f t="shared" si="20"/>
        <v>7</v>
      </c>
      <c r="B135" s="1" t="s">
        <v>201</v>
      </c>
      <c r="C135" s="42">
        <f>(27.43)*10.764</f>
        <v>295.25651999999997</v>
      </c>
      <c r="D135" s="42">
        <f>(1.15*2.75)*10.764</f>
        <v>34.041149999999995</v>
      </c>
      <c r="E135" s="42">
        <f>(0.75*(2.75+2.1+2.75))*10.764</f>
        <v>61.35479999999999</v>
      </c>
      <c r="F135" s="1">
        <f t="shared" si="16"/>
        <v>390.65246999999999</v>
      </c>
      <c r="G135" s="1">
        <v>0</v>
      </c>
      <c r="H135" s="1">
        <f t="shared" si="17"/>
        <v>585.97870499999999</v>
      </c>
      <c r="I135" s="22"/>
      <c r="J135" s="22"/>
      <c r="N135" s="8" t="str">
        <f t="shared" ca="1" si="18"/>
        <v>208 &amp; 208</v>
      </c>
      <c r="O135" s="8">
        <f t="shared" ca="1" si="19"/>
        <v>208</v>
      </c>
      <c r="P135" s="8">
        <f t="shared" ca="1" si="19"/>
        <v>208</v>
      </c>
    </row>
    <row r="136" spans="1:16" ht="15" customHeight="1" x14ac:dyDescent="0.25">
      <c r="A136" s="42">
        <f t="shared" si="20"/>
        <v>8</v>
      </c>
      <c r="B136" s="1" t="s">
        <v>202</v>
      </c>
      <c r="C136" s="42">
        <f>(25.73)*10.764</f>
        <v>276.95771999999999</v>
      </c>
      <c r="D136" s="42">
        <v>0</v>
      </c>
      <c r="E136" s="42">
        <f>(0.75*(3.75+2.7))*10.764</f>
        <v>52.07085</v>
      </c>
      <c r="F136" s="1">
        <f t="shared" si="16"/>
        <v>329.02857</v>
      </c>
      <c r="G136" s="1">
        <v>0</v>
      </c>
      <c r="H136" s="1">
        <f t="shared" si="17"/>
        <v>493.54285500000003</v>
      </c>
      <c r="I136" s="22"/>
      <c r="J136" s="22"/>
      <c r="N136" s="8" t="str">
        <f t="shared" ca="1" si="18"/>
        <v>209 &amp; 209</v>
      </c>
      <c r="O136" s="8">
        <f t="shared" ca="1" si="19"/>
        <v>209</v>
      </c>
      <c r="P136" s="8">
        <f t="shared" ca="1" si="19"/>
        <v>209</v>
      </c>
    </row>
    <row r="137" spans="1:16" ht="15" customHeight="1" x14ac:dyDescent="0.25">
      <c r="A137" s="42">
        <f t="shared" si="20"/>
        <v>9</v>
      </c>
      <c r="B137" s="1" t="s">
        <v>200</v>
      </c>
      <c r="C137" s="42">
        <f>(36.12)*10.764</f>
        <v>388.79567999999995</v>
      </c>
      <c r="D137" s="42">
        <f>(1.4*2.75)*10.764</f>
        <v>41.441399999999994</v>
      </c>
      <c r="E137" s="42">
        <f>(0.75*(2.75+2.1+2.75+2.75))*10.764</f>
        <v>83.555549999999982</v>
      </c>
      <c r="F137" s="1">
        <f t="shared" si="16"/>
        <v>513.79262999999992</v>
      </c>
      <c r="G137" s="1">
        <v>0</v>
      </c>
      <c r="H137" s="1">
        <f t="shared" si="17"/>
        <v>770.68894499999988</v>
      </c>
      <c r="I137" s="22"/>
      <c r="J137" s="22"/>
      <c r="N137" s="8" t="str">
        <f t="shared" ca="1" si="18"/>
        <v>210 &amp; 210</v>
      </c>
      <c r="O137" s="8">
        <f t="shared" ca="1" si="19"/>
        <v>210</v>
      </c>
      <c r="P137" s="8">
        <f t="shared" ca="1" si="19"/>
        <v>210</v>
      </c>
    </row>
    <row r="138" spans="1:16" x14ac:dyDescent="0.25">
      <c r="A138" s="42">
        <f t="shared" si="20"/>
        <v>10</v>
      </c>
      <c r="B138" s="1" t="s">
        <v>200</v>
      </c>
      <c r="C138" s="42">
        <f>(38.15)*10.764</f>
        <v>410.64659999999998</v>
      </c>
      <c r="D138" s="42">
        <f>(1.4*2.75)*10.764</f>
        <v>41.441399999999994</v>
      </c>
      <c r="E138" s="42">
        <f>(0.75*(2.75+2.1+2.75+3.24+0.6))*10.764</f>
        <v>92.355119999999999</v>
      </c>
      <c r="F138" s="1">
        <f t="shared" si="16"/>
        <v>544.44311999999991</v>
      </c>
      <c r="G138" s="1">
        <v>0</v>
      </c>
      <c r="H138" s="1">
        <f t="shared" si="17"/>
        <v>816.66467999999986</v>
      </c>
      <c r="I138" s="22"/>
      <c r="J138" s="22"/>
    </row>
    <row r="139" spans="1:16" ht="15" customHeight="1" x14ac:dyDescent="0.25">
      <c r="A139" s="42">
        <f t="shared" si="20"/>
        <v>11</v>
      </c>
      <c r="B139" s="1" t="s">
        <v>200</v>
      </c>
      <c r="C139" s="42">
        <f>(34.86)*10.764</f>
        <v>375.23303999999996</v>
      </c>
      <c r="D139" s="42">
        <f>(1.2*2.75)*10.764</f>
        <v>35.521199999999993</v>
      </c>
      <c r="E139" s="42">
        <f>(0.75*(2.75+2.1+2.75+2.75))*10.764</f>
        <v>83.555549999999982</v>
      </c>
      <c r="F139" s="1">
        <f t="shared" si="16"/>
        <v>494.30978999999996</v>
      </c>
      <c r="G139" s="1">
        <v>0</v>
      </c>
      <c r="H139" s="1">
        <f t="shared" si="17"/>
        <v>741.46468499999992</v>
      </c>
      <c r="I139" s="22"/>
      <c r="J139" s="22"/>
      <c r="N139" s="8" t="str">
        <f t="shared" ref="N139" si="21">O139&amp;" &amp; "&amp;P139</f>
        <v>1 &amp; 1</v>
      </c>
      <c r="O139" s="8">
        <f t="shared" si="19"/>
        <v>1</v>
      </c>
      <c r="P139" s="8">
        <f t="shared" si="19"/>
        <v>1</v>
      </c>
    </row>
    <row r="140" spans="1:16" x14ac:dyDescent="0.25">
      <c r="A140" s="42">
        <f t="shared" si="20"/>
        <v>12</v>
      </c>
      <c r="B140" s="1" t="s">
        <v>198</v>
      </c>
      <c r="C140" s="159" t="s">
        <v>199</v>
      </c>
      <c r="D140" s="160"/>
      <c r="E140" s="160"/>
      <c r="F140" s="160"/>
      <c r="G140" s="160"/>
      <c r="H140" s="161"/>
      <c r="I140" s="22"/>
      <c r="J140" s="22"/>
    </row>
    <row r="141" spans="1:16" ht="15" customHeight="1" x14ac:dyDescent="0.25">
      <c r="A141" s="106" t="s">
        <v>204</v>
      </c>
      <c r="B141" s="106"/>
      <c r="C141" s="106"/>
      <c r="D141" s="106"/>
      <c r="E141" s="106"/>
      <c r="F141" s="106"/>
      <c r="G141" s="106"/>
      <c r="H141" s="106"/>
      <c r="I141" s="105"/>
      <c r="J141" s="105"/>
      <c r="N141" s="8" t="str">
        <f ca="1">O141&amp;",..,"&amp;P141</f>
        <v>201,..,601</v>
      </c>
      <c r="O141" s="8">
        <f ca="1">(SUMPRODUCT(MID(0&amp;(LEFT(A155,SUM(LEN(A155)-LEN(SUBSTITUTE(A155,{"0","1","2","3"},""))))), LARGE(INDEX(ISNUMBER(--MID((LEFT(A155,SUM(LEN(A155)-LEN(SUBSTITUTE(A155,{"0","1","2","3"},""))))), ROW(INDIRECT("1:"&amp;LEN((LEFT(A155,SUM(LEN(A155)-LEN(SUBSTITUTE(A155,{"0","1","2","3"},"")))))))), 1)) * ROW(INDIRECT("1:"&amp;LEN((LEFT(A155,SUM(LEN(A155)-LEN(SUBSTITUTE(A155,{"0","1","2","3"},"")))))))), 0), ROW(INDIRECT("1:"&amp;LEN((LEFT(A155,SUM(LEN(A155)-LEN(SUBSTITUTE(A155,{"0","1","2","3"},"")))))))))+1, 1) * 10^ROW(INDIRECT("1:"&amp;LEN((LEFT(A155,SUM(LEN(A155)-LEN(SUBSTITUTE(A155,{"0","1","2","3"},""))))))))/10))*100+1</f>
        <v>201</v>
      </c>
      <c r="P141" s="8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601</v>
      </c>
    </row>
    <row r="142" spans="1:16" ht="15" customHeight="1" x14ac:dyDescent="0.25">
      <c r="A142" s="41">
        <v>1</v>
      </c>
      <c r="B142" s="1" t="s">
        <v>202</v>
      </c>
      <c r="C142" s="42">
        <f>(19.63)*10.764</f>
        <v>211.29731999999998</v>
      </c>
      <c r="D142" s="42">
        <v>0</v>
      </c>
      <c r="E142" s="42">
        <f>(0.75*(2.75+2.1))*10.764</f>
        <v>39.154049999999998</v>
      </c>
      <c r="F142" s="1">
        <f t="shared" ref="F142:F143" si="22">C142+D142+E142</f>
        <v>250.45137</v>
      </c>
      <c r="G142" s="42">
        <f>(2.9*3.65+1.9*1.1+2.65*3.65)*10.764</f>
        <v>240.54848999999996</v>
      </c>
      <c r="H142" s="1">
        <f t="shared" ref="H142:H143" si="23">F142*(($H$112)+1)+(IF(G142&lt;101,G142,IF(G142&lt;201,G142/2,IF(G142&lt;=301,G142/3,G142/4))))</f>
        <v>455.85988499999996</v>
      </c>
      <c r="I142" s="22"/>
      <c r="J142" s="22"/>
      <c r="N142" s="8" t="str">
        <f t="shared" ref="N142:N143" ca="1" si="24">O142&amp;",..,"&amp;P142</f>
        <v>202,..,602</v>
      </c>
      <c r="O142" s="8">
        <f ca="1">O141+1</f>
        <v>202</v>
      </c>
      <c r="P142" s="8">
        <f ca="1">P141+1</f>
        <v>602</v>
      </c>
    </row>
    <row r="143" spans="1:16" ht="15" customHeight="1" x14ac:dyDescent="0.25">
      <c r="A143" s="41">
        <f>A142+1</f>
        <v>2</v>
      </c>
      <c r="B143" s="1" t="s">
        <v>202</v>
      </c>
      <c r="C143" s="42">
        <f>(19.63)*10.764</f>
        <v>211.29731999999998</v>
      </c>
      <c r="D143" s="42">
        <v>0</v>
      </c>
      <c r="E143" s="42">
        <f>(0.75*(2.75+2.1))*10.764</f>
        <v>39.154049999999998</v>
      </c>
      <c r="F143" s="1">
        <f t="shared" si="22"/>
        <v>250.45137</v>
      </c>
      <c r="G143" s="42">
        <f>(2.65*3.6)*10.764</f>
        <v>102.68855999999998</v>
      </c>
      <c r="H143" s="1">
        <f t="shared" si="23"/>
        <v>427.02133499999997</v>
      </c>
      <c r="I143" s="22"/>
      <c r="J143" s="22"/>
      <c r="N143" s="8" t="str">
        <f t="shared" ca="1" si="24"/>
        <v>203,..,603</v>
      </c>
      <c r="O143" s="8">
        <f t="shared" ref="O143:P143" ca="1" si="25">O142+1</f>
        <v>203</v>
      </c>
      <c r="P143" s="8">
        <f t="shared" ca="1" si="25"/>
        <v>603</v>
      </c>
    </row>
    <row r="144" spans="1:16" ht="15" hidden="1" customHeight="1" x14ac:dyDescent="0.25">
      <c r="A144" s="106" t="s">
        <v>96</v>
      </c>
      <c r="B144" s="106"/>
      <c r="C144" s="106"/>
      <c r="D144" s="106"/>
      <c r="E144" s="106"/>
      <c r="F144" s="106"/>
      <c r="G144" s="106"/>
      <c r="H144" s="106"/>
      <c r="I144" s="105"/>
      <c r="J144" s="105"/>
      <c r="N144" s="8" t="str">
        <f ca="1">O144&amp;",..,"&amp;P144</f>
        <v>301,..,901</v>
      </c>
      <c r="O144" s="8">
        <f ca="1">(SUMPRODUCT(MID(0&amp;(LEFT(A166,SUM(LEN(A166)-LEN(SUBSTITUTE(A166,{"0","1","2","3"},""))))), LARGE(INDEX(ISNUMBER(--MID((LEFT(A166,SUM(LEN(A166)-LEN(SUBSTITUTE(A166,{"0","1","2","3"},""))))), ROW(INDIRECT("1:"&amp;LEN((LEFT(A166,SUM(LEN(A166)-LEN(SUBSTITUTE(A166,{"0","1","2","3"},"")))))))), 1)) * ROW(INDIRECT("1:"&amp;LEN((LEFT(A166,SUM(LEN(A166)-LEN(SUBSTITUTE(A166,{"0","1","2","3"},"")))))))), 0), ROW(INDIRECT("1:"&amp;LEN((LEFT(A166,SUM(LEN(A166)-LEN(SUBSTITUTE(A166,{"0","1","2","3"},"")))))))))+1, 1) * 10^ROW(INDIRECT("1:"&amp;LEN((LEFT(A166,SUM(LEN(A166)-LEN(SUBSTITUTE(A166,{"0","1","2","3"},""))))))))/10))*100+1</f>
        <v>301</v>
      </c>
      <c r="P144" s="8">
        <f ca="1">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",LEN(A166))),LEN(A166)))))))/10))*100+1</f>
        <v>901</v>
      </c>
    </row>
    <row r="145" spans="1:16" ht="15" hidden="1" customHeight="1" x14ac:dyDescent="0.25">
      <c r="A145" s="29">
        <v>1</v>
      </c>
      <c r="B145" s="1"/>
      <c r="C145" s="1"/>
      <c r="D145" s="1"/>
      <c r="E145" s="1">
        <v>0</v>
      </c>
      <c r="F145" s="1">
        <f t="shared" ref="F145:F154" si="26">C145+D145+E145</f>
        <v>0</v>
      </c>
      <c r="G145" s="1">
        <v>0</v>
      </c>
      <c r="H145" s="1">
        <f t="shared" ref="H145:H154" si="27">F145*(($H$112)+1)+(IF(G145&lt;101,G145,IF(G145&lt;201,G145/2,IF(G145&lt;=301,G145/3,G145/4))))</f>
        <v>0</v>
      </c>
      <c r="I145" s="22"/>
      <c r="J145" s="22"/>
      <c r="N145" s="8" t="str">
        <f t="shared" ref="N145:N153" ca="1" si="28">O145&amp;",..,"&amp;P145</f>
        <v>302,..,902</v>
      </c>
      <c r="O145" s="8">
        <f ca="1">O144+1</f>
        <v>302</v>
      </c>
      <c r="P145" s="8">
        <f ca="1">P144+1</f>
        <v>902</v>
      </c>
    </row>
    <row r="146" spans="1:16" ht="15" hidden="1" customHeight="1" x14ac:dyDescent="0.25">
      <c r="A146" s="29">
        <f>A145+1</f>
        <v>2</v>
      </c>
      <c r="B146" s="1"/>
      <c r="C146" s="1"/>
      <c r="D146" s="1"/>
      <c r="E146" s="1">
        <v>0</v>
      </c>
      <c r="F146" s="1">
        <f t="shared" si="26"/>
        <v>0</v>
      </c>
      <c r="G146" s="1">
        <v>0</v>
      </c>
      <c r="H146" s="1">
        <f t="shared" si="27"/>
        <v>0</v>
      </c>
      <c r="I146" s="22"/>
      <c r="J146" s="22"/>
      <c r="N146" s="8" t="str">
        <f t="shared" ca="1" si="28"/>
        <v>303,..,903</v>
      </c>
      <c r="O146" s="8">
        <f t="shared" ref="O146:O153" ca="1" si="29">O145+1</f>
        <v>303</v>
      </c>
      <c r="P146" s="8">
        <f t="shared" ref="P146:P153" ca="1" si="30">P145+1</f>
        <v>903</v>
      </c>
    </row>
    <row r="147" spans="1:16" ht="15" hidden="1" customHeight="1" x14ac:dyDescent="0.25">
      <c r="A147" s="29">
        <f>A146+1</f>
        <v>3</v>
      </c>
      <c r="B147" s="1"/>
      <c r="C147" s="1"/>
      <c r="D147" s="1"/>
      <c r="E147" s="1">
        <v>0</v>
      </c>
      <c r="F147" s="1">
        <f t="shared" si="26"/>
        <v>0</v>
      </c>
      <c r="G147" s="1">
        <v>0</v>
      </c>
      <c r="H147" s="1">
        <f t="shared" si="27"/>
        <v>0</v>
      </c>
      <c r="I147" s="22"/>
      <c r="J147" s="22"/>
      <c r="N147" s="8" t="str">
        <f t="shared" ca="1" si="28"/>
        <v>304,..,904</v>
      </c>
      <c r="O147" s="8">
        <f t="shared" ca="1" si="29"/>
        <v>304</v>
      </c>
      <c r="P147" s="8">
        <f t="shared" ca="1" si="30"/>
        <v>904</v>
      </c>
    </row>
    <row r="148" spans="1:16" ht="15" hidden="1" customHeight="1" x14ac:dyDescent="0.25">
      <c r="A148" s="29">
        <f>A147+1</f>
        <v>4</v>
      </c>
      <c r="B148" s="1"/>
      <c r="C148" s="1"/>
      <c r="D148" s="1"/>
      <c r="E148" s="1">
        <v>0</v>
      </c>
      <c r="F148" s="1">
        <f t="shared" si="26"/>
        <v>0</v>
      </c>
      <c r="G148" s="1">
        <v>0</v>
      </c>
      <c r="H148" s="1">
        <f t="shared" si="27"/>
        <v>0</v>
      </c>
      <c r="I148" s="22"/>
      <c r="J148" s="22"/>
      <c r="N148" s="8" t="str">
        <f t="shared" ca="1" si="28"/>
        <v>305,..,905</v>
      </c>
      <c r="O148" s="8">
        <f t="shared" ca="1" si="29"/>
        <v>305</v>
      </c>
      <c r="P148" s="8">
        <f t="shared" ca="1" si="30"/>
        <v>905</v>
      </c>
    </row>
    <row r="149" spans="1:16" ht="15" hidden="1" customHeight="1" x14ac:dyDescent="0.25">
      <c r="A149" s="29">
        <f>A148+1</f>
        <v>5</v>
      </c>
      <c r="B149" s="1"/>
      <c r="C149" s="1"/>
      <c r="D149" s="1"/>
      <c r="E149" s="1">
        <v>0</v>
      </c>
      <c r="F149" s="1">
        <f t="shared" si="26"/>
        <v>0</v>
      </c>
      <c r="G149" s="1">
        <v>0</v>
      </c>
      <c r="H149" s="1">
        <f t="shared" si="27"/>
        <v>0</v>
      </c>
      <c r="I149" s="22"/>
      <c r="J149" s="22"/>
      <c r="N149" s="8" t="str">
        <f t="shared" ca="1" si="28"/>
        <v>306,..,906</v>
      </c>
      <c r="O149" s="8">
        <f t="shared" ca="1" si="29"/>
        <v>306</v>
      </c>
      <c r="P149" s="8">
        <f t="shared" ca="1" si="30"/>
        <v>906</v>
      </c>
    </row>
    <row r="150" spans="1:16" ht="15" hidden="1" customHeight="1" x14ac:dyDescent="0.25">
      <c r="A150" s="29">
        <f>A149+1</f>
        <v>6</v>
      </c>
      <c r="B150" s="1"/>
      <c r="C150" s="1"/>
      <c r="D150" s="1"/>
      <c r="E150" s="1">
        <v>0</v>
      </c>
      <c r="F150" s="1">
        <f t="shared" si="26"/>
        <v>0</v>
      </c>
      <c r="G150" s="1">
        <v>0</v>
      </c>
      <c r="H150" s="1">
        <f t="shared" si="27"/>
        <v>0</v>
      </c>
      <c r="I150" s="22"/>
      <c r="J150" s="22"/>
      <c r="N150" s="8" t="str">
        <f t="shared" ca="1" si="28"/>
        <v>307,..,907</v>
      </c>
      <c r="O150" s="8">
        <f t="shared" ca="1" si="29"/>
        <v>307</v>
      </c>
      <c r="P150" s="8">
        <f t="shared" ca="1" si="30"/>
        <v>907</v>
      </c>
    </row>
    <row r="151" spans="1:16" ht="15" hidden="1" customHeight="1" x14ac:dyDescent="0.25">
      <c r="A151" s="29">
        <f t="shared" ref="A151:A154" si="31">A150+1</f>
        <v>7</v>
      </c>
      <c r="B151" s="1"/>
      <c r="C151" s="1"/>
      <c r="D151" s="1"/>
      <c r="E151" s="1">
        <v>0</v>
      </c>
      <c r="F151" s="1">
        <f t="shared" si="26"/>
        <v>0</v>
      </c>
      <c r="G151" s="1">
        <v>0</v>
      </c>
      <c r="H151" s="1">
        <f t="shared" si="27"/>
        <v>0</v>
      </c>
      <c r="I151" s="22"/>
      <c r="J151" s="22"/>
      <c r="N151" s="8" t="str">
        <f t="shared" ca="1" si="28"/>
        <v>308,..,908</v>
      </c>
      <c r="O151" s="8">
        <f t="shared" ca="1" si="29"/>
        <v>308</v>
      </c>
      <c r="P151" s="8">
        <f t="shared" ca="1" si="30"/>
        <v>908</v>
      </c>
    </row>
    <row r="152" spans="1:16" ht="15" hidden="1" customHeight="1" x14ac:dyDescent="0.25">
      <c r="A152" s="29">
        <f t="shared" si="31"/>
        <v>8</v>
      </c>
      <c r="B152" s="1"/>
      <c r="C152" s="1"/>
      <c r="D152" s="1"/>
      <c r="E152" s="1">
        <v>0</v>
      </c>
      <c r="F152" s="1">
        <f t="shared" si="26"/>
        <v>0</v>
      </c>
      <c r="G152" s="1">
        <v>0</v>
      </c>
      <c r="H152" s="1">
        <f t="shared" si="27"/>
        <v>0</v>
      </c>
      <c r="I152" s="22"/>
      <c r="J152" s="22"/>
      <c r="N152" s="8" t="str">
        <f t="shared" ca="1" si="28"/>
        <v>309,..,909</v>
      </c>
      <c r="O152" s="8">
        <f t="shared" ca="1" si="29"/>
        <v>309</v>
      </c>
      <c r="P152" s="8">
        <f t="shared" ca="1" si="30"/>
        <v>909</v>
      </c>
    </row>
    <row r="153" spans="1:16" ht="15" hidden="1" customHeight="1" x14ac:dyDescent="0.25">
      <c r="A153" s="29">
        <f t="shared" si="31"/>
        <v>9</v>
      </c>
      <c r="B153" s="1"/>
      <c r="C153" s="1"/>
      <c r="D153" s="1"/>
      <c r="E153" s="1">
        <v>0</v>
      </c>
      <c r="F153" s="1">
        <f t="shared" si="26"/>
        <v>0</v>
      </c>
      <c r="G153" s="1">
        <v>0</v>
      </c>
      <c r="H153" s="1">
        <f t="shared" si="27"/>
        <v>0</v>
      </c>
      <c r="I153" s="22"/>
      <c r="J153" s="22"/>
      <c r="N153" s="8" t="str">
        <f t="shared" ca="1" si="28"/>
        <v>310,..,910</v>
      </c>
      <c r="O153" s="8">
        <f t="shared" ca="1" si="29"/>
        <v>310</v>
      </c>
      <c r="P153" s="8">
        <f t="shared" ca="1" si="30"/>
        <v>910</v>
      </c>
    </row>
    <row r="154" spans="1:16" ht="15" hidden="1" customHeight="1" x14ac:dyDescent="0.25">
      <c r="A154" s="29">
        <f t="shared" si="31"/>
        <v>10</v>
      </c>
      <c r="B154" s="1"/>
      <c r="C154" s="1"/>
      <c r="D154" s="1"/>
      <c r="E154" s="1">
        <v>0</v>
      </c>
      <c r="F154" s="1">
        <f t="shared" si="26"/>
        <v>0</v>
      </c>
      <c r="G154" s="1">
        <v>0</v>
      </c>
      <c r="H154" s="1">
        <f t="shared" si="27"/>
        <v>0</v>
      </c>
      <c r="I154" s="22"/>
      <c r="J154" s="22"/>
    </row>
    <row r="155" spans="1:16" hidden="1" x14ac:dyDescent="0.25">
      <c r="A155" s="106" t="s">
        <v>112</v>
      </c>
      <c r="B155" s="106"/>
      <c r="C155" s="106"/>
      <c r="D155" s="106"/>
      <c r="E155" s="106"/>
      <c r="F155" s="106"/>
      <c r="G155" s="106"/>
      <c r="H155" s="106"/>
      <c r="I155" s="105"/>
      <c r="J155" s="105"/>
    </row>
    <row r="156" spans="1:16" hidden="1" x14ac:dyDescent="0.25">
      <c r="A156" s="29">
        <v>1</v>
      </c>
      <c r="B156" s="1"/>
      <c r="C156" s="1"/>
      <c r="D156" s="1"/>
      <c r="E156" s="1">
        <v>0</v>
      </c>
      <c r="F156" s="1">
        <f t="shared" ref="F156:F165" si="32">C156+D156+E156</f>
        <v>0</v>
      </c>
      <c r="G156" s="1">
        <v>0</v>
      </c>
      <c r="H156" s="1">
        <f t="shared" ref="H156:H165" si="33">F156*(($H$112)+1)+(IF(G156&lt;101,G156,IF(G156&lt;201,G156/2,IF(G156&lt;=301,G156/3,G156/4))))</f>
        <v>0</v>
      </c>
      <c r="I156" s="22"/>
      <c r="J156" s="22"/>
    </row>
    <row r="157" spans="1:16" hidden="1" x14ac:dyDescent="0.25">
      <c r="A157" s="29">
        <f>A156+1</f>
        <v>2</v>
      </c>
      <c r="B157" s="1"/>
      <c r="C157" s="1"/>
      <c r="D157" s="1"/>
      <c r="E157" s="1">
        <v>0</v>
      </c>
      <c r="F157" s="1">
        <f t="shared" si="32"/>
        <v>0</v>
      </c>
      <c r="G157" s="1">
        <v>0</v>
      </c>
      <c r="H157" s="1">
        <f t="shared" si="33"/>
        <v>0</v>
      </c>
      <c r="I157" s="22"/>
      <c r="J157" s="22"/>
    </row>
    <row r="158" spans="1:16" hidden="1" x14ac:dyDescent="0.25">
      <c r="A158" s="29">
        <f>A157+1</f>
        <v>3</v>
      </c>
      <c r="B158" s="1"/>
      <c r="C158" s="1"/>
      <c r="D158" s="1"/>
      <c r="E158" s="1">
        <v>0</v>
      </c>
      <c r="F158" s="1">
        <f t="shared" si="32"/>
        <v>0</v>
      </c>
      <c r="G158" s="1">
        <v>0</v>
      </c>
      <c r="H158" s="1">
        <f t="shared" si="33"/>
        <v>0</v>
      </c>
      <c r="I158" s="22"/>
      <c r="J158" s="22"/>
    </row>
    <row r="159" spans="1:16" hidden="1" x14ac:dyDescent="0.25">
      <c r="A159" s="29">
        <f>A158+1</f>
        <v>4</v>
      </c>
      <c r="B159" s="1"/>
      <c r="C159" s="1"/>
      <c r="D159" s="1"/>
      <c r="E159" s="1">
        <v>0</v>
      </c>
      <c r="F159" s="1">
        <f>C159+D159+E159</f>
        <v>0</v>
      </c>
      <c r="G159" s="1">
        <v>0</v>
      </c>
      <c r="H159" s="1">
        <f t="shared" si="33"/>
        <v>0</v>
      </c>
      <c r="I159" s="22"/>
      <c r="J159" s="22"/>
    </row>
    <row r="160" spans="1:16" hidden="1" x14ac:dyDescent="0.25">
      <c r="A160" s="29">
        <f>A159+1</f>
        <v>5</v>
      </c>
      <c r="B160" s="1"/>
      <c r="C160" s="1"/>
      <c r="D160" s="1"/>
      <c r="E160" s="1">
        <v>0</v>
      </c>
      <c r="F160" s="1">
        <f t="shared" si="32"/>
        <v>0</v>
      </c>
      <c r="G160" s="1">
        <v>0</v>
      </c>
      <c r="H160" s="1">
        <f t="shared" si="33"/>
        <v>0</v>
      </c>
      <c r="I160" s="22"/>
      <c r="J160" s="22"/>
    </row>
    <row r="161" spans="1:10" hidden="1" x14ac:dyDescent="0.25">
      <c r="A161" s="29">
        <f>A160+1</f>
        <v>6</v>
      </c>
      <c r="B161" s="1"/>
      <c r="C161" s="1"/>
      <c r="D161" s="1"/>
      <c r="E161" s="1">
        <v>0</v>
      </c>
      <c r="F161" s="1">
        <f t="shared" si="32"/>
        <v>0</v>
      </c>
      <c r="G161" s="1">
        <v>0</v>
      </c>
      <c r="H161" s="1">
        <f t="shared" si="33"/>
        <v>0</v>
      </c>
      <c r="I161" s="22"/>
      <c r="J161" s="22"/>
    </row>
    <row r="162" spans="1:10" hidden="1" x14ac:dyDescent="0.25">
      <c r="A162" s="29">
        <f t="shared" ref="A162:A165" si="34">A161+1</f>
        <v>7</v>
      </c>
      <c r="B162" s="1"/>
      <c r="C162" s="1"/>
      <c r="D162" s="1"/>
      <c r="E162" s="1">
        <v>0</v>
      </c>
      <c r="F162" s="1">
        <f t="shared" si="32"/>
        <v>0</v>
      </c>
      <c r="G162" s="1">
        <v>0</v>
      </c>
      <c r="H162" s="1">
        <f t="shared" si="33"/>
        <v>0</v>
      </c>
      <c r="I162" s="22"/>
      <c r="J162" s="22"/>
    </row>
    <row r="163" spans="1:10" hidden="1" x14ac:dyDescent="0.25">
      <c r="A163" s="29">
        <f t="shared" si="34"/>
        <v>8</v>
      </c>
      <c r="B163" s="1"/>
      <c r="C163" s="1"/>
      <c r="D163" s="1"/>
      <c r="E163" s="1">
        <v>0</v>
      </c>
      <c r="F163" s="1">
        <f t="shared" si="32"/>
        <v>0</v>
      </c>
      <c r="G163" s="1">
        <v>0</v>
      </c>
      <c r="H163" s="1">
        <f t="shared" si="33"/>
        <v>0</v>
      </c>
      <c r="I163" s="22"/>
      <c r="J163" s="22"/>
    </row>
    <row r="164" spans="1:10" hidden="1" x14ac:dyDescent="0.25">
      <c r="A164" s="29">
        <f t="shared" si="34"/>
        <v>9</v>
      </c>
      <c r="B164" s="1"/>
      <c r="C164" s="1"/>
      <c r="D164" s="1"/>
      <c r="E164" s="1">
        <v>0</v>
      </c>
      <c r="F164" s="1">
        <f t="shared" si="32"/>
        <v>0</v>
      </c>
      <c r="G164" s="1">
        <v>0</v>
      </c>
      <c r="H164" s="1">
        <f t="shared" si="33"/>
        <v>0</v>
      </c>
      <c r="I164" s="22"/>
      <c r="J164" s="22"/>
    </row>
    <row r="165" spans="1:10" hidden="1" x14ac:dyDescent="0.25">
      <c r="A165" s="29">
        <f t="shared" si="34"/>
        <v>10</v>
      </c>
      <c r="B165" s="1"/>
      <c r="C165" s="1"/>
      <c r="D165" s="1"/>
      <c r="E165" s="1">
        <v>0</v>
      </c>
      <c r="F165" s="1">
        <f t="shared" si="32"/>
        <v>0</v>
      </c>
      <c r="G165" s="1">
        <v>0</v>
      </c>
      <c r="H165" s="1">
        <f t="shared" si="33"/>
        <v>0</v>
      </c>
      <c r="I165" s="22"/>
      <c r="J165" s="22"/>
    </row>
    <row r="166" spans="1:10" hidden="1" x14ac:dyDescent="0.25">
      <c r="A166" s="106" t="s">
        <v>111</v>
      </c>
      <c r="B166" s="106"/>
      <c r="C166" s="106"/>
      <c r="D166" s="106"/>
      <c r="E166" s="106"/>
      <c r="F166" s="106"/>
      <c r="G166" s="106"/>
      <c r="H166" s="106"/>
      <c r="I166" s="105"/>
      <c r="J166" s="105"/>
    </row>
    <row r="167" spans="1:10" hidden="1" x14ac:dyDescent="0.25">
      <c r="A167" s="29">
        <v>1</v>
      </c>
      <c r="B167" s="1"/>
      <c r="C167" s="1"/>
      <c r="D167" s="1"/>
      <c r="E167" s="1">
        <v>0</v>
      </c>
      <c r="F167" s="1">
        <f t="shared" ref="F167:F169" si="35">C167+D167+E167</f>
        <v>0</v>
      </c>
      <c r="G167" s="1">
        <v>0</v>
      </c>
      <c r="H167" s="1">
        <f t="shared" ref="H167:H176" si="36">F167*(($H$112)+1)+(IF(G167&lt;101,G167,IF(G167&lt;201,G167/2,IF(G167&lt;=301,G167/3,G167/4))))</f>
        <v>0</v>
      </c>
      <c r="I167" s="22"/>
      <c r="J167" s="22"/>
    </row>
    <row r="168" spans="1:10" hidden="1" x14ac:dyDescent="0.25">
      <c r="A168" s="29">
        <f>A167+1</f>
        <v>2</v>
      </c>
      <c r="B168" s="1"/>
      <c r="C168" s="1"/>
      <c r="D168" s="1"/>
      <c r="E168" s="1">
        <v>0</v>
      </c>
      <c r="F168" s="1">
        <f>C168+D168+E168</f>
        <v>0</v>
      </c>
      <c r="G168" s="1">
        <v>0</v>
      </c>
      <c r="H168" s="1">
        <f t="shared" si="36"/>
        <v>0</v>
      </c>
      <c r="I168" s="22"/>
      <c r="J168" s="22"/>
    </row>
    <row r="169" spans="1:10" hidden="1" x14ac:dyDescent="0.25">
      <c r="A169" s="29">
        <f>A168+1</f>
        <v>3</v>
      </c>
      <c r="B169" s="1"/>
      <c r="C169" s="1"/>
      <c r="D169" s="1"/>
      <c r="E169" s="1">
        <v>0</v>
      </c>
      <c r="F169" s="1">
        <f t="shared" si="35"/>
        <v>0</v>
      </c>
      <c r="G169" s="1">
        <v>0</v>
      </c>
      <c r="H169" s="1">
        <f t="shared" si="36"/>
        <v>0</v>
      </c>
      <c r="I169" s="110"/>
      <c r="J169" s="111"/>
    </row>
    <row r="170" spans="1:10" hidden="1" x14ac:dyDescent="0.25">
      <c r="A170" s="29">
        <f>A169+1</f>
        <v>4</v>
      </c>
      <c r="B170" s="1"/>
      <c r="C170" s="1"/>
      <c r="D170" s="1"/>
      <c r="E170" s="1">
        <v>0</v>
      </c>
      <c r="F170" s="1">
        <f>C170+D170+E170</f>
        <v>0</v>
      </c>
      <c r="G170" s="1">
        <v>0</v>
      </c>
      <c r="H170" s="1">
        <f t="shared" si="36"/>
        <v>0</v>
      </c>
    </row>
    <row r="171" spans="1:10" hidden="1" x14ac:dyDescent="0.25">
      <c r="A171" s="29">
        <f>A170+1</f>
        <v>5</v>
      </c>
      <c r="B171" s="1"/>
      <c r="C171" s="1"/>
      <c r="D171" s="1"/>
      <c r="E171" s="1">
        <v>0</v>
      </c>
      <c r="F171" s="1">
        <f t="shared" ref="F171:F176" si="37">C171+D171+E171</f>
        <v>0</v>
      </c>
      <c r="G171" s="1">
        <v>0</v>
      </c>
      <c r="H171" s="1">
        <f t="shared" si="36"/>
        <v>0</v>
      </c>
    </row>
    <row r="172" spans="1:10" ht="31.5" hidden="1" customHeight="1" x14ac:dyDescent="0.25">
      <c r="A172" s="29">
        <f>A171+1</f>
        <v>6</v>
      </c>
      <c r="B172" s="1"/>
      <c r="C172" s="1"/>
      <c r="D172" s="1"/>
      <c r="E172" s="1">
        <v>0</v>
      </c>
      <c r="F172" s="1">
        <f t="shared" si="37"/>
        <v>0</v>
      </c>
      <c r="G172" s="1">
        <v>0</v>
      </c>
      <c r="H172" s="1">
        <f t="shared" si="36"/>
        <v>0</v>
      </c>
    </row>
    <row r="173" spans="1:10" ht="49.5" hidden="1" customHeight="1" x14ac:dyDescent="0.25">
      <c r="A173" s="29">
        <f t="shared" ref="A173:A176" si="38">A172+1</f>
        <v>7</v>
      </c>
      <c r="B173" s="1"/>
      <c r="C173" s="1"/>
      <c r="D173" s="1"/>
      <c r="E173" s="1">
        <v>0</v>
      </c>
      <c r="F173" s="1">
        <f t="shared" si="37"/>
        <v>0</v>
      </c>
      <c r="G173" s="1">
        <v>0</v>
      </c>
      <c r="H173" s="1">
        <f t="shared" si="36"/>
        <v>0</v>
      </c>
    </row>
    <row r="174" spans="1:10" ht="47.25" hidden="1" customHeight="1" x14ac:dyDescent="0.25">
      <c r="A174" s="29">
        <f t="shared" si="38"/>
        <v>8</v>
      </c>
      <c r="B174" s="1"/>
      <c r="C174" s="1"/>
      <c r="D174" s="1"/>
      <c r="E174" s="1">
        <v>0</v>
      </c>
      <c r="F174" s="1">
        <f t="shared" si="37"/>
        <v>0</v>
      </c>
      <c r="G174" s="1">
        <v>0</v>
      </c>
      <c r="H174" s="1">
        <f t="shared" si="36"/>
        <v>0</v>
      </c>
    </row>
    <row r="175" spans="1:10" ht="15" hidden="1" customHeight="1" x14ac:dyDescent="0.25">
      <c r="A175" s="29">
        <f t="shared" si="38"/>
        <v>9</v>
      </c>
      <c r="B175" s="1"/>
      <c r="C175" s="1"/>
      <c r="D175" s="1"/>
      <c r="E175" s="1">
        <v>0</v>
      </c>
      <c r="F175" s="1">
        <f t="shared" si="37"/>
        <v>0</v>
      </c>
      <c r="G175" s="1">
        <v>0</v>
      </c>
      <c r="H175" s="1">
        <f t="shared" si="36"/>
        <v>0</v>
      </c>
    </row>
    <row r="176" spans="1:10" ht="33.75" hidden="1" customHeight="1" x14ac:dyDescent="0.25">
      <c r="A176" s="29">
        <f t="shared" si="38"/>
        <v>10</v>
      </c>
      <c r="B176" s="1"/>
      <c r="C176" s="1"/>
      <c r="D176" s="1"/>
      <c r="E176" s="1">
        <v>0</v>
      </c>
      <c r="F176" s="1">
        <f t="shared" si="37"/>
        <v>0</v>
      </c>
      <c r="G176" s="1">
        <v>0</v>
      </c>
      <c r="H176" s="1">
        <f t="shared" si="36"/>
        <v>0</v>
      </c>
    </row>
    <row r="177" spans="1:10" x14ac:dyDescent="0.25">
      <c r="A177" s="143"/>
      <c r="B177" s="143"/>
      <c r="C177" s="143"/>
      <c r="D177" s="143"/>
      <c r="E177" s="143"/>
      <c r="F177" s="143"/>
      <c r="G177" s="143"/>
      <c r="H177" s="143"/>
    </row>
    <row r="178" spans="1:10" ht="31.5" customHeight="1" x14ac:dyDescent="0.25">
      <c r="A178" s="10">
        <v>48</v>
      </c>
      <c r="B178" s="87" t="s">
        <v>47</v>
      </c>
      <c r="C178" s="87"/>
      <c r="D178" s="87"/>
      <c r="E178" s="122" t="s">
        <v>230</v>
      </c>
      <c r="F178" s="122"/>
      <c r="G178" s="122"/>
      <c r="H178" s="122"/>
    </row>
    <row r="179" spans="1:10" ht="31.5" customHeight="1" x14ac:dyDescent="0.25">
      <c r="A179" s="10">
        <v>49</v>
      </c>
      <c r="B179" s="87" t="s">
        <v>139</v>
      </c>
      <c r="C179" s="87"/>
      <c r="D179" s="87"/>
      <c r="E179" s="122" t="s">
        <v>210</v>
      </c>
      <c r="F179" s="122"/>
      <c r="G179" s="122"/>
      <c r="H179" s="122"/>
    </row>
    <row r="180" spans="1:10" x14ac:dyDescent="0.25">
      <c r="A180" s="10">
        <v>50</v>
      </c>
      <c r="B180" s="87" t="s">
        <v>48</v>
      </c>
      <c r="C180" s="87"/>
      <c r="D180" s="87"/>
      <c r="E180" s="109" t="s">
        <v>67</v>
      </c>
      <c r="F180" s="109"/>
      <c r="G180" s="109"/>
      <c r="H180" s="109"/>
    </row>
    <row r="181" spans="1:10" ht="47.25" customHeight="1" x14ac:dyDescent="0.25">
      <c r="A181" s="108">
        <v>51</v>
      </c>
      <c r="B181" s="87" t="s">
        <v>49</v>
      </c>
      <c r="C181" s="87"/>
      <c r="D181" s="87"/>
      <c r="E181" s="118" t="s">
        <v>66</v>
      </c>
      <c r="F181" s="118"/>
      <c r="G181" s="118"/>
      <c r="H181" s="118"/>
    </row>
    <row r="182" spans="1:10" x14ac:dyDescent="0.25">
      <c r="A182" s="108"/>
      <c r="B182" s="87"/>
      <c r="C182" s="87"/>
      <c r="D182" s="87"/>
      <c r="E182" s="68" t="s">
        <v>158</v>
      </c>
      <c r="F182" s="68"/>
      <c r="G182" s="68"/>
      <c r="H182" s="32">
        <v>6200</v>
      </c>
      <c r="J182" s="63">
        <f>11000/1.5</f>
        <v>7333.333333333333</v>
      </c>
    </row>
    <row r="183" spans="1:10" x14ac:dyDescent="0.25">
      <c r="A183" s="10">
        <v>52</v>
      </c>
      <c r="B183" s="87" t="s">
        <v>50</v>
      </c>
      <c r="C183" s="87"/>
      <c r="D183" s="87"/>
      <c r="E183" s="122" t="s">
        <v>67</v>
      </c>
      <c r="F183" s="122"/>
      <c r="G183" s="122"/>
      <c r="H183" s="122"/>
    </row>
    <row r="184" spans="1:10" x14ac:dyDescent="0.25">
      <c r="A184" s="108">
        <v>53</v>
      </c>
      <c r="B184" s="87" t="s">
        <v>150</v>
      </c>
      <c r="C184" s="87"/>
      <c r="D184" s="87"/>
      <c r="E184" s="86" t="s">
        <v>149</v>
      </c>
      <c r="F184" s="86"/>
      <c r="G184" s="86"/>
      <c r="H184" s="86"/>
    </row>
    <row r="185" spans="1:10" x14ac:dyDescent="0.25">
      <c r="A185" s="108"/>
      <c r="B185" s="87"/>
      <c r="C185" s="87"/>
      <c r="D185" s="87"/>
      <c r="E185" s="68" t="s">
        <v>158</v>
      </c>
      <c r="F185" s="68"/>
      <c r="G185" s="68"/>
      <c r="H185" s="32">
        <f>H182</f>
        <v>6200</v>
      </c>
    </row>
    <row r="186" spans="1:10" x14ac:dyDescent="0.25">
      <c r="A186" s="108"/>
      <c r="B186" s="87"/>
      <c r="C186" s="87"/>
      <c r="D186" s="87"/>
      <c r="E186" s="87" t="s">
        <v>13</v>
      </c>
      <c r="F186" s="87"/>
      <c r="G186" s="87"/>
      <c r="H186" s="32">
        <v>200000</v>
      </c>
    </row>
    <row r="187" spans="1:10" x14ac:dyDescent="0.25">
      <c r="A187" s="10">
        <v>54</v>
      </c>
      <c r="B187" s="87" t="s">
        <v>51</v>
      </c>
      <c r="C187" s="87"/>
      <c r="D187" s="87"/>
      <c r="E187" s="109" t="s">
        <v>10</v>
      </c>
      <c r="F187" s="109"/>
      <c r="G187" s="109"/>
      <c r="H187" s="109"/>
    </row>
    <row r="188" spans="1:10" x14ac:dyDescent="0.25">
      <c r="A188" s="108">
        <v>55</v>
      </c>
      <c r="B188" s="87" t="s">
        <v>52</v>
      </c>
      <c r="C188" s="87"/>
      <c r="D188" s="87"/>
      <c r="E188" s="178" t="s">
        <v>10</v>
      </c>
      <c r="F188" s="179"/>
      <c r="G188" s="179"/>
      <c r="H188" s="180"/>
    </row>
    <row r="189" spans="1:10" hidden="1" x14ac:dyDescent="0.25">
      <c r="A189" s="108"/>
      <c r="B189" s="87"/>
      <c r="C189" s="87"/>
      <c r="D189" s="87"/>
      <c r="E189" s="148" t="s">
        <v>99</v>
      </c>
      <c r="F189" s="148"/>
      <c r="G189" s="148"/>
      <c r="H189" s="31">
        <v>0.2</v>
      </c>
    </row>
    <row r="190" spans="1:10" hidden="1" x14ac:dyDescent="0.25">
      <c r="A190" s="108"/>
      <c r="B190" s="87"/>
      <c r="C190" s="87"/>
      <c r="D190" s="87"/>
      <c r="E190" s="148" t="s">
        <v>5</v>
      </c>
      <c r="F190" s="148"/>
      <c r="G190" s="148"/>
      <c r="H190" s="31">
        <v>0.15</v>
      </c>
    </row>
    <row r="191" spans="1:10" hidden="1" x14ac:dyDescent="0.25">
      <c r="A191" s="108"/>
      <c r="B191" s="87"/>
      <c r="C191" s="87"/>
      <c r="D191" s="87"/>
      <c r="E191" s="148" t="s">
        <v>100</v>
      </c>
      <c r="F191" s="148"/>
      <c r="G191" s="148"/>
      <c r="H191" s="31">
        <v>0.05</v>
      </c>
    </row>
    <row r="192" spans="1:10" hidden="1" x14ac:dyDescent="0.25">
      <c r="A192" s="108"/>
      <c r="B192" s="87"/>
      <c r="C192" s="87"/>
      <c r="D192" s="87"/>
      <c r="E192" s="148" t="s">
        <v>101</v>
      </c>
      <c r="F192" s="148"/>
      <c r="G192" s="148"/>
      <c r="H192" s="31">
        <v>0.05</v>
      </c>
    </row>
    <row r="193" spans="1:8" hidden="1" x14ac:dyDescent="0.25">
      <c r="A193" s="108"/>
      <c r="B193" s="87"/>
      <c r="C193" s="87"/>
      <c r="D193" s="87"/>
      <c r="E193" s="148" t="s">
        <v>102</v>
      </c>
      <c r="F193" s="148"/>
      <c r="G193" s="148"/>
      <c r="H193" s="31">
        <v>0.05</v>
      </c>
    </row>
    <row r="194" spans="1:8" hidden="1" x14ac:dyDescent="0.25">
      <c r="A194" s="108"/>
      <c r="B194" s="87"/>
      <c r="C194" s="87"/>
      <c r="D194" s="87"/>
      <c r="E194" s="148" t="s">
        <v>103</v>
      </c>
      <c r="F194" s="148"/>
      <c r="G194" s="148"/>
      <c r="H194" s="31">
        <v>0.05</v>
      </c>
    </row>
    <row r="195" spans="1:8" hidden="1" x14ac:dyDescent="0.25">
      <c r="A195" s="108"/>
      <c r="B195" s="87"/>
      <c r="C195" s="87"/>
      <c r="D195" s="87"/>
      <c r="E195" s="148" t="s">
        <v>104</v>
      </c>
      <c r="F195" s="148"/>
      <c r="G195" s="148"/>
      <c r="H195" s="31">
        <v>0.05</v>
      </c>
    </row>
    <row r="196" spans="1:8" hidden="1" x14ac:dyDescent="0.25">
      <c r="A196" s="108"/>
      <c r="B196" s="87"/>
      <c r="C196" s="87"/>
      <c r="D196" s="87"/>
      <c r="E196" s="148" t="s">
        <v>105</v>
      </c>
      <c r="F196" s="148"/>
      <c r="G196" s="148"/>
      <c r="H196" s="31">
        <v>0.05</v>
      </c>
    </row>
    <row r="197" spans="1:8" ht="60" hidden="1" customHeight="1" x14ac:dyDescent="0.25">
      <c r="A197" s="108"/>
      <c r="B197" s="87"/>
      <c r="C197" s="87"/>
      <c r="D197" s="87"/>
      <c r="E197" s="148" t="s">
        <v>106</v>
      </c>
      <c r="F197" s="148"/>
      <c r="G197" s="148"/>
      <c r="H197" s="31">
        <v>0.05</v>
      </c>
    </row>
    <row r="198" spans="1:8" ht="51" hidden="1" customHeight="1" x14ac:dyDescent="0.25">
      <c r="A198" s="108"/>
      <c r="B198" s="87"/>
      <c r="C198" s="87"/>
      <c r="D198" s="87"/>
      <c r="E198" s="148" t="s">
        <v>107</v>
      </c>
      <c r="F198" s="148"/>
      <c r="G198" s="148"/>
      <c r="H198" s="31">
        <v>0.05</v>
      </c>
    </row>
    <row r="199" spans="1:8" ht="62.25" hidden="1" customHeight="1" x14ac:dyDescent="0.25">
      <c r="A199" s="108"/>
      <c r="B199" s="87"/>
      <c r="C199" s="87"/>
      <c r="D199" s="87"/>
      <c r="E199" s="148" t="s">
        <v>108</v>
      </c>
      <c r="F199" s="148"/>
      <c r="G199" s="148"/>
      <c r="H199" s="31">
        <v>0.05</v>
      </c>
    </row>
    <row r="200" spans="1:8" ht="62.25" hidden="1" customHeight="1" x14ac:dyDescent="0.25">
      <c r="A200" s="108"/>
      <c r="B200" s="87"/>
      <c r="C200" s="87"/>
      <c r="D200" s="87"/>
      <c r="E200" s="148" t="s">
        <v>109</v>
      </c>
      <c r="F200" s="148"/>
      <c r="G200" s="148"/>
      <c r="H200" s="31">
        <v>0.05</v>
      </c>
    </row>
    <row r="201" spans="1:8" hidden="1" x14ac:dyDescent="0.25">
      <c r="A201" s="108"/>
      <c r="B201" s="87"/>
      <c r="C201" s="87"/>
      <c r="D201" s="87"/>
      <c r="E201" s="148" t="s">
        <v>110</v>
      </c>
      <c r="F201" s="148"/>
      <c r="G201" s="148"/>
      <c r="H201" s="31">
        <v>0.05</v>
      </c>
    </row>
    <row r="202" spans="1:8" ht="33" hidden="1" customHeight="1" x14ac:dyDescent="0.25">
      <c r="A202" s="108"/>
      <c r="B202" s="87"/>
      <c r="C202" s="87"/>
      <c r="D202" s="87"/>
      <c r="E202" s="148" t="s">
        <v>12</v>
      </c>
      <c r="F202" s="148"/>
      <c r="G202" s="148"/>
      <c r="H202" s="31">
        <f>SUM(H188:H201)</f>
        <v>0.90000000000000024</v>
      </c>
    </row>
    <row r="203" spans="1:8" ht="49.5" customHeight="1" x14ac:dyDescent="0.25">
      <c r="A203" s="10">
        <v>56</v>
      </c>
      <c r="B203" s="87" t="s">
        <v>53</v>
      </c>
      <c r="C203" s="87"/>
      <c r="D203" s="87"/>
      <c r="E203" s="109" t="s">
        <v>65</v>
      </c>
      <c r="F203" s="109"/>
      <c r="G203" s="109"/>
      <c r="H203" s="109"/>
    </row>
    <row r="204" spans="1:8" x14ac:dyDescent="0.25">
      <c r="A204" s="10">
        <v>57</v>
      </c>
      <c r="B204" s="87" t="s">
        <v>54</v>
      </c>
      <c r="C204" s="87"/>
      <c r="D204" s="87"/>
      <c r="E204" s="109" t="s">
        <v>65</v>
      </c>
      <c r="F204" s="109"/>
      <c r="G204" s="109"/>
      <c r="H204" s="109"/>
    </row>
    <row r="205" spans="1:8" x14ac:dyDescent="0.25">
      <c r="A205" s="10">
        <v>58</v>
      </c>
      <c r="B205" s="87" t="s">
        <v>55</v>
      </c>
      <c r="C205" s="87"/>
      <c r="D205" s="87"/>
      <c r="E205" s="109" t="s">
        <v>65</v>
      </c>
      <c r="F205" s="109"/>
      <c r="G205" s="109"/>
      <c r="H205" s="109"/>
    </row>
    <row r="206" spans="1:8" x14ac:dyDescent="0.25">
      <c r="A206" s="10">
        <v>59</v>
      </c>
      <c r="B206" s="87" t="s">
        <v>56</v>
      </c>
      <c r="C206" s="87"/>
      <c r="D206" s="87"/>
      <c r="E206" s="109" t="s">
        <v>65</v>
      </c>
      <c r="F206" s="109"/>
      <c r="G206" s="109"/>
      <c r="H206" s="109"/>
    </row>
    <row r="207" spans="1:8" x14ac:dyDescent="0.25">
      <c r="A207" s="10">
        <v>60</v>
      </c>
      <c r="B207" s="87" t="s">
        <v>57</v>
      </c>
      <c r="C207" s="87"/>
      <c r="D207" s="87"/>
      <c r="E207" s="87"/>
      <c r="F207" s="87"/>
      <c r="G207" s="87"/>
      <c r="H207" s="87"/>
    </row>
    <row r="208" spans="1:8" x14ac:dyDescent="0.25">
      <c r="A208" s="10" t="s">
        <v>58</v>
      </c>
      <c r="B208" s="87" t="s">
        <v>59</v>
      </c>
      <c r="C208" s="87"/>
      <c r="D208" s="87"/>
      <c r="E208" s="109" t="s">
        <v>65</v>
      </c>
      <c r="F208" s="109"/>
      <c r="G208" s="109"/>
      <c r="H208" s="109"/>
    </row>
    <row r="209" spans="1:8" x14ac:dyDescent="0.25">
      <c r="A209" s="33" t="s">
        <v>61</v>
      </c>
      <c r="B209" s="147" t="s">
        <v>60</v>
      </c>
      <c r="C209" s="147"/>
      <c r="D209" s="147"/>
      <c r="E209" s="153" t="s">
        <v>67</v>
      </c>
      <c r="F209" s="153"/>
      <c r="G209" s="153"/>
      <c r="H209" s="153"/>
    </row>
    <row r="210" spans="1:8" x14ac:dyDescent="0.25">
      <c r="A210" s="176" t="s">
        <v>152</v>
      </c>
      <c r="B210" s="176"/>
      <c r="C210" s="176"/>
      <c r="D210" s="176"/>
      <c r="E210" s="176"/>
      <c r="F210" s="176"/>
      <c r="G210" s="176"/>
      <c r="H210" s="176"/>
    </row>
    <row r="211" spans="1:8" s="64" customFormat="1" x14ac:dyDescent="0.25">
      <c r="A211" s="38">
        <v>1</v>
      </c>
      <c r="B211" s="176" t="s">
        <v>238</v>
      </c>
      <c r="C211" s="176"/>
      <c r="D211" s="176"/>
      <c r="E211" s="176"/>
      <c r="F211" s="176"/>
      <c r="G211" s="176"/>
      <c r="H211" s="176"/>
    </row>
    <row r="212" spans="1:8" x14ac:dyDescent="0.25">
      <c r="A212" s="38">
        <f t="shared" ref="A212:A217" si="39">A211+1</f>
        <v>2</v>
      </c>
      <c r="B212" s="176" t="s">
        <v>153</v>
      </c>
      <c r="C212" s="176"/>
      <c r="D212" s="176"/>
      <c r="E212" s="176"/>
      <c r="F212" s="176"/>
      <c r="G212" s="176"/>
      <c r="H212" s="176"/>
    </row>
    <row r="213" spans="1:8" x14ac:dyDescent="0.25">
      <c r="A213" s="38">
        <f t="shared" si="39"/>
        <v>3</v>
      </c>
      <c r="B213" s="176" t="s">
        <v>154</v>
      </c>
      <c r="C213" s="176"/>
      <c r="D213" s="176"/>
      <c r="E213" s="176"/>
      <c r="F213" s="176"/>
      <c r="G213" s="176"/>
      <c r="H213" s="176"/>
    </row>
    <row r="214" spans="1:8" x14ac:dyDescent="0.25">
      <c r="A214" s="38">
        <f t="shared" si="39"/>
        <v>4</v>
      </c>
      <c r="B214" s="176" t="s">
        <v>211</v>
      </c>
      <c r="C214" s="176"/>
      <c r="D214" s="176"/>
      <c r="E214" s="176"/>
      <c r="F214" s="176"/>
      <c r="G214" s="176"/>
      <c r="H214" s="176"/>
    </row>
    <row r="215" spans="1:8" x14ac:dyDescent="0.25">
      <c r="A215" s="38">
        <f t="shared" si="39"/>
        <v>5</v>
      </c>
      <c r="B215" s="176" t="s">
        <v>155</v>
      </c>
      <c r="C215" s="176"/>
      <c r="D215" s="176"/>
      <c r="E215" s="176"/>
      <c r="F215" s="176"/>
      <c r="G215" s="176"/>
      <c r="H215" s="176"/>
    </row>
    <row r="216" spans="1:8" x14ac:dyDescent="0.25">
      <c r="A216" s="38">
        <f t="shared" si="39"/>
        <v>6</v>
      </c>
      <c r="B216" s="176" t="s">
        <v>156</v>
      </c>
      <c r="C216" s="176"/>
      <c r="D216" s="176"/>
      <c r="E216" s="176"/>
      <c r="F216" s="176"/>
      <c r="G216" s="176"/>
      <c r="H216" s="176"/>
    </row>
    <row r="217" spans="1:8" ht="32.25" customHeight="1" x14ac:dyDescent="0.25">
      <c r="A217" s="38">
        <f t="shared" si="39"/>
        <v>7</v>
      </c>
      <c r="B217" s="176" t="s">
        <v>157</v>
      </c>
      <c r="C217" s="176"/>
      <c r="D217" s="176"/>
      <c r="E217" s="176"/>
      <c r="F217" s="176"/>
      <c r="G217" s="176"/>
      <c r="H217" s="176"/>
    </row>
    <row r="218" spans="1:8" x14ac:dyDescent="0.25">
      <c r="A218" s="23" t="s">
        <v>82</v>
      </c>
      <c r="B218" s="24"/>
      <c r="C218" s="24"/>
      <c r="D218" s="177" t="str">
        <f>E4</f>
        <v>Super Homez-padmavati Paradise</v>
      </c>
      <c r="E218" s="177"/>
      <c r="F218" s="177"/>
      <c r="G218" s="177"/>
      <c r="H218" s="177"/>
    </row>
    <row r="219" spans="1:8" x14ac:dyDescent="0.25">
      <c r="A219" s="24"/>
      <c r="B219" s="24"/>
      <c r="C219" s="24"/>
      <c r="D219" s="24"/>
      <c r="E219" s="24"/>
      <c r="F219" s="24"/>
      <c r="G219" s="24"/>
      <c r="H219" s="24"/>
    </row>
    <row r="220" spans="1:8" x14ac:dyDescent="0.25">
      <c r="A220" s="24"/>
      <c r="B220" s="24"/>
      <c r="C220" s="24"/>
      <c r="D220" s="24"/>
      <c r="E220" s="24"/>
      <c r="F220" s="24"/>
      <c r="G220" s="24"/>
      <c r="H220" s="24"/>
    </row>
    <row r="239" spans="3:7" x14ac:dyDescent="0.25">
      <c r="C239" s="25"/>
      <c r="F239" s="152"/>
      <c r="G239" s="152"/>
    </row>
    <row r="265" spans="1:1" x14ac:dyDescent="0.25">
      <c r="A265" s="26" t="s">
        <v>142</v>
      </c>
    </row>
    <row r="309" spans="1:8" x14ac:dyDescent="0.25">
      <c r="A309" s="26" t="s">
        <v>15</v>
      </c>
      <c r="B309" s="24"/>
      <c r="C309" s="24"/>
      <c r="D309" s="27"/>
      <c r="E309" s="23"/>
      <c r="F309" s="24"/>
      <c r="G309" s="24"/>
      <c r="H309" s="24"/>
    </row>
    <row r="310" spans="1:8" x14ac:dyDescent="0.25">
      <c r="A310" s="24"/>
      <c r="B310" s="24"/>
      <c r="C310" s="24"/>
      <c r="D310" s="24"/>
      <c r="E310" s="24"/>
      <c r="F310" s="24"/>
      <c r="G310" s="24"/>
      <c r="H310" s="24"/>
    </row>
    <row r="311" spans="1:8" x14ac:dyDescent="0.25">
      <c r="A311" s="24"/>
      <c r="B311" s="24"/>
      <c r="C311" s="24"/>
      <c r="D311" s="24"/>
      <c r="E311" s="24"/>
      <c r="F311" s="24"/>
      <c r="G311" s="24"/>
      <c r="H311" s="24"/>
    </row>
    <row r="330" spans="3:7" x14ac:dyDescent="0.25">
      <c r="C330" s="25"/>
      <c r="F330" s="152"/>
      <c r="G330" s="152"/>
    </row>
    <row r="345" spans="1:8" x14ac:dyDescent="0.25">
      <c r="A345" s="96" t="s">
        <v>0</v>
      </c>
      <c r="B345" s="96"/>
      <c r="C345" s="96"/>
      <c r="D345" s="96"/>
      <c r="E345" s="96"/>
      <c r="F345" s="96"/>
      <c r="G345" s="96"/>
      <c r="H345" s="96"/>
    </row>
    <row r="346" spans="1:8" x14ac:dyDescent="0.25">
      <c r="A346" s="96" t="s">
        <v>3</v>
      </c>
      <c r="B346" s="96"/>
      <c r="C346" s="96"/>
      <c r="D346" s="96"/>
      <c r="E346" s="96"/>
      <c r="F346" s="96"/>
      <c r="G346" s="96"/>
      <c r="H346" s="96"/>
    </row>
    <row r="347" spans="1:8" x14ac:dyDescent="0.25">
      <c r="A347" s="96" t="s">
        <v>1</v>
      </c>
      <c r="B347" s="96"/>
      <c r="C347" s="96"/>
      <c r="D347" s="96"/>
      <c r="E347" s="96"/>
      <c r="F347" s="96"/>
      <c r="G347" s="96"/>
      <c r="H347" s="96"/>
    </row>
    <row r="348" spans="1:8" x14ac:dyDescent="0.25">
      <c r="A348" s="96" t="s">
        <v>6</v>
      </c>
      <c r="B348" s="96"/>
      <c r="C348" s="96"/>
      <c r="D348" s="96"/>
      <c r="E348" s="96"/>
      <c r="F348" s="96"/>
      <c r="G348" s="96"/>
      <c r="H348" s="96"/>
    </row>
    <row r="349" spans="1:8" x14ac:dyDescent="0.25">
      <c r="A349" s="96" t="s">
        <v>11</v>
      </c>
      <c r="B349" s="96"/>
      <c r="C349" s="96"/>
      <c r="D349" s="96"/>
      <c r="E349" s="96"/>
      <c r="F349" s="96"/>
      <c r="G349" s="96"/>
      <c r="H349" s="96"/>
    </row>
    <row r="350" spans="1:8" x14ac:dyDescent="0.25">
      <c r="A350" s="96" t="s">
        <v>7</v>
      </c>
      <c r="B350" s="96"/>
      <c r="C350" s="96"/>
      <c r="D350" s="96"/>
      <c r="E350" s="96"/>
      <c r="F350" s="96"/>
      <c r="G350" s="96"/>
      <c r="H350" s="96"/>
    </row>
    <row r="351" spans="1:8" ht="59.25" customHeight="1" x14ac:dyDescent="0.25">
      <c r="A351" s="173" t="s">
        <v>138</v>
      </c>
      <c r="B351" s="174"/>
      <c r="C351" s="175" t="s">
        <v>231</v>
      </c>
      <c r="D351" s="175"/>
      <c r="E351" s="172" t="s">
        <v>183</v>
      </c>
      <c r="F351" s="172"/>
      <c r="G351" s="130"/>
      <c r="H351" s="130"/>
    </row>
    <row r="352" spans="1:8" x14ac:dyDescent="0.25">
      <c r="A352" s="26"/>
    </row>
  </sheetData>
  <mergeCells count="307">
    <mergeCell ref="A60:B60"/>
    <mergeCell ref="A61:B61"/>
    <mergeCell ref="A62:B62"/>
    <mergeCell ref="A63:B63"/>
    <mergeCell ref="A64:B64"/>
    <mergeCell ref="A65:B65"/>
    <mergeCell ref="E69:H69"/>
    <mergeCell ref="A66:A67"/>
    <mergeCell ref="B66:D67"/>
    <mergeCell ref="E66:G66"/>
    <mergeCell ref="E67:G67"/>
    <mergeCell ref="E208:H208"/>
    <mergeCell ref="A349:H349"/>
    <mergeCell ref="A347:H347"/>
    <mergeCell ref="E351:F351"/>
    <mergeCell ref="G351:H351"/>
    <mergeCell ref="E39:H39"/>
    <mergeCell ref="A351:B351"/>
    <mergeCell ref="C351:D351"/>
    <mergeCell ref="A210:H210"/>
    <mergeCell ref="B211:H211"/>
    <mergeCell ref="B212:H212"/>
    <mergeCell ref="B213:H213"/>
    <mergeCell ref="B214:H214"/>
    <mergeCell ref="B215:H215"/>
    <mergeCell ref="B216:H216"/>
    <mergeCell ref="B217:H217"/>
    <mergeCell ref="D218:H218"/>
    <mergeCell ref="A350:H350"/>
    <mergeCell ref="A345:H345"/>
    <mergeCell ref="A348:H348"/>
    <mergeCell ref="F239:G239"/>
    <mergeCell ref="A101:A102"/>
    <mergeCell ref="E188:H188"/>
    <mergeCell ref="A40:A42"/>
    <mergeCell ref="C98:D98"/>
    <mergeCell ref="E8:F8"/>
    <mergeCell ref="G8:H8"/>
    <mergeCell ref="I12:I13"/>
    <mergeCell ref="I23:J23"/>
    <mergeCell ref="I22:J22"/>
    <mergeCell ref="I24:J24"/>
    <mergeCell ref="I32:J33"/>
    <mergeCell ref="E29:H29"/>
    <mergeCell ref="E38:H38"/>
    <mergeCell ref="E25:H25"/>
    <mergeCell ref="E23:H23"/>
    <mergeCell ref="E30:H30"/>
    <mergeCell ref="E31:H31"/>
    <mergeCell ref="E32:H32"/>
    <mergeCell ref="E36:H36"/>
    <mergeCell ref="E37:H37"/>
    <mergeCell ref="E35:H35"/>
    <mergeCell ref="E27:H27"/>
    <mergeCell ref="E28:H28"/>
    <mergeCell ref="E9:H9"/>
    <mergeCell ref="E45:H45"/>
    <mergeCell ref="B42:D42"/>
    <mergeCell ref="E42:H42"/>
    <mergeCell ref="A184:A186"/>
    <mergeCell ref="B183:D183"/>
    <mergeCell ref="C111:C112"/>
    <mergeCell ref="D111:D112"/>
    <mergeCell ref="A99:H99"/>
    <mergeCell ref="A100:H100"/>
    <mergeCell ref="G101:G102"/>
    <mergeCell ref="A103:H103"/>
    <mergeCell ref="A109:H109"/>
    <mergeCell ref="A111:A112"/>
    <mergeCell ref="F101:F102"/>
    <mergeCell ref="E178:H178"/>
    <mergeCell ref="E183:H183"/>
    <mergeCell ref="E179:H179"/>
    <mergeCell ref="E101:E102"/>
    <mergeCell ref="B111:B112"/>
    <mergeCell ref="C80:E80"/>
    <mergeCell ref="G80:H80"/>
    <mergeCell ref="A93:B93"/>
    <mergeCell ref="C93:D93"/>
    <mergeCell ref="E93:F93"/>
    <mergeCell ref="G93:H93"/>
    <mergeCell ref="A82:B83"/>
    <mergeCell ref="G87:H87"/>
    <mergeCell ref="C83:H83"/>
    <mergeCell ref="C81:H81"/>
    <mergeCell ref="G86:H86"/>
    <mergeCell ref="E92:F92"/>
    <mergeCell ref="G92:H92"/>
    <mergeCell ref="C89:E89"/>
    <mergeCell ref="A346:H346"/>
    <mergeCell ref="E204:H204"/>
    <mergeCell ref="E202:G202"/>
    <mergeCell ref="B208:D208"/>
    <mergeCell ref="E201:G201"/>
    <mergeCell ref="E205:H205"/>
    <mergeCell ref="B203:D203"/>
    <mergeCell ref="E203:H203"/>
    <mergeCell ref="E197:G197"/>
    <mergeCell ref="E200:G200"/>
    <mergeCell ref="B188:D202"/>
    <mergeCell ref="E191:G191"/>
    <mergeCell ref="B205:D205"/>
    <mergeCell ref="F330:G330"/>
    <mergeCell ref="E198:G198"/>
    <mergeCell ref="E189:G189"/>
    <mergeCell ref="E194:G194"/>
    <mergeCell ref="E209:H209"/>
    <mergeCell ref="E190:G190"/>
    <mergeCell ref="A188:A202"/>
    <mergeCell ref="B206:D206"/>
    <mergeCell ref="E193:G193"/>
    <mergeCell ref="E196:G196"/>
    <mergeCell ref="B204:D204"/>
    <mergeCell ref="B209:D209"/>
    <mergeCell ref="B207:H207"/>
    <mergeCell ref="E199:G199"/>
    <mergeCell ref="E185:G185"/>
    <mergeCell ref="B184:D186"/>
    <mergeCell ref="E192:G192"/>
    <mergeCell ref="C96:D96"/>
    <mergeCell ref="E96:F96"/>
    <mergeCell ref="C97:D97"/>
    <mergeCell ref="E186:G186"/>
    <mergeCell ref="G97:H97"/>
    <mergeCell ref="E111:E112"/>
    <mergeCell ref="F111:F112"/>
    <mergeCell ref="E195:G195"/>
    <mergeCell ref="G111:G112"/>
    <mergeCell ref="B178:D178"/>
    <mergeCell ref="B179:D179"/>
    <mergeCell ref="G96:H96"/>
    <mergeCell ref="A96:B96"/>
    <mergeCell ref="B101:B102"/>
    <mergeCell ref="A110:H110"/>
    <mergeCell ref="A114:H114"/>
    <mergeCell ref="A128:H128"/>
    <mergeCell ref="C140:H140"/>
    <mergeCell ref="B25:D25"/>
    <mergeCell ref="B23:D23"/>
    <mergeCell ref="E26:H26"/>
    <mergeCell ref="E15:H15"/>
    <mergeCell ref="B28:D28"/>
    <mergeCell ref="E49:H49"/>
    <mergeCell ref="E33:H33"/>
    <mergeCell ref="B49:D49"/>
    <mergeCell ref="B35:D35"/>
    <mergeCell ref="B34:D34"/>
    <mergeCell ref="E34:H34"/>
    <mergeCell ref="B29:D29"/>
    <mergeCell ref="B30:D30"/>
    <mergeCell ref="B31:D31"/>
    <mergeCell ref="B32:D32"/>
    <mergeCell ref="B33:D33"/>
    <mergeCell ref="B45:D45"/>
    <mergeCell ref="E16:H16"/>
    <mergeCell ref="B24:D24"/>
    <mergeCell ref="E24:H24"/>
    <mergeCell ref="B46:D46"/>
    <mergeCell ref="E46:H46"/>
    <mergeCell ref="B36:D36"/>
    <mergeCell ref="B17:D17"/>
    <mergeCell ref="B20:D20"/>
    <mergeCell ref="B18:D18"/>
    <mergeCell ref="B19:D19"/>
    <mergeCell ref="B21:D21"/>
    <mergeCell ref="E21:H21"/>
    <mergeCell ref="B22:D22"/>
    <mergeCell ref="E22:H22"/>
    <mergeCell ref="E17:H17"/>
    <mergeCell ref="E18:H18"/>
    <mergeCell ref="E19:H19"/>
    <mergeCell ref="E20:H20"/>
    <mergeCell ref="A1:H1"/>
    <mergeCell ref="A2:H2"/>
    <mergeCell ref="E12:H12"/>
    <mergeCell ref="E13:H13"/>
    <mergeCell ref="E14:H14"/>
    <mergeCell ref="B13:D13"/>
    <mergeCell ref="B14:D14"/>
    <mergeCell ref="B5:D6"/>
    <mergeCell ref="B4:D4"/>
    <mergeCell ref="B10:D10"/>
    <mergeCell ref="B11:D11"/>
    <mergeCell ref="E10:H10"/>
    <mergeCell ref="E11:H11"/>
    <mergeCell ref="B8:D8"/>
    <mergeCell ref="E3:H3"/>
    <mergeCell ref="B3:D3"/>
    <mergeCell ref="B12:D12"/>
    <mergeCell ref="E4:H4"/>
    <mergeCell ref="E7:H7"/>
    <mergeCell ref="E6:F6"/>
    <mergeCell ref="E5:H5"/>
    <mergeCell ref="B7:D7"/>
    <mergeCell ref="G6:H6"/>
    <mergeCell ref="B9:D9"/>
    <mergeCell ref="B187:D187"/>
    <mergeCell ref="E187:H187"/>
    <mergeCell ref="E206:H206"/>
    <mergeCell ref="B68:D68"/>
    <mergeCell ref="C92:D92"/>
    <mergeCell ref="B51:H51"/>
    <mergeCell ref="E70:H70"/>
    <mergeCell ref="B43:D43"/>
    <mergeCell ref="A77:H77"/>
    <mergeCell ref="E50:H50"/>
    <mergeCell ref="E72:H72"/>
    <mergeCell ref="E73:H73"/>
    <mergeCell ref="B71:D71"/>
    <mergeCell ref="B70:D70"/>
    <mergeCell ref="B69:D69"/>
    <mergeCell ref="E97:F97"/>
    <mergeCell ref="E98:F98"/>
    <mergeCell ref="G98:H98"/>
    <mergeCell ref="A97:B97"/>
    <mergeCell ref="A98:B98"/>
    <mergeCell ref="C101:C102"/>
    <mergeCell ref="A177:H177"/>
    <mergeCell ref="A155:H155"/>
    <mergeCell ref="D101:D102"/>
    <mergeCell ref="E44:H44"/>
    <mergeCell ref="B48:D48"/>
    <mergeCell ref="E48:H48"/>
    <mergeCell ref="G79:H79"/>
    <mergeCell ref="E74:H74"/>
    <mergeCell ref="E75:H75"/>
    <mergeCell ref="B39:D39"/>
    <mergeCell ref="B38:D38"/>
    <mergeCell ref="B37:D37"/>
    <mergeCell ref="C52:H52"/>
    <mergeCell ref="C78:E78"/>
    <mergeCell ref="A79:B79"/>
    <mergeCell ref="C79:E79"/>
    <mergeCell ref="E71:H71"/>
    <mergeCell ref="E68:H68"/>
    <mergeCell ref="B72:D76"/>
    <mergeCell ref="A72:A76"/>
    <mergeCell ref="E76:H76"/>
    <mergeCell ref="A56:B56"/>
    <mergeCell ref="E56:F65"/>
    <mergeCell ref="G56:H65"/>
    <mergeCell ref="A57:B57"/>
    <mergeCell ref="A58:B58"/>
    <mergeCell ref="A59:B59"/>
    <mergeCell ref="I144:J144"/>
    <mergeCell ref="E182:G182"/>
    <mergeCell ref="A166:H166"/>
    <mergeCell ref="A144:H144"/>
    <mergeCell ref="A115:H115"/>
    <mergeCell ref="A181:A182"/>
    <mergeCell ref="E180:H180"/>
    <mergeCell ref="I169:J169"/>
    <mergeCell ref="I155:J155"/>
    <mergeCell ref="I166:J166"/>
    <mergeCell ref="B180:D180"/>
    <mergeCell ref="I141:J141"/>
    <mergeCell ref="E181:H181"/>
    <mergeCell ref="B181:D182"/>
    <mergeCell ref="A141:H141"/>
    <mergeCell ref="A5:A9"/>
    <mergeCell ref="E184:H184"/>
    <mergeCell ref="B27:D27"/>
    <mergeCell ref="A78:B78"/>
    <mergeCell ref="G78:H78"/>
    <mergeCell ref="C95:D95"/>
    <mergeCell ref="A90:H90"/>
    <mergeCell ref="A91:B91"/>
    <mergeCell ref="C91:D91"/>
    <mergeCell ref="E91:F91"/>
    <mergeCell ref="G91:H91"/>
    <mergeCell ref="A92:B92"/>
    <mergeCell ref="B26:D26"/>
    <mergeCell ref="B15:D15"/>
    <mergeCell ref="B16:D16"/>
    <mergeCell ref="B40:D40"/>
    <mergeCell ref="E40:H40"/>
    <mergeCell ref="B41:D41"/>
    <mergeCell ref="E41:H41"/>
    <mergeCell ref="A49:A50"/>
    <mergeCell ref="B50:D50"/>
    <mergeCell ref="E43:H43"/>
    <mergeCell ref="B44:D44"/>
    <mergeCell ref="A52:B52"/>
    <mergeCell ref="B47:D47"/>
    <mergeCell ref="E47:H47"/>
    <mergeCell ref="A113:H113"/>
    <mergeCell ref="C85:H85"/>
    <mergeCell ref="C82:E82"/>
    <mergeCell ref="G82:H82"/>
    <mergeCell ref="A84:B85"/>
    <mergeCell ref="C84:E84"/>
    <mergeCell ref="G84:H84"/>
    <mergeCell ref="A86:B88"/>
    <mergeCell ref="C88:H88"/>
    <mergeCell ref="C86:E87"/>
    <mergeCell ref="A54:B54"/>
    <mergeCell ref="C54:H54"/>
    <mergeCell ref="A55:B55"/>
    <mergeCell ref="E55:F55"/>
    <mergeCell ref="G55:H55"/>
    <mergeCell ref="A80:B81"/>
    <mergeCell ref="A95:B95"/>
    <mergeCell ref="A94:H94"/>
    <mergeCell ref="A89:B89"/>
    <mergeCell ref="G89:H89"/>
    <mergeCell ref="E95:F95"/>
    <mergeCell ref="G95:H95"/>
  </mergeCells>
  <dataValidations count="3">
    <dataValidation type="list" allowBlank="1" showInputMessage="1" showErrorMessage="1" sqref="H102 H112">
      <formula1>".45,.50,.55,.60"</formula1>
    </dataValidation>
    <dataValidation type="list" allowBlank="1" showInputMessage="1" showErrorMessage="1" sqref="E17:H17">
      <formula1>"None,Yes"</formula1>
    </dataValidation>
    <dataValidation type="list" allowBlank="1" showInputMessage="1" showErrorMessage="1" sqref="B217:H217">
      <formula1>"Recommended rate should be considered as all inclusive rate if other charges are not mentioned. (Excluding GST &amp; other government Taxes),Other charges can be considered from cost sheet. "</formula1>
    </dataValidation>
  </dataValidations>
  <hyperlinks>
    <hyperlink ref="E7" r:id="rId1"/>
  </hyperlinks>
  <printOptions horizontalCentered="1"/>
  <pageMargins left="0.23622047244094491" right="0.23622047244094491" top="0.74803149606299213" bottom="0.59055118110236227" header="0.19685039370078741" footer="0.19685039370078741"/>
  <pageSetup paperSize="2" fitToHeight="0" orientation="portrait" r:id="rId2"/>
  <headerFooter>
    <oddHeader>&amp;C&amp;"Times New Roman,Bold"&amp;20&amp;G</oddHeader>
    <oddFooter>&amp;L&amp;"Times New Roman,Bold"Ref No: &amp;F&amp;R&amp;P</oddFooter>
  </headerFooter>
  <rowBreaks count="5" manualBreakCount="5">
    <brk id="51" max="7" man="1"/>
    <brk id="76" max="7" man="1"/>
    <brk id="217" max="7" man="1"/>
    <brk id="264" max="7" man="1"/>
    <brk id="308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9:O10"/>
  <sheetViews>
    <sheetView workbookViewId="0">
      <selection activeCell="K13" sqref="K13"/>
    </sheetView>
  </sheetViews>
  <sheetFormatPr defaultRowHeight="15" x14ac:dyDescent="0.25"/>
  <sheetData>
    <row r="9" spans="11:15" x14ac:dyDescent="0.25">
      <c r="K9" s="122" t="s">
        <v>93</v>
      </c>
      <c r="L9" s="122"/>
      <c r="M9" s="122"/>
      <c r="N9" s="122"/>
      <c r="O9" s="122"/>
    </row>
    <row r="10" spans="11:15" x14ac:dyDescent="0.25">
      <c r="K10" s="122" t="s">
        <v>94</v>
      </c>
      <c r="L10" s="122"/>
      <c r="M10" s="122"/>
      <c r="N10" s="122"/>
      <c r="O10" s="122"/>
    </row>
  </sheetData>
  <mergeCells count="2">
    <mergeCell ref="K9:O9"/>
    <mergeCell ref="K10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Valuation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PC-51</cp:lastModifiedBy>
  <cp:lastPrinted>2025-09-05T06:17:45Z</cp:lastPrinted>
  <dcterms:created xsi:type="dcterms:W3CDTF">2013-11-23T05:32:33Z</dcterms:created>
  <dcterms:modified xsi:type="dcterms:W3CDTF">2025-09-05T06:41:10Z</dcterms:modified>
</cp:coreProperties>
</file>