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defaultThemeVersion="124226"/>
  <mc:AlternateContent xmlns:mc="http://schemas.openxmlformats.org/markup-compatibility/2006">
    <mc:Choice Requires="x15">
      <x15ac:absPath xmlns:x15ac="http://schemas.microsoft.com/office/spreadsheetml/2010/11/ac" url="D:\Kunal\Sept 25\Godrej\Old\"/>
    </mc:Choice>
  </mc:AlternateContent>
  <xr:revisionPtr revIDLastSave="0" documentId="13_ncr:1_{872B6088-F4CB-405D-BB05-8FFCAED2AABA}" xr6:coauthVersionLast="47" xr6:coauthVersionMax="47" xr10:uidLastSave="{00000000-0000-0000-0000-000000000000}"/>
  <bookViews>
    <workbookView xWindow="-108" yWindow="-108" windowWidth="23256" windowHeight="12456" xr2:uid="{00000000-000D-0000-FFFF-FFFF00000000}"/>
  </bookViews>
  <sheets>
    <sheet name="Report" sheetId="3" r:id="rId1"/>
    <sheet name="Construction table" sheetId="4" r:id="rId2"/>
    <sheet name="Remarks" sheetId="5" r:id="rId3"/>
    <sheet name="Area Calculation" sheetId="6" r:id="rId4"/>
    <sheet name="Flat CA" sheetId="7" r:id="rId5"/>
  </sheets>
  <definedNames>
    <definedName name="_xlnm.Print_Area" localSheetId="0">Report!$A$1:$H$336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 i="3" l="1"/>
  <c r="E166" i="3"/>
  <c r="E165" i="3"/>
  <c r="E161" i="3"/>
  <c r="E160" i="3"/>
  <c r="G161" i="3"/>
  <c r="G156" i="3"/>
  <c r="E156" i="3"/>
  <c r="E155" i="3"/>
  <c r="E150" i="3"/>
  <c r="E149" i="3"/>
  <c r="E144" i="3"/>
  <c r="E143" i="3"/>
  <c r="E139" i="3"/>
  <c r="E138" i="3"/>
  <c r="J22" i="3" l="1"/>
  <c r="I140" i="3" l="1"/>
  <c r="F166" i="3"/>
  <c r="H166" i="3" s="1"/>
  <c r="F165" i="3"/>
  <c r="F138" i="3"/>
  <c r="F139" i="3"/>
  <c r="F143" i="3"/>
  <c r="F144" i="3"/>
  <c r="F149" i="3"/>
  <c r="H149" i="3" s="1"/>
  <c r="F150" i="3"/>
  <c r="H150" i="3" s="1"/>
  <c r="F155" i="3"/>
  <c r="H155" i="3" s="1"/>
  <c r="F160" i="3"/>
  <c r="F164" i="3"/>
  <c r="E164" i="3"/>
  <c r="A164" i="3"/>
  <c r="A165" i="3" s="1"/>
  <c r="A166" i="3" s="1"/>
  <c r="F163" i="3"/>
  <c r="E163" i="3"/>
  <c r="E159" i="3"/>
  <c r="F159" i="3"/>
  <c r="H161" i="3"/>
  <c r="H160" i="3"/>
  <c r="A159" i="3"/>
  <c r="A160" i="3" s="1"/>
  <c r="A161" i="3" s="1"/>
  <c r="F158" i="3"/>
  <c r="E158" i="3"/>
  <c r="E153" i="3"/>
  <c r="F153" i="3"/>
  <c r="A154" i="3"/>
  <c r="A155" i="3" s="1"/>
  <c r="A156" i="3" s="1"/>
  <c r="A148" i="3"/>
  <c r="A149" i="3" s="1"/>
  <c r="A150" i="3" s="1"/>
  <c r="F147" i="3"/>
  <c r="E147" i="3"/>
  <c r="F142" i="3"/>
  <c r="E142" i="3"/>
  <c r="F141" i="3"/>
  <c r="E141" i="3"/>
  <c r="F137" i="3"/>
  <c r="E137" i="3"/>
  <c r="F136" i="3"/>
  <c r="E136" i="3"/>
  <c r="H164" i="3" l="1"/>
  <c r="H153" i="3"/>
  <c r="H163" i="3"/>
  <c r="H158" i="3"/>
  <c r="E125" i="3"/>
  <c r="E128" i="3" s="1"/>
  <c r="H147" i="3"/>
  <c r="K147" i="3" s="1"/>
  <c r="H159" i="3"/>
  <c r="H165" i="3"/>
  <c r="H156" i="3"/>
  <c r="A142" i="3"/>
  <c r="A143" i="3" s="1"/>
  <c r="A144" i="3" s="1"/>
  <c r="A137" i="3"/>
  <c r="A138" i="3" s="1"/>
  <c r="A139" i="3" s="1"/>
  <c r="H143" i="3"/>
  <c r="H144" i="3"/>
  <c r="K144" i="3" s="1"/>
  <c r="H142" i="3"/>
  <c r="K142" i="3" s="1"/>
  <c r="H141" i="3"/>
  <c r="J22" i="7"/>
  <c r="J20" i="7"/>
  <c r="J21" i="7"/>
  <c r="J4" i="7"/>
  <c r="J5" i="7"/>
  <c r="J6" i="7"/>
  <c r="J7" i="7"/>
  <c r="J8" i="7"/>
  <c r="J9" i="7"/>
  <c r="J10" i="7"/>
  <c r="J11" i="7"/>
  <c r="J12" i="7"/>
  <c r="J13" i="7"/>
  <c r="J14" i="7"/>
  <c r="J15" i="7"/>
  <c r="J16" i="7"/>
  <c r="J17" i="7"/>
  <c r="J18" i="7"/>
  <c r="J19" i="7"/>
  <c r="J3" i="7"/>
  <c r="D19" i="7"/>
  <c r="D5" i="7"/>
  <c r="D6" i="7"/>
  <c r="D7" i="7"/>
  <c r="D8" i="7"/>
  <c r="D9" i="7"/>
  <c r="D10" i="7"/>
  <c r="D11" i="7"/>
  <c r="D12" i="7"/>
  <c r="D13" i="7"/>
  <c r="D14" i="7"/>
  <c r="D15" i="7"/>
  <c r="D16" i="7"/>
  <c r="D17" i="7"/>
  <c r="D18" i="7"/>
  <c r="D4" i="7"/>
  <c r="C3" i="7"/>
  <c r="D3" i="7" s="1"/>
  <c r="D20" i="7" s="1"/>
  <c r="H136" i="3" s="1"/>
  <c r="H139" i="3"/>
  <c r="K139" i="3" s="1"/>
  <c r="H138" i="3"/>
  <c r="H137" i="3"/>
  <c r="G116" i="3"/>
  <c r="G115" i="3"/>
  <c r="K136" i="3" l="1"/>
  <c r="G125" i="3"/>
  <c r="G128" i="3" s="1"/>
  <c r="C18" i="3"/>
  <c r="D217" i="3" l="1"/>
  <c r="D215" i="3"/>
  <c r="H168" i="3"/>
  <c r="H169" i="3"/>
  <c r="H170" i="3"/>
  <c r="H171" i="3"/>
  <c r="H172" i="3"/>
  <c r="A62" i="3"/>
  <c r="L41" i="6" l="1"/>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l="1"/>
  <c r="I42" i="6"/>
  <c r="H42" i="6" s="1"/>
  <c r="L42" i="6"/>
  <c r="K42" i="6" s="1"/>
  <c r="E44" i="6"/>
  <c r="D42" i="6"/>
  <c r="D44" i="6" s="1"/>
  <c r="C27" i="3" l="1"/>
  <c r="C19" i="3"/>
  <c r="H202" i="3"/>
  <c r="H201" i="3"/>
  <c r="H200" i="3"/>
  <c r="H199" i="3"/>
  <c r="H198" i="3"/>
  <c r="H197" i="3"/>
  <c r="H196" i="3"/>
  <c r="H195" i="3"/>
  <c r="H193" i="3"/>
  <c r="H192" i="3"/>
  <c r="H191" i="3"/>
  <c r="H190" i="3"/>
  <c r="H189" i="3"/>
  <c r="H188" i="3"/>
  <c r="H187" i="3"/>
  <c r="H186" i="3"/>
  <c r="H184" i="3"/>
  <c r="H183" i="3"/>
  <c r="H182" i="3"/>
  <c r="H181" i="3"/>
  <c r="H180" i="3"/>
  <c r="H179" i="3"/>
  <c r="H178" i="3"/>
  <c r="H177" i="3"/>
  <c r="H127" i="3"/>
  <c r="G127" i="3"/>
  <c r="E127" i="3"/>
  <c r="H173" i="3"/>
  <c r="H174" i="3"/>
  <c r="H175" i="3"/>
  <c r="G122" i="3" l="1"/>
  <c r="E122" i="3"/>
  <c r="A94" i="3"/>
  <c r="D95" i="3" s="1"/>
  <c r="J104" i="3" s="1"/>
  <c r="A78" i="3"/>
  <c r="D79" i="3" s="1"/>
  <c r="J103"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H79" i="3"/>
  <c r="I5" i="4"/>
  <c r="F38" i="4" l="1"/>
  <c r="G38" i="4"/>
  <c r="E18" i="4"/>
  <c r="E15" i="4"/>
  <c r="E17" i="4"/>
  <c r="E11" i="4"/>
  <c r="K6" i="4"/>
  <c r="E9" i="4"/>
  <c r="K8" i="4"/>
  <c r="C7" i="4" s="1"/>
  <c r="E14" i="4"/>
  <c r="E12" i="4"/>
  <c r="E16" i="4"/>
  <c r="E10" i="4"/>
  <c r="K9" i="4"/>
  <c r="K10" i="4" s="1"/>
  <c r="K11" i="4" s="1"/>
  <c r="E13" i="4"/>
  <c r="K7" i="4"/>
  <c r="J88" i="3"/>
  <c r="J87" i="3"/>
  <c r="K12" i="4" l="1"/>
  <c r="K16" i="4" s="1"/>
  <c r="C8" i="4" s="1"/>
  <c r="E8" i="4" s="1"/>
  <c r="E7" i="4"/>
  <c r="A168" i="3"/>
  <c r="A169" i="3" s="1"/>
  <c r="A170" i="3" s="1"/>
  <c r="A171" i="3" s="1"/>
  <c r="A172" i="3" s="1"/>
  <c r="A173" i="3" s="1"/>
  <c r="A174" i="3" s="1"/>
  <c r="A175" i="3" s="1"/>
  <c r="F7" i="4" l="1"/>
  <c r="J4" i="4" s="1"/>
  <c r="H7" i="4" s="1"/>
  <c r="G4" i="3" l="1"/>
  <c r="H122" i="3" l="1"/>
  <c r="D216" i="3" l="1"/>
  <c r="G117" i="3"/>
  <c r="J72" i="3"/>
  <c r="H63" i="3"/>
  <c r="J67" i="3" l="1"/>
  <c r="D72" i="3"/>
  <c r="D69" i="3"/>
  <c r="D67" i="3"/>
  <c r="J65" i="3"/>
  <c r="D76" i="3"/>
  <c r="D74" i="3"/>
  <c r="D71" i="3"/>
  <c r="D68" i="3"/>
  <c r="J66" i="3"/>
  <c r="C65" i="3" s="1"/>
  <c r="J64" i="3"/>
  <c r="D75" i="3"/>
  <c r="D73" i="3"/>
  <c r="D70" i="3"/>
  <c r="D92" i="3" l="1"/>
  <c r="D84" i="3"/>
  <c r="D87" i="3"/>
  <c r="J81" i="3"/>
  <c r="D91" i="3"/>
  <c r="D85" i="3"/>
  <c r="J80" i="3"/>
  <c r="D90" i="3"/>
  <c r="J83" i="3"/>
  <c r="J84" i="3" s="1"/>
  <c r="D89" i="3"/>
  <c r="D83" i="3"/>
  <c r="J82" i="3"/>
  <c r="C81" i="3" s="1"/>
  <c r="D88" i="3"/>
  <c r="D86" i="3"/>
  <c r="J68" i="3"/>
  <c r="J73" i="3" s="1"/>
  <c r="D81" i="3" l="1"/>
  <c r="J85" i="3"/>
  <c r="J89" i="3"/>
  <c r="J86" i="3"/>
  <c r="J69" i="3"/>
  <c r="H95" i="3"/>
  <c r="J90" i="3" l="1"/>
  <c r="C82" i="3" s="1"/>
  <c r="D108" i="3"/>
  <c r="D107" i="3"/>
  <c r="D101" i="3"/>
  <c r="J98" i="3"/>
  <c r="C97" i="3" s="1"/>
  <c r="D103" i="3"/>
  <c r="D102" i="3"/>
  <c r="J96" i="3"/>
  <c r="D106" i="3"/>
  <c r="D100" i="3"/>
  <c r="J99" i="3"/>
  <c r="J100" i="3" s="1"/>
  <c r="J101" i="3" s="1"/>
  <c r="J102" i="3" s="1"/>
  <c r="D105" i="3"/>
  <c r="D99" i="3"/>
  <c r="J97" i="3"/>
  <c r="D104" i="3"/>
  <c r="J70" i="3"/>
  <c r="J71" i="3" s="1"/>
  <c r="D82" i="3" l="1"/>
  <c r="E81" i="3"/>
  <c r="I78" i="3" s="1"/>
  <c r="G81" i="3" s="1"/>
  <c r="J105" i="3"/>
  <c r="J106" i="3" s="1"/>
  <c r="C98" i="3" s="1"/>
  <c r="D98" i="3" s="1"/>
  <c r="D97" i="3"/>
  <c r="C66" i="3"/>
  <c r="U186" i="3"/>
  <c r="U195" i="3"/>
  <c r="U177" i="3"/>
  <c r="V177" i="3"/>
  <c r="V186" i="3"/>
  <c r="V195" i="3"/>
  <c r="D65" i="3" l="1"/>
  <c r="E97" i="3"/>
  <c r="I94" i="3" s="1"/>
  <c r="G97" i="3" s="1"/>
  <c r="E65" i="3"/>
  <c r="G109" i="3" s="1"/>
  <c r="T195" i="3"/>
  <c r="U196" i="3"/>
  <c r="V196" i="3"/>
  <c r="V197" i="3" s="1"/>
  <c r="V198" i="3" s="1"/>
  <c r="V199" i="3" s="1"/>
  <c r="V200" i="3" s="1"/>
  <c r="V201" i="3" s="1"/>
  <c r="V202" i="3" s="1"/>
  <c r="T186" i="3"/>
  <c r="U187" i="3"/>
  <c r="V187" i="3"/>
  <c r="V188" i="3" s="1"/>
  <c r="V189" i="3" s="1"/>
  <c r="V190" i="3" s="1"/>
  <c r="V191" i="3" s="1"/>
  <c r="V192" i="3" s="1"/>
  <c r="V193" i="3" s="1"/>
  <c r="V178" i="3"/>
  <c r="V179" i="3" s="1"/>
  <c r="V180" i="3" s="1"/>
  <c r="V181" i="3" s="1"/>
  <c r="V182" i="3" s="1"/>
  <c r="V183" i="3" s="1"/>
  <c r="V184" i="3" s="1"/>
  <c r="U178" i="3"/>
  <c r="T177" i="3"/>
  <c r="D66" i="3" l="1"/>
  <c r="I62" i="3"/>
  <c r="G65" i="3" s="1"/>
  <c r="A195" i="3"/>
  <c r="A186" i="3"/>
  <c r="A177" i="3"/>
  <c r="T196" i="3"/>
  <c r="A196" i="3" s="1"/>
  <c r="U197" i="3"/>
  <c r="T197" i="3" s="1"/>
  <c r="T187" i="3"/>
  <c r="A187" i="3" s="1"/>
  <c r="U188" i="3"/>
  <c r="T188" i="3" s="1"/>
  <c r="U179" i="3"/>
  <c r="T178" i="3"/>
  <c r="A178" i="3" s="1"/>
  <c r="A197" i="3" l="1"/>
  <c r="A188" i="3"/>
  <c r="U198" i="3"/>
  <c r="T198" i="3" s="1"/>
  <c r="U189" i="3"/>
  <c r="T189" i="3" s="1"/>
  <c r="U180" i="3"/>
  <c r="T179" i="3"/>
  <c r="A179" i="3" s="1"/>
  <c r="A198" i="3" l="1"/>
  <c r="A189" i="3"/>
  <c r="U199" i="3"/>
  <c r="T199" i="3" s="1"/>
  <c r="U190" i="3"/>
  <c r="T190" i="3" s="1"/>
  <c r="U181" i="3"/>
  <c r="T180" i="3"/>
  <c r="A180" i="3" s="1"/>
  <c r="A199" i="3" l="1"/>
  <c r="A190" i="3"/>
  <c r="U200" i="3"/>
  <c r="T200" i="3" s="1"/>
  <c r="U191" i="3"/>
  <c r="T191" i="3" s="1"/>
  <c r="U182" i="3"/>
  <c r="T181" i="3"/>
  <c r="A181" i="3" s="1"/>
  <c r="A200" i="3" l="1"/>
  <c r="A191" i="3"/>
  <c r="U201" i="3"/>
  <c r="T201" i="3" s="1"/>
  <c r="U192" i="3"/>
  <c r="T192" i="3" s="1"/>
  <c r="U183" i="3"/>
  <c r="T182" i="3"/>
  <c r="A182" i="3" s="1"/>
  <c r="A201" i="3" l="1"/>
  <c r="A192" i="3"/>
  <c r="U202" i="3"/>
  <c r="T202" i="3" s="1"/>
  <c r="U193" i="3"/>
  <c r="T193" i="3" s="1"/>
  <c r="U184" i="3"/>
  <c r="T183" i="3"/>
  <c r="A183" i="3" s="1"/>
  <c r="A202" i="3" l="1"/>
  <c r="A193" i="3"/>
  <c r="T184" i="3"/>
  <c r="A18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000-000001000000}">
      <text>
        <r>
          <rPr>
            <b/>
            <sz val="18"/>
            <color indexed="81"/>
            <rFont val="Tahoma"/>
            <family val="2"/>
          </rPr>
          <t>SACHIN:</t>
        </r>
        <r>
          <rPr>
            <sz val="18"/>
            <color indexed="81"/>
            <rFont val="Tahoma"/>
            <family val="2"/>
          </rPr>
          <t xml:space="preserve">
As per initiation Mail</t>
        </r>
      </text>
    </comment>
    <comment ref="C10" authorId="0" shapeId="0" xr:uid="{00000000-0006-0000-0000-000002000000}">
      <text>
        <r>
          <rPr>
            <b/>
            <sz val="9"/>
            <color indexed="81"/>
            <rFont val="Tahoma"/>
            <family val="2"/>
          </rPr>
          <t>SACHIN:</t>
        </r>
        <r>
          <rPr>
            <sz val="9"/>
            <color indexed="81"/>
            <rFont val="Tahoma"/>
            <family val="2"/>
          </rPr>
          <t xml:space="preserve">
As per plans</t>
        </r>
      </text>
    </comment>
    <comment ref="C12" authorId="0" shapeId="0" xr:uid="{00000000-0006-0000-0000-000003000000}">
      <text>
        <r>
          <rPr>
            <b/>
            <sz val="9"/>
            <color indexed="81"/>
            <rFont val="Tahoma"/>
            <family val="2"/>
          </rPr>
          <t>SACHIN:</t>
        </r>
        <r>
          <rPr>
            <sz val="9"/>
            <color indexed="81"/>
            <rFont val="Tahoma"/>
            <family val="2"/>
          </rPr>
          <t xml:space="preserve">
As per maps</t>
        </r>
      </text>
    </comment>
    <comment ref="C18" authorId="0" shapeId="0" xr:uid="{00000000-0006-0000-0000-000004000000}">
      <text>
        <r>
          <rPr>
            <b/>
            <sz val="12"/>
            <color indexed="81"/>
            <rFont val="Tahoma"/>
            <family val="2"/>
          </rPr>
          <t>Maybe same as RERA Registration Validity or different</t>
        </r>
      </text>
    </comment>
    <comment ref="G18" authorId="0" shapeId="0" xr:uid="{00000000-0006-0000-0000-000005000000}">
      <text>
        <r>
          <rPr>
            <b/>
            <sz val="18"/>
            <color indexed="81"/>
            <rFont val="Tahoma"/>
            <family val="2"/>
          </rPr>
          <t>From Rera</t>
        </r>
      </text>
    </comment>
    <comment ref="G21" authorId="0" shapeId="0" xr:uid="{00000000-0006-0000-0000-000006000000}">
      <text>
        <r>
          <rPr>
            <b/>
            <sz val="16"/>
            <color indexed="81"/>
            <rFont val="Tahoma"/>
            <family val="2"/>
          </rPr>
          <t>From RERA</t>
        </r>
      </text>
    </comment>
    <comment ref="G22" authorId="0" shapeId="0" xr:uid="{00000000-0006-0000-0000-000007000000}">
      <text>
        <r>
          <rPr>
            <b/>
            <sz val="16"/>
            <color indexed="81"/>
            <rFont val="Tahoma"/>
            <family val="2"/>
          </rPr>
          <t>From RERA</t>
        </r>
      </text>
    </comment>
    <comment ref="G28" authorId="0" shapeId="0" xr:uid="{00000000-0006-0000-0000-000008000000}">
      <text>
        <r>
          <rPr>
            <b/>
            <sz val="12"/>
            <color indexed="81"/>
            <rFont val="Tahoma"/>
            <family val="2"/>
          </rPr>
          <t>SACHIN:</t>
        </r>
        <r>
          <rPr>
            <sz val="12"/>
            <color indexed="81"/>
            <rFont val="Tahoma"/>
            <family val="2"/>
          </rPr>
          <t xml:space="preserve">
Road size should be in metre</t>
        </r>
      </text>
    </comment>
    <comment ref="G115" authorId="0" shapeId="0" xr:uid="{00000000-0006-0000-0000-000009000000}">
      <text>
        <r>
          <rPr>
            <b/>
            <sz val="16"/>
            <color indexed="81"/>
            <rFont val="Tahoma"/>
            <family val="2"/>
          </rPr>
          <t>Ready Recknor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200-000001000000}">
      <text>
        <r>
          <rPr>
            <b/>
            <sz val="9"/>
            <color indexed="81"/>
            <rFont val="Tahoma"/>
            <family val="2"/>
          </rPr>
          <t>SACHIN:</t>
        </r>
        <r>
          <rPr>
            <sz val="9"/>
            <color indexed="81"/>
            <rFont val="Tahoma"/>
            <family val="2"/>
          </rPr>
          <t xml:space="preserve">
If banker changes the rate</t>
        </r>
      </text>
    </comment>
    <comment ref="C10" authorId="0" shapeId="0" xr:uid="{00000000-0006-0000-02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<sst xmlns="http://schemas.openxmlformats.org/spreadsheetml/2006/main" count="682" uniqueCount="407">
  <si>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</si>
  <si>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</si>
  <si>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</si>
  <si>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</si>
  <si>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</si>
  <si>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</si>
  <si>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</si>
  <si>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</si>
  <si>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</si>
  <si>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</si>
  <si>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</si>
  <si>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</si>
  <si>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</si>
  <si>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</si>
  <si>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</si>
  <si>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</si>
  <si>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</si>
  <si>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</si>
  <si>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</si>
  <si>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</si>
  <si>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</si>
  <si>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</si>
  <si>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</si>
  <si>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</si>
  <si>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</si>
  <si>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</si>
  <si>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</si>
  <si>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</si>
  <si>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</si>
  <si>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</si>
  <si>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</si>
  <si>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</si>
  <si>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</si>
  <si>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</si>
  <si>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</si>
  <si>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</si>
  <si>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</si>
  <si>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</si>
  <si>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</si>
  <si>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</si>
  <si>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</si>
  <si>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</si>
  <si>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</si>
  <si>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</si>
  <si>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</si>
  <si>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</si>
  <si>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</si>
  <si>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</si>
  <si>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</si>
  <si>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</si>
  <si>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</si>
  <si>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</si>
  <si>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</si>
  <si>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</si>
  <si>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</si>
  <si>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</si>
  <si>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</si>
  <si>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</si>
  <si>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</si>
  <si>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</si>
  <si>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</si>
  <si>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</si>
  <si>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</si>
  <si>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</si>
  <si>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</si>
  <si>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</si>
  <si>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</si>
  <si>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</si>
  <si>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</si>
  <si>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</si>
  <si>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</si>
  <si>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</si>
  <si>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</si>
  <si>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</si>
  <si>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</si>
  <si>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</si>
  <si>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</si>
  <si>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</si>
  <si>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</si>
  <si>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</si>
  <si>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</si>
  <si>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</si>
  <si>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</si>
  <si>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</si>
  <si>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</si>
  <si>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</si>
  <si>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</si>
  <si>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</si>
  <si>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</si>
  <si>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</si>
  <si>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</si>
  <si>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</si>
  <si>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</si>
  <si>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</si>
  <si>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</si>
  <si>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</si>
  <si>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</si>
  <si>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</si>
  <si>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</si>
  <si>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</si>
  <si>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</si>
  <si>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</si>
  <si>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</si>
  <si>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</si>
  <si>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</si>
  <si>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</si>
  <si>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</si>
  <si>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</si>
  <si>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</si>
  <si>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</si>
  <si>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</si>
  <si>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</si>
  <si>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</si>
  <si>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</si>
  <si>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</si>
  <si>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</si>
  <si>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</si>
  <si>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</si>
  <si>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</si>
  <si>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</si>
  <si>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</si>
  <si>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</si>
  <si>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</si>
  <si>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</si>
  <si>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</si>
  <si>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</si>
  <si>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</si>
  <si>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</si>
  <si>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</si>
  <si>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</si>
  <si>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</si>
  <si>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</si>
  <si>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</si>
  <si>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</si>
  <si>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</si>
  <si>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</si>
  <si>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</si>
  <si>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</si>
  <si>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</si>
  <si>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</si>
  <si>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</si>
  <si>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</si>
  <si>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</si>
  <si>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</si>
  <si>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</si>
  <si>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</si>
  <si>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</si>
  <si>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</si>
  <si>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</si>
  <si>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</si>
  <si>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</si>
  <si>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</si>
  <si>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</si>
  <si>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</si>
  <si>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</si>
  <si>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</si>
  <si>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</si>
  <si>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</si>
  <si>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</si>
  <si>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</si>
  <si>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</si>
  <si>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</si>
  <si>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</si>
  <si>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</si>
  <si>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</si>
  <si>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</si>
  <si>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</si>
  <si>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</si>
  <si>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</si>
  <si>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</si>
  <si>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</si>
  <si>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</si>
  <si>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</si>
  <si>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</si>
  <si>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</si>
  <si>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</si>
  <si>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</si>
  <si>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</si>
  <si>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</si>
  <si>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</si>
  <si>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</si>
  <si>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</si>
  <si>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</si>
  <si>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</si>
  <si>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</si>
  <si>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</si>
  <si>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</si>
  <si>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</si>
  <si>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</si>
  <si>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</si>
  <si>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</si>
  <si>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</si>
  <si>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</si>
  <si>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</si>
  <si>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</si>
  <si>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</si>
  <si>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</si>
  <si>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</si>
  <si>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</si>
  <si>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</si>
  <si>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</si>
  <si>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</si>
  <si>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</si>
  <si>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</si>
  <si>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</si>
  <si>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</si>
  <si>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</si>
  <si>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</si>
  <si>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</si>
  <si>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</si>
  <si>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</si>
  <si>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</si>
  <si>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</si>
  <si>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</si>
  <si>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</si>
  <si>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</si>
  <si>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</si>
  <si>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</si>
  <si>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</si>
  <si>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</si>
  <si>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</si>
  <si>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</si>
  <si>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</si>
  <si>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</si>
  <si>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</si>
  <si>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</si>
  <si>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</si>
  <si>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</si>
  <si>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</si>
  <si>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</si>
  <si>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</si>
  <si>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</si>
  <si>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</si>
  <si>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</si>
  <si>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</si>
  <si>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</si>
  <si>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</si>
  <si>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</si>
  <si>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</si>
  <si>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</si>
  <si>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</si>
  <si>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</si>
  <si>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</si>
  <si>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</si>
  <si>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</si>
  <si>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</si>
  <si>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</si>
  <si>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</si>
  <si>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</si>
  <si>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</si>
  <si>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</si>
  <si>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</si>
  <si>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</si>
  <si>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</si>
  <si>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</si>
  <si>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</si>
  <si>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</si>
  <si>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</si>
  <si>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</si>
  <si>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</si>
  <si>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</si>
  <si>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</si>
  <si>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</si>
  <si>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</si>
  <si>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</si>
  <si>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</si>
  <si>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</si>
  <si>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</si>
  <si>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</si>
  <si>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</si>
  <si>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</si>
  <si>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</si>
  <si>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</si>
  <si>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</si>
  <si>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</si>
  <si>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</si>
  <si>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</si>
  <si>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</si>
  <si>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</si>
  <si>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</si>
  <si>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</si>
  <si>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</si>
  <si>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</si>
  <si>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</si>
  <si>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</si>
  <si>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</si>
  <si>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</si>
  <si>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</si>
  <si>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</si>
  <si>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</si>
  <si>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</si>
  <si>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</si>
  <si>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</si>
  <si>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</si>
  <si>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</si>
  <si>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</si>
  <si>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</si>
  <si>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</si>
  <si>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</si>
  <si>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</si>
  <si>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</si>
  <si>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</si>
  <si>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</si>
  <si>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</si>
  <si>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</si>
  <si>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</si>
  <si>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Bitumen</t>
  </si>
  <si>
    <t>7 RCC
3Brick 
2 plaster</t>
  </si>
  <si>
    <t>Mr. Suraj Khare</t>
  </si>
  <si>
    <t xml:space="preserve">Agile Real Estate Pvt. Ltd.  </t>
  </si>
  <si>
    <t>101, Kalpataru Synergy, Opp. Grand Hyatt, Santacruz (East), Mumbai, Maharashtra, India - 400055</t>
  </si>
  <si>
    <t>Immensa at Parkcity, Kalpataru Parkcity, Kolshet Rd, Thane West, Thane, Maharashtra 400607</t>
  </si>
  <si>
    <t>Kalpataru Devlopers</t>
  </si>
  <si>
    <t>Thane Municipal Corporation (TMC)</t>
  </si>
  <si>
    <t>HDFC BANK
IFSC Code - HDFC0000060</t>
  </si>
  <si>
    <t>P51700001310</t>
  </si>
  <si>
    <t>Namo Grand Central Park</t>
  </si>
  <si>
    <t>Swimming Pool, Muiltipurpose Hall, Party Lawn &amp; Café, Mini Theatre, Indoor Games area, Squash Court, Senior Citizen Area &amp; Gymnasium etc.</t>
  </si>
  <si>
    <t>https://www.kalpataruparkcity.com/?utm_source=google&amp;utm_medium=cpc&amp;utm_campaign=Kalpataru+Parkcity+Thane&amp;utm_term=kalpataru%20immensa&amp;utm_Physical_Location=9198152&amp;utm_Targetid=aud-1495722118762:kwd-317915267217&amp;utm_Target=&amp;utm_Placement=&amp;utm_Adposition=&amp;gad_source=1&amp;gad_campaignid=14945681919&amp;gbraid=0AAAAAoMj0TOLMRhjAN4Hhqo5hqhMxOQEP&amp;gclid=CjwKCAjw9anCBhAWEiwAqBJ-c5U7V2sq3PpMrVs74MxnDzcNs_UoTTXgDDxalb-OEU_nLHCkqyOGrxoCFzkQAvD_BwE#amenities</t>
  </si>
  <si>
    <t>0.90 KM from Dosti County Bus Stop</t>
  </si>
  <si>
    <t>7.1KM from Thane Railway Station
7.7KM from Kalwa Railway Station</t>
  </si>
  <si>
    <t>24M Wide Internal Road</t>
  </si>
  <si>
    <t>Kalpataru Sunrise Road</t>
  </si>
  <si>
    <t xml:space="preserve">Date: 
Valid Upto
Date: </t>
  </si>
  <si>
    <t>20/10/2021
19/10/2029</t>
  </si>
  <si>
    <t>Fire NOC Details</t>
  </si>
  <si>
    <t xml:space="preserve">TMC/CFO/M/2059/7
Wing A =  2B + Gr/Stilt + 2P + 1st to 26(p) Floor. (Height = 89.7M)
Wing B = 2B + Gr/Stilt + 2P  + 1st to 27 Floor. (Height = 90.45M)
Wing C to E = 2B + Gr/Stilt + 2P + 1st to 26(p) Floor. (Height = 89.7M)
</t>
  </si>
  <si>
    <t>3BHK</t>
  </si>
  <si>
    <t>4BHK</t>
  </si>
  <si>
    <t>1st Floor For Residential</t>
  </si>
  <si>
    <t>Kitchen</t>
  </si>
  <si>
    <t>Bed 1</t>
  </si>
  <si>
    <t>Bed 2</t>
  </si>
  <si>
    <t>Bed 3</t>
  </si>
  <si>
    <t>Comm T</t>
  </si>
  <si>
    <t>T 1</t>
  </si>
  <si>
    <t>T 2</t>
  </si>
  <si>
    <t>Pass 1</t>
  </si>
  <si>
    <t>Pass 2</t>
  </si>
  <si>
    <t>Pass 3</t>
  </si>
  <si>
    <t>Pass 4</t>
  </si>
  <si>
    <t>Pass 5</t>
  </si>
  <si>
    <t>Store</t>
  </si>
  <si>
    <t>Bal 1</t>
  </si>
  <si>
    <t>Bal 2</t>
  </si>
  <si>
    <t>Tot</t>
  </si>
  <si>
    <t>Hall 1</t>
  </si>
  <si>
    <t>Hall 2</t>
  </si>
  <si>
    <t>Flat No. 1 &amp; 2</t>
  </si>
  <si>
    <t>Flat No. 3 &amp; 4</t>
  </si>
  <si>
    <t>Kit</t>
  </si>
  <si>
    <t>Bed 4</t>
  </si>
  <si>
    <t>Toi 1</t>
  </si>
  <si>
    <t>Toi 2</t>
  </si>
  <si>
    <t>Toi 3</t>
  </si>
  <si>
    <t>Toi 4</t>
  </si>
  <si>
    <t>Bal 3</t>
  </si>
  <si>
    <t>Balcony Area</t>
  </si>
  <si>
    <t>2nd, 3rd, 5th to 7th, 9th to 12th, 14th to 17th, 19th to 22nd, 24th to 27th, 31st, 32nd, 34th to 37th, 39th to 42nd Floor</t>
  </si>
  <si>
    <t>4th, 8th, 13th, 18th, 23rd, 33rd &amp; 38th Floor (Part Refuge Area)</t>
  </si>
  <si>
    <t>Refuge Area</t>
  </si>
  <si>
    <t>28th Floor (Part Refuge Area)</t>
  </si>
  <si>
    <t>29th Floor</t>
  </si>
  <si>
    <t>30th Floor</t>
  </si>
  <si>
    <t>Flats</t>
  </si>
  <si>
    <t xml:space="preserve">CC Details
Valid Up to: </t>
  </si>
  <si>
    <t>Fire Check Between 17th &amp; 18th Floor</t>
  </si>
  <si>
    <t>Fire Check Between 38th &amp; 39th Floor</t>
  </si>
  <si>
    <t>19.230446,72.989483</t>
  </si>
  <si>
    <t>https://maps.app.goo.gl/cBZXWyLXvb3kmYK19</t>
  </si>
  <si>
    <t>Mr. Ajay Songare</t>
  </si>
  <si>
    <t>S05/0093/15/TMC/TD-DP/TPS/2920/18</t>
  </si>
  <si>
    <t>Old  Layout Plan And No GF &amp; 2Podium Plan not provided.</t>
  </si>
  <si>
    <t>Immensa H, S. no.95/7B­ Part ,95/13­ Part, Near Namo Grand Central Park, Kalpataru Sunrise Road, Balkum, Thane West, Thane - 400607</t>
  </si>
  <si>
    <t>Survey Nos. Referred From RERA certificate</t>
  </si>
  <si>
    <t>Wing H (Maple)</t>
  </si>
  <si>
    <t>As per RERA Site Flats = 160  &amp; Shop = 7</t>
  </si>
  <si>
    <t>Flats =  160</t>
  </si>
  <si>
    <t>24M</t>
  </si>
  <si>
    <t>About 2.2 KM from Holy Trinity English High School</t>
  </si>
  <si>
    <t>About 2.6 KM form Mercurrey Hospital Thane</t>
  </si>
  <si>
    <t>1. Approx. 1.3KM from Eden Super Market.
2. Approx. 1.4KM from New Super Mall.</t>
  </si>
  <si>
    <t>Other Plot</t>
  </si>
  <si>
    <t>Wing A/ Nala</t>
  </si>
  <si>
    <t>Wing G/ Sector 5 (Phase 3 Building)</t>
  </si>
  <si>
    <t>Wing A / Nala</t>
  </si>
  <si>
    <t>Wing G/Kalpataru Park City Expansia</t>
  </si>
  <si>
    <t>Open Plot/Vraj Green Valley</t>
  </si>
  <si>
    <t>B + LG + G + UG + 2P + 1st to 42nd Floor</t>
  </si>
  <si>
    <t>Wing H = B + LG + G + UG + 2P + 1st to 42nd Floor</t>
  </si>
  <si>
    <t>S05/0093/15/TMC/TD-DP/3815/21</t>
  </si>
  <si>
    <t>SEIAA-EC-0000000022
Total Plot Area = 437961 Sqmt
Net Plot Area = 274215 Sqmt
Total BUA = 290662.360 Sqmt</t>
  </si>
  <si>
    <t>SNCR/WEST/B/082021/571953
Site Elevation in Mtrs AMSL  = 15.63M
Permissible Top Elevation = 215.63M</t>
  </si>
  <si>
    <t>Basement Floor</t>
  </si>
  <si>
    <t>Lower Ground, Ground &amp; Upper Ground Floor</t>
  </si>
  <si>
    <t>1st &amp; 2nd Podium Floor</t>
  </si>
  <si>
    <t xml:space="preserve">We considered Gross carpet area = Net carpet + Balcony Area.
</t>
  </si>
  <si>
    <t>19500 to 20500</t>
  </si>
  <si>
    <t>Approved Layout &amp; Floor Plans, CC, RERA certificate, Airport NOC, Environmental Clearance certificate</t>
  </si>
  <si>
    <t>Proposed development on plot bearing New S No. 10/1, 10/2B, 10/4B, 10/5B, 10/5D, 10/6, 19/1B, 19/2 to 19/12, 19/13A, 19/13B, 19/14, 19/15, 19/16A, 19/16B, 19/17 to 19/19, 19/20A, 19/20B, 19/21 to 19/24, 19/25/A, 19/25/B, 19/26, 19/27/A, 19/27/B, 19/28, 19/33, 19/34/A, 19/34/B, 19/34/C, 19/35, 19/36, 19/39/A, 19/39/B, 19/40, 19/41/A, 19/41/B, 19/44, 19/46, 20/1 to 20/3, 79/1A, 79/1B, 79/2A, 79/2B, 79/3 to 79/9, 80/1, 80/2/A, 80/2/B, 80/2/C, 82, 83/1, 83/2A, 83/2B/1, 83/2B/2, 83/3, 83/4/1A, 83/4/1/B, 83/4/2A, 83/4/2B, 83/5, 83/6/A, 83/6/B, 83/7/A, 83/7/B, 83/7/C, 83/8 to 83/10, 83/11/A, 83/11/B, 83/12, 85/2 to 85/6, 86/1/A, 86/1/B, 86/2A, 86/2B, 86/3/A, 86/3B, 87/1/A, 87/1/B, 87/1/C, 87/2 to 87/6, 88/1A, 88/1B, 88/2, 88/3A to 88/3D, 88/4, 88/5, 88/6A, 88/6B, 88/7, 88/8, 88/9A, 88/9B, 88/10 to 88/15, 89/1 to 89/16, 90/1/A, 90/1B, 90/2/A, 90/2/B, 90/3A to 90/3F, 90/4/A, 90/4/B, 90/5 to 90/9, 90/10A, 90/10B, 90/11 to 90/13, 91, 92/17A, 92/19A, 92/20 to 92/22, 93/1 to 93/4, 94/1, 94/2, 95/1 to 95/6, 95/7A, 95/7B, 95/7C, 95/8 to 95/10, 95/11A, 95/12 to 95/16, 95/17A, 95/17B, 95/17C, 95/18 to 95/20, 95/21A to 95/21C, 95/22, 95/23A, 95/23B, 95/24, 95/25, 95/26A, 95/26B, 95/26C, 95/27 to 95/39, 96/1, 96/2, 96/3A, 96/3B, 96/4, 97/1 to 97/4, 97/5/A, 97/5/B, 97/5/C, 97/6A, 97/6B, 97/7/1/A, 97/7/1/B, 97/7/2/A, 97/7/2/B, 97/8/A, 97/8/B, 97/8/C, 97/8/D, 97/9/A to 97/9/F, 98/1 to 98/7, 98/8/1/A, 98/8/1/B, 98/8/B, 98/9, 99/1, 99/2, 99/3A, 99/3B, 99/4 to 99/6, 99/7A, to 99/7E, 99/8 to 99/12, 99/13A, 99/14, 99/15A, 99/16, 100/1, 100/2, 100/3A, 100/4, 1005A, 100/5B, 100/6, 100/7, 100/8A, 100/8B, 100/9 to 100/13, 100/14B, 100/15A, 100/16A, 100/17C, 100/18B, 100/19A, 100/21, 100/22A, 100/22B, 100/23, 101/1, 101/2C, 101/3B, 104A/2/2 to 104/A/2/10 &amp; 81 of Village Balkum, Thane(W).</t>
  </si>
  <si>
    <t xml:space="preserve">Immensa H </t>
  </si>
  <si>
    <t xml:space="preserve">We are unable to draft the basement floor, ground floor, and podium floor, because plans were not provided. Please provide the layout plan, basement, ground &amp; podium floor plan dtd. 20/12/2021.
</t>
  </si>
  <si>
    <t xml:space="preserve">Please provide Fire NOC.
</t>
  </si>
  <si>
    <t>Middle</t>
  </si>
  <si>
    <t xml:space="preserve">Tower H </t>
  </si>
  <si>
    <t>Finishing work is in process at the time of Visit. Internal visit was not allowed.</t>
  </si>
  <si>
    <t>08/09/2025 @ 01:21PM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</si>
</sst>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
      <b/>
      <sz val="11"/>
      <color theme="1"/>
      <name val="Calibri"/>
      <family val="2"/>
    </font>
    <font>
      <b/>
      <sz val="16"/>
      <color rgb="FFFF000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s>
  <cellStyleXfs count="3">
    <xf numFmtId="0" fontId="0" fillId="0" borderId="0"/>
    <xf numFmtId="0" fontId="1" fillId="0" borderId="0"/>
    <xf numFmtId="0" fontId="25" fillId="0" borderId="0" applyNumberFormat="0" applyFill="0" applyBorder="0" applyAlignment="0" applyProtection="0"/>
  </cellStyleXfs>
  <cellXfs count="217">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0" fillId="0" borderId="1" xfId="0" applyBorder="1" applyAlignment="1">
      <alignment horizontal="center"/>
    </xf>
    <xf numFmtId="0" fontId="25" fillId="0" borderId="0" xfId="2" applyAlignment="1">
      <alignment vertical="top"/>
    </xf>
    <xf numFmtId="1" fontId="8" fillId="0" borderId="1" xfId="1" applyNumberFormat="1" applyFont="1" applyBorder="1" applyAlignment="1">
      <alignment horizontal="center" vertical="top" wrapText="1"/>
    </xf>
    <xf numFmtId="0" fontId="0" fillId="0" borderId="23" xfId="0" applyBorder="1"/>
    <xf numFmtId="2" fontId="0" fillId="0" borderId="1" xfId="0" applyNumberFormat="1" applyBorder="1" applyAlignment="1">
      <alignment horizontal="center"/>
    </xf>
    <xf numFmtId="0" fontId="0" fillId="0" borderId="24" xfId="0" applyBorder="1" applyAlignment="1">
      <alignment horizontal="center"/>
    </xf>
    <xf numFmtId="0" fontId="0" fillId="0" borderId="15" xfId="0" applyBorder="1" applyAlignment="1">
      <alignment horizontal="center"/>
    </xf>
    <xf numFmtId="2" fontId="27" fillId="0" borderId="25" xfId="0" applyNumberFormat="1" applyFont="1" applyBorder="1" applyAlignment="1">
      <alignment horizontal="center"/>
    </xf>
    <xf numFmtId="0" fontId="0" fillId="0" borderId="27" xfId="0" applyBorder="1" applyAlignment="1">
      <alignment horizontal="center"/>
    </xf>
    <xf numFmtId="2" fontId="0" fillId="0" borderId="27" xfId="0" applyNumberFormat="1" applyBorder="1" applyAlignment="1">
      <alignment horizontal="center"/>
    </xf>
    <xf numFmtId="0" fontId="0" fillId="0" borderId="27" xfId="0" applyBorder="1"/>
    <xf numFmtId="164" fontId="0" fillId="0" borderId="28" xfId="0" applyNumberFormat="1" applyBorder="1"/>
    <xf numFmtId="164" fontId="0" fillId="0" borderId="29" xfId="0" applyNumberFormat="1" applyBorder="1"/>
    <xf numFmtId="164" fontId="0" fillId="0" borderId="22" xfId="0" applyNumberFormat="1" applyBorder="1"/>
    <xf numFmtId="1" fontId="3" fillId="0" borderId="0" xfId="0" applyNumberFormat="1" applyFont="1" applyAlignment="1">
      <alignment vertical="top"/>
    </xf>
    <xf numFmtId="0" fontId="3" fillId="4" borderId="1" xfId="1" applyFont="1" applyFill="1" applyBorder="1" applyAlignment="1" applyProtection="1">
      <alignment horizontal="center" vertical="center" wrapText="1"/>
      <protection hidden="1"/>
    </xf>
    <xf numFmtId="14" fontId="4" fillId="4" borderId="1" xfId="0" applyNumberFormat="1" applyFont="1" applyFill="1" applyBorder="1" applyAlignment="1">
      <alignment horizontal="left" vertical="top" wrapText="1"/>
    </xf>
    <xf numFmtId="0" fontId="4" fillId="4" borderId="2" xfId="0" applyFont="1" applyFill="1" applyBorder="1" applyAlignment="1">
      <alignment vertical="top" wrapText="1"/>
    </xf>
    <xf numFmtId="0" fontId="4" fillId="4" borderId="5" xfId="0" applyFont="1" applyFill="1" applyBorder="1" applyAlignment="1">
      <alignment vertical="top" wrapText="1"/>
    </xf>
    <xf numFmtId="0" fontId="28" fillId="0" borderId="0" xfId="0" applyFont="1" applyAlignment="1">
      <alignment vertical="top"/>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0" borderId="3" xfId="0" applyFont="1" applyBorder="1" applyAlignment="1">
      <alignment horizontal="left"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3" fillId="4" borderId="1" xfId="0" applyFont="1" applyFill="1" applyBorder="1" applyAlignment="1">
      <alignment horizontal="left" vertical="top" wrapText="1"/>
    </xf>
    <xf numFmtId="0" fontId="2" fillId="2" borderId="1" xfId="0" applyFont="1" applyFill="1" applyBorder="1" applyAlignment="1">
      <alignment horizontal="center" vertical="top"/>
    </xf>
    <xf numFmtId="14" fontId="4" fillId="4" borderId="1" xfId="0" applyNumberFormat="1" applyFont="1" applyFill="1" applyBorder="1" applyAlignment="1">
      <alignment horizontal="left" vertical="top" wrapText="1"/>
    </xf>
    <xf numFmtId="0" fontId="4" fillId="0" borderId="6" xfId="0" applyFont="1" applyBorder="1" applyAlignment="1">
      <alignment horizontal="center" vertical="top" wrapText="1"/>
    </xf>
    <xf numFmtId="0" fontId="4" fillId="0" borderId="27" xfId="0" applyFont="1" applyBorder="1" applyAlignment="1">
      <alignment horizontal="center" vertical="top" wrapText="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4" borderId="12" xfId="0" applyFont="1" applyFill="1" applyBorder="1" applyAlignment="1">
      <alignment horizontal="left" vertical="top" wrapText="1"/>
    </xf>
    <xf numFmtId="0" fontId="4" fillId="4" borderId="8" xfId="0" applyFont="1" applyFill="1" applyBorder="1" applyAlignment="1">
      <alignment horizontal="left" vertical="top" wrapText="1"/>
    </xf>
    <xf numFmtId="0" fontId="4" fillId="4" borderId="13" xfId="0" applyFont="1" applyFill="1" applyBorder="1" applyAlignment="1">
      <alignment horizontal="left" vertical="top" wrapText="1"/>
    </xf>
    <xf numFmtId="17" fontId="4" fillId="4" borderId="1" xfId="0" applyNumberFormat="1" applyFont="1" applyFill="1" applyBorder="1" applyAlignment="1">
      <alignment horizontal="left" vertical="top" wrapText="1"/>
    </xf>
    <xf numFmtId="0" fontId="2" fillId="2" borderId="1" xfId="0" applyFont="1" applyFill="1" applyBorder="1" applyAlignment="1">
      <alignment horizontal="center" vertical="top" wrapText="1"/>
    </xf>
    <xf numFmtId="0" fontId="4" fillId="0" borderId="1" xfId="0" applyFont="1" applyBorder="1" applyAlignment="1">
      <alignment horizontal="center" vertical="top" wrapText="1"/>
    </xf>
    <xf numFmtId="0" fontId="9"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0" fontId="3"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0" fontId="4" fillId="4" borderId="1" xfId="0" applyFont="1" applyFill="1" applyBorder="1" applyAlignment="1">
      <alignment horizontal="left" vertical="top"/>
    </xf>
    <xf numFmtId="0" fontId="4" fillId="4" borderId="2" xfId="0" applyFont="1" applyFill="1" applyBorder="1" applyAlignment="1">
      <alignment horizontal="left" vertical="center" wrapText="1"/>
    </xf>
    <xf numFmtId="0" fontId="4" fillId="4" borderId="3" xfId="0" applyFont="1" applyFill="1" applyBorder="1" applyAlignment="1">
      <alignment horizontal="left" vertical="center" wrapText="1"/>
    </xf>
    <xf numFmtId="0" fontId="4" fillId="4" borderId="5" xfId="0" applyFont="1" applyFill="1" applyBorder="1" applyAlignment="1">
      <alignment horizontal="left" vertical="center" wrapText="1"/>
    </xf>
    <xf numFmtId="0" fontId="26" fillId="4" borderId="1" xfId="2" applyFont="1" applyFill="1" applyBorder="1" applyAlignment="1">
      <alignment horizontal="left" vertical="top" wrapText="1"/>
    </xf>
    <xf numFmtId="0" fontId="6" fillId="4" borderId="2" xfId="1" applyFont="1" applyFill="1" applyBorder="1" applyAlignment="1">
      <alignment horizontal="center" vertical="center" wrapText="1"/>
    </xf>
    <xf numFmtId="0" fontId="6" fillId="4" borderId="3" xfId="1" applyFont="1" applyFill="1" applyBorder="1" applyAlignment="1">
      <alignment horizontal="center" vertical="center" wrapText="1"/>
    </xf>
    <xf numFmtId="0" fontId="6" fillId="4" borderId="5" xfId="1" applyFont="1" applyFill="1" applyBorder="1" applyAlignment="1">
      <alignment horizontal="center" vertical="center" wrapText="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15"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27" fillId="0" borderId="20" xfId="0" applyFont="1" applyBorder="1" applyAlignment="1">
      <alignment horizontal="center"/>
    </xf>
    <xf numFmtId="0" fontId="27" fillId="0" borderId="21" xfId="0" applyFont="1" applyBorder="1" applyAlignment="1">
      <alignment horizontal="center"/>
    </xf>
    <xf numFmtId="0" fontId="27" fillId="0" borderId="22" xfId="0" applyFont="1" applyBorder="1" applyAlignment="1">
      <alignment horizontal="center"/>
    </xf>
    <xf numFmtId="0" fontId="27" fillId="0" borderId="26" xfId="0" applyFont="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4" fontId="3" fillId="0" borderId="0" xfId="0" applyNumberFormat="1" applyFont="1" applyAlignment="1">
      <alignment vertical="top"/>
    </xf>
    <xf numFmtId="0" fontId="2" fillId="4" borderId="1" xfId="0" applyFont="1" applyFill="1" applyBorder="1" applyAlignment="1">
      <alignment horizontal="left" vertical="top" wrapText="1"/>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5" Type="http://schemas.openxmlformats.org/officeDocument/2006/relationships/image" Target="../media/image26.png"/><Relationship Id="rId4" Type="http://schemas.openxmlformats.org/officeDocument/2006/relationships/image" Target="../media/image2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10</xdr:col>
      <xdr:colOff>394608</xdr:colOff>
      <xdr:row>58</xdr:row>
      <xdr:rowOff>190502</xdr:rowOff>
    </xdr:from>
    <xdr:to>
      <xdr:col>17</xdr:col>
      <xdr:colOff>599882</xdr:colOff>
      <xdr:row>68</xdr:row>
      <xdr:rowOff>1775</xdr:rowOff>
    </xdr:to>
    <xdr:pic>
      <xdr:nvPicPr>
        <xdr:cNvPr id="2" name="Picture 1">
          <a:extLst>
            <a:ext uri="{FF2B5EF4-FFF2-40B4-BE49-F238E27FC236}">
              <a16:creationId xmlns:a16="http://schemas.microsoft.com/office/drawing/2014/main" id="{50B5DA21-0E24-4522-934A-DA3091A06605}"/>
            </a:ext>
          </a:extLst>
        </xdr:cNvPr>
        <xdr:cNvPicPr>
          <a:picLocks noChangeAspect="1"/>
        </xdr:cNvPicPr>
      </xdr:nvPicPr>
      <xdr:blipFill>
        <a:blip xmlns:r="http://schemas.openxmlformats.org/officeDocument/2006/relationships" r:embed="rId1"/>
        <a:stretch>
          <a:fillRect/>
        </a:stretch>
      </xdr:blipFill>
      <xdr:spPr>
        <a:xfrm>
          <a:off x="12817929" y="26479502"/>
          <a:ext cx="4915586" cy="2981741"/>
        </a:xfrm>
        <a:prstGeom prst="rect">
          <a:avLst/>
        </a:prstGeom>
      </xdr:spPr>
    </xdr:pic>
    <xdr:clientData/>
  </xdr:twoCellAnchor>
  <xdr:twoCellAnchor editAs="oneCell">
    <xdr:from>
      <xdr:col>8</xdr:col>
      <xdr:colOff>353786</xdr:colOff>
      <xdr:row>56</xdr:row>
      <xdr:rowOff>898072</xdr:rowOff>
    </xdr:from>
    <xdr:to>
      <xdr:col>16</xdr:col>
      <xdr:colOff>152140</xdr:colOff>
      <xdr:row>58</xdr:row>
      <xdr:rowOff>634200</xdr:rowOff>
    </xdr:to>
    <xdr:pic>
      <xdr:nvPicPr>
        <xdr:cNvPr id="6" name="Picture 5">
          <a:extLst>
            <a:ext uri="{FF2B5EF4-FFF2-40B4-BE49-F238E27FC236}">
              <a16:creationId xmlns:a16="http://schemas.microsoft.com/office/drawing/2014/main" id="{B78E5ACE-A8D1-4D94-9A2C-17A1F74049C9}"/>
            </a:ext>
          </a:extLst>
        </xdr:cNvPr>
        <xdr:cNvPicPr>
          <a:picLocks noChangeAspect="1"/>
        </xdr:cNvPicPr>
      </xdr:nvPicPr>
      <xdr:blipFill>
        <a:blip xmlns:r="http://schemas.openxmlformats.org/officeDocument/2006/relationships" r:embed="rId2"/>
        <a:stretch>
          <a:fillRect/>
        </a:stretch>
      </xdr:blipFill>
      <xdr:spPr>
        <a:xfrm>
          <a:off x="9715500" y="25690286"/>
          <a:ext cx="7200000" cy="770270"/>
        </a:xfrm>
        <a:prstGeom prst="rect">
          <a:avLst/>
        </a:prstGeom>
      </xdr:spPr>
    </xdr:pic>
    <xdr:clientData/>
  </xdr:twoCellAnchor>
  <xdr:twoCellAnchor editAs="oneCell">
    <xdr:from>
      <xdr:col>8</xdr:col>
      <xdr:colOff>367393</xdr:colOff>
      <xdr:row>53</xdr:row>
      <xdr:rowOff>462643</xdr:rowOff>
    </xdr:from>
    <xdr:to>
      <xdr:col>10</xdr:col>
      <xdr:colOff>678946</xdr:colOff>
      <xdr:row>56</xdr:row>
      <xdr:rowOff>931779</xdr:rowOff>
    </xdr:to>
    <xdr:pic>
      <xdr:nvPicPr>
        <xdr:cNvPr id="7" name="Picture 6">
          <a:extLst>
            <a:ext uri="{FF2B5EF4-FFF2-40B4-BE49-F238E27FC236}">
              <a16:creationId xmlns:a16="http://schemas.microsoft.com/office/drawing/2014/main" id="{90B689F4-1066-4FCC-948D-53846971C946}"/>
            </a:ext>
          </a:extLst>
        </xdr:cNvPr>
        <xdr:cNvPicPr>
          <a:picLocks noChangeAspect="1"/>
        </xdr:cNvPicPr>
      </xdr:nvPicPr>
      <xdr:blipFill>
        <a:blip xmlns:r="http://schemas.openxmlformats.org/officeDocument/2006/relationships" r:embed="rId3"/>
        <a:stretch>
          <a:fillRect/>
        </a:stretch>
      </xdr:blipFill>
      <xdr:spPr>
        <a:xfrm>
          <a:off x="9729107" y="23417893"/>
          <a:ext cx="3600000" cy="2197242"/>
        </a:xfrm>
        <a:prstGeom prst="rect">
          <a:avLst/>
        </a:prstGeom>
      </xdr:spPr>
    </xdr:pic>
    <xdr:clientData/>
  </xdr:twoCellAnchor>
  <xdr:twoCellAnchor editAs="oneCell">
    <xdr:from>
      <xdr:col>9</xdr:col>
      <xdr:colOff>24012</xdr:colOff>
      <xdr:row>109</xdr:row>
      <xdr:rowOff>16009</xdr:rowOff>
    </xdr:from>
    <xdr:to>
      <xdr:col>24</xdr:col>
      <xdr:colOff>581604</xdr:colOff>
      <xdr:row>124</xdr:row>
      <xdr:rowOff>83243</xdr:rowOff>
    </xdr:to>
    <xdr:pic>
      <xdr:nvPicPr>
        <xdr:cNvPr id="8" name="Picture 7">
          <a:extLst>
            <a:ext uri="{FF2B5EF4-FFF2-40B4-BE49-F238E27FC236}">
              <a16:creationId xmlns:a16="http://schemas.microsoft.com/office/drawing/2014/main" id="{CD61DEBC-0C30-40A8-836D-5FA596DF2918}"/>
            </a:ext>
          </a:extLst>
        </xdr:cNvPr>
        <xdr:cNvPicPr>
          <a:picLocks noChangeAspect="1"/>
        </xdr:cNvPicPr>
      </xdr:nvPicPr>
      <xdr:blipFill>
        <a:blip xmlns:r="http://schemas.openxmlformats.org/officeDocument/2006/relationships" r:embed="rId4"/>
        <a:stretch>
          <a:fillRect/>
        </a:stretch>
      </xdr:blipFill>
      <xdr:spPr>
        <a:xfrm>
          <a:off x="11689336" y="36244627"/>
          <a:ext cx="8657203" cy="3384175"/>
        </a:xfrm>
        <a:prstGeom prst="rect">
          <a:avLst/>
        </a:prstGeom>
      </xdr:spPr>
    </xdr:pic>
    <xdr:clientData/>
  </xdr:twoCellAnchor>
  <xdr:twoCellAnchor>
    <xdr:from>
      <xdr:col>8</xdr:col>
      <xdr:colOff>1482697</xdr:colOff>
      <xdr:row>216</xdr:row>
      <xdr:rowOff>59391</xdr:rowOff>
    </xdr:from>
    <xdr:to>
      <xdr:col>23</xdr:col>
      <xdr:colOff>264617</xdr:colOff>
      <xdr:row>249</xdr:row>
      <xdr:rowOff>118143</xdr:rowOff>
    </xdr:to>
    <xdr:grpSp>
      <xdr:nvGrpSpPr>
        <xdr:cNvPr id="9" name="Group 8">
          <a:extLst>
            <a:ext uri="{FF2B5EF4-FFF2-40B4-BE49-F238E27FC236}">
              <a16:creationId xmlns:a16="http://schemas.microsoft.com/office/drawing/2014/main" id="{12CF76C5-4B58-49CE-A950-374672C8B664}"/>
            </a:ext>
          </a:extLst>
        </xdr:cNvPr>
        <xdr:cNvGrpSpPr/>
      </xdr:nvGrpSpPr>
      <xdr:grpSpPr>
        <a:xfrm>
          <a:off x="11092862" y="54681344"/>
          <a:ext cx="8885143" cy="8915881"/>
          <a:chOff x="24498" y="-323850"/>
          <a:chExt cx="6641127" cy="6641101"/>
        </a:xfrm>
      </xdr:grpSpPr>
      <xdr:pic>
        <xdr:nvPicPr>
          <xdr:cNvPr id="10" name="Picture 9">
            <a:extLst>
              <a:ext uri="{FF2B5EF4-FFF2-40B4-BE49-F238E27FC236}">
                <a16:creationId xmlns:a16="http://schemas.microsoft.com/office/drawing/2014/main" id="{16D9DE35-E2AA-4411-8124-0598728A4A78}"/>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4498" y="-323850"/>
            <a:ext cx="3236625" cy="4320000"/>
          </a:xfrm>
          <a:prstGeom prst="rect">
            <a:avLst/>
          </a:prstGeom>
          <a:ln>
            <a:solidFill>
              <a:schemeClr val="tx1"/>
            </a:solidFill>
          </a:ln>
        </xdr:spPr>
      </xdr:pic>
      <xdr:pic>
        <xdr:nvPicPr>
          <xdr:cNvPr id="11" name="Picture 10">
            <a:extLst>
              <a:ext uri="{FF2B5EF4-FFF2-40B4-BE49-F238E27FC236}">
                <a16:creationId xmlns:a16="http://schemas.microsoft.com/office/drawing/2014/main" id="{4D029B7D-5A8B-49F4-AA05-94B5225CD68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429000" y="-323850"/>
            <a:ext cx="3236625" cy="4320000"/>
          </a:xfrm>
          <a:prstGeom prst="rect">
            <a:avLst/>
          </a:prstGeom>
          <a:ln>
            <a:solidFill>
              <a:schemeClr val="tx1"/>
            </a:solidFill>
          </a:ln>
        </xdr:spPr>
      </xdr:pic>
      <xdr:pic>
        <xdr:nvPicPr>
          <xdr:cNvPr id="12" name="Picture 11">
            <a:extLst>
              <a:ext uri="{FF2B5EF4-FFF2-40B4-BE49-F238E27FC236}">
                <a16:creationId xmlns:a16="http://schemas.microsoft.com/office/drawing/2014/main" id="{3F5CEE06-EE5F-4809-8418-BDDEF7CFB1BC}"/>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14133" y="4157251"/>
            <a:ext cx="2877333" cy="2160000"/>
          </a:xfrm>
          <a:prstGeom prst="rect">
            <a:avLst/>
          </a:prstGeom>
          <a:ln>
            <a:solidFill>
              <a:schemeClr val="tx1"/>
            </a:solidFill>
          </a:ln>
        </xdr:spPr>
      </xdr:pic>
      <xdr:pic>
        <xdr:nvPicPr>
          <xdr:cNvPr id="13" name="Picture 12">
            <a:extLst>
              <a:ext uri="{FF2B5EF4-FFF2-40B4-BE49-F238E27FC236}">
                <a16:creationId xmlns:a16="http://schemas.microsoft.com/office/drawing/2014/main" id="{0A17B919-D523-478B-A127-4A20D1B9AF78}"/>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927604" y="4157251"/>
            <a:ext cx="1618312" cy="2160000"/>
          </a:xfrm>
          <a:prstGeom prst="rect">
            <a:avLst/>
          </a:prstGeom>
          <a:ln>
            <a:solidFill>
              <a:schemeClr val="tx1"/>
            </a:solidFill>
          </a:ln>
        </xdr:spPr>
      </xdr:pic>
      <xdr:pic>
        <xdr:nvPicPr>
          <xdr:cNvPr id="14" name="Picture 13">
            <a:extLst>
              <a:ext uri="{FF2B5EF4-FFF2-40B4-BE49-F238E27FC236}">
                <a16:creationId xmlns:a16="http://schemas.microsoft.com/office/drawing/2014/main" id="{178BC42A-A0A5-4FD3-8AFD-B4108DD568E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59682" y="4157251"/>
            <a:ext cx="1618313" cy="2160000"/>
          </a:xfrm>
          <a:prstGeom prst="rect">
            <a:avLst/>
          </a:prstGeom>
          <a:ln>
            <a:solidFill>
              <a:schemeClr val="tx1"/>
            </a:solidFill>
          </a:ln>
        </xdr:spPr>
      </xdr:pic>
    </xdr:grpSp>
    <xdr:clientData/>
  </xdr:twoCellAnchor>
  <xdr:twoCellAnchor editAs="oneCell">
    <xdr:from>
      <xdr:col>8</xdr:col>
      <xdr:colOff>204107</xdr:colOff>
      <xdr:row>46</xdr:row>
      <xdr:rowOff>476250</xdr:rowOff>
    </xdr:from>
    <xdr:to>
      <xdr:col>22</xdr:col>
      <xdr:colOff>434668</xdr:colOff>
      <xdr:row>53</xdr:row>
      <xdr:rowOff>265574</xdr:rowOff>
    </xdr:to>
    <xdr:pic>
      <xdr:nvPicPr>
        <xdr:cNvPr id="3" name="Picture 2">
          <a:extLst>
            <a:ext uri="{FF2B5EF4-FFF2-40B4-BE49-F238E27FC236}">
              <a16:creationId xmlns:a16="http://schemas.microsoft.com/office/drawing/2014/main" id="{CB808BC9-7B4D-4268-9AFC-849DA3685CA6}"/>
            </a:ext>
          </a:extLst>
        </xdr:cNvPr>
        <xdr:cNvPicPr>
          <a:picLocks noChangeAspect="1"/>
        </xdr:cNvPicPr>
      </xdr:nvPicPr>
      <xdr:blipFill>
        <a:blip xmlns:r="http://schemas.openxmlformats.org/officeDocument/2006/relationships" r:embed="rId10"/>
        <a:stretch>
          <a:fillRect/>
        </a:stretch>
      </xdr:blipFill>
      <xdr:spPr>
        <a:xfrm>
          <a:off x="9565821" y="21553714"/>
          <a:ext cx="9469171" cy="1667108"/>
        </a:xfrm>
        <a:prstGeom prst="rect">
          <a:avLst/>
        </a:prstGeom>
      </xdr:spPr>
    </xdr:pic>
    <xdr:clientData/>
  </xdr:twoCellAnchor>
  <xdr:twoCellAnchor editAs="oneCell">
    <xdr:from>
      <xdr:col>8</xdr:col>
      <xdr:colOff>258536</xdr:colOff>
      <xdr:row>37</xdr:row>
      <xdr:rowOff>204107</xdr:rowOff>
    </xdr:from>
    <xdr:to>
      <xdr:col>15</xdr:col>
      <xdr:colOff>610114</xdr:colOff>
      <xdr:row>46</xdr:row>
      <xdr:rowOff>374600</xdr:rowOff>
    </xdr:to>
    <xdr:pic>
      <xdr:nvPicPr>
        <xdr:cNvPr id="4" name="Picture 3">
          <a:extLst>
            <a:ext uri="{FF2B5EF4-FFF2-40B4-BE49-F238E27FC236}">
              <a16:creationId xmlns:a16="http://schemas.microsoft.com/office/drawing/2014/main" id="{3769D9A0-C266-4405-89F5-ABAFF62BB8D3}"/>
            </a:ext>
          </a:extLst>
        </xdr:cNvPr>
        <xdr:cNvPicPr>
          <a:picLocks noChangeAspect="1"/>
        </xdr:cNvPicPr>
      </xdr:nvPicPr>
      <xdr:blipFill>
        <a:blip xmlns:r="http://schemas.openxmlformats.org/officeDocument/2006/relationships" r:embed="rId11"/>
        <a:stretch>
          <a:fillRect/>
        </a:stretch>
      </xdr:blipFill>
      <xdr:spPr>
        <a:xfrm>
          <a:off x="9620250" y="18546536"/>
          <a:ext cx="7125694" cy="2905530"/>
        </a:xfrm>
        <a:prstGeom prst="rect">
          <a:avLst/>
        </a:prstGeom>
      </xdr:spPr>
    </xdr:pic>
    <xdr:clientData/>
  </xdr:twoCellAnchor>
  <xdr:twoCellAnchor>
    <xdr:from>
      <xdr:col>1</xdr:col>
      <xdr:colOff>879983</xdr:colOff>
      <xdr:row>299</xdr:row>
      <xdr:rowOff>215153</xdr:rowOff>
    </xdr:from>
    <xdr:to>
      <xdr:col>6</xdr:col>
      <xdr:colOff>537882</xdr:colOff>
      <xdr:row>324</xdr:row>
      <xdr:rowOff>0</xdr:rowOff>
    </xdr:to>
    <xdr:grpSp>
      <xdr:nvGrpSpPr>
        <xdr:cNvPr id="57" name="Group 56">
          <a:extLst>
            <a:ext uri="{FF2B5EF4-FFF2-40B4-BE49-F238E27FC236}">
              <a16:creationId xmlns:a16="http://schemas.microsoft.com/office/drawing/2014/main" id="{CBEFE01B-08D9-9420-CD1D-C50DD7518141}"/>
            </a:ext>
          </a:extLst>
        </xdr:cNvPr>
        <xdr:cNvGrpSpPr/>
      </xdr:nvGrpSpPr>
      <xdr:grpSpPr>
        <a:xfrm>
          <a:off x="2081254" y="77141294"/>
          <a:ext cx="5664252" cy="6508377"/>
          <a:chOff x="1991607" y="77101432"/>
          <a:chExt cx="5924070" cy="7136275"/>
        </a:xfrm>
      </xdr:grpSpPr>
      <xdr:grpSp>
        <xdr:nvGrpSpPr>
          <xdr:cNvPr id="15" name="Group 14">
            <a:extLst>
              <a:ext uri="{FF2B5EF4-FFF2-40B4-BE49-F238E27FC236}">
                <a16:creationId xmlns:a16="http://schemas.microsoft.com/office/drawing/2014/main" id="{C25582AF-6A76-4024-87F7-115B952DDFBC}"/>
              </a:ext>
            </a:extLst>
          </xdr:cNvPr>
          <xdr:cNvGrpSpPr/>
        </xdr:nvGrpSpPr>
        <xdr:grpSpPr>
          <a:xfrm>
            <a:off x="1991607" y="77101432"/>
            <a:ext cx="5924070" cy="3461269"/>
            <a:chOff x="990600" y="1285768"/>
            <a:chExt cx="4876800" cy="2555982"/>
          </a:xfrm>
        </xdr:grpSpPr>
        <xdr:pic>
          <xdr:nvPicPr>
            <xdr:cNvPr id="17" name="Picture 16">
              <a:extLst>
                <a:ext uri="{FF2B5EF4-FFF2-40B4-BE49-F238E27FC236}">
                  <a16:creationId xmlns:a16="http://schemas.microsoft.com/office/drawing/2014/main" id="{0B9A6A09-50DD-4459-B551-334C53B678A5}"/>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990600" y="1289050"/>
              <a:ext cx="4876800" cy="2552700"/>
            </a:xfrm>
            <a:prstGeom prst="rect">
              <a:avLst/>
            </a:prstGeom>
            <a:ln>
              <a:solidFill>
                <a:schemeClr val="tx1"/>
              </a:solidFill>
            </a:ln>
          </xdr:spPr>
        </xdr:pic>
        <xdr:sp macro="" textlink="">
          <xdr:nvSpPr>
            <xdr:cNvPr id="18" name="Rectangle 17">
              <a:extLst>
                <a:ext uri="{FF2B5EF4-FFF2-40B4-BE49-F238E27FC236}">
                  <a16:creationId xmlns:a16="http://schemas.microsoft.com/office/drawing/2014/main" id="{9BD479B5-7C7F-4308-93D2-80BECC3D15EE}"/>
                </a:ext>
              </a:extLst>
            </xdr:cNvPr>
            <xdr:cNvSpPr/>
          </xdr:nvSpPr>
          <xdr:spPr>
            <a:xfrm rot="21017975">
              <a:off x="2345688" y="2280602"/>
              <a:ext cx="350872" cy="345133"/>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9" name="TextBox 15">
              <a:extLst>
                <a:ext uri="{FF2B5EF4-FFF2-40B4-BE49-F238E27FC236}">
                  <a16:creationId xmlns:a16="http://schemas.microsoft.com/office/drawing/2014/main" id="{A1F33348-51B2-4ECA-AC7C-3A1E9895D347}"/>
                </a:ext>
              </a:extLst>
            </xdr:cNvPr>
            <xdr:cNvSpPr txBox="1"/>
          </xdr:nvSpPr>
          <xdr:spPr>
            <a:xfrm>
              <a:off x="1526301" y="2694410"/>
              <a:ext cx="805029" cy="338554"/>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FF00"/>
                  </a:solidFill>
                </a:rPr>
                <a:t>Wing H</a:t>
              </a:r>
              <a:endParaRPr lang="en-IN" sz="1600" b="1">
                <a:solidFill>
                  <a:srgbClr val="FFFF00"/>
                </a:solidFill>
              </a:endParaRPr>
            </a:p>
          </xdr:txBody>
        </xdr:sp>
        <xdr:sp macro="" textlink="">
          <xdr:nvSpPr>
            <xdr:cNvPr id="20" name="TextBox 16">
              <a:extLst>
                <a:ext uri="{FF2B5EF4-FFF2-40B4-BE49-F238E27FC236}">
                  <a16:creationId xmlns:a16="http://schemas.microsoft.com/office/drawing/2014/main" id="{71B592A3-D7A2-4AD6-802E-E3EE5DB17833}"/>
                </a:ext>
              </a:extLst>
            </xdr:cNvPr>
            <xdr:cNvSpPr txBox="1"/>
          </xdr:nvSpPr>
          <xdr:spPr>
            <a:xfrm>
              <a:off x="1738279" y="2290164"/>
              <a:ext cx="607859"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solidFill>
                    <a:srgbClr val="FFFF00"/>
                  </a:solidFill>
                </a:rPr>
                <a:t>Wing A</a:t>
              </a:r>
              <a:endParaRPr lang="en-IN" sz="1050" b="1">
                <a:solidFill>
                  <a:srgbClr val="FFFF00"/>
                </a:solidFill>
              </a:endParaRPr>
            </a:p>
          </xdr:txBody>
        </xdr:sp>
        <xdr:sp macro="" textlink="">
          <xdr:nvSpPr>
            <xdr:cNvPr id="21" name="Rectangle 20">
              <a:extLst>
                <a:ext uri="{FF2B5EF4-FFF2-40B4-BE49-F238E27FC236}">
                  <a16:creationId xmlns:a16="http://schemas.microsoft.com/office/drawing/2014/main" id="{3B1D5ED1-A429-4619-92CA-B481F1C8AD6F}"/>
                </a:ext>
              </a:extLst>
            </xdr:cNvPr>
            <xdr:cNvSpPr/>
          </xdr:nvSpPr>
          <xdr:spPr>
            <a:xfrm rot="21017975">
              <a:off x="2413817" y="2622599"/>
              <a:ext cx="462434" cy="414674"/>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2" name="Rectangle 21">
              <a:extLst>
                <a:ext uri="{FF2B5EF4-FFF2-40B4-BE49-F238E27FC236}">
                  <a16:creationId xmlns:a16="http://schemas.microsoft.com/office/drawing/2014/main" id="{260B9699-D44F-4151-84BE-5661FF5774BA}"/>
                </a:ext>
              </a:extLst>
            </xdr:cNvPr>
            <xdr:cNvSpPr/>
          </xdr:nvSpPr>
          <xdr:spPr>
            <a:xfrm rot="21017975">
              <a:off x="2295116" y="1837838"/>
              <a:ext cx="350872" cy="414674"/>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3" name="Rectangle 22">
              <a:extLst>
                <a:ext uri="{FF2B5EF4-FFF2-40B4-BE49-F238E27FC236}">
                  <a16:creationId xmlns:a16="http://schemas.microsoft.com/office/drawing/2014/main" id="{D02B41CB-5779-4D8D-8AA8-F20CE7C09D0C}"/>
                </a:ext>
              </a:extLst>
            </xdr:cNvPr>
            <xdr:cNvSpPr/>
          </xdr:nvSpPr>
          <xdr:spPr>
            <a:xfrm rot="21017975">
              <a:off x="2242178" y="1361858"/>
              <a:ext cx="350872" cy="456141"/>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4" name="Rectangle 23">
              <a:extLst>
                <a:ext uri="{FF2B5EF4-FFF2-40B4-BE49-F238E27FC236}">
                  <a16:creationId xmlns:a16="http://schemas.microsoft.com/office/drawing/2014/main" id="{4A4CDE19-18BA-46E6-90E5-4CA18E9F31D8}"/>
                </a:ext>
              </a:extLst>
            </xdr:cNvPr>
            <xdr:cNvSpPr/>
          </xdr:nvSpPr>
          <xdr:spPr>
            <a:xfrm rot="904424">
              <a:off x="3024846" y="2251897"/>
              <a:ext cx="350872" cy="391290"/>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5" name="Rectangle 24">
              <a:extLst>
                <a:ext uri="{FF2B5EF4-FFF2-40B4-BE49-F238E27FC236}">
                  <a16:creationId xmlns:a16="http://schemas.microsoft.com/office/drawing/2014/main" id="{FED18D06-CF38-4D72-9BD6-446372614309}"/>
                </a:ext>
              </a:extLst>
            </xdr:cNvPr>
            <xdr:cNvSpPr/>
          </xdr:nvSpPr>
          <xdr:spPr>
            <a:xfrm rot="20796476">
              <a:off x="2920914" y="2631997"/>
              <a:ext cx="350872" cy="414674"/>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6" name="Rectangle 25">
              <a:extLst>
                <a:ext uri="{FF2B5EF4-FFF2-40B4-BE49-F238E27FC236}">
                  <a16:creationId xmlns:a16="http://schemas.microsoft.com/office/drawing/2014/main" id="{B8C22C88-CE9E-4039-B87E-887F88B8F463}"/>
                </a:ext>
              </a:extLst>
            </xdr:cNvPr>
            <xdr:cNvSpPr/>
          </xdr:nvSpPr>
          <xdr:spPr>
            <a:xfrm rot="964650">
              <a:off x="3008054" y="1832966"/>
              <a:ext cx="350872" cy="402041"/>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7" name="Rectangle 26">
              <a:extLst>
                <a:ext uri="{FF2B5EF4-FFF2-40B4-BE49-F238E27FC236}">
                  <a16:creationId xmlns:a16="http://schemas.microsoft.com/office/drawing/2014/main" id="{4256159A-D50F-4F86-BDB1-2FA1C111DE88}"/>
                </a:ext>
              </a:extLst>
            </xdr:cNvPr>
            <xdr:cNvSpPr/>
          </xdr:nvSpPr>
          <xdr:spPr>
            <a:xfrm rot="838740">
              <a:off x="3056634" y="1465285"/>
              <a:ext cx="350872" cy="343989"/>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8" name="TextBox 25">
              <a:extLst>
                <a:ext uri="{FF2B5EF4-FFF2-40B4-BE49-F238E27FC236}">
                  <a16:creationId xmlns:a16="http://schemas.microsoft.com/office/drawing/2014/main" id="{A646D7CC-07C2-49A1-B115-BE62929423F1}"/>
                </a:ext>
              </a:extLst>
            </xdr:cNvPr>
            <xdr:cNvSpPr txBox="1"/>
          </xdr:nvSpPr>
          <xdr:spPr>
            <a:xfrm>
              <a:off x="1702317" y="1913196"/>
              <a:ext cx="601447"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solidFill>
                    <a:srgbClr val="FFFF00"/>
                  </a:solidFill>
                </a:rPr>
                <a:t>Wing B</a:t>
              </a:r>
              <a:endParaRPr lang="en-IN" sz="1050" b="1">
                <a:solidFill>
                  <a:srgbClr val="FFFF00"/>
                </a:solidFill>
              </a:endParaRPr>
            </a:p>
          </xdr:txBody>
        </xdr:sp>
        <xdr:sp macro="" textlink="">
          <xdr:nvSpPr>
            <xdr:cNvPr id="29" name="TextBox 26">
              <a:extLst>
                <a:ext uri="{FF2B5EF4-FFF2-40B4-BE49-F238E27FC236}">
                  <a16:creationId xmlns:a16="http://schemas.microsoft.com/office/drawing/2014/main" id="{7F0C6BF8-91F7-4476-985D-DEFF44B7A3EB}"/>
                </a:ext>
              </a:extLst>
            </xdr:cNvPr>
            <xdr:cNvSpPr txBox="1"/>
          </xdr:nvSpPr>
          <xdr:spPr>
            <a:xfrm>
              <a:off x="1663484" y="1510989"/>
              <a:ext cx="598241"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solidFill>
                    <a:srgbClr val="FFFF00"/>
                  </a:solidFill>
                </a:rPr>
                <a:t>Wing C</a:t>
              </a:r>
              <a:endParaRPr lang="en-IN" sz="1050" b="1">
                <a:solidFill>
                  <a:srgbClr val="FFFF00"/>
                </a:solidFill>
              </a:endParaRPr>
            </a:p>
          </xdr:txBody>
        </xdr:sp>
        <xdr:sp macro="" textlink="">
          <xdr:nvSpPr>
            <xdr:cNvPr id="30" name="TextBox 27">
              <a:extLst>
                <a:ext uri="{FF2B5EF4-FFF2-40B4-BE49-F238E27FC236}">
                  <a16:creationId xmlns:a16="http://schemas.microsoft.com/office/drawing/2014/main" id="{6855668C-0C18-4A81-832C-11BC6A280FB7}"/>
                </a:ext>
              </a:extLst>
            </xdr:cNvPr>
            <xdr:cNvSpPr txBox="1"/>
          </xdr:nvSpPr>
          <xdr:spPr>
            <a:xfrm>
              <a:off x="3240607" y="2682080"/>
              <a:ext cx="612668"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solidFill>
                    <a:srgbClr val="FFFF00"/>
                  </a:solidFill>
                </a:rPr>
                <a:t>Wing G</a:t>
              </a:r>
              <a:endParaRPr lang="en-IN" sz="1050" b="1">
                <a:solidFill>
                  <a:srgbClr val="FFFF00"/>
                </a:solidFill>
              </a:endParaRPr>
            </a:p>
          </xdr:txBody>
        </xdr:sp>
        <xdr:sp macro="" textlink="">
          <xdr:nvSpPr>
            <xdr:cNvPr id="31" name="TextBox 28">
              <a:extLst>
                <a:ext uri="{FF2B5EF4-FFF2-40B4-BE49-F238E27FC236}">
                  <a16:creationId xmlns:a16="http://schemas.microsoft.com/office/drawing/2014/main" id="{65A9E842-8482-4B00-97D2-9CBD00DF5D2C}"/>
                </a:ext>
              </a:extLst>
            </xdr:cNvPr>
            <xdr:cNvSpPr txBox="1"/>
          </xdr:nvSpPr>
          <xdr:spPr>
            <a:xfrm>
              <a:off x="3210957" y="1285768"/>
              <a:ext cx="611065"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solidFill>
                    <a:srgbClr val="FFFF00"/>
                  </a:solidFill>
                </a:rPr>
                <a:t>Wing D</a:t>
              </a:r>
              <a:endParaRPr lang="en-IN" sz="1050" b="1">
                <a:solidFill>
                  <a:srgbClr val="FFFF00"/>
                </a:solidFill>
              </a:endParaRPr>
            </a:p>
          </xdr:txBody>
        </xdr:sp>
        <xdr:sp macro="" textlink="">
          <xdr:nvSpPr>
            <xdr:cNvPr id="32" name="TextBox 29">
              <a:extLst>
                <a:ext uri="{FF2B5EF4-FFF2-40B4-BE49-F238E27FC236}">
                  <a16:creationId xmlns:a16="http://schemas.microsoft.com/office/drawing/2014/main" id="{CD41114F-391E-4A13-848E-941FD92716C1}"/>
                </a:ext>
              </a:extLst>
            </xdr:cNvPr>
            <xdr:cNvSpPr txBox="1"/>
          </xdr:nvSpPr>
          <xdr:spPr>
            <a:xfrm>
              <a:off x="3288021" y="1892972"/>
              <a:ext cx="509279" cy="41549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solidFill>
                    <a:srgbClr val="FFFF00"/>
                  </a:solidFill>
                </a:rPr>
                <a:t>Wing E</a:t>
              </a:r>
              <a:endParaRPr lang="en-IN" sz="1050" b="1">
                <a:solidFill>
                  <a:srgbClr val="FFFF00"/>
                </a:solidFill>
              </a:endParaRPr>
            </a:p>
          </xdr:txBody>
        </xdr:sp>
        <xdr:sp macro="" textlink="">
          <xdr:nvSpPr>
            <xdr:cNvPr id="33" name="TextBox 30">
              <a:extLst>
                <a:ext uri="{FF2B5EF4-FFF2-40B4-BE49-F238E27FC236}">
                  <a16:creationId xmlns:a16="http://schemas.microsoft.com/office/drawing/2014/main" id="{CEAFA583-CAAC-4F48-82CF-CCF35FCBE7DC}"/>
                </a:ext>
              </a:extLst>
            </xdr:cNvPr>
            <xdr:cNvSpPr txBox="1"/>
          </xdr:nvSpPr>
          <xdr:spPr>
            <a:xfrm>
              <a:off x="3242219" y="2460998"/>
              <a:ext cx="591829"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solidFill>
                    <a:srgbClr val="FFFF00"/>
                  </a:solidFill>
                </a:rPr>
                <a:t>Wing F</a:t>
              </a:r>
              <a:endParaRPr lang="en-IN" sz="1050" b="1">
                <a:solidFill>
                  <a:srgbClr val="FFFF00"/>
                </a:solidFill>
              </a:endParaRPr>
            </a:p>
          </xdr:txBody>
        </xdr:sp>
        <xdr:sp macro="" textlink="">
          <xdr:nvSpPr>
            <xdr:cNvPr id="34" name="Rectangle 33">
              <a:extLst>
                <a:ext uri="{FF2B5EF4-FFF2-40B4-BE49-F238E27FC236}">
                  <a16:creationId xmlns:a16="http://schemas.microsoft.com/office/drawing/2014/main" id="{A681E412-3E07-44BE-B47B-82470C31FE3A}"/>
                </a:ext>
              </a:extLst>
            </xdr:cNvPr>
            <xdr:cNvSpPr/>
          </xdr:nvSpPr>
          <xdr:spPr>
            <a:xfrm>
              <a:off x="1526301" y="1330333"/>
              <a:ext cx="2207499" cy="1876417"/>
            </a:xfrm>
            <a:prstGeom prst="rect">
              <a:avLst/>
            </a:prstGeom>
            <a:no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5" name="TextBox 32">
              <a:extLst>
                <a:ext uri="{FF2B5EF4-FFF2-40B4-BE49-F238E27FC236}">
                  <a16:creationId xmlns:a16="http://schemas.microsoft.com/office/drawing/2014/main" id="{FF2E1C54-405F-4E14-A493-47A9E162DEAC}"/>
                </a:ext>
              </a:extLst>
            </xdr:cNvPr>
            <xdr:cNvSpPr txBox="1"/>
          </xdr:nvSpPr>
          <xdr:spPr>
            <a:xfrm>
              <a:off x="1406826" y="3136676"/>
              <a:ext cx="870751"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00B0F0"/>
                  </a:solidFill>
                </a:rPr>
                <a:t>Immensa</a:t>
              </a:r>
              <a:endParaRPr lang="en-IN" sz="1400" b="1">
                <a:solidFill>
                  <a:srgbClr val="00B0F0"/>
                </a:solidFill>
              </a:endParaRPr>
            </a:p>
          </xdr:txBody>
        </xdr:sp>
      </xdr:grpSp>
      <xdr:pic>
        <xdr:nvPicPr>
          <xdr:cNvPr id="16" name="Picture 15">
            <a:extLst>
              <a:ext uri="{FF2B5EF4-FFF2-40B4-BE49-F238E27FC236}">
                <a16:creationId xmlns:a16="http://schemas.microsoft.com/office/drawing/2014/main" id="{2483B8D5-A381-4456-8AE9-786B111C0BA5}"/>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3311143" y="80786842"/>
            <a:ext cx="3321337" cy="3450865"/>
          </a:xfrm>
          <a:prstGeom prst="rect">
            <a:avLst/>
          </a:prstGeom>
          <a:ln>
            <a:solidFill>
              <a:schemeClr val="tx1"/>
            </a:solidFill>
          </a:ln>
        </xdr:spPr>
      </xdr:pic>
    </xdr:grpSp>
    <xdr:clientData/>
  </xdr:twoCellAnchor>
  <xdr:twoCellAnchor>
    <xdr:from>
      <xdr:col>0</xdr:col>
      <xdr:colOff>503464</xdr:colOff>
      <xdr:row>257</xdr:row>
      <xdr:rowOff>13607</xdr:rowOff>
    </xdr:from>
    <xdr:to>
      <xdr:col>7</xdr:col>
      <xdr:colOff>680357</xdr:colOff>
      <xdr:row>284</xdr:row>
      <xdr:rowOff>149679</xdr:rowOff>
    </xdr:to>
    <xdr:grpSp>
      <xdr:nvGrpSpPr>
        <xdr:cNvPr id="36" name="Group 35">
          <a:extLst>
            <a:ext uri="{FF2B5EF4-FFF2-40B4-BE49-F238E27FC236}">
              <a16:creationId xmlns:a16="http://schemas.microsoft.com/office/drawing/2014/main" id="{A4825790-47E6-4C8F-B8C2-72BEB84B4E81}"/>
            </a:ext>
          </a:extLst>
        </xdr:cNvPr>
        <xdr:cNvGrpSpPr/>
      </xdr:nvGrpSpPr>
      <xdr:grpSpPr>
        <a:xfrm>
          <a:off x="503464" y="65644219"/>
          <a:ext cx="8585787" cy="7397484"/>
          <a:chOff x="1161733" y="2042759"/>
          <a:chExt cx="4534533" cy="5058481"/>
        </a:xfrm>
      </xdr:grpSpPr>
      <xdr:pic>
        <xdr:nvPicPr>
          <xdr:cNvPr id="37" name="Picture 36">
            <a:extLst>
              <a:ext uri="{FF2B5EF4-FFF2-40B4-BE49-F238E27FC236}">
                <a16:creationId xmlns:a16="http://schemas.microsoft.com/office/drawing/2014/main" id="{468D3B97-4DE6-46C2-97BF-82E5A2D94EB5}"/>
              </a:ext>
            </a:extLst>
          </xdr:cNvPr>
          <xdr:cNvPicPr>
            <a:picLocks noChangeAspect="1"/>
          </xdr:cNvPicPr>
        </xdr:nvPicPr>
        <xdr:blipFill>
          <a:blip xmlns:r="http://schemas.openxmlformats.org/officeDocument/2006/relationships" r:embed="rId14"/>
          <a:stretch>
            <a:fillRect/>
          </a:stretch>
        </xdr:blipFill>
        <xdr:spPr>
          <a:xfrm>
            <a:off x="1161733" y="2042759"/>
            <a:ext cx="4534533" cy="5058481"/>
          </a:xfrm>
          <a:prstGeom prst="rect">
            <a:avLst/>
          </a:prstGeom>
          <a:ln>
            <a:solidFill>
              <a:schemeClr val="tx1"/>
            </a:solidFill>
          </a:ln>
        </xdr:spPr>
      </xdr:pic>
      <xdr:sp macro="" textlink="">
        <xdr:nvSpPr>
          <xdr:cNvPr id="38" name="Rectangle 37">
            <a:extLst>
              <a:ext uri="{FF2B5EF4-FFF2-40B4-BE49-F238E27FC236}">
                <a16:creationId xmlns:a16="http://schemas.microsoft.com/office/drawing/2014/main" id="{9F5239B1-4775-4A16-8A3F-459BFB63B238}"/>
              </a:ext>
            </a:extLst>
          </xdr:cNvPr>
          <xdr:cNvSpPr/>
        </xdr:nvSpPr>
        <xdr:spPr>
          <a:xfrm rot="2794837">
            <a:off x="3486102" y="2899104"/>
            <a:ext cx="1133932" cy="1272195"/>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9" name="Rectangle 38">
            <a:extLst>
              <a:ext uri="{FF2B5EF4-FFF2-40B4-BE49-F238E27FC236}">
                <a16:creationId xmlns:a16="http://schemas.microsoft.com/office/drawing/2014/main" id="{078C87C4-38A9-4822-B1FC-6852327FB77F}"/>
              </a:ext>
            </a:extLst>
          </xdr:cNvPr>
          <xdr:cNvSpPr/>
        </xdr:nvSpPr>
        <xdr:spPr>
          <a:xfrm rot="2537342">
            <a:off x="3620466" y="3719058"/>
            <a:ext cx="245635" cy="19224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0" name="TextBox 39">
            <a:extLst>
              <a:ext uri="{FF2B5EF4-FFF2-40B4-BE49-F238E27FC236}">
                <a16:creationId xmlns:a16="http://schemas.microsoft.com/office/drawing/2014/main" id="{EB2A16E4-51A8-4389-80F7-26A49E95EF4D}"/>
              </a:ext>
            </a:extLst>
          </xdr:cNvPr>
          <xdr:cNvSpPr txBox="1"/>
        </xdr:nvSpPr>
        <xdr:spPr>
          <a:xfrm>
            <a:off x="3372370" y="3560130"/>
            <a:ext cx="612668" cy="2616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t>Wing H</a:t>
            </a:r>
            <a:endParaRPr lang="en-IN" sz="1050" b="1"/>
          </a:p>
        </xdr:txBody>
      </xdr:sp>
      <xdr:sp macro="" textlink="">
        <xdr:nvSpPr>
          <xdr:cNvPr id="41" name="TextBox 40">
            <a:extLst>
              <a:ext uri="{FF2B5EF4-FFF2-40B4-BE49-F238E27FC236}">
                <a16:creationId xmlns:a16="http://schemas.microsoft.com/office/drawing/2014/main" id="{45D37554-FC13-42F3-B832-5D8A62AE5B4D}"/>
              </a:ext>
            </a:extLst>
          </xdr:cNvPr>
          <xdr:cNvSpPr txBox="1"/>
        </xdr:nvSpPr>
        <xdr:spPr>
          <a:xfrm>
            <a:off x="4511570" y="2732057"/>
            <a:ext cx="106471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Immensa</a:t>
            </a:r>
            <a:endParaRPr lang="en-IN" b="1">
              <a:solidFill>
                <a:srgbClr val="FFFF00"/>
              </a:solidFill>
            </a:endParaRPr>
          </a:p>
        </xdr:txBody>
      </xdr:sp>
      <xdr:sp macro="" textlink="">
        <xdr:nvSpPr>
          <xdr:cNvPr id="42" name="TextBox 41">
            <a:extLst>
              <a:ext uri="{FF2B5EF4-FFF2-40B4-BE49-F238E27FC236}">
                <a16:creationId xmlns:a16="http://schemas.microsoft.com/office/drawing/2014/main" id="{16F55138-8B0D-4DBB-8EB8-2F62E2D36B61}"/>
              </a:ext>
            </a:extLst>
          </xdr:cNvPr>
          <xdr:cNvSpPr txBox="1"/>
        </xdr:nvSpPr>
        <xdr:spPr>
          <a:xfrm>
            <a:off x="3683805" y="3373108"/>
            <a:ext cx="266420" cy="18805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t>A</a:t>
            </a:r>
            <a:endParaRPr lang="en-IN" sz="1100" b="1"/>
          </a:p>
        </xdr:txBody>
      </xdr:sp>
      <xdr:sp macro="" textlink="">
        <xdr:nvSpPr>
          <xdr:cNvPr id="43" name="TextBox 42">
            <a:extLst>
              <a:ext uri="{FF2B5EF4-FFF2-40B4-BE49-F238E27FC236}">
                <a16:creationId xmlns:a16="http://schemas.microsoft.com/office/drawing/2014/main" id="{3EA7FCA0-1DE4-42BC-A6C9-23B093668266}"/>
              </a:ext>
            </a:extLst>
          </xdr:cNvPr>
          <xdr:cNvSpPr txBox="1"/>
        </xdr:nvSpPr>
        <xdr:spPr>
          <a:xfrm>
            <a:off x="3864810" y="3145625"/>
            <a:ext cx="266420" cy="18805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t>B</a:t>
            </a:r>
            <a:endParaRPr lang="en-IN" sz="1100" b="1"/>
          </a:p>
        </xdr:txBody>
      </xdr:sp>
      <xdr:sp macro="" textlink="">
        <xdr:nvSpPr>
          <xdr:cNvPr id="44" name="TextBox 43">
            <a:extLst>
              <a:ext uri="{FF2B5EF4-FFF2-40B4-BE49-F238E27FC236}">
                <a16:creationId xmlns:a16="http://schemas.microsoft.com/office/drawing/2014/main" id="{ACA1063C-E335-4155-8924-A61E8B3625B4}"/>
              </a:ext>
            </a:extLst>
          </xdr:cNvPr>
          <xdr:cNvSpPr txBox="1"/>
        </xdr:nvSpPr>
        <xdr:spPr>
          <a:xfrm>
            <a:off x="4080461" y="2892311"/>
            <a:ext cx="266420" cy="18805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t>C</a:t>
            </a:r>
            <a:endParaRPr lang="en-IN" sz="1100" b="1"/>
          </a:p>
        </xdr:txBody>
      </xdr:sp>
      <xdr:sp macro="" textlink="">
        <xdr:nvSpPr>
          <xdr:cNvPr id="45" name="TextBox 44">
            <a:extLst>
              <a:ext uri="{FF2B5EF4-FFF2-40B4-BE49-F238E27FC236}">
                <a16:creationId xmlns:a16="http://schemas.microsoft.com/office/drawing/2014/main" id="{C62A3E3E-DA7F-4B60-9700-C9D69A6F8694}"/>
              </a:ext>
            </a:extLst>
          </xdr:cNvPr>
          <xdr:cNvSpPr txBox="1"/>
        </xdr:nvSpPr>
        <xdr:spPr>
          <a:xfrm>
            <a:off x="3994975" y="3992293"/>
            <a:ext cx="274434" cy="18805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t>G</a:t>
            </a:r>
            <a:endParaRPr lang="en-IN" sz="1100" b="1"/>
          </a:p>
        </xdr:txBody>
      </xdr:sp>
      <xdr:sp macro="" textlink="">
        <xdr:nvSpPr>
          <xdr:cNvPr id="46" name="TextBox 45">
            <a:extLst>
              <a:ext uri="{FF2B5EF4-FFF2-40B4-BE49-F238E27FC236}">
                <a16:creationId xmlns:a16="http://schemas.microsoft.com/office/drawing/2014/main" id="{079619E7-2408-41A3-8C45-42A6C472E385}"/>
              </a:ext>
            </a:extLst>
          </xdr:cNvPr>
          <xdr:cNvSpPr txBox="1"/>
        </xdr:nvSpPr>
        <xdr:spPr>
          <a:xfrm>
            <a:off x="4630354" y="3361621"/>
            <a:ext cx="274434" cy="18805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t>D</a:t>
            </a:r>
            <a:endParaRPr lang="en-IN" sz="1100" b="1"/>
          </a:p>
        </xdr:txBody>
      </xdr:sp>
      <xdr:sp macro="" textlink="">
        <xdr:nvSpPr>
          <xdr:cNvPr id="47" name="TextBox 46">
            <a:extLst>
              <a:ext uri="{FF2B5EF4-FFF2-40B4-BE49-F238E27FC236}">
                <a16:creationId xmlns:a16="http://schemas.microsoft.com/office/drawing/2014/main" id="{4E5B9DAB-8BDE-4224-8630-30AC153968AE}"/>
              </a:ext>
            </a:extLst>
          </xdr:cNvPr>
          <xdr:cNvSpPr txBox="1"/>
        </xdr:nvSpPr>
        <xdr:spPr>
          <a:xfrm>
            <a:off x="4355920" y="3661432"/>
            <a:ext cx="253596" cy="18805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t>E</a:t>
            </a:r>
            <a:endParaRPr lang="en-IN" sz="1100" b="1"/>
          </a:p>
        </xdr:txBody>
      </xdr:sp>
      <xdr:sp macro="" textlink="">
        <xdr:nvSpPr>
          <xdr:cNvPr id="48" name="TextBox 47">
            <a:extLst>
              <a:ext uri="{FF2B5EF4-FFF2-40B4-BE49-F238E27FC236}">
                <a16:creationId xmlns:a16="http://schemas.microsoft.com/office/drawing/2014/main" id="{BDAA6B8A-5457-484A-BE2D-C513041F7B86}"/>
              </a:ext>
            </a:extLst>
          </xdr:cNvPr>
          <xdr:cNvSpPr txBox="1"/>
        </xdr:nvSpPr>
        <xdr:spPr>
          <a:xfrm>
            <a:off x="4170164" y="3827596"/>
            <a:ext cx="248786" cy="18805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100" b="1"/>
              <a:t>F</a:t>
            </a:r>
            <a:endParaRPr lang="en-IN" sz="1100" b="1"/>
          </a:p>
        </xdr:txBody>
      </xdr:sp>
    </xdr:grpSp>
    <xdr:clientData/>
  </xdr:twoCellAnchor>
  <xdr:twoCellAnchor editAs="oneCell">
    <xdr:from>
      <xdr:col>8</xdr:col>
      <xdr:colOff>1445448</xdr:colOff>
      <xdr:row>5</xdr:row>
      <xdr:rowOff>85663</xdr:rowOff>
    </xdr:from>
    <xdr:to>
      <xdr:col>18</xdr:col>
      <xdr:colOff>186808</xdr:colOff>
      <xdr:row>9</xdr:row>
      <xdr:rowOff>5103606</xdr:rowOff>
    </xdr:to>
    <xdr:pic>
      <xdr:nvPicPr>
        <xdr:cNvPr id="5" name="Picture 4">
          <a:extLst>
            <a:ext uri="{FF2B5EF4-FFF2-40B4-BE49-F238E27FC236}">
              <a16:creationId xmlns:a16="http://schemas.microsoft.com/office/drawing/2014/main" id="{592A1EF5-2272-4CE3-B8CF-8FB881290D53}"/>
            </a:ext>
          </a:extLst>
        </xdr:cNvPr>
        <xdr:cNvPicPr>
          <a:picLocks noChangeAspect="1"/>
        </xdr:cNvPicPr>
      </xdr:nvPicPr>
      <xdr:blipFill>
        <a:blip xmlns:r="http://schemas.openxmlformats.org/officeDocument/2006/relationships" r:embed="rId15"/>
        <a:stretch>
          <a:fillRect/>
        </a:stretch>
      </xdr:blipFill>
      <xdr:spPr>
        <a:xfrm>
          <a:off x="10866539" y="2233118"/>
          <a:ext cx="7298375" cy="6940261"/>
        </a:xfrm>
        <a:prstGeom prst="rect">
          <a:avLst/>
        </a:prstGeom>
      </xdr:spPr>
    </xdr:pic>
    <xdr:clientData/>
  </xdr:twoCellAnchor>
  <xdr:twoCellAnchor>
    <xdr:from>
      <xdr:col>0</xdr:col>
      <xdr:colOff>609599</xdr:colOff>
      <xdr:row>217</xdr:row>
      <xdr:rowOff>259977</xdr:rowOff>
    </xdr:from>
    <xdr:to>
      <xdr:col>7</xdr:col>
      <xdr:colOff>412376</xdr:colOff>
      <xdr:row>249</xdr:row>
      <xdr:rowOff>188260</xdr:rowOff>
    </xdr:to>
    <xdr:grpSp>
      <xdr:nvGrpSpPr>
        <xdr:cNvPr id="58" name="Group 57">
          <a:extLst>
            <a:ext uri="{FF2B5EF4-FFF2-40B4-BE49-F238E27FC236}">
              <a16:creationId xmlns:a16="http://schemas.microsoft.com/office/drawing/2014/main" id="{FA7CECD8-87D4-714C-1957-E488DB1CD681}"/>
            </a:ext>
          </a:extLst>
        </xdr:cNvPr>
        <xdr:cNvGrpSpPr/>
      </xdr:nvGrpSpPr>
      <xdr:grpSpPr>
        <a:xfrm>
          <a:off x="609599" y="55132942"/>
          <a:ext cx="8211671" cy="8534400"/>
          <a:chOff x="49684" y="261726"/>
          <a:chExt cx="5912568" cy="5853989"/>
        </a:xfrm>
      </xdr:grpSpPr>
      <xdr:grpSp>
        <xdr:nvGrpSpPr>
          <xdr:cNvPr id="59" name="Group 58">
            <a:extLst>
              <a:ext uri="{FF2B5EF4-FFF2-40B4-BE49-F238E27FC236}">
                <a16:creationId xmlns:a16="http://schemas.microsoft.com/office/drawing/2014/main" id="{06240F5E-0EE5-1EEE-6900-72F35041165C}"/>
              </a:ext>
            </a:extLst>
          </xdr:cNvPr>
          <xdr:cNvGrpSpPr/>
        </xdr:nvGrpSpPr>
        <xdr:grpSpPr>
          <a:xfrm>
            <a:off x="305917" y="4315715"/>
            <a:ext cx="5400102" cy="1800000"/>
            <a:chOff x="-459786" y="4315715"/>
            <a:chExt cx="5400102" cy="1800000"/>
          </a:xfrm>
        </xdr:grpSpPr>
        <xdr:pic>
          <xdr:nvPicPr>
            <xdr:cNvPr id="63" name="Picture 62">
              <a:extLst>
                <a:ext uri="{FF2B5EF4-FFF2-40B4-BE49-F238E27FC236}">
                  <a16:creationId xmlns:a16="http://schemas.microsoft.com/office/drawing/2014/main" id="{985C1A87-C1A9-25F3-F307-0D95D1596474}"/>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2090560" y="4315715"/>
              <a:ext cx="1348594" cy="1800000"/>
            </a:xfrm>
            <a:prstGeom prst="rect">
              <a:avLst/>
            </a:prstGeom>
            <a:ln>
              <a:solidFill>
                <a:schemeClr val="tx1"/>
              </a:solidFill>
            </a:ln>
          </xdr:spPr>
        </xdr:pic>
        <xdr:pic>
          <xdr:nvPicPr>
            <xdr:cNvPr id="64" name="Picture 63">
              <a:extLst>
                <a:ext uri="{FF2B5EF4-FFF2-40B4-BE49-F238E27FC236}">
                  <a16:creationId xmlns:a16="http://schemas.microsoft.com/office/drawing/2014/main" id="{4C2CB60C-8812-9A7F-E33F-288B10DA7FAD}"/>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rcRect b="4482"/>
            <a:stretch/>
          </xdr:blipFill>
          <xdr:spPr>
            <a:xfrm>
              <a:off x="3591722" y="4315715"/>
              <a:ext cx="1348594" cy="1800000"/>
            </a:xfrm>
            <a:prstGeom prst="rect">
              <a:avLst/>
            </a:prstGeom>
            <a:ln>
              <a:solidFill>
                <a:schemeClr val="tx1"/>
              </a:solidFill>
            </a:ln>
          </xdr:spPr>
        </xdr:pic>
        <xdr:pic>
          <xdr:nvPicPr>
            <xdr:cNvPr id="65" name="Picture 64">
              <a:extLst>
                <a:ext uri="{FF2B5EF4-FFF2-40B4-BE49-F238E27FC236}">
                  <a16:creationId xmlns:a16="http://schemas.microsoft.com/office/drawing/2014/main" id="{ADB91B79-87E0-A0DD-1A07-0DFF24FAB38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459786" y="4315715"/>
              <a:ext cx="2397778" cy="1800000"/>
            </a:xfrm>
            <a:prstGeom prst="rect">
              <a:avLst/>
            </a:prstGeom>
            <a:ln>
              <a:solidFill>
                <a:schemeClr val="tx1"/>
              </a:solidFill>
            </a:ln>
          </xdr:spPr>
        </xdr:pic>
      </xdr:grpSp>
      <xdr:grpSp>
        <xdr:nvGrpSpPr>
          <xdr:cNvPr id="60" name="Group 59">
            <a:extLst>
              <a:ext uri="{FF2B5EF4-FFF2-40B4-BE49-F238E27FC236}">
                <a16:creationId xmlns:a16="http://schemas.microsoft.com/office/drawing/2014/main" id="{8CD4DBAE-C2EE-D736-29F4-A98FCE4348BD}"/>
              </a:ext>
            </a:extLst>
          </xdr:cNvPr>
          <xdr:cNvGrpSpPr/>
        </xdr:nvGrpSpPr>
        <xdr:grpSpPr>
          <a:xfrm>
            <a:off x="49684" y="261726"/>
            <a:ext cx="5912568" cy="3844005"/>
            <a:chOff x="559154" y="261726"/>
            <a:chExt cx="5912568" cy="3844005"/>
          </a:xfrm>
        </xdr:grpSpPr>
        <xdr:pic>
          <xdr:nvPicPr>
            <xdr:cNvPr id="61" name="Picture 60">
              <a:extLst>
                <a:ext uri="{FF2B5EF4-FFF2-40B4-BE49-F238E27FC236}">
                  <a16:creationId xmlns:a16="http://schemas.microsoft.com/office/drawing/2014/main" id="{D21E0DF8-ACC0-F2FA-0169-BC72DF584EB3}"/>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rcRect b="4522"/>
            <a:stretch/>
          </xdr:blipFill>
          <xdr:spPr>
            <a:xfrm>
              <a:off x="559154" y="261727"/>
              <a:ext cx="2880000" cy="3844004"/>
            </a:xfrm>
            <a:prstGeom prst="rect">
              <a:avLst/>
            </a:prstGeom>
            <a:ln>
              <a:solidFill>
                <a:schemeClr val="tx1"/>
              </a:solidFill>
            </a:ln>
          </xdr:spPr>
        </xdr:pic>
        <xdr:pic>
          <xdr:nvPicPr>
            <xdr:cNvPr id="62" name="Picture 61">
              <a:extLst>
                <a:ext uri="{FF2B5EF4-FFF2-40B4-BE49-F238E27FC236}">
                  <a16:creationId xmlns:a16="http://schemas.microsoft.com/office/drawing/2014/main" id="{56F7EADB-4A08-6A96-69A5-C601F2BC2764}"/>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3591722" y="261726"/>
              <a:ext cx="2880000" cy="3844005"/>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228600</xdr:colOff>
      <xdr:row>24</xdr:row>
      <xdr:rowOff>180975</xdr:rowOff>
    </xdr:from>
    <xdr:to>
      <xdr:col>12</xdr:col>
      <xdr:colOff>103952</xdr:colOff>
      <xdr:row>46</xdr:row>
      <xdr:rowOff>75689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838200" y="4810125"/>
          <a:ext cx="6580952" cy="4085714"/>
        </a:xfrm>
        <a:prstGeom prst="rect">
          <a:avLst/>
        </a:prstGeom>
      </xdr:spPr>
    </xdr:pic>
    <xdr:clientData/>
  </xdr:twoCellAnchor>
  <xdr:twoCellAnchor editAs="oneCell">
    <xdr:from>
      <xdr:col>1</xdr:col>
      <xdr:colOff>9525</xdr:colOff>
      <xdr:row>46</xdr:row>
      <xdr:rowOff>76200</xdr:rowOff>
    </xdr:from>
    <xdr:to>
      <xdr:col>11</xdr:col>
      <xdr:colOff>323049</xdr:colOff>
      <xdr:row>67</xdr:row>
      <xdr:rowOff>85224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19125" y="8896350"/>
          <a:ext cx="6409524" cy="4009524"/>
        </a:xfrm>
        <a:prstGeom prst="rect">
          <a:avLst/>
        </a:prstGeom>
      </xdr:spPr>
    </xdr:pic>
    <xdr:clientData/>
  </xdr:twoCellAnchor>
  <xdr:twoCellAnchor editAs="oneCell">
    <xdr:from>
      <xdr:col>12</xdr:col>
      <xdr:colOff>552450</xdr:colOff>
      <xdr:row>46</xdr:row>
      <xdr:rowOff>161925</xdr:rowOff>
    </xdr:from>
    <xdr:to>
      <xdr:col>19</xdr:col>
      <xdr:colOff>580488</xdr:colOff>
      <xdr:row>72</xdr:row>
      <xdr:rowOff>56544</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7867650" y="8982075"/>
          <a:ext cx="4295238" cy="4847619"/>
        </a:xfrm>
        <a:prstGeom prst="rect">
          <a:avLst/>
        </a:prstGeom>
      </xdr:spPr>
    </xdr:pic>
    <xdr:clientData/>
  </xdr:twoCellAnchor>
  <xdr:twoCellAnchor editAs="oneCell">
    <xdr:from>
      <xdr:col>1</xdr:col>
      <xdr:colOff>134623</xdr:colOff>
      <xdr:row>69</xdr:row>
      <xdr:rowOff>95250</xdr:rowOff>
    </xdr:from>
    <xdr:to>
      <xdr:col>9</xdr:col>
      <xdr:colOff>65803</xdr:colOff>
      <xdr:row>91</xdr:row>
      <xdr:rowOff>180200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744223" y="13296900"/>
          <a:ext cx="4807980" cy="4275950"/>
        </a:xfrm>
        <a:prstGeom prst="rect">
          <a:avLst/>
        </a:prstGeom>
      </xdr:spPr>
    </xdr:pic>
    <xdr:clientData/>
  </xdr:twoCellAnchor>
  <xdr:twoCellAnchor editAs="oneCell">
    <xdr:from>
      <xdr:col>10</xdr:col>
      <xdr:colOff>0</xdr:colOff>
      <xdr:row>74</xdr:row>
      <xdr:rowOff>60618</xdr:rowOff>
    </xdr:from>
    <xdr:to>
      <xdr:col>18</xdr:col>
      <xdr:colOff>418302</xdr:colOff>
      <xdr:row>86</xdr:row>
      <xdr:rowOff>113947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6096000" y="14214768"/>
          <a:ext cx="5295102" cy="23393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www.kalpataruparkcity.com/?utm_source=google&amp;utm_medium=cpc&amp;utm_campaign=Kalpataru+Parkcity+Thane&amp;utm_term=kalpataru%20immensa&amp;utm_Physical_Location=9198152&amp;utm_Targetid=aud-1495722118762:kwd-317915267217&amp;utm_Target=&amp;utm_Placement=&amp;utm_Adposition=&amp;gad_source=1&amp;gad_campaignid=14945681919&amp;gbraid=0AAAAAoMj0TOLMRhjAN4Hhqo5hqhMxOQEP&amp;gclid=CjwKCAjw9anCBhAWEiwAqBJ-c5U7V2sq3PpMrVs74MxnDzcNs_UoTTXgDDxalb-OEU_nLHCkqyOGrxoCFzkQAvD_BwE" TargetMode="External"/><Relationship Id="rId1" Type="http://schemas.openxmlformats.org/officeDocument/2006/relationships/hyperlink" Target="https://maps.app.goo.gl/cBZXWyLXvb3kmYK1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C336"/>
  <sheetViews>
    <sheetView tabSelected="1" view="pageBreakPreview" topLeftCell="A157" zoomScale="85" zoomScaleNormal="85" zoomScaleSheetLayoutView="85" zoomScalePageLayoutView="70" workbookViewId="0">
      <selection activeCell="K203" sqref="K203"/>
    </sheetView>
  </sheetViews>
  <sheetFormatPr defaultColWidth="9.109375" defaultRowHeight="17.100000000000001" customHeight="1" x14ac:dyDescent="0.3"/>
  <cols>
    <col min="1" max="7" width="17.5546875" style="1" customWidth="1"/>
    <col min="8" max="8" width="17.5546875" style="4" customWidth="1"/>
    <col min="9" max="9" width="33.88671875" style="1" customWidth="1"/>
    <col min="10" max="11" width="15.5546875" style="1" bestFit="1" customWidth="1"/>
    <col min="12" max="19" width="9.109375" style="1"/>
    <col min="20" max="22" width="0" style="1" hidden="1" customWidth="1"/>
    <col min="23" max="25" width="9.109375" style="1"/>
    <col min="26" max="26" width="7.88671875" style="1" customWidth="1"/>
    <col min="27" max="16384" width="9.109375" style="1"/>
  </cols>
  <sheetData>
    <row r="1" spans="1:11" ht="21" x14ac:dyDescent="0.3">
      <c r="A1" s="166" t="s">
        <v>38</v>
      </c>
      <c r="B1" s="167"/>
      <c r="C1" s="167"/>
      <c r="D1" s="167"/>
      <c r="E1" s="167"/>
      <c r="F1" s="167"/>
      <c r="G1" s="167"/>
      <c r="H1" s="168"/>
    </row>
    <row r="2" spans="1:11" ht="42" customHeight="1" x14ac:dyDescent="0.3">
      <c r="A2" s="130" t="s">
        <v>10</v>
      </c>
      <c r="B2" s="130"/>
      <c r="C2" s="129" t="s">
        <v>85</v>
      </c>
      <c r="D2" s="129"/>
      <c r="E2" s="130" t="s">
        <v>12</v>
      </c>
      <c r="F2" s="130"/>
      <c r="G2" s="133">
        <v>45895</v>
      </c>
      <c r="H2" s="129"/>
      <c r="I2" s="1" t="s">
        <v>372</v>
      </c>
      <c r="J2" s="92"/>
      <c r="K2" s="93"/>
    </row>
    <row r="3" spans="1:11" ht="42.75" customHeight="1" x14ac:dyDescent="0.3">
      <c r="A3" s="130" t="s">
        <v>39</v>
      </c>
      <c r="B3" s="130"/>
      <c r="C3" s="216" t="s">
        <v>400</v>
      </c>
      <c r="D3" s="216"/>
      <c r="E3" s="130" t="s">
        <v>159</v>
      </c>
      <c r="F3" s="130"/>
      <c r="G3" s="133" t="s">
        <v>406</v>
      </c>
      <c r="H3" s="129"/>
      <c r="J3" s="215">
        <v>45820</v>
      </c>
      <c r="K3" s="215">
        <v>45908</v>
      </c>
    </row>
    <row r="4" spans="1:11" ht="43.5" customHeight="1" x14ac:dyDescent="0.3">
      <c r="A4" s="130" t="s">
        <v>36</v>
      </c>
      <c r="B4" s="130"/>
      <c r="C4" s="129" t="s">
        <v>148</v>
      </c>
      <c r="D4" s="129"/>
      <c r="E4" s="130" t="s">
        <v>33</v>
      </c>
      <c r="F4" s="130"/>
      <c r="G4" s="129" t="str">
        <f ca="1">TEXT(TODAY(),"DD/MM/YYYY")</f>
        <v>15/09/2025</v>
      </c>
      <c r="H4" s="129"/>
      <c r="K4" s="1">
        <f>K3-J3</f>
        <v>88</v>
      </c>
    </row>
    <row r="5" spans="1:11" ht="21" x14ac:dyDescent="0.3">
      <c r="A5" s="132" t="s">
        <v>40</v>
      </c>
      <c r="B5" s="132"/>
      <c r="C5" s="132"/>
      <c r="D5" s="132"/>
      <c r="E5" s="132"/>
      <c r="F5" s="132"/>
      <c r="G5" s="132"/>
      <c r="H5" s="132"/>
    </row>
    <row r="6" spans="1:11" ht="43.5" customHeight="1" x14ac:dyDescent="0.3">
      <c r="A6" s="130" t="s">
        <v>29</v>
      </c>
      <c r="B6" s="130"/>
      <c r="C6" s="131" t="s">
        <v>91</v>
      </c>
      <c r="D6" s="131"/>
      <c r="E6" s="130" t="s">
        <v>35</v>
      </c>
      <c r="F6" s="130"/>
      <c r="G6" s="131" t="s">
        <v>308</v>
      </c>
      <c r="H6" s="131"/>
    </row>
    <row r="7" spans="1:11" ht="23.25" customHeight="1" x14ac:dyDescent="0.3">
      <c r="A7" s="130" t="s">
        <v>42</v>
      </c>
      <c r="B7" s="130"/>
      <c r="C7" s="129" t="s">
        <v>309</v>
      </c>
      <c r="D7" s="129"/>
      <c r="E7" s="130" t="s">
        <v>43</v>
      </c>
      <c r="F7" s="130"/>
      <c r="G7" s="129" t="s">
        <v>312</v>
      </c>
      <c r="H7" s="129"/>
    </row>
    <row r="8" spans="1:11" ht="39.75" customHeight="1" x14ac:dyDescent="0.3">
      <c r="A8" s="130" t="s">
        <v>44</v>
      </c>
      <c r="B8" s="130"/>
      <c r="C8" s="129" t="s">
        <v>310</v>
      </c>
      <c r="D8" s="129"/>
      <c r="E8" s="129"/>
      <c r="F8" s="129"/>
      <c r="G8" s="129"/>
      <c r="H8" s="129"/>
    </row>
    <row r="9" spans="1:11" ht="45" customHeight="1" x14ac:dyDescent="0.3">
      <c r="A9" s="128" t="s">
        <v>150</v>
      </c>
      <c r="B9" s="36" t="s">
        <v>41</v>
      </c>
      <c r="C9" s="129" t="s">
        <v>311</v>
      </c>
      <c r="D9" s="129"/>
      <c r="E9" s="129"/>
      <c r="F9" s="129"/>
      <c r="G9" s="129"/>
      <c r="H9" s="129"/>
    </row>
    <row r="10" spans="1:11" ht="409.5" customHeight="1" x14ac:dyDescent="0.3">
      <c r="A10" s="128"/>
      <c r="B10" s="134" t="s">
        <v>11</v>
      </c>
      <c r="C10" s="136" t="s">
        <v>399</v>
      </c>
      <c r="D10" s="137"/>
      <c r="E10" s="137"/>
      <c r="F10" s="137"/>
      <c r="G10" s="137"/>
      <c r="H10" s="138"/>
    </row>
    <row r="11" spans="1:11" ht="44.25" customHeight="1" x14ac:dyDescent="0.3">
      <c r="A11" s="128"/>
      <c r="B11" s="135"/>
      <c r="C11" s="139"/>
      <c r="D11" s="140"/>
      <c r="E11" s="140"/>
      <c r="F11" s="140"/>
      <c r="G11" s="140"/>
      <c r="H11" s="141"/>
    </row>
    <row r="12" spans="1:11" ht="42" customHeight="1" x14ac:dyDescent="0.3">
      <c r="A12" s="128"/>
      <c r="B12" s="36" t="s">
        <v>5</v>
      </c>
      <c r="C12" s="129" t="s">
        <v>373</v>
      </c>
      <c r="D12" s="129"/>
      <c r="E12" s="129"/>
      <c r="F12" s="129"/>
      <c r="G12" s="129"/>
      <c r="H12" s="129"/>
      <c r="I12" s="94" t="s">
        <v>374</v>
      </c>
    </row>
    <row r="13" spans="1:11" ht="40.5" customHeight="1" x14ac:dyDescent="0.3">
      <c r="A13" s="130" t="s">
        <v>34</v>
      </c>
      <c r="B13" s="130"/>
      <c r="C13" s="131" t="s">
        <v>398</v>
      </c>
      <c r="D13" s="131"/>
      <c r="E13" s="131"/>
      <c r="F13" s="131"/>
      <c r="G13" s="131"/>
      <c r="H13" s="131"/>
    </row>
    <row r="14" spans="1:11" ht="20.100000000000001" customHeight="1" x14ac:dyDescent="0.3">
      <c r="A14" s="132" t="s">
        <v>45</v>
      </c>
      <c r="B14" s="132"/>
      <c r="C14" s="132"/>
      <c r="D14" s="132"/>
      <c r="E14" s="132"/>
      <c r="F14" s="132"/>
      <c r="G14" s="132"/>
      <c r="H14" s="132"/>
    </row>
    <row r="15" spans="1:11" ht="41.25" customHeight="1" x14ac:dyDescent="0.3">
      <c r="A15" s="130" t="s">
        <v>27</v>
      </c>
      <c r="B15" s="130" t="s">
        <v>4</v>
      </c>
      <c r="C15" s="129" t="s">
        <v>86</v>
      </c>
      <c r="D15" s="129"/>
      <c r="E15" s="130" t="s">
        <v>46</v>
      </c>
      <c r="F15" s="130" t="s">
        <v>4</v>
      </c>
      <c r="G15" s="129" t="s">
        <v>313</v>
      </c>
      <c r="H15" s="129"/>
    </row>
    <row r="16" spans="1:11" ht="41.25" customHeight="1" x14ac:dyDescent="0.3">
      <c r="A16" s="130" t="s">
        <v>47</v>
      </c>
      <c r="B16" s="130" t="s">
        <v>4</v>
      </c>
      <c r="C16" s="129" t="s">
        <v>315</v>
      </c>
      <c r="D16" s="129"/>
      <c r="E16" s="130" t="s">
        <v>48</v>
      </c>
      <c r="F16" s="130" t="s">
        <v>4</v>
      </c>
      <c r="G16" s="133">
        <v>46021</v>
      </c>
      <c r="H16" s="129"/>
    </row>
    <row r="17" spans="1:10" ht="41.25" customHeight="1" x14ac:dyDescent="0.3">
      <c r="A17" s="130" t="s">
        <v>49</v>
      </c>
      <c r="B17" s="130" t="s">
        <v>4</v>
      </c>
      <c r="C17" s="133">
        <v>42943</v>
      </c>
      <c r="D17" s="129"/>
      <c r="E17" s="130" t="s">
        <v>50</v>
      </c>
      <c r="F17" s="130" t="s">
        <v>4</v>
      </c>
      <c r="G17" s="142">
        <v>42736</v>
      </c>
      <c r="H17" s="129"/>
    </row>
    <row r="18" spans="1:10" ht="60.75" customHeight="1" x14ac:dyDescent="0.3">
      <c r="A18" s="130" t="s">
        <v>51</v>
      </c>
      <c r="B18" s="130" t="s">
        <v>4</v>
      </c>
      <c r="C18" s="133">
        <f>G16</f>
        <v>46021</v>
      </c>
      <c r="D18" s="129"/>
      <c r="E18" s="130" t="s">
        <v>52</v>
      </c>
      <c r="F18" s="130" t="s">
        <v>4</v>
      </c>
      <c r="G18" s="129" t="s">
        <v>314</v>
      </c>
      <c r="H18" s="129"/>
    </row>
    <row r="19" spans="1:10" ht="41.25" customHeight="1" x14ac:dyDescent="0.3">
      <c r="A19" s="130" t="s">
        <v>53</v>
      </c>
      <c r="B19" s="130" t="s">
        <v>4</v>
      </c>
      <c r="C19" s="129" t="str">
        <f>IF(AND(ISNUMBER(SEARCH("Flat",G22)),ISNUMBER(SEARCH("Shop",G22)),ISNUMBER(SEARCH("Office",G22))),"Residential + Commercial",IF(AND(ISNUMBER(SEARCH("Flat",G22)),ISNUMBER(SEARCH("Shop",G22))),"Residential + Commercial",IF(AND(ISNUMBER(SEARCH("Flat",G22)),ISNUMBER(SEARCH("Office",G22))),"Residential + Commercial",IF(AND(ISNUMBER(SEARCH("Shop",G22)),ISNUMBER(SEARCH("Office",G22))),"Commercial",IF(ISNUMBER(SEARCH("Shop",G22)),"Commercial",IF(ISNUMBER(SEARCH("Office",G22)),"Commercial",IF(ISNUMBER(SEARCH("Flat",G22)),"Residential")))))))</f>
        <v>Residential + Commercial</v>
      </c>
      <c r="D19" s="129"/>
      <c r="E19" s="130" t="s">
        <v>94</v>
      </c>
      <c r="F19" s="130" t="s">
        <v>4</v>
      </c>
      <c r="G19" s="129">
        <v>437961</v>
      </c>
      <c r="H19" s="129"/>
    </row>
    <row r="20" spans="1:10" ht="41.25" customHeight="1" x14ac:dyDescent="0.3">
      <c r="A20" s="130" t="s">
        <v>54</v>
      </c>
      <c r="B20" s="130" t="s">
        <v>4</v>
      </c>
      <c r="C20" s="129">
        <v>1</v>
      </c>
      <c r="D20" s="129"/>
      <c r="E20" s="130" t="s">
        <v>243</v>
      </c>
      <c r="F20" s="130" t="s">
        <v>4</v>
      </c>
      <c r="G20" s="129">
        <v>57689.5</v>
      </c>
      <c r="H20" s="129"/>
    </row>
    <row r="21" spans="1:10" ht="41.25" customHeight="1" x14ac:dyDescent="0.3">
      <c r="A21" s="130" t="s">
        <v>92</v>
      </c>
      <c r="B21" s="130" t="s">
        <v>4</v>
      </c>
      <c r="C21" s="129">
        <v>57689.5</v>
      </c>
      <c r="D21" s="129"/>
      <c r="E21" s="130" t="s">
        <v>93</v>
      </c>
      <c r="F21" s="130" t="s">
        <v>4</v>
      </c>
      <c r="G21" s="129">
        <v>324844.5</v>
      </c>
      <c r="H21" s="129"/>
    </row>
    <row r="22" spans="1:10" ht="41.25" customHeight="1" x14ac:dyDescent="0.3">
      <c r="A22" s="130" t="s">
        <v>56</v>
      </c>
      <c r="B22" s="130" t="s">
        <v>4</v>
      </c>
      <c r="C22" s="129" t="s">
        <v>377</v>
      </c>
      <c r="D22" s="129"/>
      <c r="E22" s="130" t="s">
        <v>55</v>
      </c>
      <c r="F22" s="130" t="s">
        <v>4</v>
      </c>
      <c r="G22" s="129" t="s">
        <v>376</v>
      </c>
      <c r="H22" s="129"/>
      <c r="J22" s="1">
        <f>76+84</f>
        <v>160</v>
      </c>
    </row>
    <row r="23" spans="1:10" ht="38.25" customHeight="1" x14ac:dyDescent="0.3">
      <c r="A23" s="130" t="s">
        <v>163</v>
      </c>
      <c r="B23" s="130" t="s">
        <v>4</v>
      </c>
      <c r="C23" s="129" t="s">
        <v>368</v>
      </c>
      <c r="D23" s="129"/>
      <c r="E23" s="130" t="s">
        <v>164</v>
      </c>
      <c r="F23" s="130" t="s">
        <v>4</v>
      </c>
      <c r="G23" s="129" t="s">
        <v>316</v>
      </c>
      <c r="H23" s="129"/>
    </row>
    <row r="24" spans="1:10" ht="38.25" customHeight="1" x14ac:dyDescent="0.3">
      <c r="A24" s="130" t="s">
        <v>161</v>
      </c>
      <c r="B24" s="130" t="s">
        <v>4</v>
      </c>
      <c r="C24" s="189" t="s">
        <v>369</v>
      </c>
      <c r="D24" s="129"/>
      <c r="E24" s="129"/>
      <c r="F24" s="129"/>
      <c r="G24" s="129"/>
      <c r="H24" s="129"/>
    </row>
    <row r="25" spans="1:10" ht="48" customHeight="1" x14ac:dyDescent="0.3">
      <c r="A25" s="130" t="s">
        <v>25</v>
      </c>
      <c r="B25" s="130" t="s">
        <v>4</v>
      </c>
      <c r="C25" s="131" t="s">
        <v>317</v>
      </c>
      <c r="D25" s="131"/>
      <c r="E25" s="131"/>
      <c r="F25" s="131"/>
      <c r="G25" s="131"/>
      <c r="H25" s="131"/>
      <c r="I25" s="76" t="s">
        <v>318</v>
      </c>
    </row>
    <row r="26" spans="1:10" ht="24" customHeight="1" x14ac:dyDescent="0.3">
      <c r="A26" s="132" t="s">
        <v>20</v>
      </c>
      <c r="B26" s="132"/>
      <c r="C26" s="132"/>
      <c r="D26" s="132"/>
      <c r="E26" s="132"/>
      <c r="F26" s="132"/>
      <c r="G26" s="132"/>
      <c r="H26" s="132"/>
    </row>
    <row r="27" spans="1:10" ht="43.5" customHeight="1" x14ac:dyDescent="0.3">
      <c r="A27" s="130" t="s">
        <v>26</v>
      </c>
      <c r="B27" s="130" t="s">
        <v>4</v>
      </c>
      <c r="C27" s="129" t="str">
        <f>IF(AND(G27="Upper"),"Developed","Developing")</f>
        <v>Developing</v>
      </c>
      <c r="D27" s="129"/>
      <c r="E27" s="130" t="s">
        <v>13</v>
      </c>
      <c r="F27" s="130" t="s">
        <v>4</v>
      </c>
      <c r="G27" s="131" t="s">
        <v>403</v>
      </c>
      <c r="H27" s="131"/>
    </row>
    <row r="28" spans="1:10" ht="43.5" customHeight="1" x14ac:dyDescent="0.3">
      <c r="A28" s="130" t="s">
        <v>14</v>
      </c>
      <c r="B28" s="130" t="s">
        <v>4</v>
      </c>
      <c r="C28" s="131" t="s">
        <v>306</v>
      </c>
      <c r="D28" s="131"/>
      <c r="E28" s="130" t="s">
        <v>151</v>
      </c>
      <c r="F28" s="130" t="s">
        <v>4</v>
      </c>
      <c r="G28" s="131" t="s">
        <v>378</v>
      </c>
      <c r="H28" s="131"/>
    </row>
    <row r="29" spans="1:10" ht="43.5" customHeight="1" x14ac:dyDescent="0.3">
      <c r="A29" s="130" t="s">
        <v>23</v>
      </c>
      <c r="B29" s="130" t="s">
        <v>4</v>
      </c>
      <c r="C29" s="129" t="s">
        <v>96</v>
      </c>
      <c r="D29" s="129"/>
      <c r="E29" s="130" t="s">
        <v>16</v>
      </c>
      <c r="F29" s="130" t="s">
        <v>4</v>
      </c>
      <c r="G29" s="131" t="s">
        <v>319</v>
      </c>
      <c r="H29" s="131"/>
    </row>
    <row r="30" spans="1:10" ht="45.75" customHeight="1" x14ac:dyDescent="0.3">
      <c r="A30" s="130" t="s">
        <v>105</v>
      </c>
      <c r="B30" s="130" t="s">
        <v>4</v>
      </c>
      <c r="C30" s="131" t="s">
        <v>379</v>
      </c>
      <c r="D30" s="131"/>
      <c r="E30" s="130" t="s">
        <v>106</v>
      </c>
      <c r="F30" s="130" t="s">
        <v>4</v>
      </c>
      <c r="G30" s="131" t="s">
        <v>380</v>
      </c>
      <c r="H30" s="131"/>
    </row>
    <row r="31" spans="1:10" ht="84" customHeight="1" x14ac:dyDescent="0.3">
      <c r="A31" s="130" t="s">
        <v>17</v>
      </c>
      <c r="B31" s="130" t="s">
        <v>4</v>
      </c>
      <c r="C31" s="131" t="s">
        <v>381</v>
      </c>
      <c r="D31" s="131"/>
      <c r="E31" s="130" t="s">
        <v>15</v>
      </c>
      <c r="F31" s="130" t="s">
        <v>4</v>
      </c>
      <c r="G31" s="131" t="s">
        <v>320</v>
      </c>
      <c r="H31" s="131"/>
    </row>
    <row r="32" spans="1:10" ht="21" x14ac:dyDescent="0.3">
      <c r="A32" s="130" t="s">
        <v>111</v>
      </c>
      <c r="B32" s="130" t="s">
        <v>4</v>
      </c>
      <c r="C32" s="129" t="s">
        <v>112</v>
      </c>
      <c r="D32" s="129"/>
      <c r="E32" s="130" t="s">
        <v>113</v>
      </c>
      <c r="F32" s="130" t="s">
        <v>4</v>
      </c>
      <c r="G32" s="129" t="s">
        <v>112</v>
      </c>
      <c r="H32" s="129"/>
    </row>
    <row r="33" spans="1:15" ht="21.75" customHeight="1" x14ac:dyDescent="0.3">
      <c r="A33" s="130" t="s">
        <v>114</v>
      </c>
      <c r="B33" s="130" t="s">
        <v>4</v>
      </c>
      <c r="C33" s="129" t="s">
        <v>112</v>
      </c>
      <c r="D33" s="129"/>
      <c r="E33" s="129"/>
      <c r="F33" s="129"/>
      <c r="G33" s="129"/>
      <c r="H33" s="129"/>
    </row>
    <row r="34" spans="1:15" ht="21" x14ac:dyDescent="0.3">
      <c r="A34" s="143" t="s">
        <v>37</v>
      </c>
      <c r="B34" s="143"/>
      <c r="C34" s="143"/>
      <c r="D34" s="143"/>
      <c r="E34" s="143"/>
      <c r="F34" s="143"/>
      <c r="G34" s="143"/>
      <c r="H34" s="143"/>
    </row>
    <row r="35" spans="1:15" ht="43.5" customHeight="1" x14ac:dyDescent="0.3">
      <c r="A35" s="130" t="s">
        <v>18</v>
      </c>
      <c r="B35" s="130"/>
      <c r="C35" s="129" t="s">
        <v>97</v>
      </c>
      <c r="D35" s="129"/>
      <c r="E35" s="130" t="s">
        <v>19</v>
      </c>
      <c r="F35" s="130" t="s">
        <v>4</v>
      </c>
      <c r="G35" s="129" t="s">
        <v>98</v>
      </c>
      <c r="H35" s="129"/>
    </row>
    <row r="36" spans="1:15" ht="43.5" customHeight="1" x14ac:dyDescent="0.3">
      <c r="A36" s="130" t="s">
        <v>22</v>
      </c>
      <c r="B36" s="130"/>
      <c r="C36" s="129" t="s">
        <v>98</v>
      </c>
      <c r="D36" s="129"/>
      <c r="E36" s="130" t="s">
        <v>32</v>
      </c>
      <c r="F36" s="130" t="s">
        <v>4</v>
      </c>
      <c r="G36" s="131" t="s">
        <v>98</v>
      </c>
      <c r="H36" s="131"/>
    </row>
    <row r="37" spans="1:15" ht="21" x14ac:dyDescent="0.3">
      <c r="A37" s="130" t="s">
        <v>31</v>
      </c>
      <c r="B37" s="130"/>
      <c r="C37" s="129" t="s">
        <v>99</v>
      </c>
      <c r="D37" s="129"/>
      <c r="E37" s="130" t="s">
        <v>21</v>
      </c>
      <c r="F37" s="130" t="s">
        <v>4</v>
      </c>
      <c r="G37" s="129" t="s">
        <v>100</v>
      </c>
      <c r="H37" s="129"/>
    </row>
    <row r="38" spans="1:15" ht="21" x14ac:dyDescent="0.3">
      <c r="A38" s="132" t="s">
        <v>0</v>
      </c>
      <c r="B38" s="132"/>
      <c r="C38" s="132"/>
      <c r="D38" s="132"/>
      <c r="E38" s="132"/>
      <c r="F38" s="132"/>
      <c r="G38" s="132"/>
      <c r="H38" s="132"/>
    </row>
    <row r="39" spans="1:15" ht="21" x14ac:dyDescent="0.3">
      <c r="A39" s="126" t="s">
        <v>0</v>
      </c>
      <c r="B39" s="126"/>
      <c r="C39" s="126" t="s">
        <v>229</v>
      </c>
      <c r="D39" s="126"/>
      <c r="E39" s="126"/>
      <c r="F39" s="126" t="s">
        <v>7</v>
      </c>
      <c r="G39" s="126"/>
      <c r="H39" s="126"/>
      <c r="J39" s="124" t="s">
        <v>1</v>
      </c>
      <c r="K39" s="125"/>
      <c r="L39" s="2" t="s">
        <v>6</v>
      </c>
      <c r="M39" s="124" t="s">
        <v>2</v>
      </c>
      <c r="N39" s="125"/>
      <c r="O39" s="2" t="s">
        <v>3</v>
      </c>
    </row>
    <row r="40" spans="1:15" ht="21" x14ac:dyDescent="0.3">
      <c r="A40" s="128" t="s">
        <v>2</v>
      </c>
      <c r="B40" s="128"/>
      <c r="C40" s="127" t="s">
        <v>384</v>
      </c>
      <c r="D40" s="127"/>
      <c r="E40" s="127"/>
      <c r="F40" s="127" t="s">
        <v>386</v>
      </c>
      <c r="G40" s="127"/>
      <c r="H40" s="127"/>
    </row>
    <row r="41" spans="1:15" ht="21" x14ac:dyDescent="0.3">
      <c r="A41" s="128" t="s">
        <v>3</v>
      </c>
      <c r="B41" s="128"/>
      <c r="C41" s="127" t="s">
        <v>382</v>
      </c>
      <c r="D41" s="127"/>
      <c r="E41" s="127"/>
      <c r="F41" s="127" t="s">
        <v>387</v>
      </c>
      <c r="G41" s="127"/>
      <c r="H41" s="127"/>
    </row>
    <row r="42" spans="1:15" ht="21" x14ac:dyDescent="0.3">
      <c r="A42" s="128" t="s">
        <v>1</v>
      </c>
      <c r="B42" s="128"/>
      <c r="C42" s="127" t="s">
        <v>383</v>
      </c>
      <c r="D42" s="127"/>
      <c r="E42" s="127"/>
      <c r="F42" s="127" t="s">
        <v>385</v>
      </c>
      <c r="G42" s="127"/>
      <c r="H42" s="127"/>
    </row>
    <row r="43" spans="1:15" ht="21" x14ac:dyDescent="0.3">
      <c r="A43" s="128" t="s">
        <v>6</v>
      </c>
      <c r="B43" s="128"/>
      <c r="C43" s="127" t="s">
        <v>321</v>
      </c>
      <c r="D43" s="127"/>
      <c r="E43" s="127"/>
      <c r="F43" s="127" t="s">
        <v>322</v>
      </c>
      <c r="G43" s="127"/>
      <c r="H43" s="127"/>
    </row>
    <row r="44" spans="1:15" ht="51" customHeight="1" x14ac:dyDescent="0.3">
      <c r="A44" s="130" t="s">
        <v>230</v>
      </c>
      <c r="B44" s="130"/>
      <c r="C44" s="129" t="s">
        <v>96</v>
      </c>
      <c r="D44" s="129"/>
      <c r="E44" s="129"/>
      <c r="F44" s="129"/>
      <c r="G44" s="129"/>
      <c r="H44" s="129"/>
    </row>
    <row r="45" spans="1:15" ht="21" x14ac:dyDescent="0.3">
      <c r="A45" s="132" t="s">
        <v>57</v>
      </c>
      <c r="B45" s="132"/>
      <c r="C45" s="132"/>
      <c r="D45" s="132"/>
      <c r="E45" s="132"/>
      <c r="F45" s="132"/>
      <c r="G45" s="132"/>
      <c r="H45" s="132"/>
    </row>
    <row r="46" spans="1:15" ht="21" customHeight="1" x14ac:dyDescent="0.3">
      <c r="A46" s="126" t="s">
        <v>58</v>
      </c>
      <c r="B46" s="126"/>
      <c r="C46" s="2" t="s">
        <v>59</v>
      </c>
      <c r="D46" s="126" t="s">
        <v>149</v>
      </c>
      <c r="E46" s="126"/>
      <c r="F46" s="126"/>
      <c r="G46" s="126" t="s">
        <v>60</v>
      </c>
      <c r="H46" s="126"/>
    </row>
    <row r="47" spans="1:15" ht="40.5" customHeight="1" x14ac:dyDescent="0.3">
      <c r="A47" s="144" t="s">
        <v>404</v>
      </c>
      <c r="B47" s="144"/>
      <c r="C47" s="35" t="s">
        <v>87</v>
      </c>
      <c r="D47" s="129" t="s">
        <v>388</v>
      </c>
      <c r="E47" s="129"/>
      <c r="F47" s="129"/>
      <c r="G47" s="129" t="s">
        <v>388</v>
      </c>
      <c r="H47" s="129"/>
    </row>
    <row r="48" spans="1:15" ht="21" hidden="1" x14ac:dyDescent="0.3">
      <c r="A48" s="144" t="s">
        <v>303</v>
      </c>
      <c r="B48" s="144"/>
      <c r="C48" s="35" t="s">
        <v>87</v>
      </c>
      <c r="D48" s="129"/>
      <c r="E48" s="129"/>
      <c r="F48" s="129"/>
      <c r="G48" s="129"/>
      <c r="H48" s="129"/>
    </row>
    <row r="49" spans="1:14" ht="21" hidden="1" x14ac:dyDescent="0.3">
      <c r="A49" s="144" t="s">
        <v>304</v>
      </c>
      <c r="B49" s="144"/>
      <c r="C49" s="35" t="s">
        <v>87</v>
      </c>
      <c r="D49" s="129"/>
      <c r="E49" s="129"/>
      <c r="F49" s="129"/>
      <c r="G49" s="129"/>
      <c r="H49" s="129"/>
    </row>
    <row r="50" spans="1:14" ht="21" hidden="1" x14ac:dyDescent="0.3">
      <c r="A50" s="144" t="s">
        <v>305</v>
      </c>
      <c r="B50" s="144"/>
      <c r="C50" s="35" t="s">
        <v>87</v>
      </c>
      <c r="D50" s="129"/>
      <c r="E50" s="129"/>
      <c r="F50" s="129"/>
      <c r="G50" s="129"/>
      <c r="H50" s="129"/>
    </row>
    <row r="51" spans="1:14" ht="21" x14ac:dyDescent="0.3">
      <c r="A51" s="132" t="s">
        <v>61</v>
      </c>
      <c r="B51" s="132"/>
      <c r="C51" s="132"/>
      <c r="D51" s="132"/>
      <c r="E51" s="132"/>
      <c r="F51" s="132"/>
      <c r="G51" s="132"/>
      <c r="H51" s="132"/>
    </row>
    <row r="52" spans="1:14" ht="42.75" customHeight="1" x14ac:dyDescent="0.3">
      <c r="A52" s="130" t="s">
        <v>62</v>
      </c>
      <c r="B52" s="130" t="s">
        <v>4</v>
      </c>
      <c r="C52" s="131" t="s">
        <v>96</v>
      </c>
      <c r="D52" s="131"/>
      <c r="E52" s="131"/>
      <c r="F52" s="131"/>
      <c r="G52" s="131"/>
      <c r="H52" s="131"/>
    </row>
    <row r="53" spans="1:14" ht="44.25" customHeight="1" x14ac:dyDescent="0.3">
      <c r="A53" s="130" t="s">
        <v>63</v>
      </c>
      <c r="B53" s="130" t="s">
        <v>4</v>
      </c>
      <c r="C53" s="129" t="s">
        <v>371</v>
      </c>
      <c r="D53" s="129"/>
      <c r="E53" s="129"/>
      <c r="F53" s="129"/>
      <c r="G53" s="52" t="s">
        <v>231</v>
      </c>
      <c r="H53" s="91">
        <v>43458</v>
      </c>
    </row>
    <row r="54" spans="1:14" ht="44.25" customHeight="1" x14ac:dyDescent="0.3">
      <c r="A54" s="130" t="s">
        <v>64</v>
      </c>
      <c r="B54" s="130" t="s">
        <v>4</v>
      </c>
      <c r="C54" s="129" t="s">
        <v>390</v>
      </c>
      <c r="D54" s="129"/>
      <c r="E54" s="129"/>
      <c r="F54" s="129"/>
      <c r="G54" s="52" t="s">
        <v>231</v>
      </c>
      <c r="H54" s="91">
        <v>44550</v>
      </c>
    </row>
    <row r="55" spans="1:14" ht="35.25" customHeight="1" x14ac:dyDescent="0.3">
      <c r="A55" s="130" t="s">
        <v>365</v>
      </c>
      <c r="B55" s="130"/>
      <c r="C55" s="129" t="s">
        <v>390</v>
      </c>
      <c r="D55" s="129"/>
      <c r="E55" s="129"/>
      <c r="F55" s="129"/>
      <c r="G55" s="52" t="s">
        <v>231</v>
      </c>
      <c r="H55" s="91">
        <v>44550</v>
      </c>
    </row>
    <row r="56" spans="1:14" ht="57" customHeight="1" x14ac:dyDescent="0.3">
      <c r="A56" s="130"/>
      <c r="B56" s="130"/>
      <c r="C56" s="186" t="s">
        <v>389</v>
      </c>
      <c r="D56" s="187"/>
      <c r="E56" s="187"/>
      <c r="F56" s="187"/>
      <c r="G56" s="187"/>
      <c r="H56" s="188"/>
    </row>
    <row r="57" spans="1:14" ht="81.75" customHeight="1" x14ac:dyDescent="0.3">
      <c r="A57" s="130" t="s">
        <v>65</v>
      </c>
      <c r="B57" s="130" t="s">
        <v>4</v>
      </c>
      <c r="C57" s="129" t="s">
        <v>391</v>
      </c>
      <c r="D57" s="129"/>
      <c r="E57" s="129"/>
      <c r="F57" s="129"/>
      <c r="G57" s="52" t="s">
        <v>232</v>
      </c>
      <c r="H57" s="91">
        <v>42849</v>
      </c>
    </row>
    <row r="58" spans="1:14" ht="45" hidden="1" customHeight="1" x14ac:dyDescent="0.3">
      <c r="A58" s="130" t="s">
        <v>325</v>
      </c>
      <c r="B58" s="130" t="s">
        <v>4</v>
      </c>
      <c r="C58" s="129" t="s">
        <v>148</v>
      </c>
      <c r="D58" s="129"/>
      <c r="E58" s="129"/>
      <c r="F58" s="129"/>
      <c r="G58" s="52" t="s">
        <v>232</v>
      </c>
      <c r="H58" s="37" t="s">
        <v>148</v>
      </c>
    </row>
    <row r="59" spans="1:14" ht="84" customHeight="1" x14ac:dyDescent="0.3">
      <c r="A59" s="130" t="s">
        <v>66</v>
      </c>
      <c r="B59" s="130" t="s">
        <v>4</v>
      </c>
      <c r="C59" s="129" t="s">
        <v>392</v>
      </c>
      <c r="D59" s="129"/>
      <c r="E59" s="129"/>
      <c r="F59" s="129"/>
      <c r="G59" s="52" t="s">
        <v>323</v>
      </c>
      <c r="H59" s="37" t="s">
        <v>324</v>
      </c>
      <c r="N59" s="74" t="s">
        <v>307</v>
      </c>
    </row>
    <row r="60" spans="1:14" ht="168.75" hidden="1" customHeight="1" x14ac:dyDescent="0.3">
      <c r="A60" s="130" t="s">
        <v>325</v>
      </c>
      <c r="B60" s="130" t="s">
        <v>4</v>
      </c>
      <c r="C60" s="129" t="s">
        <v>326</v>
      </c>
      <c r="D60" s="129"/>
      <c r="E60" s="129"/>
      <c r="F60" s="129"/>
      <c r="G60" s="52" t="s">
        <v>232</v>
      </c>
      <c r="H60" s="91">
        <v>42269</v>
      </c>
    </row>
    <row r="61" spans="1:14" ht="21.6" thickBot="1" x14ac:dyDescent="0.35">
      <c r="A61" s="132" t="s">
        <v>67</v>
      </c>
      <c r="B61" s="132"/>
      <c r="C61" s="132"/>
      <c r="D61" s="132"/>
      <c r="E61" s="132"/>
      <c r="F61" s="132"/>
      <c r="G61" s="132"/>
      <c r="H61" s="132"/>
    </row>
    <row r="62" spans="1:14" ht="20.25" customHeight="1" x14ac:dyDescent="0.4">
      <c r="A62" s="182" t="str">
        <f>CONCATENATE((IF(OR(A47="",A47="NA"),"",A47)),"= ",(IF(OR(D47="",D47="NA"),"",D47)),".")</f>
        <v>Tower H = B + LG + G + UG + 2P + 1st to 42nd Floor.</v>
      </c>
      <c r="B62" s="182"/>
      <c r="C62" s="182"/>
      <c r="D62" s="30" t="s">
        <v>115</v>
      </c>
      <c r="E62" s="180" t="s">
        <v>102</v>
      </c>
      <c r="F62" s="180"/>
      <c r="G62" s="30" t="s">
        <v>116</v>
      </c>
      <c r="H62" s="30" t="s">
        <v>117</v>
      </c>
      <c r="I62" s="16" t="str">
        <f ca="1">(IF(E65&gt;99%,"All work completed. Please provide OC.",IF(E65&gt;89.8%,"Plinth, RCC, Brick, Plaster, Flooring, Wooden, Plumbing, Electrification, etc.,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completed","0")))))))))))&amp;(IF(C67=(E63+G63+H63),", RCC Slab",IF(C67&gt;0,", RCC upto "&amp;C67&amp;" Slab",""))&amp;(IF(C68=H63,", Brickwork",IF(C68&gt;0,", Brickwork upto "&amp;C68&amp;" Floor",""))&amp;(IF(C69=H63,", Internal Plaster",IF(C69&gt;0,", Internal Plaster upto "&amp;C69&amp;" Floor",""))&amp;(IF(C70=H63,", External Plaster",IF(C70&gt;0,", External Plaster upto "&amp;C70&amp;" Floor",""))&amp;(IF(C71=H63,", External Plumbing, Elevation and Waterproofing",IF(C71&gt;0,", External Plumbing, Elevation and Waterproofing upto "&amp;C71&amp;" Floor",""))&amp;(IF(C72=H63,", Flooring &amp; Fitting",IF(C72&gt;0,", Flooring &amp; Fitting upto "&amp;C72&amp;" Floor",""))&amp;(IF(C73=H63,", Wooden Work",IF(C73&gt;0,", Wooden Work upto "&amp;C73&amp;" Floor",""))&amp;(IF(C74=H63,", Electrical &amp; Sanitary fittings",IF(C74&gt;0,", Electrical &amp; Sanitary fittings upto "&amp;C74&amp;" Floor",""))&amp;(IF(C75&gt;0,", Finishing upto "&amp;C75&amp;" Floor","")&amp;(IF(C67&gt;0.5," Completed",""))))))))))))))))</f>
        <v>Excavation work Completed. Plinth work completed, RCC Slab, Brickwork, Internal Plaster, External Plaster, External Plumbing, Elevation and Waterproofing, Flooring &amp; Fitting, Wooden Work upto 40 Floor, Electrical &amp; Sanitary fittings upto 38 Floor, Finishing upto 35 Floor Completed</v>
      </c>
      <c r="J62" s="18"/>
    </row>
    <row r="63" spans="1:14" ht="21" x14ac:dyDescent="0.4">
      <c r="A63" s="182"/>
      <c r="B63" s="182"/>
      <c r="C63" s="182"/>
      <c r="D63" s="90">
        <v>1</v>
      </c>
      <c r="E63" s="181">
        <v>3</v>
      </c>
      <c r="F63" s="181"/>
      <c r="G63" s="90">
        <v>2</v>
      </c>
      <c r="H63" s="30">
        <f ca="1">--TRIM(RIGHT(SUBSTITUTE(LEFT(A62,_xlfn.AGGREGATE(16,6,FIND({0,1,2,3,4,5,6,7,8,9},A62,ROW(INDIRECT("1:"&amp;LEN(A62)))),1))," ",REPT(" ",LEN(A62))),LEN(A62)))</f>
        <v>42</v>
      </c>
      <c r="I63" s="17" t="s">
        <v>121</v>
      </c>
      <c r="J63" s="18"/>
    </row>
    <row r="64" spans="1:14" ht="20.25" customHeight="1" x14ac:dyDescent="0.4">
      <c r="A64" s="179" t="s">
        <v>119</v>
      </c>
      <c r="B64" s="179"/>
      <c r="C64" s="28" t="s">
        <v>133</v>
      </c>
      <c r="D64" s="28" t="s">
        <v>134</v>
      </c>
      <c r="E64" s="179" t="s">
        <v>120</v>
      </c>
      <c r="F64" s="179"/>
      <c r="G64" s="29" t="s">
        <v>118</v>
      </c>
      <c r="H64" s="29"/>
      <c r="I64" s="20" t="s">
        <v>135</v>
      </c>
      <c r="J64" s="19">
        <f ca="1">H63*25%</f>
        <v>10.5</v>
      </c>
    </row>
    <row r="65" spans="1:10" ht="20.25" customHeight="1" x14ac:dyDescent="0.4">
      <c r="A65" s="115" t="s">
        <v>136</v>
      </c>
      <c r="B65" s="115"/>
      <c r="C65" s="32">
        <f ca="1">J66</f>
        <v>42</v>
      </c>
      <c r="D65" s="5">
        <f ca="1">((100/H63)*C65)/100</f>
        <v>1</v>
      </c>
      <c r="E65" s="116">
        <f ca="1">(((C65/H63*10)+(C66/H63*15)+(25/(E63+G63+H63)*C67)+(5/(H63)*C68)+(2.5/(H63)*C69)+(2.5/(H63)*C70)+(5/H63*C71)+(10/H63*C72)+(2.5/H63*C73)+(2.5/H63*C74)+(10/H63*C75)+(10/H63*C76))/100)</f>
        <v>0.87976190476190463</v>
      </c>
      <c r="F65" s="117"/>
      <c r="G65" s="115" t="str">
        <f ca="1">I62</f>
        <v>Excavation work Completed. Plinth work completed, RCC Slab, Brickwork, Internal Plaster, External Plaster, External Plumbing, Elevation and Waterproofing, Flooring &amp; Fitting, Wooden Work upto 40 Floor, Electrical &amp; Sanitary fittings upto 38 Floor, Finishing upto 35 Floor Completed</v>
      </c>
      <c r="H65" s="115"/>
      <c r="I65" s="20" t="s">
        <v>122</v>
      </c>
      <c r="J65" s="24">
        <f ca="1">H63*50%</f>
        <v>21</v>
      </c>
    </row>
    <row r="66" spans="1:10" ht="21" x14ac:dyDescent="0.4">
      <c r="A66" s="115" t="s">
        <v>103</v>
      </c>
      <c r="B66" s="115"/>
      <c r="C66" s="32">
        <f>J74</f>
        <v>42</v>
      </c>
      <c r="D66" s="5">
        <f ca="1">((100/H63)*C66)/100</f>
        <v>1</v>
      </c>
      <c r="E66" s="118"/>
      <c r="F66" s="119"/>
      <c r="G66" s="115"/>
      <c r="H66" s="115"/>
      <c r="I66" s="20" t="s">
        <v>123</v>
      </c>
      <c r="J66" s="24">
        <f ca="1">H63</f>
        <v>42</v>
      </c>
    </row>
    <row r="67" spans="1:10" ht="21" customHeight="1" x14ac:dyDescent="0.4">
      <c r="A67" s="115" t="s">
        <v>137</v>
      </c>
      <c r="B67" s="115"/>
      <c r="C67" s="30">
        <v>47</v>
      </c>
      <c r="D67" s="5">
        <f ca="1">((100/(E63+G63+H63))*C67)/100</f>
        <v>1</v>
      </c>
      <c r="E67" s="118"/>
      <c r="F67" s="119"/>
      <c r="G67" s="115"/>
      <c r="H67" s="115"/>
      <c r="I67" s="20" t="s">
        <v>124</v>
      </c>
      <c r="J67" s="25">
        <f ca="1">(IF(D63&gt;1,(H63/(D63+2)),H63*0.2))</f>
        <v>8.4</v>
      </c>
    </row>
    <row r="68" spans="1:10" ht="21" customHeight="1" x14ac:dyDescent="0.4">
      <c r="A68" s="115" t="s">
        <v>138</v>
      </c>
      <c r="B68" s="115"/>
      <c r="C68" s="30">
        <v>42</v>
      </c>
      <c r="D68" s="5">
        <f ca="1">((100/H63)*C68)/100</f>
        <v>1</v>
      </c>
      <c r="E68" s="118"/>
      <c r="F68" s="119"/>
      <c r="G68" s="115"/>
      <c r="H68" s="115"/>
      <c r="I68" s="20" t="s">
        <v>125</v>
      </c>
      <c r="J68" s="25">
        <f ca="1">(IF(D63&gt;1,(H63/(D63+2)+J67),H63*0.2+J67))</f>
        <v>16.8</v>
      </c>
    </row>
    <row r="69" spans="1:10" ht="21" customHeight="1" x14ac:dyDescent="0.4">
      <c r="A69" s="153" t="s">
        <v>139</v>
      </c>
      <c r="B69" s="154"/>
      <c r="C69" s="30">
        <v>42</v>
      </c>
      <c r="D69" s="5">
        <f ca="1">((100/H63)*C69)/100</f>
        <v>1</v>
      </c>
      <c r="E69" s="118"/>
      <c r="F69" s="119"/>
      <c r="G69" s="115"/>
      <c r="H69" s="115"/>
      <c r="I69" s="20" t="s">
        <v>140</v>
      </c>
      <c r="J69" s="25">
        <f>(IF(D63&gt;1,(H63/(D63+2)+J68),0))</f>
        <v>0</v>
      </c>
    </row>
    <row r="70" spans="1:10" ht="21" customHeight="1" x14ac:dyDescent="0.4">
      <c r="A70" s="153" t="s">
        <v>170</v>
      </c>
      <c r="B70" s="154"/>
      <c r="C70" s="30">
        <v>42</v>
      </c>
      <c r="D70" s="5">
        <f ca="1">((100/H63)*C70)/100</f>
        <v>1</v>
      </c>
      <c r="E70" s="118"/>
      <c r="F70" s="119"/>
      <c r="G70" s="115"/>
      <c r="H70" s="115"/>
      <c r="I70" s="20" t="s">
        <v>141</v>
      </c>
      <c r="J70" s="25">
        <f>(IF(D63&gt;2,(H63/(D63+2)+J69),0))</f>
        <v>0</v>
      </c>
    </row>
    <row r="71" spans="1:10" ht="21" x14ac:dyDescent="0.4">
      <c r="A71" s="153" t="s">
        <v>167</v>
      </c>
      <c r="B71" s="154"/>
      <c r="C71" s="30">
        <v>42</v>
      </c>
      <c r="D71" s="5">
        <f ca="1">((100/(H63))*C71)/100</f>
        <v>1</v>
      </c>
      <c r="E71" s="118"/>
      <c r="F71" s="119"/>
      <c r="G71" s="115"/>
      <c r="H71" s="115"/>
      <c r="I71" s="20" t="s">
        <v>143</v>
      </c>
      <c r="J71" s="26">
        <f>(IF(D63&gt;3,(H63/(D63+2)+J70),0))</f>
        <v>0</v>
      </c>
    </row>
    <row r="72" spans="1:10" ht="21" x14ac:dyDescent="0.4">
      <c r="A72" s="115" t="s">
        <v>142</v>
      </c>
      <c r="B72" s="115"/>
      <c r="C72" s="30">
        <v>42</v>
      </c>
      <c r="D72" s="5">
        <f ca="1">((100/(H63))*C72)/100</f>
        <v>1</v>
      </c>
      <c r="E72" s="118"/>
      <c r="F72" s="119"/>
      <c r="G72" s="115"/>
      <c r="H72" s="115"/>
      <c r="I72" s="20" t="s">
        <v>144</v>
      </c>
      <c r="J72" s="25">
        <f>(IF(D63&gt;4,(H63/(D63+2)+J71),0))</f>
        <v>0</v>
      </c>
    </row>
    <row r="73" spans="1:10" ht="21" customHeight="1" x14ac:dyDescent="0.4">
      <c r="A73" s="115" t="s">
        <v>169</v>
      </c>
      <c r="B73" s="115"/>
      <c r="C73" s="30">
        <v>40</v>
      </c>
      <c r="D73" s="5">
        <f ca="1">((100/H63)*C73)/100</f>
        <v>0.95238095238095244</v>
      </c>
      <c r="E73" s="118"/>
      <c r="F73" s="119"/>
      <c r="G73" s="115"/>
      <c r="H73" s="115"/>
      <c r="I73" s="20" t="s">
        <v>126</v>
      </c>
      <c r="J73" s="25">
        <f ca="1">(IF(D63=1,(H63/(D63+3)+J68),IF(D63=0,(H63*0.3+J68),IF(D63&gt;1,0))))</f>
        <v>27.3</v>
      </c>
    </row>
    <row r="74" spans="1:10" ht="21.6" thickBot="1" x14ac:dyDescent="0.45">
      <c r="A74" s="115" t="s">
        <v>168</v>
      </c>
      <c r="B74" s="115"/>
      <c r="C74" s="30">
        <v>38</v>
      </c>
      <c r="D74" s="5">
        <f ca="1">((100/H63)*C74)/100</f>
        <v>0.90476190476190477</v>
      </c>
      <c r="E74" s="118"/>
      <c r="F74" s="119"/>
      <c r="G74" s="115"/>
      <c r="H74" s="115"/>
      <c r="I74" s="22" t="s">
        <v>127</v>
      </c>
      <c r="J74" s="27">
        <v>42</v>
      </c>
    </row>
    <row r="75" spans="1:10" ht="21" x14ac:dyDescent="0.3">
      <c r="A75" s="115" t="s">
        <v>145</v>
      </c>
      <c r="B75" s="115"/>
      <c r="C75" s="30">
        <v>35</v>
      </c>
      <c r="D75" s="5">
        <f ca="1">((100/(H63))*C75)/100</f>
        <v>0.83333333333333326</v>
      </c>
      <c r="E75" s="118"/>
      <c r="F75" s="119"/>
      <c r="G75" s="115"/>
      <c r="H75" s="115"/>
    </row>
    <row r="76" spans="1:10" ht="35.25" customHeight="1" x14ac:dyDescent="0.3">
      <c r="A76" s="115" t="s">
        <v>146</v>
      </c>
      <c r="B76" s="115"/>
      <c r="C76" s="30">
        <v>0</v>
      </c>
      <c r="D76" s="5">
        <f ca="1">((100/(H63))*C76)/100</f>
        <v>0</v>
      </c>
      <c r="E76" s="120"/>
      <c r="F76" s="121"/>
      <c r="G76" s="115"/>
      <c r="H76" s="115"/>
    </row>
    <row r="77" spans="1:10" ht="21.6" hidden="1" thickBot="1" x14ac:dyDescent="0.35">
      <c r="A77" s="132" t="s">
        <v>67</v>
      </c>
      <c r="B77" s="132"/>
      <c r="C77" s="132"/>
      <c r="D77" s="132"/>
      <c r="E77" s="132"/>
      <c r="F77" s="132"/>
      <c r="G77" s="132"/>
      <c r="H77" s="132"/>
    </row>
    <row r="78" spans="1:10" ht="20.25" hidden="1" customHeight="1" x14ac:dyDescent="0.4">
      <c r="A78" s="182" t="str">
        <f>CONCATENATE((IF(OR(A48="",A48="NA"),"",A48)),"= ",(IF(OR(D48="",D48="NA"),"",D48)),".")</f>
        <v>Tower 2 = .</v>
      </c>
      <c r="B78" s="182"/>
      <c r="C78" s="182"/>
      <c r="D78" s="30" t="s">
        <v>115</v>
      </c>
      <c r="E78" s="180" t="s">
        <v>102</v>
      </c>
      <c r="F78" s="180"/>
      <c r="G78" s="30" t="s">
        <v>116</v>
      </c>
      <c r="H78" s="30" t="s">
        <v>117</v>
      </c>
      <c r="I78" s="16" t="str">
        <f ca="1">(IF(E81&gt;99%,"All work completed. Please provide OC.",IF(E81&gt;89.8%,"Plinth, RCC, Brick, Plaster, Flooring, Wooden, Plumbing, Electrification, etc.,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completed","0")))))))))))&amp;(IF(C83=(E79+G79+H79),", RCC Slab",IF(C83&gt;0,", RCC upto "&amp;C83&amp;" Slab",""))&amp;(IF(C84=H79,", Brickwork",IF(C84&gt;0,", Brickwork upto "&amp;C84&amp;" Floor",""))&amp;(IF(C85=H79,", Internal Plaster",IF(C85&gt;0,", Internal Plaster upto "&amp;C85&amp;" Floor",""))&amp;(IF(C86=H79,", External Plaster",IF(C86&gt;0,", External Plaster upto "&amp;C86&amp;" Floor",""))&amp;(IF(C87=H79,", External Plumbing, Elevation and Waterproofing",IF(C87&gt;0,", External Plumbing, Elevation and Waterproofing upto "&amp;C87&amp;" Floor",""))&amp;(IF(C88=H79,", Flooring &amp; Fitting",IF(C88&gt;0,", Flooring &amp; Fitting upto "&amp;C88&amp;" Floor",""))&amp;(IF(C89=H79,", Wooden Work",IF(C89&gt;0,", Wooden Work upto "&amp;C89&amp;" Floor",""))&amp;(IF(C90=H79,", Electrical &amp; Sanitary fittings",IF(C90&gt;0,", Electrical &amp; Sanitary fittings upto "&amp;C90&amp;" Floor",""))&amp;(IF(C91&gt;0,", Finishing upto "&amp;C91&amp;" Floor","")&amp;(IF(C83&gt;0.5," Completed",""))))))))))))))))</f>
        <v>Excavation work Completed. Plinth work completed</v>
      </c>
      <c r="J78" s="18"/>
    </row>
    <row r="79" spans="1:10" ht="21" hidden="1" x14ac:dyDescent="0.4">
      <c r="A79" s="182"/>
      <c r="B79" s="182"/>
      <c r="C79" s="182"/>
      <c r="D79" s="53">
        <f>IF(AND(ISNUMBER(SEARCH("1B",A78))),1,IF(AND(ISNUMBER(SEARCH("2B",A78))),2,IF(AND(ISNUMBER(SEARCH("3B",A78))),3,IF(AND(ISNUMBER(SEARCH("4B",A78))),4,IF(ISNUMBER(SEARCH("5B",A78)),5,0)))))</f>
        <v>0</v>
      </c>
      <c r="E79" s="180">
        <v>1</v>
      </c>
      <c r="F79" s="180"/>
      <c r="G79" s="53">
        <v>0</v>
      </c>
      <c r="H79" s="30">
        <f ca="1">--TRIM(RIGHT(SUBSTITUTE(LEFT(A78,_xlfn.AGGREGATE(16,6,FIND({0,1,2,3,4,5,6,7,8,9},A78,ROW(INDIRECT("1:"&amp;LEN(A78)))),1))," ",REPT(" ",LEN(A78))),LEN(A78)))</f>
        <v>2</v>
      </c>
      <c r="I79" s="17" t="s">
        <v>121</v>
      </c>
      <c r="J79" s="18"/>
    </row>
    <row r="80" spans="1:10" ht="20.25" hidden="1" customHeight="1" x14ac:dyDescent="0.4">
      <c r="A80" s="179" t="s">
        <v>119</v>
      </c>
      <c r="B80" s="179"/>
      <c r="C80" s="28" t="s">
        <v>133</v>
      </c>
      <c r="D80" s="28" t="s">
        <v>134</v>
      </c>
      <c r="E80" s="179" t="s">
        <v>120</v>
      </c>
      <c r="F80" s="179"/>
      <c r="G80" s="29" t="s">
        <v>118</v>
      </c>
      <c r="H80" s="29"/>
      <c r="I80" s="20" t="s">
        <v>135</v>
      </c>
      <c r="J80" s="19">
        <f ca="1">H79*25%</f>
        <v>0.5</v>
      </c>
    </row>
    <row r="81" spans="1:10" ht="20.25" hidden="1" customHeight="1" x14ac:dyDescent="0.4">
      <c r="A81" s="115" t="s">
        <v>136</v>
      </c>
      <c r="B81" s="115"/>
      <c r="C81" s="30">
        <f ca="1">J82</f>
        <v>2</v>
      </c>
      <c r="D81" s="5">
        <f ca="1">((100/H79)*C81)/100</f>
        <v>1</v>
      </c>
      <c r="E81" s="116">
        <f ca="1">(((C81/H79*10)+(C82/H79*15)+(25/(E79+G79+H79)*C83)+(5/(H79)*C84)+(2.5/(H79)*C85)+(2.5/(H79)*C86)+(5/H79*C87)+(10/H79*C88)+(2.5/H79*C89)+(2.5/H79*C90)+(10/H79*C91)+(10/H79*C92))/100)</f>
        <v>0.25</v>
      </c>
      <c r="F81" s="117"/>
      <c r="G81" s="115" t="str">
        <f ca="1">I78</f>
        <v>Excavation work Completed. Plinth work completed</v>
      </c>
      <c r="H81" s="115"/>
      <c r="I81" s="20" t="s">
        <v>122</v>
      </c>
      <c r="J81" s="24">
        <f ca="1">H79*50%</f>
        <v>1</v>
      </c>
    </row>
    <row r="82" spans="1:10" ht="21" hidden="1" x14ac:dyDescent="0.4">
      <c r="A82" s="115" t="s">
        <v>103</v>
      </c>
      <c r="B82" s="115"/>
      <c r="C82" s="32">
        <f ca="1">J90</f>
        <v>2</v>
      </c>
      <c r="D82" s="5">
        <f ca="1">((100/H79)*C82)/100</f>
        <v>1</v>
      </c>
      <c r="E82" s="118"/>
      <c r="F82" s="119"/>
      <c r="G82" s="115"/>
      <c r="H82" s="115"/>
      <c r="I82" s="20" t="s">
        <v>123</v>
      </c>
      <c r="J82" s="24">
        <f ca="1">H79</f>
        <v>2</v>
      </c>
    </row>
    <row r="83" spans="1:10" ht="21" hidden="1" customHeight="1" x14ac:dyDescent="0.4">
      <c r="A83" s="115" t="s">
        <v>137</v>
      </c>
      <c r="B83" s="115"/>
      <c r="C83" s="30">
        <v>0</v>
      </c>
      <c r="D83" s="5">
        <f ca="1">((100/(E79+G79+H79))*C83)/100</f>
        <v>0</v>
      </c>
      <c r="E83" s="118"/>
      <c r="F83" s="119"/>
      <c r="G83" s="115"/>
      <c r="H83" s="115"/>
      <c r="I83" s="20" t="s">
        <v>124</v>
      </c>
      <c r="J83" s="25">
        <f ca="1">(IF(D79&gt;1,(H79/(D79+2)),H79*0.2))</f>
        <v>0.4</v>
      </c>
    </row>
    <row r="84" spans="1:10" ht="21" hidden="1" customHeight="1" x14ac:dyDescent="0.4">
      <c r="A84" s="115" t="s">
        <v>138</v>
      </c>
      <c r="B84" s="115"/>
      <c r="C84" s="30">
        <v>0</v>
      </c>
      <c r="D84" s="5">
        <f ca="1">((100/H79)*C84)/100</f>
        <v>0</v>
      </c>
      <c r="E84" s="118"/>
      <c r="F84" s="119"/>
      <c r="G84" s="115"/>
      <c r="H84" s="115"/>
      <c r="I84" s="20" t="s">
        <v>125</v>
      </c>
      <c r="J84" s="25">
        <f ca="1">(IF(D79&gt;1,(H79/(D79+2)+J83),H79*0.2+J83))</f>
        <v>0.8</v>
      </c>
    </row>
    <row r="85" spans="1:10" ht="21" hidden="1" customHeight="1" x14ac:dyDescent="0.4">
      <c r="A85" s="153" t="s">
        <v>139</v>
      </c>
      <c r="B85" s="154"/>
      <c r="C85" s="30">
        <v>0</v>
      </c>
      <c r="D85" s="5">
        <f ca="1">((100/H79)*C85)/100</f>
        <v>0</v>
      </c>
      <c r="E85" s="118"/>
      <c r="F85" s="119"/>
      <c r="G85" s="115"/>
      <c r="H85" s="115"/>
      <c r="I85" s="20" t="s">
        <v>140</v>
      </c>
      <c r="J85" s="25">
        <f>(IF(D79&gt;1,(H79/(D79+2)+J84),0))</f>
        <v>0</v>
      </c>
    </row>
    <row r="86" spans="1:10" ht="21" hidden="1" customHeight="1" x14ac:dyDescent="0.4">
      <c r="A86" s="153" t="s">
        <v>170</v>
      </c>
      <c r="B86" s="154"/>
      <c r="C86" s="30">
        <v>0</v>
      </c>
      <c r="D86" s="5">
        <f ca="1">((100/H79)*C86)/100</f>
        <v>0</v>
      </c>
      <c r="E86" s="118"/>
      <c r="F86" s="119"/>
      <c r="G86" s="115"/>
      <c r="H86" s="115"/>
      <c r="I86" s="20" t="s">
        <v>141</v>
      </c>
      <c r="J86" s="25">
        <f>(IF(D79&gt;2,(H79/(D79+2)+J85),0))</f>
        <v>0</v>
      </c>
    </row>
    <row r="87" spans="1:10" ht="57.75" hidden="1" customHeight="1" x14ac:dyDescent="0.4">
      <c r="A87" s="153" t="s">
        <v>167</v>
      </c>
      <c r="B87" s="154"/>
      <c r="C87" s="30">
        <v>0</v>
      </c>
      <c r="D87" s="5">
        <f ca="1">((100/(H79))*C87)/100</f>
        <v>0</v>
      </c>
      <c r="E87" s="118"/>
      <c r="F87" s="119"/>
      <c r="G87" s="115"/>
      <c r="H87" s="115"/>
      <c r="I87" s="20" t="s">
        <v>143</v>
      </c>
      <c r="J87" s="26">
        <f>(IF(D79&gt;3,(H79/(D79+2)+J86),0))</f>
        <v>0</v>
      </c>
    </row>
    <row r="88" spans="1:10" ht="21" hidden="1" x14ac:dyDescent="0.4">
      <c r="A88" s="115" t="s">
        <v>142</v>
      </c>
      <c r="B88" s="115"/>
      <c r="C88" s="30">
        <v>0</v>
      </c>
      <c r="D88" s="5">
        <f ca="1">((100/(H79))*C88)/100</f>
        <v>0</v>
      </c>
      <c r="E88" s="118"/>
      <c r="F88" s="119"/>
      <c r="G88" s="115"/>
      <c r="H88" s="115"/>
      <c r="I88" s="20" t="s">
        <v>144</v>
      </c>
      <c r="J88" s="25">
        <f>(IF(D79&gt;4,(H79/(D79+2)+J87),0))</f>
        <v>0</v>
      </c>
    </row>
    <row r="89" spans="1:10" ht="21" hidden="1" customHeight="1" x14ac:dyDescent="0.4">
      <c r="A89" s="115" t="s">
        <v>169</v>
      </c>
      <c r="B89" s="115"/>
      <c r="C89" s="30">
        <v>0</v>
      </c>
      <c r="D89" s="5">
        <f ca="1">((100/H79)*C89)/100</f>
        <v>0</v>
      </c>
      <c r="E89" s="118"/>
      <c r="F89" s="119"/>
      <c r="G89" s="115"/>
      <c r="H89" s="115"/>
      <c r="I89" s="20" t="s">
        <v>126</v>
      </c>
      <c r="J89" s="25">
        <f ca="1">(IF(D79=1,(H79/(D79+3)+J84),IF(D79=0,(H79*0.3+J84),IF(D79&gt;1,0))))</f>
        <v>1.4</v>
      </c>
    </row>
    <row r="90" spans="1:10" ht="21.6" hidden="1" thickBot="1" x14ac:dyDescent="0.45">
      <c r="A90" s="115" t="s">
        <v>168</v>
      </c>
      <c r="B90" s="115"/>
      <c r="C90" s="30">
        <v>0</v>
      </c>
      <c r="D90" s="5">
        <f ca="1">((100/H79)*C90)/100</f>
        <v>0</v>
      </c>
      <c r="E90" s="118"/>
      <c r="F90" s="119"/>
      <c r="G90" s="115"/>
      <c r="H90" s="115"/>
      <c r="I90" s="22" t="s">
        <v>127</v>
      </c>
      <c r="J90" s="27">
        <f ca="1">(IF(D79&gt;1.5,(H79/(D79+2)+J84+MAX(0,J85-J84)+MAX(0,J86-J85)+MAX(0,J87-J86)+MAX(0,J88-J87)+MAX(0,J89-J88)),IF(D79=1,(H79/(D79+3)+J89),IF(D79=0,H79*0.3+J89))))</f>
        <v>2</v>
      </c>
    </row>
    <row r="91" spans="1:10" ht="21" hidden="1" x14ac:dyDescent="0.3">
      <c r="A91" s="115" t="s">
        <v>145</v>
      </c>
      <c r="B91" s="115"/>
      <c r="C91" s="30">
        <v>0</v>
      </c>
      <c r="D91" s="5">
        <f ca="1">((100/(H79))*C91)/100</f>
        <v>0</v>
      </c>
      <c r="E91" s="118"/>
      <c r="F91" s="119"/>
      <c r="G91" s="115"/>
      <c r="H91" s="115"/>
    </row>
    <row r="92" spans="1:10" ht="21" hidden="1" x14ac:dyDescent="0.3">
      <c r="A92" s="115" t="s">
        <v>146</v>
      </c>
      <c r="B92" s="115"/>
      <c r="C92" s="30">
        <v>0</v>
      </c>
      <c r="D92" s="5">
        <f ca="1">((100/(H79))*C92)/100</f>
        <v>0</v>
      </c>
      <c r="E92" s="120"/>
      <c r="F92" s="121"/>
      <c r="G92" s="115"/>
      <c r="H92" s="115"/>
    </row>
    <row r="93" spans="1:10" ht="21.6" hidden="1" thickBot="1" x14ac:dyDescent="0.35">
      <c r="A93" s="132" t="s">
        <v>67</v>
      </c>
      <c r="B93" s="132"/>
      <c r="C93" s="132"/>
      <c r="D93" s="132"/>
      <c r="E93" s="132"/>
      <c r="F93" s="132"/>
      <c r="G93" s="132"/>
      <c r="H93" s="132"/>
    </row>
    <row r="94" spans="1:10" ht="20.25" hidden="1" customHeight="1" x14ac:dyDescent="0.4">
      <c r="A94" s="182" t="str">
        <f>CONCATENATE((IF(OR(A49="",A49="NA"),"",A49)),"= ",(IF(OR(D49="",D49="NA"),"",D49)),".")</f>
        <v>Tower 3 = .</v>
      </c>
      <c r="B94" s="182"/>
      <c r="C94" s="182"/>
      <c r="D94" s="30" t="s">
        <v>115</v>
      </c>
      <c r="E94" s="180" t="s">
        <v>102</v>
      </c>
      <c r="F94" s="180"/>
      <c r="G94" s="30" t="s">
        <v>116</v>
      </c>
      <c r="H94" s="30" t="s">
        <v>117</v>
      </c>
      <c r="I94" s="16" t="str">
        <f ca="1">(IF(E97&gt;99%,"All work completed. Please provide OC.",IF(E97&gt;89.8%,"Plinth, RCC, Brick, Plaster, Flooring, Wooden, Plumbing, Electrification, etc.,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completed","0")))))))))))&amp;(IF(C99=(E95+G95+H95),", RCC Slab",IF(C99&gt;0,", RCC upto "&amp;C99&amp;" Slab",""))&amp;(IF(C100=H95,", Brickwork",IF(C100&gt;0,", Brickwork upto "&amp;C100&amp;" Floor",""))&amp;(IF(C101=H95,", Internal Plaster",IF(C101&gt;0,", Internal Plaster upto "&amp;C101&amp;" Floor",""))&amp;(IF(C102=H95,", External Plaster",IF(C102&gt;0,", External Plaster upto "&amp;C102&amp;" Floor",""))&amp;(IF(C103=H95,", External Plumbing, Elevation and Waterproofing",IF(C103&gt;0,", External Plumbing, Elevation and Waterproofing upto "&amp;C103&amp;" Floor",""))&amp;(IF(C104=H95,", Flooring &amp; Fitting",IF(C104&gt;0,", Flooring &amp; Fitting upto "&amp;C104&amp;" Floor",""))&amp;(IF(C105=H95,", Wooden Work",IF(C105&gt;0,", Wooden Work upto "&amp;C105&amp;" Floor",""))&amp;(IF(C106=H95,", Electrical &amp; Sanitary fittings",IF(C106&gt;0,", Electrical &amp; Sanitary fittings upto "&amp;C106&amp;" Floor",""))&amp;(IF(C107&gt;0,", Finishing upto "&amp;C107&amp;" Floor","")&amp;(IF(C99&gt;0.5," Completed",""))))))))))))))))</f>
        <v>Excavation work Completed. Plinth work completed</v>
      </c>
      <c r="J94" s="18"/>
    </row>
    <row r="95" spans="1:10" ht="21" hidden="1" x14ac:dyDescent="0.4">
      <c r="A95" s="182"/>
      <c r="B95" s="182"/>
      <c r="C95" s="182"/>
      <c r="D95" s="53">
        <f>IF(AND(ISNUMBER(SEARCH("1B",A94))),1,IF(AND(ISNUMBER(SEARCH("2B",A94))),2,IF(AND(ISNUMBER(SEARCH("3B",A94))),3,IF(AND(ISNUMBER(SEARCH("4B",A94))),4,IF(ISNUMBER(SEARCH("5B",A94)),5,0)))))</f>
        <v>0</v>
      </c>
      <c r="E95" s="180">
        <v>1</v>
      </c>
      <c r="F95" s="180"/>
      <c r="G95" s="53">
        <v>0</v>
      </c>
      <c r="H95" s="30">
        <f ca="1">--TRIM(RIGHT(SUBSTITUTE(LEFT(A94,_xlfn.AGGREGATE(16,6,FIND({0,1,2,3,4,5,6,7,8,9},A94,ROW(INDIRECT("1:"&amp;LEN(A94)))),1))," ",REPT(" ",LEN(A94))),LEN(A94)))</f>
        <v>3</v>
      </c>
      <c r="I95" s="17" t="s">
        <v>121</v>
      </c>
      <c r="J95" s="18"/>
    </row>
    <row r="96" spans="1:10" ht="20.25" hidden="1" customHeight="1" x14ac:dyDescent="0.4">
      <c r="A96" s="179" t="s">
        <v>119</v>
      </c>
      <c r="B96" s="179"/>
      <c r="C96" s="28" t="s">
        <v>133</v>
      </c>
      <c r="D96" s="28" t="s">
        <v>134</v>
      </c>
      <c r="E96" s="179" t="s">
        <v>120</v>
      </c>
      <c r="F96" s="179"/>
      <c r="G96" s="29" t="s">
        <v>118</v>
      </c>
      <c r="H96" s="29"/>
      <c r="I96" s="20" t="s">
        <v>135</v>
      </c>
      <c r="J96" s="19">
        <f ca="1">H95*25%</f>
        <v>0.75</v>
      </c>
    </row>
    <row r="97" spans="1:11" ht="20.25" hidden="1" customHeight="1" x14ac:dyDescent="0.4">
      <c r="A97" s="115" t="s">
        <v>136</v>
      </c>
      <c r="B97" s="115"/>
      <c r="C97" s="30">
        <f ca="1">J98</f>
        <v>3</v>
      </c>
      <c r="D97" s="5">
        <f ca="1">((100/H95)*C97)/100</f>
        <v>1</v>
      </c>
      <c r="E97" s="116">
        <f ca="1">(((C97/H95*10)+(C98/H95*15)+(25/(E95+G95+H95)*C99)+(5/(H95)*C100)+(2.5/(H95)*C101)+(2.5/(H95)*C102)+(5/H95*C103)+(10/H95*C104)+(2.5/H95*C105)+(2.5/H95*C106)+(10/H95*C107)+(10/H95*C108))/100)</f>
        <v>0.25</v>
      </c>
      <c r="F97" s="117"/>
      <c r="G97" s="115" t="str">
        <f ca="1">I94</f>
        <v>Excavation work Completed. Plinth work completed</v>
      </c>
      <c r="H97" s="115"/>
      <c r="I97" s="20" t="s">
        <v>122</v>
      </c>
      <c r="J97" s="24">
        <f ca="1">H95*50%</f>
        <v>1.5</v>
      </c>
    </row>
    <row r="98" spans="1:11" ht="21" hidden="1" x14ac:dyDescent="0.4">
      <c r="A98" s="115" t="s">
        <v>103</v>
      </c>
      <c r="B98" s="115"/>
      <c r="C98" s="32">
        <f ca="1">J106</f>
        <v>3</v>
      </c>
      <c r="D98" s="5">
        <f ca="1">((100/H95)*C98)/100</f>
        <v>1</v>
      </c>
      <c r="E98" s="118"/>
      <c r="F98" s="119"/>
      <c r="G98" s="115"/>
      <c r="H98" s="115"/>
      <c r="I98" s="20" t="s">
        <v>123</v>
      </c>
      <c r="J98" s="24">
        <f ca="1">H95</f>
        <v>3</v>
      </c>
    </row>
    <row r="99" spans="1:11" ht="21" hidden="1" customHeight="1" x14ac:dyDescent="0.4">
      <c r="A99" s="115" t="s">
        <v>137</v>
      </c>
      <c r="B99" s="115"/>
      <c r="C99" s="30">
        <v>0</v>
      </c>
      <c r="D99" s="5">
        <f ca="1">((100/(E95+G95+H95))*C99)/100</f>
        <v>0</v>
      </c>
      <c r="E99" s="118"/>
      <c r="F99" s="119"/>
      <c r="G99" s="115"/>
      <c r="H99" s="115"/>
      <c r="I99" s="20" t="s">
        <v>124</v>
      </c>
      <c r="J99" s="25">
        <f ca="1">(IF(D95&gt;1,(H95/(D95+2)),H95*0.2))</f>
        <v>0.60000000000000009</v>
      </c>
    </row>
    <row r="100" spans="1:11" ht="21" hidden="1" customHeight="1" x14ac:dyDescent="0.4">
      <c r="A100" s="115" t="s">
        <v>138</v>
      </c>
      <c r="B100" s="115"/>
      <c r="C100" s="30">
        <v>0</v>
      </c>
      <c r="D100" s="5">
        <f ca="1">((100/H95)*C100)/100</f>
        <v>0</v>
      </c>
      <c r="E100" s="118"/>
      <c r="F100" s="119"/>
      <c r="G100" s="115"/>
      <c r="H100" s="115"/>
      <c r="I100" s="20" t="s">
        <v>125</v>
      </c>
      <c r="J100" s="25">
        <f ca="1">(IF(D95&gt;1,(H95/(D95+2)+J99),H95*0.2+J99))</f>
        <v>1.2000000000000002</v>
      </c>
    </row>
    <row r="101" spans="1:11" ht="21" hidden="1" customHeight="1" x14ac:dyDescent="0.4">
      <c r="A101" s="153" t="s">
        <v>139</v>
      </c>
      <c r="B101" s="154"/>
      <c r="C101" s="30">
        <v>0</v>
      </c>
      <c r="D101" s="5">
        <f ca="1">((100/H95)*C101)/100</f>
        <v>0</v>
      </c>
      <c r="E101" s="118"/>
      <c r="F101" s="119"/>
      <c r="G101" s="115"/>
      <c r="H101" s="115"/>
      <c r="I101" s="20" t="s">
        <v>140</v>
      </c>
      <c r="J101" s="25">
        <f>(IF(D95&gt;1,(H95/(D95+2)+J100),0))</f>
        <v>0</v>
      </c>
    </row>
    <row r="102" spans="1:11" ht="21" hidden="1" customHeight="1" x14ac:dyDescent="0.4">
      <c r="A102" s="153" t="s">
        <v>170</v>
      </c>
      <c r="B102" s="154"/>
      <c r="C102" s="30">
        <v>0</v>
      </c>
      <c r="D102" s="5">
        <f ca="1">((100/H95)*C102)/100</f>
        <v>0</v>
      </c>
      <c r="E102" s="118"/>
      <c r="F102" s="119"/>
      <c r="G102" s="115"/>
      <c r="H102" s="115"/>
      <c r="I102" s="20" t="s">
        <v>141</v>
      </c>
      <c r="J102" s="25">
        <f>(IF(D95&gt;2,(H95/(D95+2)+J101),0))</f>
        <v>0</v>
      </c>
    </row>
    <row r="103" spans="1:11" ht="57.75" hidden="1" customHeight="1" x14ac:dyDescent="0.4">
      <c r="A103" s="153" t="s">
        <v>167</v>
      </c>
      <c r="B103" s="154"/>
      <c r="C103" s="30">
        <v>0</v>
      </c>
      <c r="D103" s="5">
        <f ca="1">((100/(H95))*C103)/100</f>
        <v>0</v>
      </c>
      <c r="E103" s="118"/>
      <c r="F103" s="119"/>
      <c r="G103" s="115"/>
      <c r="H103" s="115"/>
      <c r="I103" s="20" t="s">
        <v>143</v>
      </c>
      <c r="J103" s="26">
        <f>(IF(D95&gt;3,(H95/(D95+2)+J102),0))</f>
        <v>0</v>
      </c>
    </row>
    <row r="104" spans="1:11" ht="21" hidden="1" x14ac:dyDescent="0.4">
      <c r="A104" s="115" t="s">
        <v>142</v>
      </c>
      <c r="B104" s="115"/>
      <c r="C104" s="30">
        <v>0</v>
      </c>
      <c r="D104" s="5">
        <f ca="1">((100/(H95))*C104)/100</f>
        <v>0</v>
      </c>
      <c r="E104" s="118"/>
      <c r="F104" s="119"/>
      <c r="G104" s="115"/>
      <c r="H104" s="115"/>
      <c r="I104" s="20" t="s">
        <v>144</v>
      </c>
      <c r="J104" s="25">
        <f>(IF(D95&gt;4,(H95/(D95+2)+J103),0))</f>
        <v>0</v>
      </c>
    </row>
    <row r="105" spans="1:11" ht="21" hidden="1" customHeight="1" x14ac:dyDescent="0.4">
      <c r="A105" s="115" t="s">
        <v>169</v>
      </c>
      <c r="B105" s="115"/>
      <c r="C105" s="30">
        <v>0</v>
      </c>
      <c r="D105" s="5">
        <f ca="1">((100/H95)*C105)/100</f>
        <v>0</v>
      </c>
      <c r="E105" s="118"/>
      <c r="F105" s="119"/>
      <c r="G105" s="115"/>
      <c r="H105" s="115"/>
      <c r="I105" s="20" t="s">
        <v>126</v>
      </c>
      <c r="J105" s="25">
        <f ca="1">(IF(D95=1,(H95/(D95+3)+J100),IF(D95=0,(H95*0.3+J100),IF(D95&gt;1,0))))</f>
        <v>2.1</v>
      </c>
    </row>
    <row r="106" spans="1:11" ht="21.6" hidden="1" thickBot="1" x14ac:dyDescent="0.45">
      <c r="A106" s="115" t="s">
        <v>168</v>
      </c>
      <c r="B106" s="115"/>
      <c r="C106" s="30">
        <v>0</v>
      </c>
      <c r="D106" s="5">
        <f ca="1">((100/H95)*C106)/100</f>
        <v>0</v>
      </c>
      <c r="E106" s="118"/>
      <c r="F106" s="119"/>
      <c r="G106" s="115"/>
      <c r="H106" s="115"/>
      <c r="I106" s="22" t="s">
        <v>127</v>
      </c>
      <c r="J106" s="27">
        <f ca="1">(IF(D95&gt;1.5,(H95/(D95+2)+J100+MAX(0,J101-J100)+MAX(0,J102-J101)+MAX(0,J103-J102)+MAX(0,J104-J103)+MAX(0,J105-J104)),IF(D95=1,(H95/(D95+3)+J105),IF(D95=0,H95*0.3+J105))))</f>
        <v>3</v>
      </c>
    </row>
    <row r="107" spans="1:11" ht="21" hidden="1" x14ac:dyDescent="0.3">
      <c r="A107" s="115" t="s">
        <v>145</v>
      </c>
      <c r="B107" s="115"/>
      <c r="C107" s="30">
        <v>0</v>
      </c>
      <c r="D107" s="5">
        <f ca="1">((100/(H95))*C107)/100</f>
        <v>0</v>
      </c>
      <c r="E107" s="118"/>
      <c r="F107" s="119"/>
      <c r="G107" s="115"/>
      <c r="H107" s="115"/>
    </row>
    <row r="108" spans="1:11" ht="21" hidden="1" x14ac:dyDescent="0.3">
      <c r="A108" s="115" t="s">
        <v>146</v>
      </c>
      <c r="B108" s="115"/>
      <c r="C108" s="30">
        <v>0</v>
      </c>
      <c r="D108" s="5">
        <f ca="1">((100/(H95))*C108)/100</f>
        <v>0</v>
      </c>
      <c r="E108" s="120"/>
      <c r="F108" s="121"/>
      <c r="G108" s="115"/>
      <c r="H108" s="115"/>
    </row>
    <row r="109" spans="1:11" ht="36.75" customHeight="1" x14ac:dyDescent="0.4">
      <c r="A109" s="122" t="s">
        <v>128</v>
      </c>
      <c r="B109" s="123"/>
      <c r="C109" s="123"/>
      <c r="D109" s="123"/>
      <c r="E109" s="123"/>
      <c r="F109" s="123"/>
      <c r="G109" s="183">
        <f ca="1">AVERAGE(E65)</f>
        <v>0.87976190476190463</v>
      </c>
      <c r="H109" s="184"/>
      <c r="I109" s="20"/>
      <c r="J109" s="21"/>
      <c r="K109" s="21"/>
    </row>
    <row r="110" spans="1:11" ht="21" x14ac:dyDescent="0.3">
      <c r="A110" s="166" t="s">
        <v>71</v>
      </c>
      <c r="B110" s="167"/>
      <c r="C110" s="167"/>
      <c r="D110" s="167"/>
      <c r="E110" s="167"/>
      <c r="F110" s="167"/>
      <c r="G110" s="167"/>
      <c r="H110" s="168"/>
    </row>
    <row r="111" spans="1:11" ht="54.75" customHeight="1" x14ac:dyDescent="0.3">
      <c r="A111" s="103" t="s">
        <v>72</v>
      </c>
      <c r="B111" s="104"/>
      <c r="C111" s="108" t="s">
        <v>107</v>
      </c>
      <c r="D111" s="109"/>
      <c r="E111" s="103" t="s">
        <v>147</v>
      </c>
      <c r="F111" s="104" t="s">
        <v>4</v>
      </c>
      <c r="G111" s="185" t="s">
        <v>160</v>
      </c>
      <c r="H111" s="185"/>
    </row>
    <row r="112" spans="1:11" ht="44.25" customHeight="1" x14ac:dyDescent="0.3">
      <c r="A112" s="103" t="s">
        <v>157</v>
      </c>
      <c r="B112" s="104"/>
      <c r="C112" s="108" t="s">
        <v>397</v>
      </c>
      <c r="D112" s="109"/>
      <c r="E112" s="103" t="s">
        <v>158</v>
      </c>
      <c r="F112" s="104" t="s">
        <v>4</v>
      </c>
      <c r="G112" s="129" t="s">
        <v>148</v>
      </c>
      <c r="H112" s="129"/>
    </row>
    <row r="113" spans="1:150 16226:16383" ht="21" x14ac:dyDescent="0.3">
      <c r="A113" s="103" t="s">
        <v>73</v>
      </c>
      <c r="B113" s="104"/>
      <c r="C113" s="101">
        <v>700000</v>
      </c>
      <c r="D113" s="102"/>
      <c r="E113" s="103" t="s">
        <v>101</v>
      </c>
      <c r="F113" s="104" t="s">
        <v>4</v>
      </c>
      <c r="G113" s="108" t="s">
        <v>108</v>
      </c>
      <c r="H113" s="109"/>
    </row>
    <row r="114" spans="1:150 16226:16383" ht="21" x14ac:dyDescent="0.3">
      <c r="A114" s="166" t="s">
        <v>70</v>
      </c>
      <c r="B114" s="167"/>
      <c r="C114" s="167"/>
      <c r="D114" s="167"/>
      <c r="E114" s="167"/>
      <c r="F114" s="167"/>
      <c r="G114" s="167"/>
      <c r="H114" s="168"/>
    </row>
    <row r="115" spans="1:150 16226:16383" ht="20.25" customHeight="1" x14ac:dyDescent="0.3">
      <c r="A115" s="103" t="s">
        <v>8</v>
      </c>
      <c r="B115" s="105"/>
      <c r="C115" s="105"/>
      <c r="D115" s="105"/>
      <c r="E115" s="105"/>
      <c r="F115" s="104"/>
      <c r="G115" s="177">
        <f>33200/10.764</f>
        <v>3084.3552582683019</v>
      </c>
      <c r="H115" s="178"/>
    </row>
    <row r="116" spans="1:150 16226:16383" ht="20.25" customHeight="1" x14ac:dyDescent="0.3">
      <c r="A116" s="103" t="s">
        <v>28</v>
      </c>
      <c r="B116" s="105"/>
      <c r="C116" s="105"/>
      <c r="D116" s="105"/>
      <c r="E116" s="105"/>
      <c r="F116" s="104" t="s">
        <v>4</v>
      </c>
      <c r="G116" s="176">
        <f>103600/10.764</f>
        <v>9624.6748420661479</v>
      </c>
      <c r="H116" s="176"/>
    </row>
    <row r="117" spans="1:150 16226:16383" ht="20.25" customHeight="1" x14ac:dyDescent="0.3">
      <c r="A117" s="103" t="s">
        <v>109</v>
      </c>
      <c r="B117" s="105"/>
      <c r="C117" s="105"/>
      <c r="D117" s="105"/>
      <c r="E117" s="105"/>
      <c r="F117" s="104" t="s">
        <v>4</v>
      </c>
      <c r="G117" s="176">
        <f>G115*0.8</f>
        <v>2467.4842066146416</v>
      </c>
      <c r="H117" s="176"/>
    </row>
    <row r="118" spans="1:150 16226:16383" ht="21" hidden="1" x14ac:dyDescent="0.3">
      <c r="A118" s="174" t="s">
        <v>244</v>
      </c>
      <c r="B118" s="175"/>
      <c r="C118" s="175"/>
      <c r="D118" s="175"/>
      <c r="E118" s="175"/>
      <c r="F118" s="175"/>
      <c r="G118" s="175"/>
      <c r="H118" s="114"/>
    </row>
    <row r="119" spans="1:150 16226:16383" s="3" customFormat="1" ht="21" hidden="1" x14ac:dyDescent="0.3">
      <c r="A119" s="110" t="s">
        <v>154</v>
      </c>
      <c r="B119" s="111"/>
      <c r="C119" s="110" t="s">
        <v>155</v>
      </c>
      <c r="D119" s="111"/>
      <c r="E119" s="110" t="s">
        <v>153</v>
      </c>
      <c r="F119" s="111"/>
      <c r="G119" s="110" t="s">
        <v>165</v>
      </c>
      <c r="H119" s="11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1" hidden="1" x14ac:dyDescent="0.3">
      <c r="A120" s="106" t="s">
        <v>364</v>
      </c>
      <c r="B120" s="107"/>
      <c r="C120" s="106"/>
      <c r="D120" s="107"/>
      <c r="E120" s="106"/>
      <c r="F120" s="107"/>
      <c r="G120" s="106"/>
      <c r="H120" s="107"/>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1" hidden="1" x14ac:dyDescent="0.3">
      <c r="A121" s="106"/>
      <c r="B121" s="107"/>
      <c r="C121" s="106"/>
      <c r="D121" s="107"/>
      <c r="E121" s="106"/>
      <c r="F121" s="107"/>
      <c r="G121" s="106"/>
      <c r="H121" s="107"/>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1" hidden="1" x14ac:dyDescent="0.3">
      <c r="A122" s="110" t="s">
        <v>156</v>
      </c>
      <c r="B122" s="111"/>
      <c r="C122" s="110" t="s">
        <v>95</v>
      </c>
      <c r="D122" s="111"/>
      <c r="E122" s="110">
        <f>SUM(F120:F121)</f>
        <v>0</v>
      </c>
      <c r="F122" s="111"/>
      <c r="G122" s="110">
        <f>SUM(H120:H121)</f>
        <v>0</v>
      </c>
      <c r="H122" s="111">
        <f>SUM(H120:H121)</f>
        <v>0</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ht="21" x14ac:dyDescent="0.3">
      <c r="A123" s="174" t="s">
        <v>233</v>
      </c>
      <c r="B123" s="175"/>
      <c r="C123" s="175"/>
      <c r="D123" s="175"/>
      <c r="E123" s="175"/>
      <c r="F123" s="175"/>
      <c r="G123" s="175"/>
      <c r="H123" s="114"/>
    </row>
    <row r="124" spans="1:150 16226:16383" s="3" customFormat="1" ht="21" x14ac:dyDescent="0.3">
      <c r="A124" s="110" t="s">
        <v>154</v>
      </c>
      <c r="B124" s="111"/>
      <c r="C124" s="110" t="s">
        <v>155</v>
      </c>
      <c r="D124" s="111"/>
      <c r="E124" s="110" t="s">
        <v>153</v>
      </c>
      <c r="F124" s="111"/>
      <c r="G124" s="110" t="s">
        <v>165</v>
      </c>
      <c r="H124" s="11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1" x14ac:dyDescent="0.3">
      <c r="A125" s="106" t="s">
        <v>364</v>
      </c>
      <c r="B125" s="107"/>
      <c r="C125" s="106" t="s">
        <v>95</v>
      </c>
      <c r="D125" s="107"/>
      <c r="E125" s="106">
        <f>COUNT(E136:E139)+COUNT(E141:E144)*31+COUNT(E147,E149:E150)*7+COUNT(E153,E155:E156)+COUNT(E158:E161)+COUNT(E163:E166)</f>
        <v>160</v>
      </c>
      <c r="F125" s="107"/>
      <c r="G125" s="106">
        <f>SUM(H136:H139)+SUM(H141:H144)*31+SUM(H147,H149:H150)*7+SUM(H153,H155:H156)+SUM(H158:H161)+SUM(H163:H166)</f>
        <v>219751.20750374993</v>
      </c>
      <c r="H125" s="107"/>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1" hidden="1" x14ac:dyDescent="0.3">
      <c r="A126" s="106"/>
      <c r="B126" s="107"/>
      <c r="C126" s="106"/>
      <c r="D126" s="107"/>
      <c r="E126" s="106"/>
      <c r="F126" s="107"/>
      <c r="G126" s="106"/>
      <c r="H126" s="107"/>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hidden="1" x14ac:dyDescent="0.3">
      <c r="A127" s="110" t="s">
        <v>156</v>
      </c>
      <c r="B127" s="111"/>
      <c r="C127" s="110" t="s">
        <v>95</v>
      </c>
      <c r="D127" s="111"/>
      <c r="E127" s="110">
        <f>SUM(F125:F126)</f>
        <v>0</v>
      </c>
      <c r="F127" s="111"/>
      <c r="G127" s="110">
        <f>SUM(H125:H126)</f>
        <v>0</v>
      </c>
      <c r="H127" s="111">
        <f>SUM(H125:H126)</f>
        <v>0</v>
      </c>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1" x14ac:dyDescent="0.3">
      <c r="A128" s="110" t="s">
        <v>245</v>
      </c>
      <c r="B128" s="111"/>
      <c r="C128" s="110" t="s">
        <v>95</v>
      </c>
      <c r="D128" s="111"/>
      <c r="E128" s="110">
        <f>E125</f>
        <v>160</v>
      </c>
      <c r="F128" s="111"/>
      <c r="G128" s="110">
        <f>G125</f>
        <v>219751.20750374993</v>
      </c>
      <c r="H128" s="11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ht="21" x14ac:dyDescent="0.3">
      <c r="A129" s="112" t="s">
        <v>152</v>
      </c>
      <c r="B129" s="113"/>
      <c r="C129" s="113"/>
      <c r="D129" s="113"/>
      <c r="E129" s="113"/>
      <c r="F129" s="113"/>
      <c r="G129" s="113"/>
      <c r="H129" s="114"/>
    </row>
    <row r="130" spans="1:150 16226:16383" ht="66" customHeight="1" x14ac:dyDescent="0.3">
      <c r="A130" s="54" t="s">
        <v>234</v>
      </c>
      <c r="B130" s="31" t="s">
        <v>235</v>
      </c>
      <c r="C130" s="77" t="s">
        <v>236</v>
      </c>
      <c r="D130" s="31" t="s">
        <v>88</v>
      </c>
      <c r="E130" s="31" t="s">
        <v>166</v>
      </c>
      <c r="F130" s="34" t="s">
        <v>357</v>
      </c>
      <c r="G130" s="31" t="s">
        <v>90</v>
      </c>
      <c r="H130" s="31" t="s">
        <v>89</v>
      </c>
      <c r="I130" s="33">
        <v>10.763999999999999</v>
      </c>
    </row>
    <row r="131" spans="1:150 16226:16383" s="3" customFormat="1" ht="21" x14ac:dyDescent="0.3">
      <c r="A131" s="98" t="s">
        <v>375</v>
      </c>
      <c r="B131" s="99"/>
      <c r="C131" s="99"/>
      <c r="D131" s="99"/>
      <c r="E131" s="99"/>
      <c r="F131" s="99"/>
      <c r="G131" s="99"/>
      <c r="H131" s="100"/>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1" x14ac:dyDescent="0.3">
      <c r="A132" s="98" t="s">
        <v>393</v>
      </c>
      <c r="B132" s="99"/>
      <c r="C132" s="99"/>
      <c r="D132" s="99"/>
      <c r="E132" s="99"/>
      <c r="F132" s="99"/>
      <c r="G132" s="99"/>
      <c r="H132" s="100"/>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1" x14ac:dyDescent="0.3">
      <c r="A133" s="98" t="s">
        <v>394</v>
      </c>
      <c r="B133" s="99"/>
      <c r="C133" s="99"/>
      <c r="D133" s="99"/>
      <c r="E133" s="99"/>
      <c r="F133" s="99"/>
      <c r="G133" s="99"/>
      <c r="H133" s="100"/>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1" x14ac:dyDescent="0.3">
      <c r="A134" s="98" t="s">
        <v>395</v>
      </c>
      <c r="B134" s="99"/>
      <c r="C134" s="99"/>
      <c r="D134" s="99"/>
      <c r="E134" s="99"/>
      <c r="F134" s="99"/>
      <c r="G134" s="99"/>
      <c r="H134" s="100"/>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1" x14ac:dyDescent="0.3">
      <c r="A135" s="98" t="s">
        <v>329</v>
      </c>
      <c r="B135" s="99"/>
      <c r="C135" s="99"/>
      <c r="D135" s="99"/>
      <c r="E135" s="99"/>
      <c r="F135" s="99"/>
      <c r="G135" s="99"/>
      <c r="H135" s="100"/>
      <c r="I135" s="1">
        <v>1</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1" x14ac:dyDescent="0.3">
      <c r="A136" s="95">
        <v>1</v>
      </c>
      <c r="B136" s="95"/>
      <c r="C136" s="55" t="s">
        <v>95</v>
      </c>
      <c r="D136" s="55" t="s">
        <v>327</v>
      </c>
      <c r="E136" s="33">
        <f>(5.25*3.375+3.35*1.975+2.4*3.65+3.05*(3.65+3.23)+3.2*3.8+1.375*(2.275+1.425)+1.2*2.17+0.85*0.8+2.45*1.525+1.42*1.475+3.02+1.13+1.55*2.375+0.9*2.42)*10.764</f>
        <v>973.60918199999981</v>
      </c>
      <c r="F136" s="33">
        <f>(3.35*1.325+3.08*1.225)*10.764</f>
        <v>88.391277000000002</v>
      </c>
      <c r="G136" s="6">
        <v>0</v>
      </c>
      <c r="H136" s="6">
        <f>E136+F136+(IF(G136&lt;101,G136,IF(G136&lt;201,G136/2,IF(G136&lt;=301,G136/3,G136/4))))</f>
        <v>1062.0004589999999</v>
      </c>
      <c r="I136" s="1"/>
      <c r="J136" s="1"/>
      <c r="K136" s="1">
        <f>21800000/H136</f>
        <v>20527.298096017115</v>
      </c>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1" x14ac:dyDescent="0.3">
      <c r="A137" s="96">
        <f>A136+1</f>
        <v>2</v>
      </c>
      <c r="B137" s="97"/>
      <c r="C137" s="55" t="s">
        <v>95</v>
      </c>
      <c r="D137" s="55" t="s">
        <v>327</v>
      </c>
      <c r="E137" s="33">
        <f>(5.25*3.375+3.35*1.975+2.4*3.65+3.05*(3.65+3.23)+3.2*3.8+1.375*(2.275+1.425)+1.2*2.17+0.85*0.8+2.45*1.525+1.42*1.475+3.02+1.13+1.55*2.375+0.9*2.42)*10.764</f>
        <v>973.60918199999981</v>
      </c>
      <c r="F137" s="33">
        <f>(3.35*1.325+3.08*1.225)*10.764</f>
        <v>88.391277000000002</v>
      </c>
      <c r="G137" s="6">
        <v>0</v>
      </c>
      <c r="H137" s="6">
        <f t="shared" ref="H137:H139" si="0">E137+F137+(IF(G137&lt;101,G137,IF(G137&lt;201,G137/2,IF(G137&lt;=301,G137/3,G137/4))))</f>
        <v>1062.0004589999999</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1" x14ac:dyDescent="0.3">
      <c r="A138" s="96">
        <f t="shared" ref="A138:A139" si="1">A137+1</f>
        <v>3</v>
      </c>
      <c r="B138" s="97"/>
      <c r="C138" s="55" t="s">
        <v>95</v>
      </c>
      <c r="D138" s="55" t="s">
        <v>328</v>
      </c>
      <c r="E138" s="33">
        <f>(6.1*4.425+4.125*4.275+3.2*(3.65*2)+3.35*5.575+3.4*4.375+(2.45*1.525+1.375*2.275)*2+1.875*2.375+6.805+1.87+1.275*0.6+1.725*1.475+1.195*1.525+0.58*0.975+1.175*0.3+1.275*0.3+2.63*0.15)*10.764</f>
        <v>1455.5269169999995</v>
      </c>
      <c r="F138" s="33">
        <f>(6.1*1.66+3.15*1.325+1.7*2.5)*10.764</f>
        <v>199.66950899999998</v>
      </c>
      <c r="G138" s="6">
        <v>0</v>
      </c>
      <c r="H138" s="6">
        <f t="shared" si="0"/>
        <v>1655.1964259999995</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3">
      <c r="A139" s="96">
        <f t="shared" si="1"/>
        <v>4</v>
      </c>
      <c r="B139" s="97"/>
      <c r="C139" s="55" t="s">
        <v>95</v>
      </c>
      <c r="D139" s="55" t="s">
        <v>328</v>
      </c>
      <c r="E139" s="33">
        <f>(6.1*4.425+4.125*4.275+3.2*(3.65*2)+3.35*5.575+3.4*4.375+(2.45*1.525+1.375*2.275)*2+1.875*2.375+6.805+1.87+1.275*0.6+1.725*1.475+1.195*1.525+0.58*0.975+1.175*0.3+1.275*0.3+2.63*0.15)*10.764</f>
        <v>1455.5269169999995</v>
      </c>
      <c r="F139" s="33">
        <f>(6.1*1.66+3.15*1.325+1.7*2.5)*10.764</f>
        <v>199.66950899999998</v>
      </c>
      <c r="G139" s="6">
        <v>0</v>
      </c>
      <c r="H139" s="6">
        <f t="shared" si="0"/>
        <v>1655.1964259999995</v>
      </c>
      <c r="I139" s="1"/>
      <c r="J139" s="1"/>
      <c r="K139" s="1">
        <f>36500000/H139</f>
        <v>22051.763420131992</v>
      </c>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43.5" customHeight="1" x14ac:dyDescent="0.3">
      <c r="A140" s="98" t="s">
        <v>358</v>
      </c>
      <c r="B140" s="99"/>
      <c r="C140" s="99"/>
      <c r="D140" s="99"/>
      <c r="E140" s="99"/>
      <c r="F140" s="99"/>
      <c r="G140" s="99"/>
      <c r="H140" s="100"/>
      <c r="I140" s="1">
        <f>2+3+4+4+4+4+2+4+4</f>
        <v>31</v>
      </c>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1" x14ac:dyDescent="0.3">
      <c r="A141" s="95">
        <v>1</v>
      </c>
      <c r="B141" s="95"/>
      <c r="C141" s="55" t="s">
        <v>95</v>
      </c>
      <c r="D141" s="55" t="s">
        <v>327</v>
      </c>
      <c r="E141" s="33">
        <f>(5.25*3.375+3.35*1.975+2.4*3.65+3.05*(3.65+3.23)+3.2*3.8+1.375*(2.275+1.425)+1.2*2.17+0.85*0.8+2.45*1.525+1.42*1.475+3.02+1.13+1.55*2.375+0.9*2.42)*10.764</f>
        <v>973.60918199999981</v>
      </c>
      <c r="F141" s="33">
        <f>(3.35*1.325+3.08*1.225)*10.764</f>
        <v>88.391277000000002</v>
      </c>
      <c r="G141" s="6">
        <v>0</v>
      </c>
      <c r="H141" s="6">
        <f>E141+F141+(IF(G141&lt;101,G141,IF(G141&lt;201,G141/2,IF(G141&lt;=301,G141/3,G141/4))))</f>
        <v>1062.0004589999999</v>
      </c>
      <c r="I141" s="89"/>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1" x14ac:dyDescent="0.3">
      <c r="A142" s="96">
        <f>A141+1</f>
        <v>2</v>
      </c>
      <c r="B142" s="97"/>
      <c r="C142" s="55" t="s">
        <v>95</v>
      </c>
      <c r="D142" s="55" t="s">
        <v>327</v>
      </c>
      <c r="E142" s="33">
        <f>(5.25*3.375+3.35*1.975+2.4*3.65+3.05*(3.65+3.23)+3.2*3.8+1.375*(2.275+1.425)+1.2*2.17+0.85*0.8+2.45*1.525+1.42*1.475+3.02+1.13+1.55*2.375+0.9*2.42)*10.764</f>
        <v>973.60918199999981</v>
      </c>
      <c r="F142" s="33">
        <f>(3.35*1.325+3.08*1.225)*10.764</f>
        <v>88.391277000000002</v>
      </c>
      <c r="G142" s="6">
        <v>0</v>
      </c>
      <c r="H142" s="6">
        <f t="shared" ref="H142:H144" si="2">E142+F142+(IF(G142&lt;101,G142,IF(G142&lt;201,G142/2,IF(G142&lt;=301,G142/3,G142/4))))</f>
        <v>1062.0004589999999</v>
      </c>
      <c r="I142" s="1"/>
      <c r="J142" s="1"/>
      <c r="K142" s="1">
        <f>15800000/H142</f>
        <v>14877.583023718827</v>
      </c>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1" x14ac:dyDescent="0.3">
      <c r="A143" s="96">
        <f t="shared" ref="A143:A144" si="3">A142+1</f>
        <v>3</v>
      </c>
      <c r="B143" s="97"/>
      <c r="C143" s="55" t="s">
        <v>95</v>
      </c>
      <c r="D143" s="55" t="s">
        <v>328</v>
      </c>
      <c r="E143" s="33">
        <f>(6.1*4.425+4.125*4.275+3.2*(3.65*2)+3.35*5.575+3.4*4.375+(2.45*1.525+1.375*2.275)*2+1.875*2.375+6.805+1.87+1.275*0.6+1.725*1.475+1.195*1.525+0.58*0.975+1.175*0.3+1.275*0.3+2.63*0.15)*10.764</f>
        <v>1455.5269169999995</v>
      </c>
      <c r="F143" s="33">
        <f>(6.1*1.66+3.15*1.325+1.7*2.5)*10.764</f>
        <v>199.66950899999998</v>
      </c>
      <c r="G143" s="6">
        <v>0</v>
      </c>
      <c r="H143" s="6">
        <f t="shared" si="2"/>
        <v>1655.1964259999995</v>
      </c>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3">
      <c r="A144" s="96">
        <f t="shared" si="3"/>
        <v>4</v>
      </c>
      <c r="B144" s="97"/>
      <c r="C144" s="55" t="s">
        <v>95</v>
      </c>
      <c r="D144" s="55" t="s">
        <v>328</v>
      </c>
      <c r="E144" s="33">
        <f>(6.1*4.425+4.125*4.275+3.2*(3.65*2)+3.35*5.575+3.4*4.375+(2.45*1.525+1.375*2.275)*2+1.875*2.375+6.805+1.87+1.275*0.6+1.725*1.475+1.195*1.525+0.58*0.975+1.175*0.3+1.275*0.3+2.63*0.15)*10.764</f>
        <v>1455.5269169999995</v>
      </c>
      <c r="F144" s="33">
        <f>(6.1*1.66+3.15*1.325+1.7*2.5)*10.764</f>
        <v>199.66950899999998</v>
      </c>
      <c r="G144" s="6">
        <v>0</v>
      </c>
      <c r="H144" s="6">
        <f t="shared" si="2"/>
        <v>1655.1964259999995</v>
      </c>
      <c r="I144" s="1"/>
      <c r="J144" s="1"/>
      <c r="K144" s="1">
        <f>33800000/H144</f>
        <v>20420.537084944146</v>
      </c>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1" x14ac:dyDescent="0.3">
      <c r="A145" s="98" t="s">
        <v>366</v>
      </c>
      <c r="B145" s="99"/>
      <c r="C145" s="99"/>
      <c r="D145" s="99"/>
      <c r="E145" s="99"/>
      <c r="F145" s="99"/>
      <c r="G145" s="99"/>
      <c r="H145" s="100"/>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1" x14ac:dyDescent="0.3">
      <c r="A146" s="98" t="s">
        <v>359</v>
      </c>
      <c r="B146" s="99"/>
      <c r="C146" s="99"/>
      <c r="D146" s="99"/>
      <c r="E146" s="99"/>
      <c r="F146" s="99"/>
      <c r="G146" s="99"/>
      <c r="H146" s="100"/>
      <c r="I146" s="1">
        <v>7</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1" x14ac:dyDescent="0.3">
      <c r="A147" s="95">
        <v>1</v>
      </c>
      <c r="B147" s="95"/>
      <c r="C147" s="55" t="s">
        <v>95</v>
      </c>
      <c r="D147" s="55" t="s">
        <v>327</v>
      </c>
      <c r="E147" s="33">
        <f>(5.25*3.375+3.35*1.975+2.4*3.65+3.05*(3.65+3.23)+3.2*3.8+1.375*(2.275+1.425)+1.2*2.17+0.85*0.8+2.45*1.525+1.42*1.475+3.02+1.13+1.55*2.375+0.9*2.42)*10.764</f>
        <v>973.60918199999981</v>
      </c>
      <c r="F147" s="33">
        <f>(3.35*1.325+3.08*1.225)*10.764</f>
        <v>88.391277000000002</v>
      </c>
      <c r="G147" s="6">
        <v>0</v>
      </c>
      <c r="H147" s="6">
        <f>E147+F147+(IF(G147&lt;101,G147,IF(G147&lt;201,G147/2,IF(G147&lt;=301,G147/3,G147/4))))</f>
        <v>1062.0004589999999</v>
      </c>
      <c r="I147" s="1"/>
      <c r="J147" s="1"/>
      <c r="K147" s="1">
        <f>20300000/H147</f>
        <v>19114.869327942542</v>
      </c>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1" x14ac:dyDescent="0.3">
      <c r="A148" s="96">
        <f>A147+1</f>
        <v>2</v>
      </c>
      <c r="B148" s="97"/>
      <c r="C148" s="55" t="s">
        <v>95</v>
      </c>
      <c r="D148" s="190" t="s">
        <v>360</v>
      </c>
      <c r="E148" s="191"/>
      <c r="F148" s="191"/>
      <c r="G148" s="191"/>
      <c r="H148" s="192"/>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1" x14ac:dyDescent="0.3">
      <c r="A149" s="96">
        <f t="shared" ref="A149:A150" si="4">A148+1</f>
        <v>3</v>
      </c>
      <c r="B149" s="97"/>
      <c r="C149" s="55" t="s">
        <v>95</v>
      </c>
      <c r="D149" s="55" t="s">
        <v>328</v>
      </c>
      <c r="E149" s="33">
        <f>(6.1*4.425+4.125*4.275+3.2*(3.65*2)+3.35*5.575+3.4*4.375+(2.45*1.525+1.375*2.275)*2+1.875*2.375+6.805+1.87+1.275*0.6+1.725*1.475+1.195*1.525+0.58*0.975+1.175*0.3+1.275*0.3+2.63*0.15)*10.764</f>
        <v>1455.5269169999995</v>
      </c>
      <c r="F149" s="33">
        <f>(6.1*1.66+3.15*1.325+1.7*2.5)*10.764</f>
        <v>199.66950899999998</v>
      </c>
      <c r="G149" s="6">
        <v>0</v>
      </c>
      <c r="H149" s="6">
        <f t="shared" ref="H149:H150" si="5">E149+F149+(IF(G149&lt;101,G149,IF(G149&lt;201,G149/2,IF(G149&lt;=301,G149/3,G149/4))))</f>
        <v>1655.1964259999995</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3">
      <c r="A150" s="96">
        <f t="shared" si="4"/>
        <v>4</v>
      </c>
      <c r="B150" s="97"/>
      <c r="C150" s="55" t="s">
        <v>95</v>
      </c>
      <c r="D150" s="55" t="s">
        <v>328</v>
      </c>
      <c r="E150" s="33">
        <f>(6.1*4.425+4.125*4.275+3.2*(3.65*2)+3.35*5.575+3.4*4.375+(2.45*1.525+1.375*2.275)*2+1.875*2.375+6.805+1.87+1.275*0.6+1.725*1.475+1.195*1.525+0.58*0.975+1.175*0.3+1.275*0.3+2.63*0.15)*10.764</f>
        <v>1455.5269169999995</v>
      </c>
      <c r="F150" s="33">
        <f>(6.1*1.66+3.15*1.325+1.7*2.5)*10.764</f>
        <v>199.66950899999998</v>
      </c>
      <c r="G150" s="6">
        <v>0</v>
      </c>
      <c r="H150" s="6">
        <f t="shared" si="5"/>
        <v>1655.1964259999995</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1" x14ac:dyDescent="0.3">
      <c r="A151" s="98" t="s">
        <v>367</v>
      </c>
      <c r="B151" s="99"/>
      <c r="C151" s="99"/>
      <c r="D151" s="99"/>
      <c r="E151" s="99"/>
      <c r="F151" s="99"/>
      <c r="G151" s="99"/>
      <c r="H151" s="100"/>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1" x14ac:dyDescent="0.3">
      <c r="A152" s="98" t="s">
        <v>361</v>
      </c>
      <c r="B152" s="99"/>
      <c r="C152" s="99"/>
      <c r="D152" s="99"/>
      <c r="E152" s="99"/>
      <c r="F152" s="99"/>
      <c r="G152" s="99"/>
      <c r="H152" s="100"/>
      <c r="I152" s="1">
        <v>1</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1" x14ac:dyDescent="0.3">
      <c r="A153" s="95">
        <v>1</v>
      </c>
      <c r="B153" s="95"/>
      <c r="C153" s="55" t="s">
        <v>95</v>
      </c>
      <c r="D153" s="55" t="s">
        <v>327</v>
      </c>
      <c r="E153" s="33">
        <f>(5.25*3.375+3.35*1.975+2.4*3.65+3.05*(3.65+3.23)+3.2*3.8+1.375*(2.275+1.425)+1.2*2.17+0.85*0.8+2.45*1.525+1.42*1.475+3.02+1.13+1.55*2.375+0.9*2.42)*10.764</f>
        <v>973.60918199999981</v>
      </c>
      <c r="F153" s="33">
        <f>(3.35*1.325+3.08*1.225)*10.764</f>
        <v>88.391277000000002</v>
      </c>
      <c r="G153" s="6">
        <v>0</v>
      </c>
      <c r="H153" s="6">
        <f>E153+F153+(IF(G153&lt;101,G153,IF(G153&lt;201,G153/2,IF(G153&lt;=301,G153/3,G153/4))))</f>
        <v>1062.0004589999999</v>
      </c>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1" x14ac:dyDescent="0.3">
      <c r="A154" s="96">
        <f>A153+1</f>
        <v>2</v>
      </c>
      <c r="B154" s="97"/>
      <c r="C154" s="55" t="s">
        <v>95</v>
      </c>
      <c r="D154" s="190" t="s">
        <v>360</v>
      </c>
      <c r="E154" s="191"/>
      <c r="F154" s="191"/>
      <c r="G154" s="191"/>
      <c r="H154" s="192"/>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1" x14ac:dyDescent="0.3">
      <c r="A155" s="96">
        <f t="shared" ref="A155:A156" si="6">A154+1</f>
        <v>3</v>
      </c>
      <c r="B155" s="97"/>
      <c r="C155" s="55" t="s">
        <v>95</v>
      </c>
      <c r="D155" s="55" t="s">
        <v>328</v>
      </c>
      <c r="E155" s="33">
        <f>(6.1*4.425+4.125*4.275+3.2*(3.65*2)+3.35*5.575+3.4*4.375+(2.45*1.525+1.375*2.275)*2+1.875*2.375+6.805+1.87+1.275*0.6+1.725*1.475+1.195*1.525+0.58*0.975+1.175*0.3+1.275*0.3+2.63*0.15)*10.764</f>
        <v>1455.5269169999995</v>
      </c>
      <c r="F155" s="6">
        <f>(6.1*1.66+3.15*1.325+2.5*1.7)*10.764</f>
        <v>199.66950899999998</v>
      </c>
      <c r="G155" s="6">
        <v>0</v>
      </c>
      <c r="H155" s="6">
        <f t="shared" ref="H155:H156" si="7">E155+F155+(IF(G155&lt;101,G155,IF(G155&lt;201,G155/2,IF(G155&lt;=301,G155/3,G155/4))))</f>
        <v>1655.1964259999995</v>
      </c>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
      <c r="A156" s="96">
        <f t="shared" si="6"/>
        <v>4</v>
      </c>
      <c r="B156" s="97"/>
      <c r="C156" s="55" t="s">
        <v>95</v>
      </c>
      <c r="D156" s="55" t="s">
        <v>328</v>
      </c>
      <c r="E156" s="33">
        <f>(6.1*4.425+4.125*4.275+3.2*(3.65*2)+3.35*5.575+1.825*4.3+3.4*4.375+(2.45*1.525+1.375*2.275)*2+1.875*2.375+6.805+1.87+1.275*0.6+1.725*1.475+1.195*1.525+0.58*0.975+1.175*0.3+1.275*0.3+2.63*0.15)*10.764</f>
        <v>1539.9974069999994</v>
      </c>
      <c r="F156" s="33">
        <v>0</v>
      </c>
      <c r="G156" s="6">
        <f>(6.1*2.275+(3.2+3.3+1.075+0.8+0.5+3)*2+1.975*2.875)*10.764</f>
        <v>466.14174749999995</v>
      </c>
      <c r="H156" s="6">
        <f t="shared" si="7"/>
        <v>1656.5328438749993</v>
      </c>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1" x14ac:dyDescent="0.3">
      <c r="A157" s="98" t="s">
        <v>362</v>
      </c>
      <c r="B157" s="99"/>
      <c r="C157" s="99"/>
      <c r="D157" s="99"/>
      <c r="E157" s="99"/>
      <c r="F157" s="99"/>
      <c r="G157" s="99"/>
      <c r="H157" s="100"/>
      <c r="I157" s="1">
        <v>1</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1" x14ac:dyDescent="0.3">
      <c r="A158" s="95">
        <v>1</v>
      </c>
      <c r="B158" s="95"/>
      <c r="C158" s="55" t="s">
        <v>95</v>
      </c>
      <c r="D158" s="55" t="s">
        <v>327</v>
      </c>
      <c r="E158" s="33">
        <f>(5.25*3.375+3.35*1.975+2.4*3.65+3.05*(3.65+3.23)+3.2*3.8+1.375*(2.275+1.425)+1.2*2.17+0.85*0.8+2.45*1.525+1.42*1.475+3.02+1.13+1.55*2.375+0.9*2.42)*10.764</f>
        <v>973.60918199999981</v>
      </c>
      <c r="F158" s="33">
        <f>(3.35*1.325+3.08*1.225)*10.764</f>
        <v>88.391277000000002</v>
      </c>
      <c r="G158" s="6">
        <v>0</v>
      </c>
      <c r="H158" s="6">
        <f>E158+F158+(IF(G158&lt;101,G158,IF(G158&lt;201,G158/2,IF(G158&lt;=301,G158/3,G158/4))))</f>
        <v>1062.0004589999999</v>
      </c>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1" x14ac:dyDescent="0.3">
      <c r="A159" s="96">
        <f>A158+1</f>
        <v>2</v>
      </c>
      <c r="B159" s="97"/>
      <c r="C159" s="55" t="s">
        <v>95</v>
      </c>
      <c r="D159" s="55" t="s">
        <v>327</v>
      </c>
      <c r="E159" s="33">
        <f>(5.25*3.375+3.35*1.975+2.4*3.65+3.05*(3.65+3.23)+3.2*3.8+1.375*(2.275+1.425)+1.2*2.17+0.85*0.8+2.45*1.525+1.42*1.475+3.02+1.13+1.55*2.375+0.9*2.42)*10.764</f>
        <v>973.60918199999981</v>
      </c>
      <c r="F159" s="33">
        <f>(3.35*1.325+3.08*1.225)*10.764</f>
        <v>88.391277000000002</v>
      </c>
      <c r="G159" s="6">
        <v>0</v>
      </c>
      <c r="H159" s="6">
        <f>E159+F159+(IF(G159&lt;101,G159,IF(G159&lt;201,G159/2,IF(G159&lt;=301,G159/3,G159/4))))</f>
        <v>1062.0004589999999</v>
      </c>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1" x14ac:dyDescent="0.3">
      <c r="A160" s="96">
        <f t="shared" ref="A160:A161" si="8">A159+1</f>
        <v>3</v>
      </c>
      <c r="B160" s="97"/>
      <c r="C160" s="55" t="s">
        <v>95</v>
      </c>
      <c r="D160" s="55" t="s">
        <v>328</v>
      </c>
      <c r="E160" s="33">
        <f>(6.1*4.425+4.125*4.275+3.2*(3.65*2)+3.35*5.575+3.4*4.375+(2.45*1.525+1.375*2.275)*2+1.875*2.375+6.805+1.87+1.275*0.6+1.725*1.475+1.195*1.525+0.58*0.975+1.175*0.3+1.275*0.3+2.63*0.15)*10.764</f>
        <v>1455.5269169999995</v>
      </c>
      <c r="F160" s="6">
        <f>(6.1*1.66+3.15*1.325+2.5*1.7)*10.764</f>
        <v>199.66950899999998</v>
      </c>
      <c r="G160" s="6">
        <v>0</v>
      </c>
      <c r="H160" s="6">
        <f t="shared" ref="H160:H161" si="9">E160+F160+(IF(G160&lt;101,G160,IF(G160&lt;201,G160/2,IF(G160&lt;=301,G160/3,G160/4))))</f>
        <v>1655.1964259999995</v>
      </c>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3">
      <c r="A161" s="96">
        <f t="shared" si="8"/>
        <v>4</v>
      </c>
      <c r="B161" s="97"/>
      <c r="C161" s="55" t="s">
        <v>95</v>
      </c>
      <c r="D161" s="55" t="s">
        <v>328</v>
      </c>
      <c r="E161" s="33">
        <f>(6.1*4.425+4.125*4.275+3.2*(3.65*2)+3.35*5.575+1.825*4.3+3.4*4.375+(2.45*1.525+1.375*2.275)*2+1.875*2.375+6.805+1.87+1.275*0.6+1.725*1.475+1.195*1.525+0.58*0.975+1.175*0.3+1.275*0.3+2.63*0.15)*10.764</f>
        <v>1539.9974069999994</v>
      </c>
      <c r="F161" s="33">
        <v>0</v>
      </c>
      <c r="G161" s="6">
        <f>(6.1*2.275+(3.2+3.3+1.075+0.8+0.5+3)*2+1.975*2.875)*10.764</f>
        <v>466.14174749999995</v>
      </c>
      <c r="H161" s="6">
        <f t="shared" si="9"/>
        <v>1656.5328438749993</v>
      </c>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1" x14ac:dyDescent="0.3">
      <c r="A162" s="98" t="s">
        <v>363</v>
      </c>
      <c r="B162" s="99"/>
      <c r="C162" s="99"/>
      <c r="D162" s="99"/>
      <c r="E162" s="99"/>
      <c r="F162" s="99"/>
      <c r="G162" s="99"/>
      <c r="H162" s="100"/>
      <c r="I162" s="1">
        <v>1</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1" x14ac:dyDescent="0.3">
      <c r="A163" s="95">
        <v>1</v>
      </c>
      <c r="B163" s="95"/>
      <c r="C163" s="55" t="s">
        <v>95</v>
      </c>
      <c r="D163" s="55" t="s">
        <v>327</v>
      </c>
      <c r="E163" s="33">
        <f>(5.25*3.375+3.35*1.975+2.4*3.65+3.05*(3.65+3.23)+3.2*3.8+1.375*(2.275+1.425)+1.2*2.17+0.85*0.8+2.45*1.525+1.42*1.475+3.02+1.13+1.55*2.375+0.9*2.42)*10.764</f>
        <v>973.60918199999981</v>
      </c>
      <c r="F163" s="33">
        <f>(3.35*1.325+3.08*1.225)*10.764</f>
        <v>88.391277000000002</v>
      </c>
      <c r="G163" s="6">
        <v>0</v>
      </c>
      <c r="H163" s="6">
        <f>E163+F163+(IF(G163&lt;101,G163,IF(G163&lt;201,G163/2,IF(G163&lt;=301,G163/3,G163/4))))</f>
        <v>1062.0004589999999</v>
      </c>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1" x14ac:dyDescent="0.3">
      <c r="A164" s="96">
        <f>A163+1</f>
        <v>2</v>
      </c>
      <c r="B164" s="97"/>
      <c r="C164" s="55" t="s">
        <v>95</v>
      </c>
      <c r="D164" s="55" t="s">
        <v>327</v>
      </c>
      <c r="E164" s="33">
        <f>(5.25*3.375+3.35*1.975+2.4*3.65+3.05*(3.65+3.23)+3.2*3.8+1.375*(2.275+1.425)+1.2*2.17+0.85*0.8+2.45*1.525+1.42*1.475+3.02+1.13+1.55*2.375+0.9*2.42)*10.764</f>
        <v>973.60918199999981</v>
      </c>
      <c r="F164" s="33">
        <f>(3.35*1.325+3.08*1.225)*10.764</f>
        <v>88.391277000000002</v>
      </c>
      <c r="G164" s="6">
        <v>0</v>
      </c>
      <c r="H164" s="6">
        <f>E164+F164+(IF(G164&lt;101,G164,IF(G164&lt;201,G164/2,IF(G164&lt;=301,G164/3,G164/4))))</f>
        <v>1062.0004589999999</v>
      </c>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1" x14ac:dyDescent="0.3">
      <c r="A165" s="96">
        <f t="shared" ref="A165:A166" si="10">A164+1</f>
        <v>3</v>
      </c>
      <c r="B165" s="97"/>
      <c r="C165" s="55" t="s">
        <v>95</v>
      </c>
      <c r="D165" s="55" t="s">
        <v>328</v>
      </c>
      <c r="E165" s="33">
        <f>(6.1*4.425+4.125*4.275+3.2*(3.65*2)+3.35*5.575+3.4*4.375+(2.45*1.525+1.375*2.275)*2+1.875*2.375+6.805+1.87+1.275*0.6+1.725*1.475+1.195*1.525+0.58*0.975+1.175*0.3+1.275*0.3+2.63*0.15)*10.764</f>
        <v>1455.5269169999995</v>
      </c>
      <c r="F165" s="6">
        <f>(6.1*1.66+3.15*1.325+2.5*1.7)*10.764</f>
        <v>199.66950899999998</v>
      </c>
      <c r="G165" s="6">
        <v>0</v>
      </c>
      <c r="H165" s="6">
        <f t="shared" ref="H165:H166" si="11">E165+F165+(IF(G165&lt;101,G165,IF(G165&lt;201,G165/2,IF(G165&lt;=301,G165/3,G165/4))))</f>
        <v>1655.1964259999995</v>
      </c>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3">
      <c r="A166" s="96">
        <f t="shared" si="10"/>
        <v>4</v>
      </c>
      <c r="B166" s="97"/>
      <c r="C166" s="55" t="s">
        <v>95</v>
      </c>
      <c r="D166" s="55" t="s">
        <v>328</v>
      </c>
      <c r="E166" s="33">
        <f>(6.1*4.425+4.125*4.275+3.2*(3.65*2)+3.35*5.575+3.4*4.375+(2.45*1.525+1.375*2.275)*2+1.875*2.375+6.805+1.87+1.275*0.6+1.725*1.475+1.195*1.525+0.58*0.975+1.175*0.3+1.275*0.3+2.63*0.15)*10.764</f>
        <v>1455.5269169999995</v>
      </c>
      <c r="F166" s="6">
        <f>(6.1*1.66+3.15*1.325+2.5*1.7)*10.764</f>
        <v>199.66950899999998</v>
      </c>
      <c r="G166" s="6">
        <v>0</v>
      </c>
      <c r="H166" s="6">
        <f t="shared" si="11"/>
        <v>1655.1964259999995</v>
      </c>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1" hidden="1" x14ac:dyDescent="0.3">
      <c r="A167" s="98" t="s">
        <v>129</v>
      </c>
      <c r="B167" s="99"/>
      <c r="C167" s="99"/>
      <c r="D167" s="99"/>
      <c r="E167" s="99"/>
      <c r="F167" s="99"/>
      <c r="G167" s="99"/>
      <c r="H167" s="100"/>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1" hidden="1" x14ac:dyDescent="0.3">
      <c r="A168" s="95">
        <f>LEFT(A167,SUM(LEN(A167)-LEN(SUBSTITUTE(A167,{"0","1","2","3","4","5","6","7","8","9"},""))))*100+1</f>
        <v>101</v>
      </c>
      <c r="B168" s="95"/>
      <c r="C168" s="55"/>
      <c r="D168" s="55"/>
      <c r="E168" s="33"/>
      <c r="F168" s="6"/>
      <c r="G168" s="6"/>
      <c r="H168" s="6">
        <f>E168+F168+(IF(G168&lt;101,G168,IF(G168&lt;201,G168/2,IF(G168&lt;=301,G168/3,G168/4))))</f>
        <v>0</v>
      </c>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1" hidden="1" x14ac:dyDescent="0.3">
      <c r="A169" s="96">
        <f>A168+1</f>
        <v>102</v>
      </c>
      <c r="B169" s="97"/>
      <c r="C169" s="55"/>
      <c r="D169" s="55"/>
      <c r="E169" s="33"/>
      <c r="F169" s="6"/>
      <c r="G169" s="6"/>
      <c r="H169" s="6">
        <f t="shared" ref="H169:H175" si="12">E169+F169+(IF(G169&lt;101,G169,IF(G169&lt;201,G169/2,IF(G169&lt;=301,G169/3,G169/4))))</f>
        <v>0</v>
      </c>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1" hidden="1" x14ac:dyDescent="0.3">
      <c r="A170" s="96">
        <f t="shared" ref="A170:A175" si="13">A169+1</f>
        <v>103</v>
      </c>
      <c r="B170" s="97"/>
      <c r="C170" s="55"/>
      <c r="D170" s="55"/>
      <c r="E170" s="33"/>
      <c r="F170" s="6"/>
      <c r="G170" s="6"/>
      <c r="H170" s="6">
        <f t="shared" si="12"/>
        <v>0</v>
      </c>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hidden="1" customHeight="1" x14ac:dyDescent="0.3">
      <c r="A171" s="96">
        <f t="shared" si="13"/>
        <v>104</v>
      </c>
      <c r="B171" s="97"/>
      <c r="C171" s="55"/>
      <c r="D171" s="55"/>
      <c r="E171" s="33"/>
      <c r="F171" s="6"/>
      <c r="G171" s="6"/>
      <c r="H171" s="6">
        <f t="shared" si="12"/>
        <v>0</v>
      </c>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hidden="1" customHeight="1" x14ac:dyDescent="0.3">
      <c r="A172" s="96">
        <f t="shared" si="13"/>
        <v>105</v>
      </c>
      <c r="B172" s="97"/>
      <c r="C172" s="55"/>
      <c r="D172" s="55"/>
      <c r="E172" s="33"/>
      <c r="F172" s="6"/>
      <c r="G172" s="6"/>
      <c r="H172" s="6">
        <f t="shared" si="12"/>
        <v>0</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hidden="1" customHeight="1" x14ac:dyDescent="0.3">
      <c r="A173" s="96">
        <f t="shared" si="13"/>
        <v>106</v>
      </c>
      <c r="B173" s="97"/>
      <c r="C173" s="55"/>
      <c r="D173" s="55"/>
      <c r="E173" s="33"/>
      <c r="F173" s="6"/>
      <c r="G173" s="6"/>
      <c r="H173" s="6">
        <f t="shared" si="12"/>
        <v>0</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hidden="1" customHeight="1" x14ac:dyDescent="0.3">
      <c r="A174" s="96">
        <f t="shared" si="13"/>
        <v>107</v>
      </c>
      <c r="B174" s="97"/>
      <c r="C174" s="55"/>
      <c r="D174" s="55"/>
      <c r="E174" s="33"/>
      <c r="F174" s="6"/>
      <c r="G174" s="6"/>
      <c r="H174" s="6">
        <f t="shared" si="12"/>
        <v>0</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customHeight="1" x14ac:dyDescent="0.3">
      <c r="A175" s="96">
        <f t="shared" si="13"/>
        <v>108</v>
      </c>
      <c r="B175" s="97"/>
      <c r="C175" s="55"/>
      <c r="D175" s="55"/>
      <c r="E175" s="33"/>
      <c r="F175" s="6"/>
      <c r="G175" s="6"/>
      <c r="H175" s="6">
        <f t="shared" si="12"/>
        <v>0</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1" hidden="1" x14ac:dyDescent="0.3">
      <c r="A176" s="150" t="s">
        <v>130</v>
      </c>
      <c r="B176" s="151"/>
      <c r="C176" s="151"/>
      <c r="D176" s="151"/>
      <c r="E176" s="151"/>
      <c r="F176" s="151"/>
      <c r="G176" s="151"/>
      <c r="H176" s="152"/>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hidden="1" customHeight="1" x14ac:dyDescent="0.3">
      <c r="A177" s="95" t="str">
        <f ca="1">T177</f>
        <v>201,..,901</v>
      </c>
      <c r="B177" s="95"/>
      <c r="C177" s="55"/>
      <c r="D177" s="55"/>
      <c r="E177" s="33">
        <v>0</v>
      </c>
      <c r="F177" s="6">
        <v>0</v>
      </c>
      <c r="G177" s="6">
        <v>0</v>
      </c>
      <c r="H177" s="6">
        <f>E177+F177+(IF(G177&lt;101,G177,IF(G177&lt;201,G177/2,IF(G177&lt;=301,G177/3,G177/4))))</f>
        <v>0</v>
      </c>
      <c r="I177" s="1"/>
      <c r="J177" s="1"/>
      <c r="K177" s="1"/>
      <c r="L177" s="1"/>
      <c r="M177" s="1"/>
      <c r="N177" s="1"/>
      <c r="O177" s="1"/>
      <c r="P177" s="1"/>
      <c r="Q177" s="1"/>
      <c r="R177" s="1"/>
      <c r="S177" s="1"/>
      <c r="T177" s="23" t="str">
        <f t="shared" ref="T177:T184" ca="1" si="14">U177&amp;""&amp;",..,"&amp;""&amp;V177</f>
        <v>201,..,901</v>
      </c>
      <c r="U177" s="23">
        <f ca="1">(SUMPRODUCT(MID(0&amp;(LEFT(A176,SUM(LEN(A176)-LEN(SUBSTITUTE(A176,{"0","1","2","3"},""))))), LARGE(INDEX(ISNUMBER(--MID((LEFT(A176,SUM(LEN(A176)-LEN(SUBSTITUTE(A176,{"0","1","2","3"},""))))), ROW(INDIRECT("1:"&amp;LEN((LEFT(A176,SUM(LEN(A176)-LEN(SUBSTITUTE(A176,{"0","1","2","3"},"")))))))), 1)) * ROW(INDIRECT("1:"&amp;LEN((LEFT(A176,SUM(LEN(A176)-LEN(SUBSTITUTE(A176,{"0","1","2","3"},"")))))))), 0), ROW(INDIRECT("1:"&amp;LEN((LEFT(A176,SUM(LEN(A176)-LEN(SUBSTITUTE(A176,{"0","1","2","3"},"")))))))))+1, 1) * 10^ROW(INDIRECT("1:"&amp;LEN((LEFT(A176,SUM(LEN(A176)-LEN(SUBSTITUTE(A176,{"0","1","2","3"},""))))))))/10))*100+1</f>
        <v>201</v>
      </c>
      <c r="V177" s="23">
        <f ca="1">(SUMPRODUCT(MID(0&amp;(--TRIM(RIGHT(SUBSTITUTE(LEFT(A176,_xlfn.AGGREGATE(16,6,FIND({0,1,2,3,4,5,6,7,8,9},A176,ROW(INDIRECT("1:"&amp;LEN(A176)))),1)),"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",LEN(A176))),LEN(A176)))))))/10))*100+1</f>
        <v>901</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3">
      <c r="A178" s="95" t="str">
        <f t="shared" ref="A178:A184" ca="1" si="15">T178</f>
        <v>202,..,902</v>
      </c>
      <c r="B178" s="95"/>
      <c r="C178" s="55"/>
      <c r="D178" s="55"/>
      <c r="E178" s="33"/>
      <c r="F178" s="6"/>
      <c r="G178" s="6"/>
      <c r="H178" s="6">
        <f t="shared" ref="H178:H184" si="16">E178+F178+(IF(G178&lt;101,G178,IF(G178&lt;201,G178/2,IF(G178&lt;=301,G178/3,G178/4))))</f>
        <v>0</v>
      </c>
      <c r="I178" s="1"/>
      <c r="J178" s="1"/>
      <c r="K178" s="1"/>
      <c r="L178" s="1"/>
      <c r="M178" s="1"/>
      <c r="N178" s="1"/>
      <c r="O178" s="1"/>
      <c r="P178" s="1"/>
      <c r="Q178" s="1"/>
      <c r="R178" s="1"/>
      <c r="S178" s="1"/>
      <c r="T178" s="23" t="str">
        <f t="shared" ca="1" si="14"/>
        <v>202,..,902</v>
      </c>
      <c r="U178" s="23">
        <f ca="1">U177+1</f>
        <v>202</v>
      </c>
      <c r="V178" s="23">
        <f ca="1">V177+1</f>
        <v>902</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3">
      <c r="A179" s="95" t="str">
        <f t="shared" ca="1" si="15"/>
        <v>203,..,903</v>
      </c>
      <c r="B179" s="95"/>
      <c r="C179" s="55"/>
      <c r="D179" s="55"/>
      <c r="E179" s="33"/>
      <c r="F179" s="6"/>
      <c r="G179" s="6"/>
      <c r="H179" s="6">
        <f t="shared" si="16"/>
        <v>0</v>
      </c>
      <c r="I179" s="1"/>
      <c r="J179" s="1"/>
      <c r="K179" s="1"/>
      <c r="L179" s="1"/>
      <c r="M179" s="1"/>
      <c r="N179" s="1"/>
      <c r="O179" s="1"/>
      <c r="P179" s="1"/>
      <c r="Q179" s="1"/>
      <c r="R179" s="1"/>
      <c r="S179" s="1"/>
      <c r="T179" s="23" t="str">
        <f t="shared" ca="1" si="14"/>
        <v>203,..,903</v>
      </c>
      <c r="U179" s="23">
        <f t="shared" ref="U179:U184" ca="1" si="17">U178+1</f>
        <v>203</v>
      </c>
      <c r="V179" s="23">
        <f t="shared" ref="V179:V184" ca="1" si="18">V178+1</f>
        <v>903</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hidden="1" customHeight="1" x14ac:dyDescent="0.3">
      <c r="A180" s="95" t="str">
        <f t="shared" ca="1" si="15"/>
        <v>204,..,904</v>
      </c>
      <c r="B180" s="95"/>
      <c r="C180" s="55"/>
      <c r="D180" s="55"/>
      <c r="E180" s="33"/>
      <c r="F180" s="6"/>
      <c r="G180" s="6"/>
      <c r="H180" s="6">
        <f t="shared" si="16"/>
        <v>0</v>
      </c>
      <c r="I180" s="1"/>
      <c r="J180" s="1"/>
      <c r="K180" s="1"/>
      <c r="L180" s="1"/>
      <c r="M180" s="1"/>
      <c r="N180" s="1"/>
      <c r="O180" s="1"/>
      <c r="P180" s="1"/>
      <c r="Q180" s="1"/>
      <c r="R180" s="1"/>
      <c r="S180" s="1"/>
      <c r="T180" s="23" t="str">
        <f t="shared" ca="1" si="14"/>
        <v>204,..,904</v>
      </c>
      <c r="U180" s="23">
        <f t="shared" ca="1" si="17"/>
        <v>204</v>
      </c>
      <c r="V180" s="23">
        <f t="shared" ca="1" si="18"/>
        <v>904</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hidden="1" customHeight="1" x14ac:dyDescent="0.3">
      <c r="A181" s="95" t="str">
        <f t="shared" ca="1" si="15"/>
        <v>205,..,905</v>
      </c>
      <c r="B181" s="95"/>
      <c r="C181" s="55"/>
      <c r="D181" s="55"/>
      <c r="E181" s="33"/>
      <c r="F181" s="6"/>
      <c r="G181" s="6"/>
      <c r="H181" s="6">
        <f t="shared" si="16"/>
        <v>0</v>
      </c>
      <c r="I181" s="1"/>
      <c r="J181" s="1"/>
      <c r="K181" s="1"/>
      <c r="L181" s="1"/>
      <c r="M181" s="1"/>
      <c r="N181" s="1"/>
      <c r="O181" s="1"/>
      <c r="P181" s="1"/>
      <c r="Q181" s="1"/>
      <c r="R181" s="1"/>
      <c r="S181" s="1"/>
      <c r="T181" s="23" t="str">
        <f t="shared" ca="1" si="14"/>
        <v>205,..,905</v>
      </c>
      <c r="U181" s="23">
        <f t="shared" ca="1" si="17"/>
        <v>205</v>
      </c>
      <c r="V181" s="23">
        <f t="shared" ca="1" si="18"/>
        <v>905</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hidden="1" customHeight="1" x14ac:dyDescent="0.3">
      <c r="A182" s="95" t="str">
        <f t="shared" ca="1" si="15"/>
        <v>206,..,906</v>
      </c>
      <c r="B182" s="95"/>
      <c r="C182" s="55"/>
      <c r="D182" s="55"/>
      <c r="E182" s="33"/>
      <c r="F182" s="6"/>
      <c r="G182" s="6"/>
      <c r="H182" s="6">
        <f t="shared" si="16"/>
        <v>0</v>
      </c>
      <c r="I182" s="1"/>
      <c r="J182" s="1"/>
      <c r="K182" s="1"/>
      <c r="L182" s="1"/>
      <c r="M182" s="1"/>
      <c r="N182" s="1"/>
      <c r="O182" s="1"/>
      <c r="P182" s="1"/>
      <c r="Q182" s="1"/>
      <c r="R182" s="1"/>
      <c r="S182" s="1"/>
      <c r="T182" s="23" t="str">
        <f t="shared" ca="1" si="14"/>
        <v>206,..,906</v>
      </c>
      <c r="U182" s="23">
        <f t="shared" ca="1" si="17"/>
        <v>206</v>
      </c>
      <c r="V182" s="23">
        <f t="shared" ca="1" si="18"/>
        <v>906</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hidden="1" customHeight="1" x14ac:dyDescent="0.3">
      <c r="A183" s="95" t="str">
        <f t="shared" ca="1" si="15"/>
        <v>207,..,907</v>
      </c>
      <c r="B183" s="95"/>
      <c r="C183" s="55"/>
      <c r="D183" s="55"/>
      <c r="E183" s="33"/>
      <c r="F183" s="6"/>
      <c r="G183" s="6"/>
      <c r="H183" s="6">
        <f t="shared" si="16"/>
        <v>0</v>
      </c>
      <c r="I183" s="1"/>
      <c r="J183" s="1"/>
      <c r="K183" s="1"/>
      <c r="L183" s="1"/>
      <c r="M183" s="1"/>
      <c r="N183" s="1"/>
      <c r="O183" s="1"/>
      <c r="P183" s="1"/>
      <c r="Q183" s="1"/>
      <c r="R183" s="1"/>
      <c r="S183" s="1"/>
      <c r="T183" s="23" t="str">
        <f t="shared" ca="1" si="14"/>
        <v>207,..,907</v>
      </c>
      <c r="U183" s="23">
        <f t="shared" ca="1" si="17"/>
        <v>207</v>
      </c>
      <c r="V183" s="23">
        <f t="shared" ca="1" si="18"/>
        <v>907</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hidden="1" customHeight="1" x14ac:dyDescent="0.3">
      <c r="A184" s="95" t="str">
        <f t="shared" ca="1" si="15"/>
        <v>208,..,908</v>
      </c>
      <c r="B184" s="95"/>
      <c r="C184" s="55"/>
      <c r="D184" s="55"/>
      <c r="E184" s="33"/>
      <c r="F184" s="6"/>
      <c r="G184" s="6"/>
      <c r="H184" s="6">
        <f t="shared" si="16"/>
        <v>0</v>
      </c>
      <c r="I184" s="1"/>
      <c r="J184" s="1"/>
      <c r="K184" s="1"/>
      <c r="L184" s="1"/>
      <c r="M184" s="1"/>
      <c r="N184" s="1"/>
      <c r="O184" s="1"/>
      <c r="P184" s="1"/>
      <c r="Q184" s="1"/>
      <c r="R184" s="1"/>
      <c r="S184" s="1"/>
      <c r="T184" s="23" t="str">
        <f t="shared" ca="1" si="14"/>
        <v>208,..,908</v>
      </c>
      <c r="U184" s="23">
        <f t="shared" ca="1" si="17"/>
        <v>208</v>
      </c>
      <c r="V184" s="23">
        <f t="shared" ca="1" si="18"/>
        <v>908</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1" hidden="1" x14ac:dyDescent="0.3">
      <c r="A185" s="150" t="s">
        <v>131</v>
      </c>
      <c r="B185" s="151"/>
      <c r="C185" s="151"/>
      <c r="D185" s="151"/>
      <c r="E185" s="151"/>
      <c r="F185" s="151"/>
      <c r="G185" s="151"/>
      <c r="H185" s="152"/>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hidden="1" customHeight="1" x14ac:dyDescent="0.3">
      <c r="A186" s="95" t="str">
        <f ca="1">T186</f>
        <v>201 to 501</v>
      </c>
      <c r="B186" s="95"/>
      <c r="C186" s="55"/>
      <c r="D186" s="55"/>
      <c r="E186" s="33">
        <v>0</v>
      </c>
      <c r="F186" s="6">
        <v>0</v>
      </c>
      <c r="G186" s="6">
        <v>0</v>
      </c>
      <c r="H186" s="6">
        <f>E186+F186+(IF(G186&lt;101,G186,IF(G186&lt;201,G186/2,IF(G186&lt;=301,G186/3,G186/4))))</f>
        <v>0</v>
      </c>
      <c r="I186" s="1"/>
      <c r="J186" s="1"/>
      <c r="K186" s="1"/>
      <c r="L186" s="1"/>
      <c r="M186" s="1"/>
      <c r="N186" s="1"/>
      <c r="O186" s="1"/>
      <c r="P186" s="1"/>
      <c r="Q186" s="1"/>
      <c r="R186" s="1"/>
      <c r="S186" s="1"/>
      <c r="T186" s="23" t="str">
        <f ca="1">U186&amp;""&amp;" to "&amp;""&amp;V186</f>
        <v>201 to 501</v>
      </c>
      <c r="U186" s="23">
        <f ca="1">(SUMPRODUCT(MID(0&amp;(LEFT(A185,SUM(LEN(A185)-LEN(SUBSTITUTE(A185,{"0","1","2","3"},""))))), LARGE(INDEX(ISNUMBER(--MID((LEFT(A185,SUM(LEN(A185)-LEN(SUBSTITUTE(A185,{"0","1","2","3"},""))))), ROW(INDIRECT("1:"&amp;LEN((LEFT(A185,SUM(LEN(A185)-LEN(SUBSTITUTE(A185,{"0","1","2","3"},"")))))))), 1)) * ROW(INDIRECT("1:"&amp;LEN((LEFT(A185,SUM(LEN(A185)-LEN(SUBSTITUTE(A185,{"0","1","2","3"},"")))))))), 0), ROW(INDIRECT("1:"&amp;LEN((LEFT(A185,SUM(LEN(A185)-LEN(SUBSTITUTE(A185,{"0","1","2","3"},"")))))))))+1, 1) * 10^ROW(INDIRECT("1:"&amp;LEN((LEFT(A185,SUM(LEN(A185)-LEN(SUBSTITUTE(A185,{"0","1","2","3"},""))))))))/10))*100+1</f>
        <v>201</v>
      </c>
      <c r="V186" s="23">
        <f ca="1">(SUMPRODUCT(MID(0&amp;(--TRIM(RIGHT(SUBSTITUTE(LEFT(A185,_xlfn.AGGREGATE(16,6,FIND({0,1,2,3,4,5,6,7,8,9},A185,ROW(INDIRECT("1:"&amp;LEN(A185)))),1))," ",REPT(" ",LEN(A185))),LEN(A185)))), LARGE(INDEX(ISNUMBER(--MID((--TRIM(RIGHT(SUBSTITUTE(LEFT(A185,_xlfn.AGGREGATE(16,6,FIND({0,1,2,3,4,5,6,7,8,9},A185,ROW(INDIRECT("1:"&amp;LEN(A185)))),1))," ",REPT(" ",LEN(A185))),LEN(A185)))), ROW(INDIRECT("1:"&amp;LEN((--TRIM(RIGHT(SUBSTITUTE(LEFT(A185,_xlfn.AGGREGATE(16,6,FIND({0,1,2,3,4,5,6,7,8,9},A185,ROW(INDIRECT("1:"&amp;LEN(A185)))),1))," ",REPT(" ",LEN(A185))),LEN(A185))))))), 1)) * ROW(INDIRECT("1:"&amp;LEN((--TRIM(RIGHT(SUBSTITUTE(LEFT(A185,_xlfn.AGGREGATE(16,6,FIND({0,1,2,3,4,5,6,7,8,9},A185,ROW(INDIRECT("1:"&amp;LEN(A185)))),1))," ",REPT(" ",LEN(A185))),LEN(A185))))))), 0), ROW(INDIRECT("1:"&amp;LEN((--TRIM(RIGHT(SUBSTITUTE(LEFT(A185,_xlfn.AGGREGATE(16,6,FIND({0,1,2,3,4,5,6,7,8,9},A185,ROW(INDIRECT("1:"&amp;LEN(A185)))),1))," ",REPT(" ",LEN(A185))),LEN(A185))))))))+1, 1) * 10^ROW(INDIRECT("1:"&amp;LEN((--TRIM(RIGHT(SUBSTITUTE(LEFT(A185,_xlfn.AGGREGATE(16,6,FIND({0,1,2,3,4,5,6,7,8,9},A185,ROW(INDIRECT("1:"&amp;LEN(A185)))),1))," ",REPT(" ",LEN(A185))),LEN(A185)))))))/10))*100+1</f>
        <v>501</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3">
      <c r="A187" s="95" t="str">
        <f t="shared" ref="A187:A193" ca="1" si="19">T187</f>
        <v>202 to 502</v>
      </c>
      <c r="B187" s="95"/>
      <c r="C187" s="55"/>
      <c r="D187" s="55"/>
      <c r="E187" s="33"/>
      <c r="F187" s="6"/>
      <c r="G187" s="6"/>
      <c r="H187" s="6">
        <f t="shared" ref="H187:H193" si="20">E187+F187+(IF(G187&lt;101,G187,IF(G187&lt;201,G187/2,IF(G187&lt;=301,G187/3,G187/4))))</f>
        <v>0</v>
      </c>
      <c r="I187" s="1"/>
      <c r="J187" s="1"/>
      <c r="K187" s="1"/>
      <c r="L187" s="1"/>
      <c r="M187" s="1"/>
      <c r="N187" s="1"/>
      <c r="O187" s="1"/>
      <c r="P187" s="1"/>
      <c r="Q187" s="1"/>
      <c r="R187" s="1"/>
      <c r="S187" s="1"/>
      <c r="T187" s="23" t="str">
        <f t="shared" ref="T187:T193" ca="1" si="21">U187&amp;""&amp;" to "&amp;""&amp;V187</f>
        <v>202 to 502</v>
      </c>
      <c r="U187" s="23">
        <f ca="1">U186+1</f>
        <v>202</v>
      </c>
      <c r="V187" s="23">
        <f ca="1">V186+1</f>
        <v>502</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3">
      <c r="A188" s="95" t="str">
        <f t="shared" ca="1" si="19"/>
        <v>203 to 503</v>
      </c>
      <c r="B188" s="95"/>
      <c r="C188" s="55"/>
      <c r="D188" s="55"/>
      <c r="E188" s="33"/>
      <c r="F188" s="6"/>
      <c r="G188" s="6"/>
      <c r="H188" s="6">
        <f t="shared" si="20"/>
        <v>0</v>
      </c>
      <c r="I188" s="1"/>
      <c r="J188" s="1"/>
      <c r="K188" s="1"/>
      <c r="L188" s="1"/>
      <c r="M188" s="1"/>
      <c r="N188" s="1"/>
      <c r="O188" s="1"/>
      <c r="P188" s="1"/>
      <c r="Q188" s="1"/>
      <c r="R188" s="1"/>
      <c r="S188" s="1"/>
      <c r="T188" s="23" t="str">
        <f t="shared" ca="1" si="21"/>
        <v>203 to 503</v>
      </c>
      <c r="U188" s="23">
        <f t="shared" ref="U188:U193" ca="1" si="22">U187+1</f>
        <v>203</v>
      </c>
      <c r="V188" s="23">
        <f t="shared" ref="V188:V193" ca="1" si="23">V187+1</f>
        <v>503</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25" hidden="1" customHeight="1" x14ac:dyDescent="0.3">
      <c r="A189" s="95" t="str">
        <f t="shared" ca="1" si="19"/>
        <v>204 to 504</v>
      </c>
      <c r="B189" s="95"/>
      <c r="C189" s="55"/>
      <c r="D189" s="55"/>
      <c r="E189" s="33"/>
      <c r="F189" s="6"/>
      <c r="G189" s="6"/>
      <c r="H189" s="6">
        <f t="shared" si="20"/>
        <v>0</v>
      </c>
      <c r="I189" s="1"/>
      <c r="J189" s="1"/>
      <c r="K189" s="1"/>
      <c r="L189" s="1"/>
      <c r="M189" s="1"/>
      <c r="N189" s="1"/>
      <c r="O189" s="1"/>
      <c r="P189" s="1"/>
      <c r="Q189" s="1"/>
      <c r="R189" s="1"/>
      <c r="S189" s="1"/>
      <c r="T189" s="23" t="str">
        <f t="shared" ca="1" si="21"/>
        <v>204 to 504</v>
      </c>
      <c r="U189" s="23">
        <f t="shared" ca="1" si="22"/>
        <v>204</v>
      </c>
      <c r="V189" s="23">
        <f t="shared" ca="1" si="23"/>
        <v>504</v>
      </c>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3">
      <c r="A190" s="95" t="str">
        <f t="shared" ca="1" si="19"/>
        <v>205 to 505</v>
      </c>
      <c r="B190" s="95"/>
      <c r="C190" s="55"/>
      <c r="D190" s="55"/>
      <c r="E190" s="33"/>
      <c r="F190" s="6"/>
      <c r="G190" s="6"/>
      <c r="H190" s="6">
        <f t="shared" si="20"/>
        <v>0</v>
      </c>
      <c r="I190" s="1"/>
      <c r="J190" s="1"/>
      <c r="K190" s="1"/>
      <c r="L190" s="1"/>
      <c r="M190" s="1"/>
      <c r="N190" s="1"/>
      <c r="O190" s="1"/>
      <c r="P190" s="1"/>
      <c r="Q190" s="1"/>
      <c r="R190" s="1"/>
      <c r="S190" s="1"/>
      <c r="T190" s="23" t="str">
        <f t="shared" ca="1" si="21"/>
        <v>205 to 505</v>
      </c>
      <c r="U190" s="23">
        <f t="shared" ca="1" si="22"/>
        <v>205</v>
      </c>
      <c r="V190" s="23">
        <f t="shared" ca="1" si="23"/>
        <v>505</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customHeight="1" x14ac:dyDescent="0.3">
      <c r="A191" s="95" t="str">
        <f t="shared" ca="1" si="19"/>
        <v>206 to 506</v>
      </c>
      <c r="B191" s="95"/>
      <c r="C191" s="55"/>
      <c r="D191" s="55"/>
      <c r="E191" s="33"/>
      <c r="F191" s="6"/>
      <c r="G191" s="6"/>
      <c r="H191" s="6">
        <f t="shared" si="20"/>
        <v>0</v>
      </c>
      <c r="I191" s="1"/>
      <c r="J191" s="1"/>
      <c r="K191" s="1"/>
      <c r="L191" s="1"/>
      <c r="M191" s="1"/>
      <c r="N191" s="1"/>
      <c r="O191" s="1"/>
      <c r="P191" s="1"/>
      <c r="Q191" s="1"/>
      <c r="R191" s="1"/>
      <c r="S191" s="1"/>
      <c r="T191" s="23" t="str">
        <f t="shared" ca="1" si="21"/>
        <v>206 to 506</v>
      </c>
      <c r="U191" s="23">
        <f t="shared" ca="1" si="22"/>
        <v>206</v>
      </c>
      <c r="V191" s="23">
        <f t="shared" ca="1" si="23"/>
        <v>506</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hidden="1" customHeight="1" x14ac:dyDescent="0.3">
      <c r="A192" s="95" t="str">
        <f t="shared" ca="1" si="19"/>
        <v>207 to 507</v>
      </c>
      <c r="B192" s="95"/>
      <c r="C192" s="55"/>
      <c r="D192" s="55"/>
      <c r="E192" s="33"/>
      <c r="F192" s="6"/>
      <c r="G192" s="6"/>
      <c r="H192" s="6">
        <f t="shared" si="20"/>
        <v>0</v>
      </c>
      <c r="I192" s="1"/>
      <c r="J192" s="1"/>
      <c r="K192" s="1"/>
      <c r="L192" s="1"/>
      <c r="M192" s="1"/>
      <c r="N192" s="1"/>
      <c r="O192" s="1"/>
      <c r="P192" s="1"/>
      <c r="Q192" s="1"/>
      <c r="R192" s="1"/>
      <c r="S192" s="1"/>
      <c r="T192" s="23" t="str">
        <f t="shared" ca="1" si="21"/>
        <v>207 to 507</v>
      </c>
      <c r="U192" s="23">
        <f t="shared" ca="1" si="22"/>
        <v>207</v>
      </c>
      <c r="V192" s="23">
        <f t="shared" ca="1" si="23"/>
        <v>507</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hidden="1" customHeight="1" x14ac:dyDescent="0.3">
      <c r="A193" s="95" t="str">
        <f t="shared" ca="1" si="19"/>
        <v>208 to 508</v>
      </c>
      <c r="B193" s="95"/>
      <c r="C193" s="55"/>
      <c r="D193" s="55"/>
      <c r="E193" s="33"/>
      <c r="F193" s="6"/>
      <c r="G193" s="6"/>
      <c r="H193" s="6">
        <f t="shared" si="20"/>
        <v>0</v>
      </c>
      <c r="I193" s="1"/>
      <c r="J193" s="1"/>
      <c r="K193" s="1"/>
      <c r="L193" s="1"/>
      <c r="M193" s="1"/>
      <c r="N193" s="1"/>
      <c r="O193" s="1"/>
      <c r="P193" s="1"/>
      <c r="Q193" s="1"/>
      <c r="R193" s="1"/>
      <c r="S193" s="1"/>
      <c r="T193" s="23" t="str">
        <f t="shared" ca="1" si="21"/>
        <v>208 to 508</v>
      </c>
      <c r="U193" s="23">
        <f t="shared" ca="1" si="22"/>
        <v>208</v>
      </c>
      <c r="V193" s="23">
        <f t="shared" ca="1" si="23"/>
        <v>508</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1" hidden="1" x14ac:dyDescent="0.3">
      <c r="A194" s="150" t="s">
        <v>132</v>
      </c>
      <c r="B194" s="151"/>
      <c r="C194" s="151"/>
      <c r="D194" s="151"/>
      <c r="E194" s="151"/>
      <c r="F194" s="151"/>
      <c r="G194" s="151"/>
      <c r="H194" s="152"/>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hidden="1" customHeight="1" x14ac:dyDescent="0.3">
      <c r="A195" s="95" t="str">
        <f ca="1">T195</f>
        <v>201 &amp; 501</v>
      </c>
      <c r="B195" s="95"/>
      <c r="C195" s="55"/>
      <c r="D195" s="55"/>
      <c r="E195" s="33">
        <v>0</v>
      </c>
      <c r="F195" s="6">
        <v>0</v>
      </c>
      <c r="G195" s="6">
        <v>0</v>
      </c>
      <c r="H195" s="6">
        <f>E195+F195+(IF(G195&lt;101,G195,IF(G195&lt;201,G195/2,IF(G195&lt;=301,G195/3,G195/4))))</f>
        <v>0</v>
      </c>
      <c r="I195" s="1"/>
      <c r="J195" s="1"/>
      <c r="K195" s="1"/>
      <c r="L195" s="1"/>
      <c r="M195" s="1"/>
      <c r="N195" s="1"/>
      <c r="O195" s="1"/>
      <c r="P195" s="1"/>
      <c r="Q195" s="1"/>
      <c r="R195" s="1"/>
      <c r="S195" s="1"/>
      <c r="T195" s="23" t="str">
        <f ca="1">U195&amp;""&amp;" &amp; "&amp;""&amp;V195</f>
        <v>201 &amp; 501</v>
      </c>
      <c r="U195" s="23">
        <f ca="1">(SUMPRODUCT(MID(0&amp;(LEFT(A194,SUM(LEN(A194)-LEN(SUBSTITUTE(A194,{"0","1","2","3"},""))))), LARGE(INDEX(ISNUMBER(--MID((LEFT(A194,SUM(LEN(A194)-LEN(SUBSTITUTE(A194,{"0","1","2","3"},""))))), ROW(INDIRECT("1:"&amp;LEN((LEFT(A194,SUM(LEN(A194)-LEN(SUBSTITUTE(A194,{"0","1","2","3"},"")))))))), 1)) * ROW(INDIRECT("1:"&amp;LEN((LEFT(A194,SUM(LEN(A194)-LEN(SUBSTITUTE(A194,{"0","1","2","3"},"")))))))), 0), ROW(INDIRECT("1:"&amp;LEN((LEFT(A194,SUM(LEN(A194)-LEN(SUBSTITUTE(A194,{"0","1","2","3"},"")))))))))+1, 1) * 10^ROW(INDIRECT("1:"&amp;LEN((LEFT(A194,SUM(LEN(A194)-LEN(SUBSTITUTE(A194,{"0","1","2","3"},""))))))))/10))*100+1</f>
        <v>201</v>
      </c>
      <c r="V195" s="23">
        <f ca="1">(SUMPRODUCT(MID(0&amp;(--TRIM(RIGHT(SUBSTITUTE(LEFT(A194,_xlfn.AGGREGATE(16,6,FIND({0,1,2,3,4,5,6,7,8,9},A194,ROW(INDIRECT("1:"&amp;LEN(A194)))),1)),"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",LEN(A194))),LEN(A194)))))))/10))*100+1</f>
        <v>501</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customHeight="1" x14ac:dyDescent="0.3">
      <c r="A196" s="95" t="str">
        <f t="shared" ref="A196:A202" ca="1" si="24">T196</f>
        <v>202 &amp; 502</v>
      </c>
      <c r="B196" s="95"/>
      <c r="C196" s="55"/>
      <c r="D196" s="55"/>
      <c r="E196" s="33"/>
      <c r="F196" s="6"/>
      <c r="G196" s="6"/>
      <c r="H196" s="6">
        <f t="shared" ref="H196:H202" si="25">E196+F196+(IF(G196&lt;101,G196,IF(G196&lt;201,G196/2,IF(G196&lt;=301,G196/3,G196/4))))</f>
        <v>0</v>
      </c>
      <c r="I196" s="1"/>
      <c r="J196" s="1"/>
      <c r="K196" s="1"/>
      <c r="L196" s="1"/>
      <c r="M196" s="1"/>
      <c r="N196" s="1"/>
      <c r="O196" s="1"/>
      <c r="P196" s="1"/>
      <c r="Q196" s="1"/>
      <c r="R196" s="1"/>
      <c r="S196" s="1"/>
      <c r="T196" s="23" t="str">
        <f t="shared" ref="T196:T202" ca="1" si="26">U196&amp;""&amp;" &amp; "&amp;""&amp;V196</f>
        <v>202 &amp; 502</v>
      </c>
      <c r="U196" s="23">
        <f ca="1">U195+1</f>
        <v>202</v>
      </c>
      <c r="V196" s="23">
        <f ca="1">V195+1</f>
        <v>502</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customHeight="1" x14ac:dyDescent="0.3">
      <c r="A197" s="95" t="str">
        <f t="shared" ca="1" si="24"/>
        <v>203 &amp; 503</v>
      </c>
      <c r="B197" s="95"/>
      <c r="C197" s="55"/>
      <c r="D197" s="55"/>
      <c r="E197" s="33"/>
      <c r="F197" s="6"/>
      <c r="G197" s="6"/>
      <c r="H197" s="6">
        <f t="shared" si="25"/>
        <v>0</v>
      </c>
      <c r="I197" s="1"/>
      <c r="J197" s="1"/>
      <c r="K197" s="1"/>
      <c r="L197" s="1"/>
      <c r="M197" s="1"/>
      <c r="N197" s="1"/>
      <c r="O197" s="1"/>
      <c r="P197" s="1"/>
      <c r="Q197" s="1"/>
      <c r="R197" s="1"/>
      <c r="S197" s="1"/>
      <c r="T197" s="23" t="str">
        <f t="shared" ca="1" si="26"/>
        <v>203 &amp; 503</v>
      </c>
      <c r="U197" s="23">
        <f t="shared" ref="U197:U202" ca="1" si="27">U196+1</f>
        <v>203</v>
      </c>
      <c r="V197" s="23">
        <f t="shared" ref="V197:V202" ca="1" si="28">V196+1</f>
        <v>503</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25" hidden="1" customHeight="1" x14ac:dyDescent="0.3">
      <c r="A198" s="95" t="str">
        <f t="shared" ca="1" si="24"/>
        <v>204 &amp; 504</v>
      </c>
      <c r="B198" s="95"/>
      <c r="C198" s="55"/>
      <c r="D198" s="55"/>
      <c r="E198" s="33"/>
      <c r="F198" s="6"/>
      <c r="G198" s="6"/>
      <c r="H198" s="6">
        <f t="shared" si="25"/>
        <v>0</v>
      </c>
      <c r="I198" s="1"/>
      <c r="J198" s="1"/>
      <c r="K198" s="1"/>
      <c r="L198" s="1"/>
      <c r="M198" s="1"/>
      <c r="N198" s="1"/>
      <c r="O198" s="1"/>
      <c r="P198" s="1"/>
      <c r="Q198" s="1"/>
      <c r="R198" s="1"/>
      <c r="S198" s="1"/>
      <c r="T198" s="23" t="str">
        <f t="shared" ca="1" si="26"/>
        <v>204 &amp; 504</v>
      </c>
      <c r="U198" s="23">
        <f t="shared" ca="1" si="27"/>
        <v>204</v>
      </c>
      <c r="V198" s="23">
        <f t="shared" ca="1" si="28"/>
        <v>504</v>
      </c>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customHeight="1" x14ac:dyDescent="0.3">
      <c r="A199" s="95" t="str">
        <f t="shared" ca="1" si="24"/>
        <v>205 &amp; 505</v>
      </c>
      <c r="B199" s="95"/>
      <c r="C199" s="55"/>
      <c r="D199" s="55"/>
      <c r="E199" s="33"/>
      <c r="F199" s="6"/>
      <c r="G199" s="6"/>
      <c r="H199" s="6">
        <f t="shared" si="25"/>
        <v>0</v>
      </c>
      <c r="I199" s="1"/>
      <c r="J199" s="1"/>
      <c r="K199" s="1"/>
      <c r="L199" s="1"/>
      <c r="M199" s="1"/>
      <c r="N199" s="1"/>
      <c r="O199" s="1"/>
      <c r="P199" s="1"/>
      <c r="Q199" s="1"/>
      <c r="R199" s="1"/>
      <c r="S199" s="1"/>
      <c r="T199" s="23" t="str">
        <f t="shared" ca="1" si="26"/>
        <v>205 &amp; 505</v>
      </c>
      <c r="U199" s="23">
        <f t="shared" ca="1" si="27"/>
        <v>205</v>
      </c>
      <c r="V199" s="23">
        <f t="shared" ca="1" si="28"/>
        <v>505</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customHeight="1" x14ac:dyDescent="0.3">
      <c r="A200" s="95" t="str">
        <f t="shared" ca="1" si="24"/>
        <v>206 &amp; 506</v>
      </c>
      <c r="B200" s="95"/>
      <c r="C200" s="55"/>
      <c r="D200" s="55"/>
      <c r="E200" s="33"/>
      <c r="F200" s="6"/>
      <c r="G200" s="6"/>
      <c r="H200" s="6">
        <f t="shared" si="25"/>
        <v>0</v>
      </c>
      <c r="I200" s="1"/>
      <c r="J200" s="1"/>
      <c r="K200" s="1"/>
      <c r="L200" s="1"/>
      <c r="M200" s="1"/>
      <c r="N200" s="1"/>
      <c r="O200" s="1"/>
      <c r="P200" s="1"/>
      <c r="Q200" s="1"/>
      <c r="R200" s="1"/>
      <c r="S200" s="1"/>
      <c r="T200" s="23" t="str">
        <f t="shared" ca="1" si="26"/>
        <v>206 &amp; 506</v>
      </c>
      <c r="U200" s="23">
        <f t="shared" ca="1" si="27"/>
        <v>206</v>
      </c>
      <c r="V200" s="23">
        <f t="shared" ca="1" si="28"/>
        <v>506</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customHeight="1" x14ac:dyDescent="0.3">
      <c r="A201" s="95" t="str">
        <f t="shared" ca="1" si="24"/>
        <v>207 &amp; 507</v>
      </c>
      <c r="B201" s="95"/>
      <c r="C201" s="55"/>
      <c r="D201" s="55"/>
      <c r="E201" s="33"/>
      <c r="F201" s="6"/>
      <c r="G201" s="6"/>
      <c r="H201" s="6">
        <f t="shared" si="25"/>
        <v>0</v>
      </c>
      <c r="I201" s="1"/>
      <c r="J201" s="1"/>
      <c r="K201" s="1"/>
      <c r="L201" s="1"/>
      <c r="M201" s="1"/>
      <c r="N201" s="1"/>
      <c r="O201" s="1"/>
      <c r="P201" s="1"/>
      <c r="Q201" s="1"/>
      <c r="R201" s="1"/>
      <c r="S201" s="1"/>
      <c r="T201" s="23" t="str">
        <f t="shared" ca="1" si="26"/>
        <v>207 &amp; 507</v>
      </c>
      <c r="U201" s="23">
        <f t="shared" ca="1" si="27"/>
        <v>207</v>
      </c>
      <c r="V201" s="23">
        <f t="shared" ca="1" si="28"/>
        <v>507</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customHeight="1" x14ac:dyDescent="0.3">
      <c r="A202" s="95" t="str">
        <f t="shared" ca="1" si="24"/>
        <v>208 &amp; 508</v>
      </c>
      <c r="B202" s="95"/>
      <c r="C202" s="55"/>
      <c r="D202" s="55"/>
      <c r="E202" s="33"/>
      <c r="F202" s="6"/>
      <c r="G202" s="6"/>
      <c r="H202" s="6">
        <f t="shared" si="25"/>
        <v>0</v>
      </c>
      <c r="I202" s="1"/>
      <c r="J202" s="1"/>
      <c r="K202" s="1"/>
      <c r="L202" s="1"/>
      <c r="M202" s="1"/>
      <c r="N202" s="1"/>
      <c r="O202" s="1"/>
      <c r="P202" s="1"/>
      <c r="Q202" s="1"/>
      <c r="R202" s="1"/>
      <c r="S202" s="1"/>
      <c r="T202" s="23" t="str">
        <f t="shared" ca="1" si="26"/>
        <v>208 &amp; 508</v>
      </c>
      <c r="U202" s="23">
        <f t="shared" ca="1" si="27"/>
        <v>208</v>
      </c>
      <c r="V202" s="23">
        <f t="shared" ca="1" si="28"/>
        <v>508</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ht="21" x14ac:dyDescent="0.3">
      <c r="A203" s="132" t="s">
        <v>68</v>
      </c>
      <c r="B203" s="132"/>
      <c r="C203" s="132"/>
      <c r="D203" s="132"/>
      <c r="E203" s="132"/>
      <c r="F203" s="132"/>
      <c r="G203" s="132"/>
      <c r="H203" s="132"/>
    </row>
    <row r="204" spans="1:150 16226:16383" ht="21" x14ac:dyDescent="0.3">
      <c r="A204" s="2" t="s">
        <v>237</v>
      </c>
      <c r="B204" s="147" t="s">
        <v>405</v>
      </c>
      <c r="C204" s="148"/>
      <c r="D204" s="148"/>
      <c r="E204" s="148"/>
      <c r="F204" s="148"/>
      <c r="G204" s="148"/>
      <c r="H204" s="149"/>
    </row>
    <row r="205" spans="1:150 16226:16383" ht="21" x14ac:dyDescent="0.3">
      <c r="A205" s="2" t="s">
        <v>237</v>
      </c>
      <c r="B205" s="101" t="s">
        <v>238</v>
      </c>
      <c r="C205" s="146"/>
      <c r="D205" s="146"/>
      <c r="E205" s="146"/>
      <c r="F205" s="146"/>
      <c r="G205" s="146"/>
      <c r="H205" s="102"/>
    </row>
    <row r="206" spans="1:150 16226:16383" ht="21" x14ac:dyDescent="0.3">
      <c r="A206" s="2" t="s">
        <v>237</v>
      </c>
      <c r="B206" s="101" t="s">
        <v>396</v>
      </c>
      <c r="C206" s="146"/>
      <c r="D206" s="146"/>
      <c r="E206" s="146"/>
      <c r="F206" s="146"/>
      <c r="G206" s="146"/>
      <c r="H206" s="102"/>
    </row>
    <row r="207" spans="1:150 16226:16383" ht="21" x14ac:dyDescent="0.3">
      <c r="A207" s="2" t="s">
        <v>237</v>
      </c>
      <c r="B207" s="101" t="s">
        <v>239</v>
      </c>
      <c r="C207" s="146"/>
      <c r="D207" s="146"/>
      <c r="E207" s="146"/>
      <c r="F207" s="146"/>
      <c r="G207" s="146"/>
      <c r="H207" s="102"/>
    </row>
    <row r="208" spans="1:150 16226:16383" ht="21" x14ac:dyDescent="0.3">
      <c r="A208" s="2" t="s">
        <v>237</v>
      </c>
      <c r="B208" s="101" t="s">
        <v>240</v>
      </c>
      <c r="C208" s="146"/>
      <c r="D208" s="146"/>
      <c r="E208" s="146"/>
      <c r="F208" s="146"/>
      <c r="G208" s="146"/>
      <c r="H208" s="102"/>
    </row>
    <row r="209" spans="1:8" ht="21" x14ac:dyDescent="0.3">
      <c r="A209" s="2" t="s">
        <v>237</v>
      </c>
      <c r="B209" s="101" t="s">
        <v>402</v>
      </c>
      <c r="C209" s="146"/>
      <c r="D209" s="146"/>
      <c r="E209" s="146"/>
      <c r="F209" s="146"/>
      <c r="G209" s="146"/>
      <c r="H209" s="102"/>
    </row>
    <row r="210" spans="1:8" ht="44.25" customHeight="1" x14ac:dyDescent="0.3">
      <c r="A210" s="2" t="s">
        <v>237</v>
      </c>
      <c r="B210" s="101" t="s">
        <v>401</v>
      </c>
      <c r="C210" s="146"/>
      <c r="D210" s="146"/>
      <c r="E210" s="146"/>
      <c r="F210" s="146"/>
      <c r="G210" s="146"/>
      <c r="H210" s="102"/>
    </row>
    <row r="211" spans="1:8" ht="46.5" hidden="1" customHeight="1" x14ac:dyDescent="0.3">
      <c r="A211" s="2" t="s">
        <v>237</v>
      </c>
      <c r="B211" s="145" t="s">
        <v>241</v>
      </c>
      <c r="C211" s="146"/>
      <c r="D211" s="146"/>
      <c r="E211" s="146"/>
      <c r="F211" s="146"/>
      <c r="G211" s="146"/>
      <c r="H211" s="102"/>
    </row>
    <row r="212" spans="1:8" ht="24.75" hidden="1" customHeight="1" x14ac:dyDescent="0.3">
      <c r="A212" s="2" t="s">
        <v>237</v>
      </c>
      <c r="B212" s="145" t="s">
        <v>242</v>
      </c>
      <c r="C212" s="146"/>
      <c r="D212" s="146"/>
      <c r="E212" s="146"/>
      <c r="F212" s="146"/>
      <c r="G212" s="146"/>
      <c r="H212" s="102"/>
    </row>
    <row r="213" spans="1:8" ht="20.25" hidden="1" customHeight="1" x14ac:dyDescent="0.3">
      <c r="A213" s="2" t="s">
        <v>237</v>
      </c>
      <c r="B213" s="145" t="s">
        <v>241</v>
      </c>
      <c r="C213" s="146"/>
      <c r="D213" s="146"/>
      <c r="E213" s="146"/>
      <c r="F213" s="146"/>
      <c r="G213" s="146"/>
      <c r="H213" s="102"/>
    </row>
    <row r="214" spans="1:8" ht="21" x14ac:dyDescent="0.3">
      <c r="A214" s="156" t="s">
        <v>74</v>
      </c>
      <c r="B214" s="156"/>
      <c r="C214" s="156"/>
      <c r="D214" s="156"/>
      <c r="E214" s="156"/>
      <c r="F214" s="156"/>
      <c r="G214" s="156"/>
      <c r="H214" s="156"/>
    </row>
    <row r="215" spans="1:8" ht="21" x14ac:dyDescent="0.3">
      <c r="A215" s="130" t="s">
        <v>69</v>
      </c>
      <c r="B215" s="130"/>
      <c r="C215" s="130"/>
      <c r="D215" s="101" t="str">
        <f>C3</f>
        <v xml:space="preserve">Immensa H </v>
      </c>
      <c r="E215" s="146"/>
      <c r="F215" s="146"/>
      <c r="G215" s="146"/>
      <c r="H215" s="102"/>
    </row>
    <row r="216" spans="1:8" ht="40.5" customHeight="1" x14ac:dyDescent="0.3">
      <c r="A216" s="130" t="s">
        <v>104</v>
      </c>
      <c r="B216" s="130"/>
      <c r="C216" s="130"/>
      <c r="D216" s="101" t="str">
        <f>C9</f>
        <v>Immensa at Parkcity, Kalpataru Parkcity, Kolshet Rd, Thane West, Thane, Maharashtra 400607</v>
      </c>
      <c r="E216" s="146"/>
      <c r="F216" s="146"/>
      <c r="G216" s="146"/>
      <c r="H216" s="102"/>
    </row>
    <row r="217" spans="1:8" ht="20.25" customHeight="1" x14ac:dyDescent="0.3">
      <c r="A217" s="169" t="s">
        <v>110</v>
      </c>
      <c r="B217" s="169"/>
      <c r="C217" s="169"/>
      <c r="D217" s="101" t="str">
        <f>G3</f>
        <v>08/09/2025 @ 01:21PM</v>
      </c>
      <c r="E217" s="146"/>
      <c r="F217" s="146"/>
      <c r="G217" s="146"/>
      <c r="H217" s="102"/>
    </row>
    <row r="218" spans="1:8" ht="21" x14ac:dyDescent="0.3">
      <c r="A218" s="10"/>
      <c r="B218" s="11"/>
      <c r="C218" s="11"/>
      <c r="D218" s="11"/>
      <c r="E218" s="11"/>
      <c r="F218" s="11"/>
      <c r="G218" s="11"/>
      <c r="H218" s="7"/>
    </row>
    <row r="219" spans="1:8" ht="21" x14ac:dyDescent="0.3">
      <c r="A219" s="12"/>
      <c r="B219" s="13"/>
      <c r="C219" s="13"/>
      <c r="D219" s="13"/>
      <c r="E219" s="13"/>
      <c r="F219" s="13"/>
      <c r="G219" s="13"/>
      <c r="H219" s="8"/>
    </row>
    <row r="220" spans="1:8" ht="21" x14ac:dyDescent="0.3">
      <c r="A220" s="12"/>
      <c r="B220" s="13"/>
      <c r="C220" s="13"/>
      <c r="D220" s="13"/>
      <c r="E220" s="13"/>
      <c r="F220" s="13"/>
      <c r="G220" s="13"/>
      <c r="H220" s="8"/>
    </row>
    <row r="221" spans="1:8" ht="21" x14ac:dyDescent="0.3">
      <c r="A221" s="12"/>
      <c r="B221" s="13"/>
      <c r="C221" s="13"/>
      <c r="D221" s="13"/>
      <c r="E221" s="13"/>
      <c r="F221" s="13"/>
      <c r="G221" s="13"/>
      <c r="H221" s="8"/>
    </row>
    <row r="222" spans="1:8" ht="21" x14ac:dyDescent="0.3">
      <c r="A222" s="12"/>
      <c r="B222" s="13"/>
      <c r="C222" s="13"/>
      <c r="D222" s="13"/>
      <c r="E222" s="13"/>
      <c r="F222" s="13"/>
      <c r="G222" s="13"/>
      <c r="H222" s="8"/>
    </row>
    <row r="223" spans="1:8" ht="21" x14ac:dyDescent="0.3">
      <c r="A223" s="12"/>
      <c r="B223" s="13"/>
      <c r="C223" s="13"/>
      <c r="D223" s="13"/>
      <c r="E223" s="13"/>
      <c r="F223" s="13"/>
      <c r="G223" s="13"/>
      <c r="H223" s="8"/>
    </row>
    <row r="224" spans="1:8" ht="21" x14ac:dyDescent="0.3">
      <c r="A224" s="12"/>
      <c r="B224" s="13"/>
      <c r="C224" s="13"/>
      <c r="D224" s="13"/>
      <c r="E224" s="13"/>
      <c r="F224" s="13"/>
      <c r="G224" s="13"/>
      <c r="H224" s="8"/>
    </row>
    <row r="225" spans="1:8" ht="21" x14ac:dyDescent="0.3">
      <c r="A225" s="12"/>
      <c r="B225" s="13"/>
      <c r="C225" s="13"/>
      <c r="D225" s="13"/>
      <c r="E225" s="13"/>
      <c r="F225" s="13"/>
      <c r="G225" s="13"/>
      <c r="H225" s="8"/>
    </row>
    <row r="226" spans="1:8" ht="21" x14ac:dyDescent="0.3">
      <c r="A226" s="12"/>
      <c r="B226" s="13"/>
      <c r="C226" s="13"/>
      <c r="D226" s="13"/>
      <c r="E226" s="13"/>
      <c r="F226" s="13"/>
      <c r="G226" s="13"/>
      <c r="H226" s="8"/>
    </row>
    <row r="227" spans="1:8" ht="21" x14ac:dyDescent="0.3">
      <c r="A227" s="12"/>
      <c r="B227" s="13"/>
      <c r="C227" s="13"/>
      <c r="D227" s="13"/>
      <c r="E227" s="13"/>
      <c r="F227" s="13"/>
      <c r="G227" s="13"/>
      <c r="H227" s="8"/>
    </row>
    <row r="228" spans="1:8" ht="21" x14ac:dyDescent="0.3">
      <c r="A228" s="12"/>
      <c r="B228" s="13"/>
      <c r="C228" s="13"/>
      <c r="D228" s="13"/>
      <c r="E228" s="13"/>
      <c r="F228" s="13"/>
      <c r="G228" s="13"/>
      <c r="H228" s="8"/>
    </row>
    <row r="229" spans="1:8" ht="21" x14ac:dyDescent="0.3">
      <c r="A229" s="12"/>
      <c r="B229" s="13"/>
      <c r="C229" s="13"/>
      <c r="D229" s="13"/>
      <c r="E229" s="13"/>
      <c r="F229" s="13"/>
      <c r="G229" s="13"/>
      <c r="H229" s="8"/>
    </row>
    <row r="230" spans="1:8" ht="21" x14ac:dyDescent="0.3">
      <c r="A230" s="12"/>
      <c r="B230" s="13"/>
      <c r="C230" s="13"/>
      <c r="D230" s="13"/>
      <c r="E230" s="13"/>
      <c r="F230" s="13"/>
      <c r="G230" s="13"/>
      <c r="H230" s="8"/>
    </row>
    <row r="231" spans="1:8" ht="21" x14ac:dyDescent="0.3">
      <c r="A231" s="12"/>
      <c r="B231" s="13"/>
      <c r="C231" s="13"/>
      <c r="D231" s="13"/>
      <c r="E231" s="13"/>
      <c r="F231" s="13"/>
      <c r="G231" s="13"/>
      <c r="H231" s="8"/>
    </row>
    <row r="232" spans="1:8" ht="21" x14ac:dyDescent="0.3">
      <c r="A232" s="12"/>
      <c r="B232" s="13"/>
      <c r="C232" s="13"/>
      <c r="D232" s="13"/>
      <c r="E232" s="13"/>
      <c r="F232" s="13"/>
      <c r="G232" s="13"/>
      <c r="H232" s="8"/>
    </row>
    <row r="233" spans="1:8" ht="21" x14ac:dyDescent="0.3">
      <c r="A233" s="12"/>
      <c r="B233" s="13"/>
      <c r="C233" s="13"/>
      <c r="D233" s="13"/>
      <c r="E233" s="13"/>
      <c r="F233" s="13"/>
      <c r="G233" s="13"/>
      <c r="H233" s="8"/>
    </row>
    <row r="234" spans="1:8" ht="21" x14ac:dyDescent="0.3">
      <c r="A234" s="12"/>
      <c r="B234" s="13"/>
      <c r="C234" s="13"/>
      <c r="D234" s="13"/>
      <c r="E234" s="13"/>
      <c r="F234" s="13"/>
      <c r="G234" s="13"/>
      <c r="H234" s="8"/>
    </row>
    <row r="235" spans="1:8" ht="21" x14ac:dyDescent="0.3">
      <c r="A235" s="12"/>
      <c r="B235" s="13"/>
      <c r="C235" s="13"/>
      <c r="D235" s="13"/>
      <c r="E235" s="13"/>
      <c r="F235" s="13"/>
      <c r="G235" s="13"/>
      <c r="H235" s="8"/>
    </row>
    <row r="236" spans="1:8" ht="21" x14ac:dyDescent="0.3">
      <c r="A236" s="12"/>
      <c r="B236" s="13"/>
      <c r="C236" s="13"/>
      <c r="D236" s="13"/>
      <c r="E236" s="13"/>
      <c r="F236" s="13"/>
      <c r="G236" s="13"/>
      <c r="H236" s="8"/>
    </row>
    <row r="237" spans="1:8" ht="21" x14ac:dyDescent="0.3">
      <c r="A237" s="12"/>
      <c r="B237" s="13"/>
      <c r="C237" s="13"/>
      <c r="D237" s="13"/>
      <c r="E237" s="13"/>
      <c r="F237" s="13"/>
      <c r="G237" s="13"/>
      <c r="H237" s="8"/>
    </row>
    <row r="238" spans="1:8" ht="21" x14ac:dyDescent="0.3">
      <c r="A238" s="12"/>
      <c r="B238" s="13"/>
      <c r="C238" s="13"/>
      <c r="D238" s="13"/>
      <c r="E238" s="13"/>
      <c r="F238" s="13"/>
      <c r="G238" s="13"/>
      <c r="H238" s="8"/>
    </row>
    <row r="239" spans="1:8" ht="21" x14ac:dyDescent="0.3">
      <c r="A239" s="12"/>
      <c r="B239" s="13"/>
      <c r="C239" s="13"/>
      <c r="D239" s="13"/>
      <c r="E239" s="13"/>
      <c r="F239" s="13"/>
      <c r="G239" s="13"/>
      <c r="H239" s="8"/>
    </row>
    <row r="240" spans="1:8" ht="21" x14ac:dyDescent="0.3">
      <c r="A240" s="12"/>
      <c r="B240" s="13"/>
      <c r="C240" s="13"/>
      <c r="D240" s="13"/>
      <c r="E240" s="13"/>
      <c r="F240" s="13"/>
      <c r="G240" s="13"/>
      <c r="H240" s="8"/>
    </row>
    <row r="241" spans="1:8" ht="21" x14ac:dyDescent="0.3">
      <c r="A241" s="12"/>
      <c r="B241" s="13"/>
      <c r="C241" s="13"/>
      <c r="D241" s="13"/>
      <c r="E241" s="13"/>
      <c r="F241" s="13"/>
      <c r="G241" s="13"/>
      <c r="H241" s="8"/>
    </row>
    <row r="242" spans="1:8" ht="21" x14ac:dyDescent="0.3">
      <c r="A242" s="12"/>
      <c r="B242" s="13"/>
      <c r="C242" s="13"/>
      <c r="D242" s="13"/>
      <c r="E242" s="13"/>
      <c r="F242" s="13"/>
      <c r="G242" s="13"/>
      <c r="H242" s="8"/>
    </row>
    <row r="243" spans="1:8" ht="21" x14ac:dyDescent="0.3">
      <c r="A243" s="12"/>
      <c r="B243" s="13"/>
      <c r="C243" s="13"/>
      <c r="D243" s="13"/>
      <c r="E243" s="13"/>
      <c r="F243" s="13"/>
      <c r="G243" s="13"/>
      <c r="H243" s="8"/>
    </row>
    <row r="244" spans="1:8" ht="21" x14ac:dyDescent="0.3">
      <c r="A244" s="12"/>
      <c r="B244" s="13"/>
      <c r="C244" s="13"/>
      <c r="D244" s="13"/>
      <c r="E244" s="13"/>
      <c r="F244" s="13"/>
      <c r="G244" s="13"/>
      <c r="H244" s="8"/>
    </row>
    <row r="245" spans="1:8" ht="21" x14ac:dyDescent="0.3">
      <c r="A245" s="12"/>
      <c r="B245" s="13"/>
      <c r="C245" s="13"/>
      <c r="D245" s="13"/>
      <c r="E245" s="13"/>
      <c r="F245" s="13"/>
      <c r="G245" s="13"/>
      <c r="H245" s="8"/>
    </row>
    <row r="246" spans="1:8" ht="21" x14ac:dyDescent="0.3">
      <c r="A246" s="12"/>
      <c r="B246" s="13"/>
      <c r="C246" s="13"/>
      <c r="D246" s="13"/>
      <c r="E246" s="13"/>
      <c r="F246" s="13"/>
      <c r="G246" s="13"/>
      <c r="H246" s="8"/>
    </row>
    <row r="247" spans="1:8" ht="21" x14ac:dyDescent="0.3">
      <c r="A247" s="12"/>
      <c r="B247" s="13"/>
      <c r="C247" s="13"/>
      <c r="D247" s="13"/>
      <c r="E247" s="13"/>
      <c r="F247" s="13"/>
      <c r="G247" s="13"/>
      <c r="H247" s="8"/>
    </row>
    <row r="248" spans="1:8" ht="21" x14ac:dyDescent="0.3">
      <c r="A248" s="12"/>
      <c r="B248" s="13"/>
      <c r="C248" s="13"/>
      <c r="D248" s="13"/>
      <c r="E248" s="13"/>
      <c r="F248" s="13"/>
      <c r="G248" s="13"/>
      <c r="H248" s="8"/>
    </row>
    <row r="249" spans="1:8" ht="21" x14ac:dyDescent="0.3">
      <c r="A249" s="12"/>
      <c r="B249" s="13"/>
      <c r="C249" s="13"/>
      <c r="D249" s="13"/>
      <c r="E249" s="13"/>
      <c r="F249" s="13"/>
      <c r="G249" s="13"/>
      <c r="H249" s="8"/>
    </row>
    <row r="250" spans="1:8" ht="21" x14ac:dyDescent="0.3">
      <c r="A250" s="12"/>
      <c r="B250" s="13"/>
      <c r="C250" s="13"/>
      <c r="D250" s="13"/>
      <c r="E250" s="13"/>
      <c r="F250" s="13"/>
      <c r="G250" s="13"/>
      <c r="H250" s="8"/>
    </row>
    <row r="251" spans="1:8" ht="21" x14ac:dyDescent="0.3">
      <c r="A251" s="12"/>
      <c r="B251" s="13"/>
      <c r="C251" s="13"/>
      <c r="D251" s="13"/>
      <c r="E251" s="13"/>
      <c r="F251" s="13"/>
      <c r="G251" s="13"/>
      <c r="H251" s="8"/>
    </row>
    <row r="252" spans="1:8" ht="21" x14ac:dyDescent="0.3">
      <c r="A252" s="12"/>
      <c r="B252" s="13"/>
      <c r="C252" s="13"/>
      <c r="D252" s="13"/>
      <c r="E252" s="13"/>
      <c r="F252" s="13"/>
      <c r="G252" s="13"/>
      <c r="H252" s="8"/>
    </row>
    <row r="253" spans="1:8" ht="21" x14ac:dyDescent="0.3">
      <c r="A253" s="12"/>
      <c r="B253" s="13"/>
      <c r="C253" s="13"/>
      <c r="D253" s="13"/>
      <c r="E253" s="13"/>
      <c r="F253" s="13"/>
      <c r="G253" s="13"/>
      <c r="H253" s="8"/>
    </row>
    <row r="254" spans="1:8" ht="21" x14ac:dyDescent="0.3">
      <c r="A254" s="12"/>
      <c r="B254" s="13"/>
      <c r="C254" s="13"/>
      <c r="D254" s="13"/>
      <c r="E254" s="13"/>
      <c r="F254" s="13"/>
      <c r="G254" s="13"/>
      <c r="H254" s="8"/>
    </row>
    <row r="255" spans="1:8" ht="21" x14ac:dyDescent="0.3">
      <c r="A255" s="14"/>
      <c r="B255" s="15"/>
      <c r="C255" s="15"/>
      <c r="D255" s="15"/>
      <c r="E255" s="15"/>
      <c r="F255" s="15"/>
      <c r="G255" s="15"/>
      <c r="H255" s="9"/>
    </row>
    <row r="256" spans="1:8" ht="21" x14ac:dyDescent="0.3">
      <c r="A256" s="132" t="s">
        <v>162</v>
      </c>
      <c r="B256" s="132"/>
      <c r="C256" s="132"/>
      <c r="D256" s="132"/>
      <c r="E256" s="132"/>
      <c r="F256" s="132"/>
      <c r="G256" s="132"/>
      <c r="H256" s="132"/>
    </row>
    <row r="257" spans="1:8" ht="21" x14ac:dyDescent="0.3">
      <c r="A257" s="10"/>
      <c r="B257" s="11"/>
      <c r="C257" s="11"/>
      <c r="D257" s="11"/>
      <c r="E257" s="11"/>
      <c r="F257" s="11"/>
      <c r="G257" s="11"/>
      <c r="H257" s="7"/>
    </row>
    <row r="258" spans="1:8" ht="21" x14ac:dyDescent="0.3">
      <c r="A258" s="12"/>
      <c r="B258" s="13"/>
      <c r="C258" s="13"/>
      <c r="D258" s="13"/>
      <c r="E258" s="13"/>
      <c r="F258" s="13"/>
      <c r="G258" s="13"/>
      <c r="H258" s="8"/>
    </row>
    <row r="259" spans="1:8" ht="21" x14ac:dyDescent="0.3">
      <c r="A259" s="12"/>
      <c r="B259" s="13"/>
      <c r="C259" s="13"/>
      <c r="D259" s="13"/>
      <c r="E259" s="13"/>
      <c r="F259" s="13"/>
      <c r="G259" s="13"/>
      <c r="H259" s="8"/>
    </row>
    <row r="260" spans="1:8" ht="21" x14ac:dyDescent="0.3">
      <c r="A260" s="12"/>
      <c r="B260" s="13"/>
      <c r="C260" s="13"/>
      <c r="D260" s="13"/>
      <c r="E260" s="13"/>
      <c r="F260" s="13"/>
      <c r="G260" s="13"/>
      <c r="H260" s="8"/>
    </row>
    <row r="261" spans="1:8" ht="21" x14ac:dyDescent="0.3">
      <c r="A261" s="12"/>
      <c r="B261" s="13"/>
      <c r="C261" s="13"/>
      <c r="D261" s="13"/>
      <c r="E261" s="13"/>
      <c r="F261" s="13"/>
      <c r="G261" s="13"/>
      <c r="H261" s="8"/>
    </row>
    <row r="262" spans="1:8" ht="21" x14ac:dyDescent="0.3">
      <c r="A262" s="12"/>
      <c r="B262" s="13"/>
      <c r="C262" s="13"/>
      <c r="D262" s="13"/>
      <c r="E262" s="13"/>
      <c r="F262" s="13"/>
      <c r="G262" s="13"/>
      <c r="H262" s="8"/>
    </row>
    <row r="263" spans="1:8" ht="21" x14ac:dyDescent="0.3">
      <c r="A263" s="12"/>
      <c r="B263" s="13"/>
      <c r="C263" s="13"/>
      <c r="D263" s="13"/>
      <c r="E263" s="13"/>
      <c r="F263" s="13"/>
      <c r="G263" s="13"/>
      <c r="H263" s="8"/>
    </row>
    <row r="264" spans="1:8" ht="21" x14ac:dyDescent="0.3">
      <c r="A264" s="12"/>
      <c r="B264" s="13"/>
      <c r="C264" s="13"/>
      <c r="D264" s="13"/>
      <c r="E264" s="13"/>
      <c r="F264" s="13"/>
      <c r="G264" s="13"/>
      <c r="H264" s="8"/>
    </row>
    <row r="265" spans="1:8" ht="21" x14ac:dyDescent="0.3">
      <c r="A265" s="12"/>
      <c r="B265" s="13"/>
      <c r="C265" s="13"/>
      <c r="D265" s="13"/>
      <c r="E265" s="13"/>
      <c r="F265" s="13"/>
      <c r="G265" s="13"/>
      <c r="H265" s="8"/>
    </row>
    <row r="266" spans="1:8" ht="21" x14ac:dyDescent="0.3">
      <c r="A266" s="12"/>
      <c r="B266" s="13"/>
      <c r="C266" s="13"/>
      <c r="D266" s="13"/>
      <c r="E266" s="13"/>
      <c r="F266" s="13"/>
      <c r="G266" s="13"/>
      <c r="H266" s="8"/>
    </row>
    <row r="267" spans="1:8" ht="21" x14ac:dyDescent="0.3">
      <c r="A267" s="12"/>
      <c r="B267" s="13"/>
      <c r="C267" s="13"/>
      <c r="D267" s="13"/>
      <c r="E267" s="13"/>
      <c r="F267" s="13"/>
      <c r="G267" s="13"/>
      <c r="H267" s="8"/>
    </row>
    <row r="268" spans="1:8" ht="21" x14ac:dyDescent="0.3">
      <c r="A268" s="12"/>
      <c r="B268" s="13"/>
      <c r="C268" s="13"/>
      <c r="D268" s="13"/>
      <c r="E268" s="13"/>
      <c r="F268" s="13"/>
      <c r="G268" s="13"/>
      <c r="H268" s="8"/>
    </row>
    <row r="269" spans="1:8" ht="21" x14ac:dyDescent="0.3">
      <c r="A269" s="12"/>
      <c r="B269" s="13"/>
      <c r="C269" s="13"/>
      <c r="D269" s="13"/>
      <c r="E269" s="13"/>
      <c r="F269" s="13"/>
      <c r="G269" s="13"/>
      <c r="H269" s="8"/>
    </row>
    <row r="270" spans="1:8" ht="21" x14ac:dyDescent="0.3">
      <c r="A270" s="12"/>
      <c r="B270" s="13"/>
      <c r="C270" s="13"/>
      <c r="D270" s="13"/>
      <c r="E270" s="13"/>
      <c r="F270" s="13"/>
      <c r="G270" s="13"/>
      <c r="H270" s="8"/>
    </row>
    <row r="271" spans="1:8" ht="21" x14ac:dyDescent="0.3">
      <c r="A271" s="12"/>
      <c r="B271" s="13"/>
      <c r="C271" s="13"/>
      <c r="D271" s="13"/>
      <c r="E271" s="13"/>
      <c r="F271" s="13"/>
      <c r="G271" s="13"/>
      <c r="H271" s="8"/>
    </row>
    <row r="272" spans="1:8" ht="21" x14ac:dyDescent="0.3">
      <c r="A272" s="12"/>
      <c r="B272" s="13"/>
      <c r="C272" s="13"/>
      <c r="D272" s="13"/>
      <c r="E272" s="13"/>
      <c r="F272" s="13"/>
      <c r="G272" s="13"/>
      <c r="H272" s="8"/>
    </row>
    <row r="273" spans="1:8" ht="21" x14ac:dyDescent="0.3">
      <c r="A273" s="12"/>
      <c r="B273" s="13"/>
      <c r="C273" s="13"/>
      <c r="D273" s="13"/>
      <c r="E273" s="13"/>
      <c r="F273" s="13"/>
      <c r="G273" s="13"/>
      <c r="H273" s="8"/>
    </row>
    <row r="274" spans="1:8" ht="21" x14ac:dyDescent="0.3">
      <c r="A274" s="12"/>
      <c r="B274" s="13"/>
      <c r="C274" s="13"/>
      <c r="D274" s="13"/>
      <c r="E274" s="13"/>
      <c r="F274" s="13"/>
      <c r="G274" s="13"/>
      <c r="H274" s="8"/>
    </row>
    <row r="275" spans="1:8" ht="21" x14ac:dyDescent="0.3">
      <c r="A275" s="12"/>
      <c r="B275" s="13"/>
      <c r="C275" s="13"/>
      <c r="D275" s="13"/>
      <c r="E275" s="13"/>
      <c r="F275" s="13"/>
      <c r="G275" s="13"/>
      <c r="H275" s="8"/>
    </row>
    <row r="276" spans="1:8" ht="21" x14ac:dyDescent="0.3">
      <c r="A276" s="12"/>
      <c r="B276" s="13"/>
      <c r="C276" s="13"/>
      <c r="D276" s="13"/>
      <c r="E276" s="13"/>
      <c r="F276" s="13"/>
      <c r="G276" s="13"/>
      <c r="H276" s="8"/>
    </row>
    <row r="277" spans="1:8" ht="21" x14ac:dyDescent="0.3">
      <c r="A277" s="12"/>
      <c r="B277" s="13"/>
      <c r="C277" s="13"/>
      <c r="D277" s="13"/>
      <c r="E277" s="13"/>
      <c r="F277" s="13"/>
      <c r="G277" s="13"/>
      <c r="H277" s="8"/>
    </row>
    <row r="278" spans="1:8" ht="21" x14ac:dyDescent="0.3">
      <c r="A278" s="12"/>
      <c r="B278" s="13"/>
      <c r="C278" s="13"/>
      <c r="D278" s="13"/>
      <c r="E278" s="13"/>
      <c r="F278" s="13"/>
      <c r="G278" s="13"/>
      <c r="H278" s="8"/>
    </row>
    <row r="279" spans="1:8" ht="21" x14ac:dyDescent="0.3">
      <c r="A279" s="12"/>
      <c r="B279" s="13"/>
      <c r="C279" s="13"/>
      <c r="D279" s="13"/>
      <c r="E279" s="13"/>
      <c r="F279" s="13"/>
      <c r="G279" s="13"/>
      <c r="H279" s="8"/>
    </row>
    <row r="280" spans="1:8" ht="21" x14ac:dyDescent="0.3">
      <c r="A280" s="12"/>
      <c r="B280" s="13"/>
      <c r="C280" s="13"/>
      <c r="D280" s="13"/>
      <c r="E280" s="13"/>
      <c r="F280" s="13"/>
      <c r="G280" s="13"/>
      <c r="H280" s="8"/>
    </row>
    <row r="281" spans="1:8" ht="21" x14ac:dyDescent="0.3">
      <c r="A281" s="12"/>
      <c r="B281" s="13"/>
      <c r="C281" s="13"/>
      <c r="D281" s="13"/>
      <c r="E281" s="13"/>
      <c r="F281" s="13"/>
      <c r="G281" s="13"/>
      <c r="H281" s="8"/>
    </row>
    <row r="282" spans="1:8" ht="21" x14ac:dyDescent="0.3">
      <c r="A282" s="12"/>
      <c r="B282" s="13"/>
      <c r="C282" s="13"/>
      <c r="D282" s="13"/>
      <c r="E282" s="13"/>
      <c r="F282" s="13"/>
      <c r="G282" s="13"/>
      <c r="H282" s="8"/>
    </row>
    <row r="283" spans="1:8" ht="21" x14ac:dyDescent="0.3">
      <c r="A283" s="12"/>
      <c r="B283" s="13"/>
      <c r="C283" s="13"/>
      <c r="D283" s="13"/>
      <c r="E283" s="13"/>
      <c r="F283" s="13"/>
      <c r="G283" s="13"/>
      <c r="H283" s="8"/>
    </row>
    <row r="284" spans="1:8" ht="21" x14ac:dyDescent="0.3">
      <c r="A284" s="12"/>
      <c r="B284" s="13"/>
      <c r="C284" s="13"/>
      <c r="D284" s="13"/>
      <c r="E284" s="13"/>
      <c r="F284" s="13"/>
      <c r="G284" s="13"/>
      <c r="H284" s="8"/>
    </row>
    <row r="285" spans="1:8" ht="21" x14ac:dyDescent="0.3">
      <c r="A285" s="12"/>
      <c r="B285" s="13"/>
      <c r="C285" s="13"/>
      <c r="D285" s="13"/>
      <c r="E285" s="13"/>
      <c r="F285" s="13"/>
      <c r="G285" s="13"/>
      <c r="H285" s="8"/>
    </row>
    <row r="286" spans="1:8" ht="21" x14ac:dyDescent="0.3">
      <c r="A286" s="12"/>
      <c r="B286" s="13"/>
      <c r="C286" s="13"/>
      <c r="D286" s="13"/>
      <c r="E286" s="13"/>
      <c r="F286" s="13"/>
      <c r="G286" s="13"/>
      <c r="H286" s="8"/>
    </row>
    <row r="287" spans="1:8" ht="21" x14ac:dyDescent="0.3">
      <c r="A287" s="12"/>
      <c r="B287" s="13"/>
      <c r="C287" s="13"/>
      <c r="D287" s="13"/>
      <c r="E287" s="13"/>
      <c r="F287" s="13"/>
      <c r="G287" s="13"/>
      <c r="H287" s="8"/>
    </row>
    <row r="288" spans="1:8" ht="21" x14ac:dyDescent="0.3">
      <c r="A288" s="12"/>
      <c r="B288" s="13"/>
      <c r="C288" s="13"/>
      <c r="D288" s="13"/>
      <c r="E288" s="13"/>
      <c r="F288" s="13"/>
      <c r="G288" s="13"/>
      <c r="H288" s="8"/>
    </row>
    <row r="289" spans="1:8" ht="21" x14ac:dyDescent="0.3">
      <c r="A289" s="12"/>
      <c r="B289" s="13"/>
      <c r="C289" s="13"/>
      <c r="D289" s="13"/>
      <c r="E289" s="13"/>
      <c r="F289" s="13"/>
      <c r="G289" s="13"/>
      <c r="H289" s="8"/>
    </row>
    <row r="290" spans="1:8" ht="21" x14ac:dyDescent="0.3">
      <c r="A290" s="12"/>
      <c r="B290" s="13"/>
      <c r="C290" s="13"/>
      <c r="D290" s="13"/>
      <c r="E290" s="13"/>
      <c r="F290" s="13"/>
      <c r="G290" s="13"/>
      <c r="H290" s="8"/>
    </row>
    <row r="291" spans="1:8" ht="21" x14ac:dyDescent="0.3">
      <c r="A291" s="12"/>
      <c r="B291" s="13"/>
      <c r="C291" s="13"/>
      <c r="D291" s="13"/>
      <c r="E291" s="13"/>
      <c r="F291" s="13"/>
      <c r="G291" s="13"/>
      <c r="H291" s="8"/>
    </row>
    <row r="292" spans="1:8" ht="21" x14ac:dyDescent="0.3">
      <c r="A292" s="12"/>
      <c r="B292" s="13"/>
      <c r="C292" s="13"/>
      <c r="D292" s="13"/>
      <c r="E292" s="13"/>
      <c r="F292" s="13"/>
      <c r="G292" s="13"/>
      <c r="H292" s="8"/>
    </row>
    <row r="293" spans="1:8" ht="21" x14ac:dyDescent="0.3">
      <c r="A293" s="12"/>
      <c r="B293" s="13"/>
      <c r="C293" s="13"/>
      <c r="D293" s="13"/>
      <c r="E293" s="13"/>
      <c r="F293" s="13"/>
      <c r="G293" s="13"/>
      <c r="H293" s="8"/>
    </row>
    <row r="294" spans="1:8" ht="21" x14ac:dyDescent="0.3">
      <c r="A294" s="12"/>
      <c r="B294" s="13"/>
      <c r="C294" s="13"/>
      <c r="D294" s="13"/>
      <c r="E294" s="13"/>
      <c r="F294" s="13"/>
      <c r="G294" s="13"/>
      <c r="H294" s="8"/>
    </row>
    <row r="295" spans="1:8" ht="21" x14ac:dyDescent="0.3">
      <c r="A295" s="12"/>
      <c r="B295" s="13"/>
      <c r="C295" s="13"/>
      <c r="D295" s="13"/>
      <c r="E295" s="13"/>
      <c r="F295" s="13"/>
      <c r="G295" s="13"/>
      <c r="H295" s="8"/>
    </row>
    <row r="296" spans="1:8" ht="21" x14ac:dyDescent="0.3">
      <c r="A296" s="12"/>
      <c r="B296" s="13"/>
      <c r="C296" s="13"/>
      <c r="D296" s="13"/>
      <c r="E296" s="13"/>
      <c r="F296" s="13"/>
      <c r="G296" s="13"/>
      <c r="H296" s="8"/>
    </row>
    <row r="297" spans="1:8" ht="21" x14ac:dyDescent="0.3">
      <c r="A297" s="12"/>
      <c r="B297" s="13"/>
      <c r="C297" s="13"/>
      <c r="D297" s="13"/>
      <c r="E297" s="13"/>
      <c r="F297" s="13"/>
      <c r="G297" s="13"/>
      <c r="H297" s="8"/>
    </row>
    <row r="298" spans="1:8" ht="21" x14ac:dyDescent="0.3">
      <c r="A298" s="14"/>
      <c r="B298" s="15"/>
      <c r="C298" s="15"/>
      <c r="D298" s="15"/>
      <c r="E298" s="15"/>
      <c r="F298" s="15"/>
      <c r="G298" s="15"/>
      <c r="H298" s="9"/>
    </row>
    <row r="299" spans="1:8" ht="21" x14ac:dyDescent="0.3">
      <c r="A299" s="166" t="s">
        <v>75</v>
      </c>
      <c r="B299" s="167"/>
      <c r="C299" s="167"/>
      <c r="D299" s="167"/>
      <c r="E299" s="167"/>
      <c r="F299" s="167"/>
      <c r="G299" s="167"/>
      <c r="H299" s="168"/>
    </row>
    <row r="300" spans="1:8" ht="21" x14ac:dyDescent="0.3">
      <c r="A300" s="10"/>
      <c r="B300" s="11"/>
      <c r="C300" s="11"/>
      <c r="D300" s="11"/>
      <c r="E300" s="11"/>
      <c r="F300" s="11"/>
      <c r="G300" s="11"/>
      <c r="H300" s="7"/>
    </row>
    <row r="301" spans="1:8" ht="21" x14ac:dyDescent="0.3">
      <c r="A301" s="12"/>
      <c r="B301" s="13"/>
      <c r="C301" s="13"/>
      <c r="D301" s="13"/>
      <c r="E301" s="13"/>
      <c r="F301" s="13"/>
      <c r="G301" s="13"/>
      <c r="H301" s="8"/>
    </row>
    <row r="302" spans="1:8" ht="21" x14ac:dyDescent="0.3">
      <c r="A302" s="12"/>
      <c r="B302" s="13"/>
      <c r="C302" s="13"/>
      <c r="D302" s="13"/>
      <c r="E302" s="13"/>
      <c r="F302" s="13"/>
      <c r="G302" s="13"/>
      <c r="H302" s="8"/>
    </row>
    <row r="303" spans="1:8" ht="21" x14ac:dyDescent="0.3">
      <c r="A303" s="12"/>
      <c r="B303" s="13"/>
      <c r="C303" s="13"/>
      <c r="D303" s="13"/>
      <c r="E303" s="13"/>
      <c r="F303" s="13"/>
      <c r="G303" s="13"/>
      <c r="H303" s="8"/>
    </row>
    <row r="304" spans="1:8" ht="21" x14ac:dyDescent="0.3">
      <c r="A304" s="12"/>
      <c r="B304" s="13"/>
      <c r="C304" s="13"/>
      <c r="D304" s="13"/>
      <c r="E304" s="13"/>
      <c r="F304" s="13"/>
      <c r="G304" s="13"/>
      <c r="H304" s="8"/>
    </row>
    <row r="305" spans="1:8" ht="21" x14ac:dyDescent="0.3">
      <c r="A305" s="12"/>
      <c r="B305" s="13"/>
      <c r="C305" s="13"/>
      <c r="D305" s="13"/>
      <c r="E305" s="13"/>
      <c r="F305" s="13"/>
      <c r="G305" s="13"/>
      <c r="H305" s="8"/>
    </row>
    <row r="306" spans="1:8" ht="21" x14ac:dyDescent="0.3">
      <c r="A306" s="12"/>
      <c r="B306" s="13"/>
      <c r="C306" s="13"/>
      <c r="D306" s="13"/>
      <c r="E306" s="13"/>
      <c r="F306" s="13"/>
      <c r="G306" s="13"/>
      <c r="H306" s="8"/>
    </row>
    <row r="307" spans="1:8" ht="21" x14ac:dyDescent="0.3">
      <c r="A307" s="12"/>
      <c r="B307" s="13"/>
      <c r="C307" s="13"/>
      <c r="D307" s="13"/>
      <c r="E307" s="13"/>
      <c r="F307" s="13"/>
      <c r="G307" s="13"/>
      <c r="H307" s="8"/>
    </row>
    <row r="308" spans="1:8" ht="21" x14ac:dyDescent="0.3">
      <c r="A308" s="12"/>
      <c r="B308" s="13"/>
      <c r="C308" s="13"/>
      <c r="D308" s="13"/>
      <c r="E308" s="13"/>
      <c r="F308" s="13"/>
      <c r="G308" s="13"/>
      <c r="H308" s="8"/>
    </row>
    <row r="309" spans="1:8" ht="21" x14ac:dyDescent="0.3">
      <c r="A309" s="12"/>
      <c r="B309" s="13"/>
      <c r="C309" s="13"/>
      <c r="D309" s="13"/>
      <c r="E309" s="13"/>
      <c r="F309" s="13"/>
      <c r="G309" s="13"/>
      <c r="H309" s="8"/>
    </row>
    <row r="310" spans="1:8" ht="21" x14ac:dyDescent="0.3">
      <c r="A310" s="12"/>
      <c r="B310" s="13"/>
      <c r="C310" s="13"/>
      <c r="D310" s="13"/>
      <c r="E310" s="13"/>
      <c r="F310" s="13"/>
      <c r="G310" s="13"/>
      <c r="H310" s="8"/>
    </row>
    <row r="311" spans="1:8" ht="21" x14ac:dyDescent="0.3">
      <c r="A311" s="12"/>
      <c r="B311" s="13"/>
      <c r="C311" s="13"/>
      <c r="D311" s="13"/>
      <c r="E311" s="13"/>
      <c r="F311" s="13"/>
      <c r="G311" s="13"/>
      <c r="H311" s="8"/>
    </row>
    <row r="312" spans="1:8" ht="21" x14ac:dyDescent="0.3">
      <c r="A312" s="12"/>
      <c r="B312" s="13"/>
      <c r="C312" s="13"/>
      <c r="D312" s="13"/>
      <c r="E312" s="13"/>
      <c r="F312" s="13"/>
      <c r="G312" s="13"/>
      <c r="H312" s="8"/>
    </row>
    <row r="313" spans="1:8" ht="21" x14ac:dyDescent="0.3">
      <c r="A313" s="12"/>
      <c r="B313" s="13"/>
      <c r="C313" s="13"/>
      <c r="D313" s="13"/>
      <c r="E313" s="13"/>
      <c r="F313" s="13"/>
      <c r="G313" s="13"/>
      <c r="H313" s="8"/>
    </row>
    <row r="314" spans="1:8" ht="21" x14ac:dyDescent="0.3">
      <c r="A314" s="12"/>
      <c r="B314" s="13"/>
      <c r="C314" s="13"/>
      <c r="D314" s="13"/>
      <c r="E314" s="13"/>
      <c r="F314" s="13"/>
      <c r="G314" s="13"/>
      <c r="H314" s="8"/>
    </row>
    <row r="315" spans="1:8" ht="21" x14ac:dyDescent="0.3">
      <c r="A315" s="12"/>
      <c r="B315" s="13"/>
      <c r="C315" s="13"/>
      <c r="D315" s="13"/>
      <c r="E315" s="13"/>
      <c r="F315" s="13"/>
      <c r="G315" s="13"/>
      <c r="H315" s="8"/>
    </row>
    <row r="316" spans="1:8" ht="21" x14ac:dyDescent="0.3">
      <c r="A316" s="12"/>
      <c r="B316" s="13"/>
      <c r="C316" s="13"/>
      <c r="D316" s="13"/>
      <c r="E316" s="13"/>
      <c r="F316" s="13"/>
      <c r="G316" s="13"/>
      <c r="H316" s="8"/>
    </row>
    <row r="317" spans="1:8" ht="21" x14ac:dyDescent="0.3">
      <c r="A317" s="12"/>
      <c r="B317" s="13"/>
      <c r="C317" s="13"/>
      <c r="D317" s="13"/>
      <c r="E317" s="13"/>
      <c r="F317" s="13"/>
      <c r="G317" s="13"/>
      <c r="H317" s="8"/>
    </row>
    <row r="318" spans="1:8" ht="21" x14ac:dyDescent="0.3">
      <c r="A318" s="12"/>
      <c r="B318" s="13"/>
      <c r="C318" s="13"/>
      <c r="D318" s="13"/>
      <c r="E318" s="13"/>
      <c r="F318" s="13"/>
      <c r="G318" s="13"/>
      <c r="H318" s="8"/>
    </row>
    <row r="319" spans="1:8" ht="21" x14ac:dyDescent="0.3">
      <c r="A319" s="12"/>
      <c r="B319" s="13"/>
      <c r="C319" s="13"/>
      <c r="D319" s="13"/>
      <c r="E319" s="13"/>
      <c r="F319" s="13"/>
      <c r="G319" s="13"/>
      <c r="H319" s="8"/>
    </row>
    <row r="320" spans="1:8" ht="21" x14ac:dyDescent="0.3">
      <c r="A320" s="12"/>
      <c r="B320" s="13"/>
      <c r="C320" s="13"/>
      <c r="D320" s="13"/>
      <c r="E320" s="13"/>
      <c r="F320" s="13"/>
      <c r="G320" s="13"/>
      <c r="H320" s="8"/>
    </row>
    <row r="321" spans="1:8" ht="21" x14ac:dyDescent="0.3">
      <c r="A321" s="12"/>
      <c r="B321" s="13"/>
      <c r="C321" s="13"/>
      <c r="D321" s="13"/>
      <c r="E321" s="13"/>
      <c r="F321" s="13"/>
      <c r="G321" s="13"/>
      <c r="H321" s="8"/>
    </row>
    <row r="322" spans="1:8" ht="21" x14ac:dyDescent="0.3">
      <c r="A322" s="12"/>
      <c r="B322" s="13"/>
      <c r="C322" s="13"/>
      <c r="D322" s="13"/>
      <c r="E322" s="13"/>
      <c r="F322" s="13"/>
      <c r="G322" s="13"/>
      <c r="H322" s="8"/>
    </row>
    <row r="323" spans="1:8" ht="21" x14ac:dyDescent="0.3">
      <c r="A323" s="12"/>
      <c r="B323" s="13"/>
      <c r="C323" s="13"/>
      <c r="D323" s="13"/>
      <c r="E323" s="13"/>
      <c r="F323" s="13"/>
      <c r="G323" s="13"/>
      <c r="H323" s="8"/>
    </row>
    <row r="324" spans="1:8" ht="21" x14ac:dyDescent="0.3">
      <c r="A324" s="12"/>
      <c r="B324" s="13"/>
      <c r="C324" s="13"/>
      <c r="D324" s="13"/>
      <c r="E324" s="13"/>
      <c r="F324" s="13"/>
      <c r="G324" s="13"/>
      <c r="H324" s="8"/>
    </row>
    <row r="325" spans="1:8" ht="21" x14ac:dyDescent="0.3">
      <c r="A325" s="12"/>
      <c r="B325" s="13"/>
      <c r="C325" s="13"/>
      <c r="D325" s="13"/>
      <c r="E325" s="13"/>
      <c r="F325" s="13"/>
      <c r="G325" s="13"/>
      <c r="H325" s="8"/>
    </row>
    <row r="326" spans="1:8" ht="21" x14ac:dyDescent="0.3">
      <c r="A326" s="132" t="s">
        <v>24</v>
      </c>
      <c r="B326" s="132"/>
      <c r="C326" s="132"/>
      <c r="D326" s="132"/>
      <c r="E326" s="132"/>
      <c r="F326" s="132"/>
      <c r="G326" s="132"/>
      <c r="H326" s="132"/>
    </row>
    <row r="327" spans="1:8" ht="21" x14ac:dyDescent="0.3">
      <c r="A327" s="157" t="s">
        <v>76</v>
      </c>
      <c r="B327" s="158"/>
      <c r="C327" s="158"/>
      <c r="D327" s="158"/>
      <c r="E327" s="158"/>
      <c r="F327" s="158"/>
      <c r="G327" s="158"/>
      <c r="H327" s="159"/>
    </row>
    <row r="328" spans="1:8" ht="21" x14ac:dyDescent="0.3">
      <c r="A328" s="160" t="s">
        <v>77</v>
      </c>
      <c r="B328" s="161"/>
      <c r="C328" s="161"/>
      <c r="D328" s="161"/>
      <c r="E328" s="161"/>
      <c r="F328" s="161"/>
      <c r="G328" s="161"/>
      <c r="H328" s="162"/>
    </row>
    <row r="329" spans="1:8" ht="45" customHeight="1" x14ac:dyDescent="0.3">
      <c r="A329" s="160" t="s">
        <v>78</v>
      </c>
      <c r="B329" s="161"/>
      <c r="C329" s="161"/>
      <c r="D329" s="161"/>
      <c r="E329" s="161"/>
      <c r="F329" s="161"/>
      <c r="G329" s="161"/>
      <c r="H329" s="162"/>
    </row>
    <row r="330" spans="1:8" ht="42.75" customHeight="1" x14ac:dyDescent="0.3">
      <c r="A330" s="160" t="s">
        <v>79</v>
      </c>
      <c r="B330" s="161"/>
      <c r="C330" s="161"/>
      <c r="D330" s="161"/>
      <c r="E330" s="161"/>
      <c r="F330" s="161"/>
      <c r="G330" s="161"/>
      <c r="H330" s="162"/>
    </row>
    <row r="331" spans="1:8" ht="21" x14ac:dyDescent="0.3">
      <c r="A331" s="160" t="s">
        <v>80</v>
      </c>
      <c r="B331" s="161"/>
      <c r="C331" s="161"/>
      <c r="D331" s="161"/>
      <c r="E331" s="161"/>
      <c r="F331" s="161"/>
      <c r="G331" s="161"/>
      <c r="H331" s="162"/>
    </row>
    <row r="332" spans="1:8" ht="21" x14ac:dyDescent="0.3">
      <c r="A332" s="160" t="s">
        <v>81</v>
      </c>
      <c r="B332" s="161"/>
      <c r="C332" s="161"/>
      <c r="D332" s="161"/>
      <c r="E332" s="161"/>
      <c r="F332" s="161"/>
      <c r="G332" s="161"/>
      <c r="H332" s="162"/>
    </row>
    <row r="333" spans="1:8" ht="45" customHeight="1" x14ac:dyDescent="0.3">
      <c r="A333" s="160" t="s">
        <v>82</v>
      </c>
      <c r="B333" s="161"/>
      <c r="C333" s="161"/>
      <c r="D333" s="161"/>
      <c r="E333" s="161"/>
      <c r="F333" s="161"/>
      <c r="G333" s="161"/>
      <c r="H333" s="162"/>
    </row>
    <row r="334" spans="1:8" ht="45" customHeight="1" x14ac:dyDescent="0.3">
      <c r="A334" s="160" t="s">
        <v>83</v>
      </c>
      <c r="B334" s="161"/>
      <c r="C334" s="161"/>
      <c r="D334" s="161"/>
      <c r="E334" s="161"/>
      <c r="F334" s="161"/>
      <c r="G334" s="161"/>
      <c r="H334" s="162"/>
    </row>
    <row r="335" spans="1:8" ht="21" x14ac:dyDescent="0.3">
      <c r="A335" s="163" t="s">
        <v>84</v>
      </c>
      <c r="B335" s="164"/>
      <c r="C335" s="164"/>
      <c r="D335" s="164"/>
      <c r="E335" s="164"/>
      <c r="F335" s="164"/>
      <c r="G335" s="164"/>
      <c r="H335" s="165"/>
    </row>
    <row r="336" spans="1:8" ht="57" customHeight="1" x14ac:dyDescent="0.3">
      <c r="A336" s="170" t="s">
        <v>30</v>
      </c>
      <c r="B336" s="171"/>
      <c r="C336" s="172" t="s">
        <v>370</v>
      </c>
      <c r="D336" s="173"/>
      <c r="E336" s="170" t="s">
        <v>9</v>
      </c>
      <c r="F336" s="171"/>
      <c r="G336" s="155"/>
      <c r="H336" s="155"/>
    </row>
  </sheetData>
  <mergeCells count="395">
    <mergeCell ref="B209:H209"/>
    <mergeCell ref="A148:B148"/>
    <mergeCell ref="A149:B149"/>
    <mergeCell ref="A150:B150"/>
    <mergeCell ref="D148:H148"/>
    <mergeCell ref="A152:H152"/>
    <mergeCell ref="A153:B153"/>
    <mergeCell ref="A154:B154"/>
    <mergeCell ref="D154:H154"/>
    <mergeCell ref="A181:B181"/>
    <mergeCell ref="A183:B183"/>
    <mergeCell ref="A184:B184"/>
    <mergeCell ref="A179:B179"/>
    <mergeCell ref="A185:H185"/>
    <mergeCell ref="A186:B186"/>
    <mergeCell ref="A178:B178"/>
    <mergeCell ref="A176:H176"/>
    <mergeCell ref="A197:B197"/>
    <mergeCell ref="A193:B193"/>
    <mergeCell ref="A189:B189"/>
    <mergeCell ref="A182:B182"/>
    <mergeCell ref="A160:B160"/>
    <mergeCell ref="A161:B161"/>
    <mergeCell ref="A162:H162"/>
    <mergeCell ref="C21:D21"/>
    <mergeCell ref="C22:D22"/>
    <mergeCell ref="C23:D23"/>
    <mergeCell ref="C25:H25"/>
    <mergeCell ref="C24:H24"/>
    <mergeCell ref="A69:B69"/>
    <mergeCell ref="A72:B72"/>
    <mergeCell ref="E79:F79"/>
    <mergeCell ref="A80:B80"/>
    <mergeCell ref="E80:F80"/>
    <mergeCell ref="A46:B46"/>
    <mergeCell ref="A47:B47"/>
    <mergeCell ref="A48:B48"/>
    <mergeCell ref="D47:F47"/>
    <mergeCell ref="D46:F46"/>
    <mergeCell ref="E31:F31"/>
    <mergeCell ref="E32:F32"/>
    <mergeCell ref="G47:H47"/>
    <mergeCell ref="G32:H32"/>
    <mergeCell ref="G23:H23"/>
    <mergeCell ref="G37:H37"/>
    <mergeCell ref="G36:H36"/>
    <mergeCell ref="G30:H30"/>
    <mergeCell ref="C33:H33"/>
    <mergeCell ref="D48:F48"/>
    <mergeCell ref="A49:B49"/>
    <mergeCell ref="D49:F49"/>
    <mergeCell ref="A59:B59"/>
    <mergeCell ref="A60:B60"/>
    <mergeCell ref="C57:F57"/>
    <mergeCell ref="E112:F112"/>
    <mergeCell ref="C120:D120"/>
    <mergeCell ref="A100:B100"/>
    <mergeCell ref="A101:B101"/>
    <mergeCell ref="A102:B102"/>
    <mergeCell ref="A103:B103"/>
    <mergeCell ref="A104:B104"/>
    <mergeCell ref="A105:B105"/>
    <mergeCell ref="A106:B106"/>
    <mergeCell ref="A107:B107"/>
    <mergeCell ref="A108:B108"/>
    <mergeCell ref="A67:B67"/>
    <mergeCell ref="A68:B68"/>
    <mergeCell ref="A96:B96"/>
    <mergeCell ref="E96:F96"/>
    <mergeCell ref="A99:B99"/>
    <mergeCell ref="A111:B111"/>
    <mergeCell ref="C111:D111"/>
    <mergeCell ref="G49:H49"/>
    <mergeCell ref="A57:B57"/>
    <mergeCell ref="A58:B58"/>
    <mergeCell ref="A53:B53"/>
    <mergeCell ref="C52:H52"/>
    <mergeCell ref="C53:F53"/>
    <mergeCell ref="C54:F54"/>
    <mergeCell ref="C55:F55"/>
    <mergeCell ref="A81:B81"/>
    <mergeCell ref="C58:F58"/>
    <mergeCell ref="C59:F59"/>
    <mergeCell ref="C60:F60"/>
    <mergeCell ref="G81:H92"/>
    <mergeCell ref="A55:B56"/>
    <mergeCell ref="C56:H56"/>
    <mergeCell ref="C112:D112"/>
    <mergeCell ref="G112:H112"/>
    <mergeCell ref="A110:H110"/>
    <mergeCell ref="C127:D127"/>
    <mergeCell ref="C126:D126"/>
    <mergeCell ref="A127:B127"/>
    <mergeCell ref="G127:H127"/>
    <mergeCell ref="G111:H111"/>
    <mergeCell ref="A114:H114"/>
    <mergeCell ref="A112:B112"/>
    <mergeCell ref="E111:F111"/>
    <mergeCell ref="A113:B113"/>
    <mergeCell ref="G124:H124"/>
    <mergeCell ref="A125:B125"/>
    <mergeCell ref="G125:H125"/>
    <mergeCell ref="A142:B142"/>
    <mergeCell ref="A61:H61"/>
    <mergeCell ref="A64:B64"/>
    <mergeCell ref="A65:B65"/>
    <mergeCell ref="E64:F64"/>
    <mergeCell ref="E62:F62"/>
    <mergeCell ref="E63:F63"/>
    <mergeCell ref="A62:C63"/>
    <mergeCell ref="A71:B71"/>
    <mergeCell ref="E94:F94"/>
    <mergeCell ref="A77:H77"/>
    <mergeCell ref="A78:C79"/>
    <mergeCell ref="E78:F78"/>
    <mergeCell ref="G109:H109"/>
    <mergeCell ref="G65:H76"/>
    <mergeCell ref="E95:F95"/>
    <mergeCell ref="A123:H123"/>
    <mergeCell ref="A124:B124"/>
    <mergeCell ref="E65:F76"/>
    <mergeCell ref="A92:B92"/>
    <mergeCell ref="A131:H131"/>
    <mergeCell ref="G128:H128"/>
    <mergeCell ref="A93:H93"/>
    <mergeCell ref="A94:C95"/>
    <mergeCell ref="A1:H1"/>
    <mergeCell ref="A215:C215"/>
    <mergeCell ref="G28:H28"/>
    <mergeCell ref="G29:H29"/>
    <mergeCell ref="A38:H38"/>
    <mergeCell ref="A45:H45"/>
    <mergeCell ref="A51:H51"/>
    <mergeCell ref="A118:H118"/>
    <mergeCell ref="G116:H116"/>
    <mergeCell ref="G7:H7"/>
    <mergeCell ref="G48:H48"/>
    <mergeCell ref="G46:H46"/>
    <mergeCell ref="A26:H26"/>
    <mergeCell ref="G27:H27"/>
    <mergeCell ref="G21:H21"/>
    <mergeCell ref="G22:H22"/>
    <mergeCell ref="A9:A12"/>
    <mergeCell ref="A187:B187"/>
    <mergeCell ref="A188:B188"/>
    <mergeCell ref="G115:H115"/>
    <mergeCell ref="A167:H167"/>
    <mergeCell ref="A146:H146"/>
    <mergeCell ref="E128:F128"/>
    <mergeCell ref="G117:H117"/>
    <mergeCell ref="G336:H336"/>
    <mergeCell ref="A214:H214"/>
    <mergeCell ref="D216:H216"/>
    <mergeCell ref="A327:H327"/>
    <mergeCell ref="A333:H333"/>
    <mergeCell ref="A334:H334"/>
    <mergeCell ref="A335:H335"/>
    <mergeCell ref="A328:H328"/>
    <mergeCell ref="A329:H329"/>
    <mergeCell ref="A330:H330"/>
    <mergeCell ref="A331:H331"/>
    <mergeCell ref="A216:C216"/>
    <mergeCell ref="A326:H326"/>
    <mergeCell ref="A332:H332"/>
    <mergeCell ref="A299:H299"/>
    <mergeCell ref="D215:H215"/>
    <mergeCell ref="A217:C217"/>
    <mergeCell ref="A256:H256"/>
    <mergeCell ref="E336:F336"/>
    <mergeCell ref="A336:B336"/>
    <mergeCell ref="C336:D336"/>
    <mergeCell ref="D217:H217"/>
    <mergeCell ref="A180:B180"/>
    <mergeCell ref="E127:F127"/>
    <mergeCell ref="E125:F125"/>
    <mergeCell ref="C124:D124"/>
    <mergeCell ref="A70:B70"/>
    <mergeCell ref="E15:F15"/>
    <mergeCell ref="A66:B66"/>
    <mergeCell ref="C28:D28"/>
    <mergeCell ref="A73:B73"/>
    <mergeCell ref="A74:B74"/>
    <mergeCell ref="A75:B75"/>
    <mergeCell ref="A76:B76"/>
    <mergeCell ref="E81:F92"/>
    <mergeCell ref="A82:B82"/>
    <mergeCell ref="A83:B83"/>
    <mergeCell ref="A84:B84"/>
    <mergeCell ref="A85:B85"/>
    <mergeCell ref="A86:B86"/>
    <mergeCell ref="A87:B87"/>
    <mergeCell ref="A88:B88"/>
    <mergeCell ref="A89:B89"/>
    <mergeCell ref="A90:B90"/>
    <mergeCell ref="A91:B91"/>
    <mergeCell ref="C32:D32"/>
    <mergeCell ref="C4:D4"/>
    <mergeCell ref="A25:B25"/>
    <mergeCell ref="B213:H213"/>
    <mergeCell ref="B205:H205"/>
    <mergeCell ref="B204:H204"/>
    <mergeCell ref="B210:H210"/>
    <mergeCell ref="B207:H207"/>
    <mergeCell ref="B206:H206"/>
    <mergeCell ref="B211:H211"/>
    <mergeCell ref="A190:B190"/>
    <mergeCell ref="A191:B191"/>
    <mergeCell ref="A192:B192"/>
    <mergeCell ref="A201:B201"/>
    <mergeCell ref="A202:B202"/>
    <mergeCell ref="A198:B198"/>
    <mergeCell ref="A199:B199"/>
    <mergeCell ref="A200:B200"/>
    <mergeCell ref="A194:H194"/>
    <mergeCell ref="A195:B195"/>
    <mergeCell ref="A196:B196"/>
    <mergeCell ref="B212:H212"/>
    <mergeCell ref="A203:H203"/>
    <mergeCell ref="B208:H208"/>
    <mergeCell ref="G31:H31"/>
    <mergeCell ref="A14:H14"/>
    <mergeCell ref="C27:D27"/>
    <mergeCell ref="A34:H34"/>
    <mergeCell ref="A50:B50"/>
    <mergeCell ref="D50:F50"/>
    <mergeCell ref="G50:H50"/>
    <mergeCell ref="A52:B52"/>
    <mergeCell ref="A54:B54"/>
    <mergeCell ref="E16:F16"/>
    <mergeCell ref="E17:F17"/>
    <mergeCell ref="E18:F18"/>
    <mergeCell ref="E19:F19"/>
    <mergeCell ref="E20:F20"/>
    <mergeCell ref="A32:B32"/>
    <mergeCell ref="A33:B33"/>
    <mergeCell ref="E27:F27"/>
    <mergeCell ref="E28:F28"/>
    <mergeCell ref="E29:F29"/>
    <mergeCell ref="E30:F30"/>
    <mergeCell ref="G18:H18"/>
    <mergeCell ref="G16:H16"/>
    <mergeCell ref="G19:H19"/>
    <mergeCell ref="G20:H20"/>
    <mergeCell ref="C31:D31"/>
    <mergeCell ref="G2:H2"/>
    <mergeCell ref="G3:H3"/>
    <mergeCell ref="G4:H4"/>
    <mergeCell ref="A6:B6"/>
    <mergeCell ref="A7:B7"/>
    <mergeCell ref="A8:B8"/>
    <mergeCell ref="C6:D6"/>
    <mergeCell ref="A13:B13"/>
    <mergeCell ref="C7:D7"/>
    <mergeCell ref="E6:F6"/>
    <mergeCell ref="E7:F7"/>
    <mergeCell ref="C8:H8"/>
    <mergeCell ref="C9:H9"/>
    <mergeCell ref="C12:H12"/>
    <mergeCell ref="C13:H13"/>
    <mergeCell ref="A2:B2"/>
    <mergeCell ref="A3:B3"/>
    <mergeCell ref="A4:B4"/>
    <mergeCell ref="C2:D2"/>
    <mergeCell ref="G6:H6"/>
    <mergeCell ref="E3:F3"/>
    <mergeCell ref="E2:F2"/>
    <mergeCell ref="E4:F4"/>
    <mergeCell ref="C3:D3"/>
    <mergeCell ref="A5:H5"/>
    <mergeCell ref="A24:B24"/>
    <mergeCell ref="E21:F21"/>
    <mergeCell ref="E22:F22"/>
    <mergeCell ref="E23:F23"/>
    <mergeCell ref="C15:D15"/>
    <mergeCell ref="C16:D16"/>
    <mergeCell ref="C17:D17"/>
    <mergeCell ref="C18:D18"/>
    <mergeCell ref="A15:B15"/>
    <mergeCell ref="A16:B16"/>
    <mergeCell ref="A17:B17"/>
    <mergeCell ref="A18:B18"/>
    <mergeCell ref="A19:B19"/>
    <mergeCell ref="A20:B20"/>
    <mergeCell ref="A21:B21"/>
    <mergeCell ref="A22:B22"/>
    <mergeCell ref="A23:B23"/>
    <mergeCell ref="B10:B11"/>
    <mergeCell ref="C10:H11"/>
    <mergeCell ref="G15:H15"/>
    <mergeCell ref="G17:H17"/>
    <mergeCell ref="C19:D19"/>
    <mergeCell ref="C20:D20"/>
    <mergeCell ref="A29:B29"/>
    <mergeCell ref="A30:B30"/>
    <mergeCell ref="A31:B31"/>
    <mergeCell ref="A27:B27"/>
    <mergeCell ref="A28:B28"/>
    <mergeCell ref="C29:D29"/>
    <mergeCell ref="C30:D30"/>
    <mergeCell ref="A44:B44"/>
    <mergeCell ref="A39:B39"/>
    <mergeCell ref="A43:B43"/>
    <mergeCell ref="C43:E43"/>
    <mergeCell ref="F43:H43"/>
    <mergeCell ref="C44:H44"/>
    <mergeCell ref="E35:F35"/>
    <mergeCell ref="E36:F36"/>
    <mergeCell ref="E37:F37"/>
    <mergeCell ref="A35:B35"/>
    <mergeCell ref="A36:B36"/>
    <mergeCell ref="A37:B37"/>
    <mergeCell ref="C35:D35"/>
    <mergeCell ref="C36:D36"/>
    <mergeCell ref="C37:D37"/>
    <mergeCell ref="G35:H35"/>
    <mergeCell ref="J39:K39"/>
    <mergeCell ref="M39:N39"/>
    <mergeCell ref="C39:E39"/>
    <mergeCell ref="F39:H39"/>
    <mergeCell ref="C40:E40"/>
    <mergeCell ref="F40:H40"/>
    <mergeCell ref="F41:H41"/>
    <mergeCell ref="C41:E41"/>
    <mergeCell ref="A42:B42"/>
    <mergeCell ref="C42:E42"/>
    <mergeCell ref="F42:H42"/>
    <mergeCell ref="A40:B40"/>
    <mergeCell ref="A41:B41"/>
    <mergeCell ref="A97:B97"/>
    <mergeCell ref="E97:F108"/>
    <mergeCell ref="G97:H108"/>
    <mergeCell ref="A98:B98"/>
    <mergeCell ref="A135:H135"/>
    <mergeCell ref="A136:B136"/>
    <mergeCell ref="A137:B137"/>
    <mergeCell ref="A138:B138"/>
    <mergeCell ref="A139:B139"/>
    <mergeCell ref="E119:F119"/>
    <mergeCell ref="E120:F120"/>
    <mergeCell ref="E121:F121"/>
    <mergeCell ref="E122:F122"/>
    <mergeCell ref="A119:B119"/>
    <mergeCell ref="A120:B120"/>
    <mergeCell ref="A121:B121"/>
    <mergeCell ref="C119:D119"/>
    <mergeCell ref="A122:B122"/>
    <mergeCell ref="G119:H119"/>
    <mergeCell ref="G120:H120"/>
    <mergeCell ref="G121:H121"/>
    <mergeCell ref="G122:H122"/>
    <mergeCell ref="C122:D122"/>
    <mergeCell ref="A109:F109"/>
    <mergeCell ref="A140:H140"/>
    <mergeCell ref="A141:B141"/>
    <mergeCell ref="C113:D113"/>
    <mergeCell ref="E113:F113"/>
    <mergeCell ref="A115:F115"/>
    <mergeCell ref="A116:F116"/>
    <mergeCell ref="A117:F117"/>
    <mergeCell ref="C121:D121"/>
    <mergeCell ref="G113:H113"/>
    <mergeCell ref="A128:B128"/>
    <mergeCell ref="E126:F126"/>
    <mergeCell ref="C125:D125"/>
    <mergeCell ref="C128:D128"/>
    <mergeCell ref="E124:F124"/>
    <mergeCell ref="A132:H132"/>
    <mergeCell ref="A134:H134"/>
    <mergeCell ref="A126:B126"/>
    <mergeCell ref="G126:H126"/>
    <mergeCell ref="A129:H129"/>
    <mergeCell ref="A147:B147"/>
    <mergeCell ref="A177:B177"/>
    <mergeCell ref="A169:B169"/>
    <mergeCell ref="A170:B170"/>
    <mergeCell ref="A171:B171"/>
    <mergeCell ref="A172:B172"/>
    <mergeCell ref="A143:B143"/>
    <mergeCell ref="A144:B144"/>
    <mergeCell ref="A133:H133"/>
    <mergeCell ref="A173:B173"/>
    <mergeCell ref="A174:B174"/>
    <mergeCell ref="A175:B175"/>
    <mergeCell ref="A168:B168"/>
    <mergeCell ref="A151:H151"/>
    <mergeCell ref="A145:H145"/>
    <mergeCell ref="A163:B163"/>
    <mergeCell ref="A164:B164"/>
    <mergeCell ref="A165:B165"/>
    <mergeCell ref="A166:B166"/>
    <mergeCell ref="A155:B155"/>
    <mergeCell ref="A156:B156"/>
    <mergeCell ref="A157:H157"/>
    <mergeCell ref="A158:B158"/>
    <mergeCell ref="A159:B159"/>
  </mergeCells>
  <dataValidations count="7">
    <dataValidation type="list" allowBlank="1" showInputMessage="1" showErrorMessage="1" sqref="G6:H6" xr:uid="{00000000-0002-0000-0000-000000000000}">
      <formula1>"Mr. Suraj Khare,Miss Rupali, Miss Vinaya"</formula1>
    </dataValidation>
    <dataValidation type="list" allowBlank="1" showInputMessage="1" showErrorMessage="1" sqref="G27:H27" xr:uid="{00000000-0002-0000-0000-000001000000}">
      <formula1>"Middle,Upper"</formula1>
    </dataValidation>
    <dataValidation type="list" allowBlank="1" showInputMessage="1" showErrorMessage="1" sqref="C113" xr:uid="{00000000-0002-0000-0000-000002000000}">
      <formula1>"300000,350000,400000,500000,600000,700000,800000,900000,1000000,1200000,1400000,1500000,1600000"</formula1>
    </dataValidation>
    <dataValidation type="list" allowBlank="1" showInputMessage="1" showErrorMessage="1" sqref="F130" xr:uid="{00000000-0002-0000-0000-000003000000}">
      <formula1>"Fungible area,Balcony Area,Chajja Area,Cornice Area,AP Area,WS Area"</formula1>
    </dataValidation>
    <dataValidation type="list" allowBlank="1" showInputMessage="1" showErrorMessage="1" sqref="C28:D28" xr:uid="{00000000-0002-0000-0000-000004000000}">
      <formula1>"Bitumen,Concrete"</formula1>
    </dataValidation>
    <dataValidation type="list" allowBlank="1" showInputMessage="1" showErrorMessage="1" sqref="C52:H52 G36:H36" xr:uid="{00000000-0002-0000-0000-000005000000}">
      <formula1>"Yes,No"</formula1>
    </dataValidation>
    <dataValidation type="list" allowBlank="1" showInputMessage="1" showErrorMessage="1" sqref="C130" xr:uid="{00000000-0002-0000-0000-000006000000}">
      <formula1>"Sale /         Rehab /           PAP,Sale / Mhada,Sale / Landowner"</formula1>
    </dataValidation>
  </dataValidations>
  <hyperlinks>
    <hyperlink ref="C24" r:id="rId1" xr:uid="{00000000-0004-0000-0000-000000000000}"/>
    <hyperlink ref="I25" r:id="rId2" location="amenities" display="https://www.kalpataruparkcity.com/?utm_source=google&amp;utm_medium=cpc&amp;utm_campaign=Kalpataru+Parkcity+Thane&amp;utm_term=kalpataru%20immensa&amp;utm_Physical_Location=9198152&amp;utm_Targetid=aud-1495722118762:kwd-317915267217&amp;utm_Target=&amp;utm_Placement=&amp;utm_Adposition=&amp;gad_source=1&amp;gad_campaignid=14945681919&amp;gbraid=0AAAAAoMj0TOLMRhjAN4Hhqo5hqhMxOQEP&amp;gclid=CjwKCAjw9anCBhAWEiwAqBJ-c5U7V2sq3PpMrVs74MxnDzcNs_UoTTXgDDxalb-OEU_nLHCkqyOGrxoCFzkQAvD_BwE#amenities" xr:uid="{00000000-0004-0000-0000-000001000000}"/>
  </hyperlinks>
  <printOptions horizontalCentered="1"/>
  <pageMargins left="0.27559055118110237" right="0.27559055118110237" top="0.70866141732283472" bottom="0.47244094488188981" header="0.15748031496062992" footer="0.15748031496062992"/>
  <pageSetup paperSize="9" scale="69" fitToHeight="0" orientation="portrait" r:id="rId3"/>
  <headerFooter>
    <oddHeader>&amp;C&amp;25&amp;G</oddHeader>
    <oddFooter>&amp;L&amp;"Times New Roman,Bold"&amp;16Ref No: &amp;F&amp;R&amp;"Times New Roman,Bold"&amp;16&amp;P</oddFooter>
  </headerFooter>
  <rowBreaks count="3" manualBreakCount="3">
    <brk id="213" max="8" man="1"/>
    <brk id="255" max="16383" man="1"/>
    <brk id="298"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K56"/>
  <sheetViews>
    <sheetView topLeftCell="A16" zoomScale="70" zoomScaleNormal="70" workbookViewId="0">
      <selection activeCell="I25" sqref="I25"/>
    </sheetView>
  </sheetViews>
  <sheetFormatPr defaultRowHeight="14.4" x14ac:dyDescent="0.3"/>
  <cols>
    <col min="1" max="1" width="23" customWidth="1"/>
    <col min="2" max="2" width="25.6640625" customWidth="1"/>
    <col min="3" max="3" width="17.6640625" customWidth="1"/>
    <col min="4" max="4" width="16" bestFit="1" customWidth="1"/>
    <col min="5" max="9" width="25.6640625" customWidth="1"/>
  </cols>
  <sheetData>
    <row r="3" spans="1:11" s="1" customFormat="1" ht="21.6" thickBot="1" x14ac:dyDescent="0.35">
      <c r="A3" s="132" t="s">
        <v>67</v>
      </c>
      <c r="B3" s="132"/>
      <c r="C3" s="132"/>
      <c r="D3" s="132"/>
      <c r="E3" s="132"/>
      <c r="F3" s="132"/>
      <c r="G3" s="132"/>
      <c r="H3" s="132"/>
      <c r="I3" s="132"/>
    </row>
    <row r="4" spans="1:11" s="1" customFormat="1" ht="20.25" customHeight="1" x14ac:dyDescent="0.4">
      <c r="A4" s="193">
        <v>1</v>
      </c>
      <c r="B4" s="193"/>
      <c r="C4" s="193"/>
      <c r="D4" s="194" t="s">
        <v>4</v>
      </c>
      <c r="E4" s="30" t="s">
        <v>115</v>
      </c>
      <c r="F4" s="180" t="s">
        <v>102</v>
      </c>
      <c r="G4" s="180"/>
      <c r="H4" s="30" t="s">
        <v>116</v>
      </c>
      <c r="I4" s="30" t="s">
        <v>117</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1" x14ac:dyDescent="0.4">
      <c r="A5" s="193"/>
      <c r="B5" s="193"/>
      <c r="C5" s="193"/>
      <c r="D5" s="194"/>
      <c r="E5" s="30">
        <v>3</v>
      </c>
      <c r="F5" s="180">
        <v>1</v>
      </c>
      <c r="G5" s="180"/>
      <c r="H5" s="30">
        <v>0</v>
      </c>
      <c r="I5" s="30">
        <f ca="1">--TRIM(RIGHT(SUBSTITUTE(LEFT(A4,_xlfn.AGGREGATE(16,6,FIND({0,1,2,3,4,5,6,7,8,9},A4,ROW(INDIRECT("1:"&amp;LEN(A4)))),1))," ",REPT(" ",LEN(A4))),LEN(A4)))</f>
        <v>1</v>
      </c>
      <c r="J5" s="17" t="s">
        <v>121</v>
      </c>
      <c r="K5" s="18"/>
    </row>
    <row r="6" spans="1:11" s="1" customFormat="1" ht="20.25" customHeight="1" x14ac:dyDescent="0.4">
      <c r="A6" s="179" t="s">
        <v>119</v>
      </c>
      <c r="B6" s="179"/>
      <c r="C6" s="179" t="s">
        <v>133</v>
      </c>
      <c r="D6" s="179"/>
      <c r="E6" s="28" t="s">
        <v>134</v>
      </c>
      <c r="F6" s="179" t="s">
        <v>120</v>
      </c>
      <c r="G6" s="179"/>
      <c r="H6" s="29" t="s">
        <v>118</v>
      </c>
      <c r="I6" s="29"/>
      <c r="J6" s="20" t="s">
        <v>135</v>
      </c>
      <c r="K6" s="19">
        <f ca="1">I5*25%</f>
        <v>0.25</v>
      </c>
    </row>
    <row r="7" spans="1:11" s="1" customFormat="1" ht="20.25" customHeight="1" x14ac:dyDescent="0.4">
      <c r="A7" s="115" t="s">
        <v>136</v>
      </c>
      <c r="B7" s="115"/>
      <c r="C7" s="180">
        <f ca="1">K8</f>
        <v>1</v>
      </c>
      <c r="D7" s="180"/>
      <c r="E7" s="5">
        <f ca="1">((100/I5)*C7)/100</f>
        <v>1</v>
      </c>
      <c r="F7" s="115">
        <f ca="1">(((C7/I5*5)+(C8/I5*20)+(25/(F5+H5+I5)*C9)+(5/(I5)*C10)+(2.5/(I5)*C11)+(2.5/(I5)*C12)+(5/I5*C13)+(10/I5*C14)+(2.5/I5*C15)+(2.5/I5*C16)+(10/I5*C17)+(10/I5*C18))/100)</f>
        <v>0.25</v>
      </c>
      <c r="G7" s="115"/>
      <c r="H7" s="115" t="str">
        <f ca="1">J4</f>
        <v>Excavation work Completed. Plinth work completed</v>
      </c>
      <c r="I7" s="115"/>
      <c r="J7" s="20" t="s">
        <v>122</v>
      </c>
      <c r="K7" s="24">
        <f ca="1">I5*50%</f>
        <v>0.5</v>
      </c>
    </row>
    <row r="8" spans="1:11" s="1" customFormat="1" ht="21" x14ac:dyDescent="0.4">
      <c r="A8" s="115" t="s">
        <v>103</v>
      </c>
      <c r="B8" s="115"/>
      <c r="C8" s="195">
        <f ca="1">K16</f>
        <v>1</v>
      </c>
      <c r="D8" s="180"/>
      <c r="E8" s="5">
        <f ca="1">((100/I5)*C8)/100</f>
        <v>1</v>
      </c>
      <c r="F8" s="115"/>
      <c r="G8" s="115"/>
      <c r="H8" s="115"/>
      <c r="I8" s="115"/>
      <c r="J8" s="20" t="s">
        <v>123</v>
      </c>
      <c r="K8" s="24">
        <f ca="1">I5</f>
        <v>1</v>
      </c>
    </row>
    <row r="9" spans="1:11" s="1" customFormat="1" ht="21" customHeight="1" x14ac:dyDescent="0.4">
      <c r="A9" s="115" t="s">
        <v>137</v>
      </c>
      <c r="B9" s="115"/>
      <c r="C9" s="180">
        <v>0</v>
      </c>
      <c r="D9" s="180"/>
      <c r="E9" s="5">
        <f ca="1">((100/(F5+H5+I5))*C9)/100</f>
        <v>0</v>
      </c>
      <c r="F9" s="115"/>
      <c r="G9" s="115"/>
      <c r="H9" s="115"/>
      <c r="I9" s="115"/>
      <c r="J9" s="20" t="s">
        <v>124</v>
      </c>
      <c r="K9" s="25">
        <f ca="1">(IF(E5&gt;1,(I5/(E5+2)),I5*0.2))</f>
        <v>0.2</v>
      </c>
    </row>
    <row r="10" spans="1:11" s="1" customFormat="1" ht="21" customHeight="1" x14ac:dyDescent="0.4">
      <c r="A10" s="115" t="s">
        <v>138</v>
      </c>
      <c r="B10" s="115"/>
      <c r="C10" s="180">
        <v>0</v>
      </c>
      <c r="D10" s="180"/>
      <c r="E10" s="5">
        <f ca="1">((100/I5)*C10)/100</f>
        <v>0</v>
      </c>
      <c r="F10" s="115"/>
      <c r="G10" s="115"/>
      <c r="H10" s="115"/>
      <c r="I10" s="115"/>
      <c r="J10" s="20" t="s">
        <v>125</v>
      </c>
      <c r="K10" s="25">
        <f ca="1">(IF(E5&gt;1,(I5/(E5+2)+K9),I5*0.2+K9))</f>
        <v>0.4</v>
      </c>
    </row>
    <row r="11" spans="1:11" s="1" customFormat="1" ht="21" customHeight="1" x14ac:dyDescent="0.4">
      <c r="A11" s="153" t="s">
        <v>139</v>
      </c>
      <c r="B11" s="154"/>
      <c r="C11" s="180">
        <v>0</v>
      </c>
      <c r="D11" s="180"/>
      <c r="E11" s="5">
        <f ca="1">((100/I5)*C11)/100</f>
        <v>0</v>
      </c>
      <c r="F11" s="115"/>
      <c r="G11" s="115"/>
      <c r="H11" s="115"/>
      <c r="I11" s="115"/>
      <c r="J11" s="20" t="s">
        <v>140</v>
      </c>
      <c r="K11" s="25">
        <f ca="1">(IF(E5&gt;1,(I5/(E5+2)+K10),0))</f>
        <v>0.60000000000000009</v>
      </c>
    </row>
    <row r="12" spans="1:11" s="1" customFormat="1" ht="21" customHeight="1" x14ac:dyDescent="0.4">
      <c r="A12" s="153" t="s">
        <v>170</v>
      </c>
      <c r="B12" s="154"/>
      <c r="C12" s="180">
        <v>0</v>
      </c>
      <c r="D12" s="180"/>
      <c r="E12" s="5">
        <f ca="1">((100/I5)*C12)/100</f>
        <v>0</v>
      </c>
      <c r="F12" s="115"/>
      <c r="G12" s="115"/>
      <c r="H12" s="115"/>
      <c r="I12" s="115"/>
      <c r="J12" s="20" t="s">
        <v>141</v>
      </c>
      <c r="K12" s="25">
        <f ca="1">(IF(E5&gt;2,(I5/(E5+2)+K11),0))</f>
        <v>0.8</v>
      </c>
    </row>
    <row r="13" spans="1:11" s="1" customFormat="1" ht="57.75" customHeight="1" x14ac:dyDescent="0.4">
      <c r="A13" s="153" t="s">
        <v>167</v>
      </c>
      <c r="B13" s="154"/>
      <c r="C13" s="180">
        <v>0</v>
      </c>
      <c r="D13" s="180"/>
      <c r="E13" s="5">
        <f ca="1">((100/(I5))*C13)/100</f>
        <v>0</v>
      </c>
      <c r="F13" s="115"/>
      <c r="G13" s="115"/>
      <c r="H13" s="115"/>
      <c r="I13" s="115"/>
      <c r="J13" s="20" t="s">
        <v>143</v>
      </c>
      <c r="K13" s="26">
        <f>(IF(E5&gt;3,(I5/(E5+2)+K12),0))</f>
        <v>0</v>
      </c>
    </row>
    <row r="14" spans="1:11" s="1" customFormat="1" ht="21" x14ac:dyDescent="0.4">
      <c r="A14" s="115" t="s">
        <v>142</v>
      </c>
      <c r="B14" s="115"/>
      <c r="C14" s="180">
        <v>0</v>
      </c>
      <c r="D14" s="180"/>
      <c r="E14" s="5">
        <f ca="1">((100/(I5))*C14)/100</f>
        <v>0</v>
      </c>
      <c r="F14" s="115"/>
      <c r="G14" s="115"/>
      <c r="H14" s="115"/>
      <c r="I14" s="115"/>
      <c r="J14" s="20" t="s">
        <v>144</v>
      </c>
      <c r="K14" s="25">
        <f>(IF(E5&gt;4,(I5/(E5+2)+K13),0))</f>
        <v>0</v>
      </c>
    </row>
    <row r="15" spans="1:11" s="1" customFormat="1" ht="21" customHeight="1" x14ac:dyDescent="0.4">
      <c r="A15" s="115" t="s">
        <v>169</v>
      </c>
      <c r="B15" s="115"/>
      <c r="C15" s="180">
        <v>0</v>
      </c>
      <c r="D15" s="180"/>
      <c r="E15" s="5">
        <f ca="1">((100/I5)*C15)/100</f>
        <v>0</v>
      </c>
      <c r="F15" s="115"/>
      <c r="G15" s="115"/>
      <c r="H15" s="115"/>
      <c r="I15" s="115"/>
      <c r="J15" s="20" t="s">
        <v>126</v>
      </c>
      <c r="K15" s="25">
        <f>(IF(E5=1,(I5/(E5+3)+K10),IF(E5=0,(I5*0.3+K10),IF(E5&gt;1,0))))</f>
        <v>0</v>
      </c>
    </row>
    <row r="16" spans="1:11" s="1" customFormat="1" ht="21.6" thickBot="1" x14ac:dyDescent="0.45">
      <c r="A16" s="115" t="s">
        <v>168</v>
      </c>
      <c r="B16" s="115"/>
      <c r="C16" s="180">
        <v>0</v>
      </c>
      <c r="D16" s="180"/>
      <c r="E16" s="5">
        <f ca="1">((100/I5)*C16)/100</f>
        <v>0</v>
      </c>
      <c r="F16" s="115"/>
      <c r="G16" s="115"/>
      <c r="H16" s="115"/>
      <c r="I16" s="115"/>
      <c r="J16" s="22" t="s">
        <v>127</v>
      </c>
      <c r="K16" s="27">
        <f ca="1">(IF(E5&gt;1.5,(I5/(E5+2)+K10+MAX(0,K11-K10)+MAX(0,K12-K11)+MAX(0,K13-K12)+MAX(0,K14-K13)+MAX(0,K15-K14)),IF(E5=1,(I5/(E5+3)+K15),IF(E5=0,I5*0.3+K15))))</f>
        <v>1</v>
      </c>
    </row>
    <row r="17" spans="1:9" s="1" customFormat="1" ht="21" x14ac:dyDescent="0.3">
      <c r="A17" s="115" t="s">
        <v>145</v>
      </c>
      <c r="B17" s="115"/>
      <c r="C17" s="180">
        <v>0</v>
      </c>
      <c r="D17" s="180"/>
      <c r="E17" s="5">
        <f ca="1">((100/(I5))*C17)/100</f>
        <v>0</v>
      </c>
      <c r="F17" s="115"/>
      <c r="G17" s="115"/>
      <c r="H17" s="115"/>
      <c r="I17" s="115"/>
    </row>
    <row r="18" spans="1:9" s="1" customFormat="1" ht="21" x14ac:dyDescent="0.3">
      <c r="A18" s="115" t="s">
        <v>146</v>
      </c>
      <c r="B18" s="115"/>
      <c r="C18" s="180">
        <v>0</v>
      </c>
      <c r="D18" s="180"/>
      <c r="E18" s="5">
        <f ca="1">((100/(I5))*C18)/100</f>
        <v>0</v>
      </c>
      <c r="F18" s="115"/>
      <c r="G18" s="115"/>
      <c r="H18" s="115"/>
      <c r="I18" s="115"/>
    </row>
    <row r="23" spans="1:9" x14ac:dyDescent="0.3">
      <c r="B23" s="196" t="s">
        <v>171</v>
      </c>
      <c r="C23" s="196"/>
      <c r="D23" s="196"/>
      <c r="E23" s="196"/>
      <c r="F23" s="196"/>
      <c r="G23" s="196"/>
    </row>
    <row r="24" spans="1:9" ht="14.4" customHeight="1" x14ac:dyDescent="0.3">
      <c r="B24" s="199" t="s">
        <v>172</v>
      </c>
      <c r="C24" s="199" t="s">
        <v>173</v>
      </c>
      <c r="D24" s="202" t="s">
        <v>174</v>
      </c>
      <c r="E24" s="203" t="s">
        <v>175</v>
      </c>
      <c r="F24" s="200" t="s">
        <v>176</v>
      </c>
      <c r="G24" s="199" t="s">
        <v>177</v>
      </c>
    </row>
    <row r="25" spans="1:9" x14ac:dyDescent="0.3">
      <c r="B25" s="199"/>
      <c r="C25" s="199"/>
      <c r="D25" s="202"/>
      <c r="E25" s="203"/>
      <c r="F25" s="200"/>
      <c r="G25" s="199"/>
    </row>
    <row r="26" spans="1:9" x14ac:dyDescent="0.3">
      <c r="B26" s="38" t="s">
        <v>178</v>
      </c>
      <c r="C26" s="39">
        <v>10</v>
      </c>
      <c r="D26" s="39">
        <v>1</v>
      </c>
      <c r="E26" s="40"/>
      <c r="F26" s="41">
        <f>((E26/D26)*0.05)*100</f>
        <v>0</v>
      </c>
      <c r="G26" s="41">
        <f t="shared" ref="G26:G37" si="0">((E26/D26)*(C26/100))*100</f>
        <v>0</v>
      </c>
    </row>
    <row r="27" spans="1:9" x14ac:dyDescent="0.3">
      <c r="B27" s="38" t="s">
        <v>179</v>
      </c>
      <c r="C27" s="40">
        <v>10</v>
      </c>
      <c r="D27" s="40">
        <v>1</v>
      </c>
      <c r="E27" s="40"/>
      <c r="F27" s="41">
        <f>((E27/D27)*0.05)*100</f>
        <v>0</v>
      </c>
      <c r="G27" s="41">
        <f t="shared" si="0"/>
        <v>0</v>
      </c>
    </row>
    <row r="28" spans="1:9" x14ac:dyDescent="0.3">
      <c r="B28" s="38" t="s">
        <v>180</v>
      </c>
      <c r="C28" s="40">
        <v>15</v>
      </c>
      <c r="D28" s="40">
        <v>1</v>
      </c>
      <c r="E28" s="40"/>
      <c r="F28" s="41">
        <f>((E28/D28)*0.15)*100</f>
        <v>0</v>
      </c>
      <c r="G28" s="41">
        <f t="shared" si="0"/>
        <v>0</v>
      </c>
    </row>
    <row r="29" spans="1:9" x14ac:dyDescent="0.3">
      <c r="B29" s="42" t="s">
        <v>181</v>
      </c>
      <c r="C29" s="40">
        <v>25</v>
      </c>
      <c r="D29" s="40">
        <v>40</v>
      </c>
      <c r="E29" s="40"/>
      <c r="F29" s="41">
        <f>((E29/D29)*0.25)*100</f>
        <v>0</v>
      </c>
      <c r="G29" s="41">
        <f t="shared" si="0"/>
        <v>0</v>
      </c>
    </row>
    <row r="30" spans="1:9" x14ac:dyDescent="0.3">
      <c r="B30" s="42" t="s">
        <v>182</v>
      </c>
      <c r="C30" s="40">
        <v>5</v>
      </c>
      <c r="D30" s="40">
        <v>39</v>
      </c>
      <c r="E30" s="40"/>
      <c r="F30" s="41">
        <f>((E30/D30)*0.05)*100</f>
        <v>0</v>
      </c>
      <c r="G30" s="41">
        <f t="shared" si="0"/>
        <v>0</v>
      </c>
    </row>
    <row r="31" spans="1:9" ht="28.8" x14ac:dyDescent="0.3">
      <c r="B31" s="42" t="s">
        <v>183</v>
      </c>
      <c r="C31" s="40">
        <v>2.5</v>
      </c>
      <c r="D31" s="40">
        <v>39</v>
      </c>
      <c r="E31" s="40"/>
      <c r="F31" s="41">
        <f>((E31/D31)*0.025)*100</f>
        <v>0</v>
      </c>
      <c r="G31" s="41">
        <f t="shared" si="0"/>
        <v>0</v>
      </c>
    </row>
    <row r="32" spans="1:9" ht="28.8" x14ac:dyDescent="0.3">
      <c r="B32" s="42" t="s">
        <v>184</v>
      </c>
      <c r="C32" s="40">
        <v>2.5</v>
      </c>
      <c r="D32" s="40">
        <v>39</v>
      </c>
      <c r="E32" s="40"/>
      <c r="F32" s="41">
        <f>((E32/D32)*0.025)*100</f>
        <v>0</v>
      </c>
      <c r="G32" s="41">
        <f t="shared" si="0"/>
        <v>0</v>
      </c>
    </row>
    <row r="33" spans="1:7" ht="43.2" x14ac:dyDescent="0.3">
      <c r="B33" s="43" t="s">
        <v>185</v>
      </c>
      <c r="C33" s="40">
        <v>5</v>
      </c>
      <c r="D33" s="40">
        <v>39</v>
      </c>
      <c r="E33" s="40"/>
      <c r="F33" s="41">
        <f>((E33/D33)*0.05)*100</f>
        <v>0</v>
      </c>
      <c r="G33" s="41">
        <f t="shared" si="0"/>
        <v>0</v>
      </c>
    </row>
    <row r="34" spans="1:7" ht="28.8" x14ac:dyDescent="0.3">
      <c r="B34" s="43" t="s">
        <v>186</v>
      </c>
      <c r="C34" s="40">
        <v>5</v>
      </c>
      <c r="D34" s="40">
        <v>39</v>
      </c>
      <c r="E34" s="40"/>
      <c r="F34" s="41">
        <f>((E34/D34)*0.1)*100</f>
        <v>0</v>
      </c>
      <c r="G34" s="41">
        <f t="shared" si="0"/>
        <v>0</v>
      </c>
    </row>
    <row r="35" spans="1:7" ht="28.8" x14ac:dyDescent="0.3">
      <c r="B35" s="43" t="s">
        <v>187</v>
      </c>
      <c r="C35" s="40">
        <v>5</v>
      </c>
      <c r="D35" s="40">
        <v>39</v>
      </c>
      <c r="E35" s="40"/>
      <c r="F35" s="41">
        <f>((E35/D35)*0.05)*100</f>
        <v>0</v>
      </c>
      <c r="G35" s="41">
        <f t="shared" si="0"/>
        <v>0</v>
      </c>
    </row>
    <row r="36" spans="1:7" ht="43.2" x14ac:dyDescent="0.3">
      <c r="B36" s="43" t="s">
        <v>188</v>
      </c>
      <c r="C36" s="40">
        <v>10</v>
      </c>
      <c r="D36" s="40">
        <v>39</v>
      </c>
      <c r="E36" s="40"/>
      <c r="F36" s="41">
        <f>((E36/D36)*0.1)*100</f>
        <v>0</v>
      </c>
      <c r="G36" s="41">
        <f t="shared" si="0"/>
        <v>0</v>
      </c>
    </row>
    <row r="37" spans="1:7" ht="43.2" x14ac:dyDescent="0.3">
      <c r="B37" s="43" t="s">
        <v>189</v>
      </c>
      <c r="C37" s="40">
        <v>5</v>
      </c>
      <c r="D37" s="40">
        <v>39</v>
      </c>
      <c r="E37" s="40"/>
      <c r="F37" s="41">
        <f>((E37/D37)*0.1)*100</f>
        <v>0</v>
      </c>
      <c r="G37" s="41">
        <f t="shared" si="0"/>
        <v>0</v>
      </c>
    </row>
    <row r="38" spans="1:7" ht="15.6" x14ac:dyDescent="0.3">
      <c r="B38" s="44" t="s">
        <v>190</v>
      </c>
      <c r="C38" s="45">
        <f>SUM(C26:C37)</f>
        <v>100</v>
      </c>
      <c r="D38" s="44"/>
      <c r="E38" s="44"/>
      <c r="F38" s="45">
        <f>SUM(F26:F37)</f>
        <v>0</v>
      </c>
      <c r="G38" s="45">
        <f>SUM(G26:G37)</f>
        <v>0</v>
      </c>
    </row>
    <row r="39" spans="1:7" x14ac:dyDescent="0.3">
      <c r="B39" s="200" t="s">
        <v>191</v>
      </c>
      <c r="C39" s="200"/>
      <c r="D39" s="200"/>
      <c r="E39" s="200"/>
      <c r="F39" s="200"/>
      <c r="G39" s="200"/>
    </row>
    <row r="40" spans="1:7" x14ac:dyDescent="0.3">
      <c r="B40" s="201" t="s">
        <v>192</v>
      </c>
      <c r="C40" s="201"/>
      <c r="D40" s="201"/>
      <c r="E40" s="201" t="s">
        <v>193</v>
      </c>
      <c r="F40" s="201"/>
      <c r="G40" s="201"/>
    </row>
    <row r="41" spans="1:7" x14ac:dyDescent="0.3">
      <c r="B41" s="197" t="s">
        <v>194</v>
      </c>
      <c r="C41" s="197"/>
      <c r="D41" s="197"/>
      <c r="E41" s="197" t="s">
        <v>195</v>
      </c>
      <c r="F41" s="197"/>
      <c r="G41" s="197"/>
    </row>
    <row r="42" spans="1:7" x14ac:dyDescent="0.3">
      <c r="B42" s="197" t="s">
        <v>196</v>
      </c>
      <c r="C42" s="197"/>
      <c r="D42" s="197"/>
      <c r="E42" s="197" t="s">
        <v>197</v>
      </c>
      <c r="F42" s="197"/>
      <c r="G42" s="197"/>
    </row>
    <row r="43" spans="1:7" x14ac:dyDescent="0.3">
      <c r="B43" s="198" t="s">
        <v>198</v>
      </c>
      <c r="C43" s="198"/>
      <c r="D43" s="198"/>
      <c r="E43" s="198" t="s">
        <v>199</v>
      </c>
      <c r="F43" s="198"/>
      <c r="G43" s="198"/>
    </row>
    <row r="45" spans="1:7" ht="15" thickBot="1" x14ac:dyDescent="0.35"/>
    <row r="46" spans="1:7" ht="16.8" thickTop="1" thickBot="1" x14ac:dyDescent="0.35">
      <c r="A46" s="46" t="s">
        <v>200</v>
      </c>
      <c r="B46" s="46" t="s">
        <v>172</v>
      </c>
      <c r="C46" s="47" t="s">
        <v>201</v>
      </c>
      <c r="D46" s="47" t="s">
        <v>202</v>
      </c>
      <c r="E46" s="47" t="s">
        <v>203</v>
      </c>
    </row>
    <row r="47" spans="1:7" ht="30" thickTop="1" thickBot="1" x14ac:dyDescent="0.35">
      <c r="A47" s="48">
        <v>1</v>
      </c>
      <c r="B47" s="49" t="s">
        <v>204</v>
      </c>
      <c r="C47" s="50">
        <v>0</v>
      </c>
      <c r="D47" s="51">
        <v>0.1</v>
      </c>
      <c r="E47" s="50">
        <v>0.1</v>
      </c>
    </row>
    <row r="48" spans="1:7" ht="15.6" thickTop="1" thickBot="1" x14ac:dyDescent="0.35">
      <c r="A48" s="48">
        <v>2</v>
      </c>
      <c r="B48" s="49" t="s">
        <v>205</v>
      </c>
      <c r="C48" s="50" t="s">
        <v>206</v>
      </c>
      <c r="D48" s="51" t="s">
        <v>207</v>
      </c>
      <c r="E48" s="50">
        <v>0.3</v>
      </c>
    </row>
    <row r="49" spans="1:5" ht="58.8" thickTop="1" thickBot="1" x14ac:dyDescent="0.35">
      <c r="A49" s="48">
        <v>3</v>
      </c>
      <c r="B49" s="49" t="s">
        <v>208</v>
      </c>
      <c r="C49" s="50" t="s">
        <v>209</v>
      </c>
      <c r="D49" s="51" t="s">
        <v>210</v>
      </c>
      <c r="E49" s="50">
        <v>0.45</v>
      </c>
    </row>
    <row r="50" spans="1:5" ht="73.2" thickTop="1" thickBot="1" x14ac:dyDescent="0.35">
      <c r="A50" s="48">
        <v>4</v>
      </c>
      <c r="B50" s="49" t="s">
        <v>211</v>
      </c>
      <c r="C50" s="50" t="s">
        <v>212</v>
      </c>
      <c r="D50" s="51" t="s">
        <v>213</v>
      </c>
      <c r="E50" s="50">
        <v>0.7</v>
      </c>
    </row>
    <row r="51" spans="1:5" ht="58.8" thickTop="1" thickBot="1" x14ac:dyDescent="0.35">
      <c r="A51" s="48">
        <v>5</v>
      </c>
      <c r="B51" s="49" t="s">
        <v>214</v>
      </c>
      <c r="C51" s="50" t="s">
        <v>215</v>
      </c>
      <c r="D51" s="51" t="s">
        <v>216</v>
      </c>
      <c r="E51" s="50">
        <v>0.75</v>
      </c>
    </row>
    <row r="52" spans="1:5" ht="73.2" thickTop="1" thickBot="1" x14ac:dyDescent="0.35">
      <c r="A52" s="48">
        <v>6</v>
      </c>
      <c r="B52" s="49" t="s">
        <v>217</v>
      </c>
      <c r="C52" s="50" t="s">
        <v>218</v>
      </c>
      <c r="D52" s="51" t="s">
        <v>219</v>
      </c>
      <c r="E52" s="50">
        <v>0.8</v>
      </c>
    </row>
    <row r="53" spans="1:5" ht="102" thickTop="1" thickBot="1" x14ac:dyDescent="0.35">
      <c r="A53" s="48">
        <v>7</v>
      </c>
      <c r="B53" s="49" t="s">
        <v>220</v>
      </c>
      <c r="C53" s="50" t="s">
        <v>221</v>
      </c>
      <c r="D53" s="51" t="s">
        <v>222</v>
      </c>
      <c r="E53" s="50">
        <v>0.85</v>
      </c>
    </row>
    <row r="54" spans="1:5" ht="174" thickTop="1" thickBot="1" x14ac:dyDescent="0.35">
      <c r="A54" s="48">
        <v>8</v>
      </c>
      <c r="B54" s="49" t="s">
        <v>223</v>
      </c>
      <c r="C54" s="50" t="s">
        <v>224</v>
      </c>
      <c r="D54" s="51" t="s">
        <v>225</v>
      </c>
      <c r="E54" s="50">
        <v>0.95</v>
      </c>
    </row>
    <row r="55" spans="1:5" ht="87.6" thickTop="1" thickBot="1" x14ac:dyDescent="0.35">
      <c r="A55" s="48">
        <v>9</v>
      </c>
      <c r="B55" s="49" t="s">
        <v>226</v>
      </c>
      <c r="C55" s="50" t="s">
        <v>227</v>
      </c>
      <c r="D55" s="51" t="s">
        <v>228</v>
      </c>
      <c r="E55" s="50">
        <v>1</v>
      </c>
    </row>
    <row r="56" spans="1:5" ht="15" thickTop="1" x14ac:dyDescent="0.3"/>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C35"/>
  <sheetViews>
    <sheetView topLeftCell="A25" workbookViewId="0">
      <selection activeCell="C37" sqref="C37"/>
    </sheetView>
  </sheetViews>
  <sheetFormatPr defaultRowHeight="14.4" x14ac:dyDescent="0.3"/>
  <cols>
    <col min="2" max="2" width="3" bestFit="1" customWidth="1"/>
    <col min="3" max="3" width="155.33203125" customWidth="1"/>
  </cols>
  <sheetData>
    <row r="2" spans="2:3" ht="28.8" x14ac:dyDescent="0.3">
      <c r="B2" s="40">
        <v>1</v>
      </c>
      <c r="C2" s="58" t="s">
        <v>246</v>
      </c>
    </row>
    <row r="3" spans="2:3" x14ac:dyDescent="0.3">
      <c r="B3" s="40">
        <v>2</v>
      </c>
      <c r="C3" s="59" t="s">
        <v>247</v>
      </c>
    </row>
    <row r="4" spans="2:3" x14ac:dyDescent="0.3">
      <c r="B4" s="40">
        <v>3</v>
      </c>
      <c r="C4" s="40" t="s">
        <v>248</v>
      </c>
    </row>
    <row r="5" spans="2:3" x14ac:dyDescent="0.3">
      <c r="B5" s="40">
        <v>4</v>
      </c>
      <c r="C5" s="59" t="s">
        <v>249</v>
      </c>
    </row>
    <row r="6" spans="2:3" x14ac:dyDescent="0.3">
      <c r="B6" s="40">
        <v>5</v>
      </c>
      <c r="C6" s="40" t="s">
        <v>250</v>
      </c>
    </row>
    <row r="7" spans="2:3" x14ac:dyDescent="0.3">
      <c r="B7" s="40">
        <v>6</v>
      </c>
      <c r="C7" s="59" t="s">
        <v>251</v>
      </c>
    </row>
    <row r="8" spans="2:3" ht="72" x14ac:dyDescent="0.3">
      <c r="B8" s="40">
        <v>7</v>
      </c>
      <c r="C8" s="59" t="s">
        <v>252</v>
      </c>
    </row>
    <row r="9" spans="2:3" x14ac:dyDescent="0.3">
      <c r="B9" s="40">
        <v>8</v>
      </c>
      <c r="C9" s="40" t="s">
        <v>253</v>
      </c>
    </row>
    <row r="10" spans="2:3" x14ac:dyDescent="0.3">
      <c r="B10" s="40">
        <v>9</v>
      </c>
      <c r="C10" s="40" t="s">
        <v>254</v>
      </c>
    </row>
    <row r="11" spans="2:3" x14ac:dyDescent="0.3">
      <c r="B11" s="40">
        <v>10</v>
      </c>
      <c r="C11" s="40" t="s">
        <v>255</v>
      </c>
    </row>
    <row r="12" spans="2:3" x14ac:dyDescent="0.3">
      <c r="B12" s="40">
        <v>11</v>
      </c>
      <c r="C12" s="40" t="s">
        <v>256</v>
      </c>
    </row>
    <row r="13" spans="2:3" x14ac:dyDescent="0.3">
      <c r="B13" s="40">
        <v>12</v>
      </c>
      <c r="C13" s="40" t="s">
        <v>257</v>
      </c>
    </row>
    <row r="14" spans="2:3" x14ac:dyDescent="0.3">
      <c r="B14" s="40">
        <v>13</v>
      </c>
      <c r="C14" s="40" t="s">
        <v>258</v>
      </c>
    </row>
    <row r="15" spans="2:3" x14ac:dyDescent="0.3">
      <c r="B15" s="40">
        <v>14</v>
      </c>
      <c r="C15" s="40" t="s">
        <v>248</v>
      </c>
    </row>
    <row r="16" spans="2:3" x14ac:dyDescent="0.3">
      <c r="B16" s="40">
        <v>15</v>
      </c>
      <c r="C16" s="40" t="s">
        <v>241</v>
      </c>
    </row>
    <row r="17" spans="2:3" x14ac:dyDescent="0.3">
      <c r="B17" s="60">
        <v>16</v>
      </c>
      <c r="C17" s="61" t="s">
        <v>259</v>
      </c>
    </row>
    <row r="18" spans="2:3" x14ac:dyDescent="0.3">
      <c r="B18" s="62">
        <v>17</v>
      </c>
      <c r="C18" s="61" t="s">
        <v>260</v>
      </c>
    </row>
    <row r="19" spans="2:3" x14ac:dyDescent="0.3">
      <c r="B19" s="63">
        <v>18</v>
      </c>
      <c r="C19" s="40" t="s">
        <v>261</v>
      </c>
    </row>
    <row r="20" spans="2:3" x14ac:dyDescent="0.3">
      <c r="B20" s="62">
        <v>19</v>
      </c>
      <c r="C20" s="40" t="s">
        <v>262</v>
      </c>
    </row>
    <row r="21" spans="2:3" x14ac:dyDescent="0.3">
      <c r="B21" s="40">
        <v>20</v>
      </c>
      <c r="C21" s="40" t="s">
        <v>263</v>
      </c>
    </row>
    <row r="22" spans="2:3" x14ac:dyDescent="0.3">
      <c r="B22" s="62">
        <v>21</v>
      </c>
      <c r="C22" s="40" t="s">
        <v>261</v>
      </c>
    </row>
    <row r="23" spans="2:3" s="65" customFormat="1" ht="28.8" x14ac:dyDescent="0.3">
      <c r="B23" s="64">
        <v>22</v>
      </c>
      <c r="C23" s="58" t="s">
        <v>264</v>
      </c>
    </row>
    <row r="24" spans="2:3" s="65" customFormat="1" ht="28.8" x14ac:dyDescent="0.3">
      <c r="B24" s="66">
        <v>23</v>
      </c>
      <c r="C24" s="58" t="s">
        <v>265</v>
      </c>
    </row>
    <row r="25" spans="2:3" x14ac:dyDescent="0.3">
      <c r="B25" s="40">
        <v>24</v>
      </c>
      <c r="C25" s="40" t="s">
        <v>266</v>
      </c>
    </row>
    <row r="26" spans="2:3" x14ac:dyDescent="0.3">
      <c r="B26" s="62">
        <v>25</v>
      </c>
      <c r="C26" s="40" t="s">
        <v>267</v>
      </c>
    </row>
    <row r="27" spans="2:3" x14ac:dyDescent="0.3">
      <c r="B27" s="66">
        <v>26</v>
      </c>
      <c r="C27" s="40" t="s">
        <v>268</v>
      </c>
    </row>
    <row r="28" spans="2:3" x14ac:dyDescent="0.3">
      <c r="B28" s="62">
        <v>27</v>
      </c>
      <c r="C28" s="40" t="s">
        <v>269</v>
      </c>
    </row>
    <row r="29" spans="2:3" ht="43.2" x14ac:dyDescent="0.3">
      <c r="B29" s="67">
        <v>28</v>
      </c>
      <c r="C29" s="59" t="s">
        <v>270</v>
      </c>
    </row>
    <row r="30" spans="2:3" x14ac:dyDescent="0.3">
      <c r="B30" s="66">
        <v>29</v>
      </c>
      <c r="C30" s="40" t="s">
        <v>271</v>
      </c>
    </row>
    <row r="31" spans="2:3" ht="28.8" x14ac:dyDescent="0.3">
      <c r="B31" s="66">
        <v>30</v>
      </c>
      <c r="C31" s="59" t="s">
        <v>299</v>
      </c>
    </row>
    <row r="32" spans="2:3" x14ac:dyDescent="0.3">
      <c r="B32" s="66">
        <v>31</v>
      </c>
      <c r="C32" s="40" t="s">
        <v>300</v>
      </c>
    </row>
    <row r="33" spans="2:3" x14ac:dyDescent="0.3">
      <c r="B33" s="66">
        <v>32</v>
      </c>
      <c r="C33" s="40" t="s">
        <v>301</v>
      </c>
    </row>
    <row r="34" spans="2:3" ht="28.8" x14ac:dyDescent="0.3">
      <c r="B34" s="66">
        <v>33</v>
      </c>
      <c r="C34" s="61" t="s">
        <v>302</v>
      </c>
    </row>
    <row r="35" spans="2:3" x14ac:dyDescent="0.3">
      <c r="B35" s="66">
        <v>34</v>
      </c>
      <c r="C35" s="40"/>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44"/>
  <sheetViews>
    <sheetView workbookViewId="0">
      <selection sqref="A1:XFD1048576"/>
    </sheetView>
  </sheetViews>
  <sheetFormatPr defaultColWidth="9.109375" defaultRowHeight="14.4" x14ac:dyDescent="0.3"/>
  <cols>
    <col min="1" max="1" width="9.109375" style="68"/>
    <col min="2" max="2" width="12.33203125" style="68" customWidth="1"/>
    <col min="3" max="16384" width="9.109375" style="68"/>
  </cols>
  <sheetData>
    <row r="2" spans="1:12" x14ac:dyDescent="0.3">
      <c r="B2" s="69" t="s">
        <v>272</v>
      </c>
      <c r="C2" s="204"/>
      <c r="D2" s="204"/>
    </row>
    <row r="3" spans="1:12" x14ac:dyDescent="0.3">
      <c r="D3" s="70"/>
      <c r="E3" s="70"/>
      <c r="F3" s="70"/>
      <c r="G3" s="70"/>
      <c r="H3" s="70"/>
      <c r="I3" s="70"/>
    </row>
    <row r="4" spans="1:12" x14ac:dyDescent="0.3">
      <c r="A4" s="69" t="s">
        <v>273</v>
      </c>
      <c r="B4" s="57" t="s">
        <v>274</v>
      </c>
      <c r="C4" s="205" t="s">
        <v>275</v>
      </c>
      <c r="D4" s="205"/>
      <c r="E4" s="205"/>
      <c r="F4" s="57"/>
      <c r="G4" s="206" t="s">
        <v>276</v>
      </c>
      <c r="H4" s="206"/>
      <c r="I4" s="206"/>
      <c r="J4" s="207" t="s">
        <v>277</v>
      </c>
      <c r="K4" s="207"/>
      <c r="L4" s="207"/>
    </row>
    <row r="5" spans="1:12" x14ac:dyDescent="0.3">
      <c r="A5" s="69"/>
      <c r="B5" s="57"/>
      <c r="C5" s="57" t="s">
        <v>278</v>
      </c>
      <c r="D5" s="57" t="s">
        <v>279</v>
      </c>
      <c r="E5" s="57" t="s">
        <v>280</v>
      </c>
      <c r="F5" s="57"/>
      <c r="G5" s="57" t="s">
        <v>278</v>
      </c>
      <c r="H5" s="57" t="s">
        <v>279</v>
      </c>
      <c r="I5" s="57" t="s">
        <v>280</v>
      </c>
      <c r="J5" s="57" t="s">
        <v>278</v>
      </c>
      <c r="K5" s="57" t="s">
        <v>279</v>
      </c>
      <c r="L5" s="57" t="s">
        <v>280</v>
      </c>
    </row>
    <row r="6" spans="1:12" x14ac:dyDescent="0.3">
      <c r="B6" s="56" t="s">
        <v>281</v>
      </c>
      <c r="C6" s="56"/>
      <c r="D6" s="56"/>
      <c r="E6" s="56">
        <f>C6*D6</f>
        <v>0</v>
      </c>
      <c r="F6" s="56" t="s">
        <v>282</v>
      </c>
      <c r="G6" s="56"/>
      <c r="H6" s="56"/>
      <c r="I6" s="56">
        <f>G6*H6</f>
        <v>0</v>
      </c>
      <c r="J6" s="56"/>
      <c r="K6" s="56"/>
      <c r="L6" s="56">
        <f>J6*K6</f>
        <v>0</v>
      </c>
    </row>
    <row r="7" spans="1:12" x14ac:dyDescent="0.3">
      <c r="B7" s="56"/>
      <c r="C7" s="56"/>
      <c r="D7" s="56"/>
      <c r="E7" s="56">
        <f t="shared" ref="E7:E41" si="0">C7*D7</f>
        <v>0</v>
      </c>
      <c r="F7" s="56" t="s">
        <v>282</v>
      </c>
      <c r="G7" s="56"/>
      <c r="H7" s="56"/>
      <c r="I7" s="56">
        <f t="shared" ref="I7:I35" si="1">G7*H7</f>
        <v>0</v>
      </c>
      <c r="J7" s="56"/>
      <c r="K7" s="56"/>
      <c r="L7" s="56">
        <f t="shared" ref="L7:L35" si="2">J7*K7</f>
        <v>0</v>
      </c>
    </row>
    <row r="8" spans="1:12" x14ac:dyDescent="0.3">
      <c r="B8" s="56"/>
      <c r="C8" s="56"/>
      <c r="D8" s="56"/>
      <c r="E8" s="56">
        <f t="shared" si="0"/>
        <v>0</v>
      </c>
      <c r="F8" s="56"/>
      <c r="G8" s="56"/>
      <c r="H8" s="56"/>
      <c r="I8" s="56">
        <f t="shared" si="1"/>
        <v>0</v>
      </c>
      <c r="J8" s="56"/>
      <c r="K8" s="56"/>
      <c r="L8" s="56">
        <f t="shared" si="2"/>
        <v>0</v>
      </c>
    </row>
    <row r="9" spans="1:12" x14ac:dyDescent="0.3">
      <c r="B9" s="56"/>
      <c r="C9" s="56"/>
      <c r="D9" s="56"/>
      <c r="E9" s="56">
        <f t="shared" si="0"/>
        <v>0</v>
      </c>
      <c r="F9" s="56" t="s">
        <v>283</v>
      </c>
      <c r="G9" s="56"/>
      <c r="H9" s="56"/>
      <c r="I9" s="56">
        <f t="shared" si="1"/>
        <v>0</v>
      </c>
      <c r="J9" s="56"/>
      <c r="K9" s="56"/>
      <c r="L9" s="56">
        <f t="shared" si="2"/>
        <v>0</v>
      </c>
    </row>
    <row r="10" spans="1:12" x14ac:dyDescent="0.3">
      <c r="B10" s="56" t="s">
        <v>284</v>
      </c>
      <c r="C10" s="56"/>
      <c r="D10" s="56"/>
      <c r="E10" s="56">
        <f t="shared" si="0"/>
        <v>0</v>
      </c>
      <c r="F10" s="56" t="s">
        <v>283</v>
      </c>
      <c r="G10" s="56"/>
      <c r="H10" s="56"/>
      <c r="I10" s="56">
        <f t="shared" si="1"/>
        <v>0</v>
      </c>
      <c r="J10" s="56"/>
      <c r="K10" s="56"/>
      <c r="L10" s="56">
        <f t="shared" si="2"/>
        <v>0</v>
      </c>
    </row>
    <row r="11" spans="1:12" x14ac:dyDescent="0.3">
      <c r="B11" s="56"/>
      <c r="C11" s="56"/>
      <c r="D11" s="56"/>
      <c r="E11" s="56">
        <f t="shared" si="0"/>
        <v>0</v>
      </c>
      <c r="F11" s="56" t="s">
        <v>285</v>
      </c>
      <c r="G11" s="56"/>
      <c r="H11" s="56"/>
      <c r="I11" s="56">
        <f t="shared" si="1"/>
        <v>0</v>
      </c>
      <c r="J11" s="56"/>
      <c r="K11" s="56"/>
      <c r="L11" s="56">
        <f t="shared" si="2"/>
        <v>0</v>
      </c>
    </row>
    <row r="12" spans="1:12" x14ac:dyDescent="0.3">
      <c r="B12" s="56"/>
      <c r="C12" s="56"/>
      <c r="D12" s="56"/>
      <c r="E12" s="56">
        <f t="shared" si="0"/>
        <v>0</v>
      </c>
      <c r="F12" s="56"/>
      <c r="G12" s="56"/>
      <c r="H12" s="56"/>
      <c r="I12" s="56">
        <f t="shared" si="1"/>
        <v>0</v>
      </c>
      <c r="J12" s="56"/>
      <c r="K12" s="56"/>
      <c r="L12" s="56">
        <f t="shared" si="2"/>
        <v>0</v>
      </c>
    </row>
    <row r="13" spans="1:12" x14ac:dyDescent="0.3">
      <c r="B13" s="56"/>
      <c r="C13" s="56"/>
      <c r="D13" s="56"/>
      <c r="E13" s="56">
        <f t="shared" si="0"/>
        <v>0</v>
      </c>
      <c r="F13" s="56"/>
      <c r="G13" s="56"/>
      <c r="H13" s="56"/>
      <c r="I13" s="56">
        <f t="shared" si="1"/>
        <v>0</v>
      </c>
      <c r="J13" s="56"/>
      <c r="K13" s="56"/>
      <c r="L13" s="56">
        <f t="shared" si="2"/>
        <v>0</v>
      </c>
    </row>
    <row r="14" spans="1:12" x14ac:dyDescent="0.3">
      <c r="B14" s="56" t="s">
        <v>286</v>
      </c>
      <c r="C14" s="56"/>
      <c r="D14" s="56"/>
      <c r="E14" s="56">
        <f t="shared" si="0"/>
        <v>0</v>
      </c>
      <c r="F14" s="56" t="s">
        <v>283</v>
      </c>
      <c r="G14" s="56"/>
      <c r="H14" s="56"/>
      <c r="I14" s="56">
        <f t="shared" si="1"/>
        <v>0</v>
      </c>
      <c r="J14" s="56"/>
      <c r="K14" s="56"/>
      <c r="L14" s="56">
        <f t="shared" si="2"/>
        <v>0</v>
      </c>
    </row>
    <row r="15" spans="1:12" x14ac:dyDescent="0.3">
      <c r="B15" s="56"/>
      <c r="C15" s="56"/>
      <c r="D15" s="56"/>
      <c r="E15" s="56">
        <f t="shared" si="0"/>
        <v>0</v>
      </c>
      <c r="F15" s="56" t="s">
        <v>285</v>
      </c>
      <c r="G15" s="56"/>
      <c r="H15" s="56"/>
      <c r="I15" s="56">
        <f t="shared" si="1"/>
        <v>0</v>
      </c>
      <c r="J15" s="56"/>
      <c r="K15" s="56"/>
      <c r="L15" s="56">
        <f t="shared" si="2"/>
        <v>0</v>
      </c>
    </row>
    <row r="16" spans="1:12" x14ac:dyDescent="0.3">
      <c r="B16" s="56"/>
      <c r="C16" s="56"/>
      <c r="D16" s="56"/>
      <c r="E16" s="56">
        <f t="shared" si="0"/>
        <v>0</v>
      </c>
      <c r="F16" s="56"/>
      <c r="G16" s="56"/>
      <c r="H16" s="56"/>
      <c r="I16" s="56">
        <f t="shared" si="1"/>
        <v>0</v>
      </c>
      <c r="J16" s="56"/>
      <c r="K16" s="56"/>
      <c r="L16" s="56">
        <f t="shared" si="2"/>
        <v>0</v>
      </c>
    </row>
    <row r="17" spans="2:12" x14ac:dyDescent="0.3">
      <c r="B17" s="56"/>
      <c r="C17" s="56"/>
      <c r="D17" s="56"/>
      <c r="E17" s="56">
        <f t="shared" si="0"/>
        <v>0</v>
      </c>
      <c r="F17" s="56"/>
      <c r="G17" s="56"/>
      <c r="H17" s="56"/>
      <c r="I17" s="56">
        <f t="shared" si="1"/>
        <v>0</v>
      </c>
      <c r="J17" s="56"/>
      <c r="K17" s="56"/>
      <c r="L17" s="56">
        <f t="shared" si="2"/>
        <v>0</v>
      </c>
    </row>
    <row r="18" spans="2:12" x14ac:dyDescent="0.3">
      <c r="B18" s="56" t="s">
        <v>287</v>
      </c>
      <c r="C18" s="56"/>
      <c r="D18" s="56"/>
      <c r="E18" s="56">
        <f t="shared" si="0"/>
        <v>0</v>
      </c>
      <c r="F18" s="56" t="s">
        <v>283</v>
      </c>
      <c r="G18" s="56"/>
      <c r="H18" s="56"/>
      <c r="I18" s="56">
        <f t="shared" si="1"/>
        <v>0</v>
      </c>
      <c r="J18" s="56"/>
      <c r="K18" s="56"/>
      <c r="L18" s="56">
        <f t="shared" si="2"/>
        <v>0</v>
      </c>
    </row>
    <row r="19" spans="2:12" x14ac:dyDescent="0.3">
      <c r="B19" s="56"/>
      <c r="C19" s="56"/>
      <c r="D19" s="56"/>
      <c r="E19" s="56">
        <f t="shared" si="0"/>
        <v>0</v>
      </c>
      <c r="F19" s="56" t="s">
        <v>285</v>
      </c>
      <c r="G19" s="56"/>
      <c r="H19" s="56"/>
      <c r="I19" s="56">
        <f t="shared" si="1"/>
        <v>0</v>
      </c>
      <c r="J19" s="56"/>
      <c r="K19" s="56"/>
      <c r="L19" s="56">
        <f t="shared" si="2"/>
        <v>0</v>
      </c>
    </row>
    <row r="20" spans="2:12" x14ac:dyDescent="0.3">
      <c r="B20" s="56"/>
      <c r="C20" s="56"/>
      <c r="D20" s="56"/>
      <c r="E20" s="56">
        <f t="shared" si="0"/>
        <v>0</v>
      </c>
      <c r="F20" s="56"/>
      <c r="G20" s="56"/>
      <c r="H20" s="56"/>
      <c r="I20" s="56">
        <f t="shared" si="1"/>
        <v>0</v>
      </c>
      <c r="J20" s="56"/>
      <c r="K20" s="56"/>
      <c r="L20" s="56">
        <f t="shared" si="2"/>
        <v>0</v>
      </c>
    </row>
    <row r="21" spans="2:12" x14ac:dyDescent="0.3">
      <c r="B21" s="56" t="s">
        <v>288</v>
      </c>
      <c r="C21" s="56"/>
      <c r="D21" s="56"/>
      <c r="E21" s="56">
        <f t="shared" si="0"/>
        <v>0</v>
      </c>
      <c r="F21" s="56" t="s">
        <v>283</v>
      </c>
      <c r="G21" s="56"/>
      <c r="H21" s="56"/>
      <c r="I21" s="56">
        <f t="shared" si="1"/>
        <v>0</v>
      </c>
      <c r="J21" s="56"/>
      <c r="K21" s="56"/>
      <c r="L21" s="56">
        <f t="shared" si="2"/>
        <v>0</v>
      </c>
    </row>
    <row r="22" spans="2:12" x14ac:dyDescent="0.3">
      <c r="B22" s="56"/>
      <c r="C22" s="56"/>
      <c r="D22" s="56"/>
      <c r="E22" s="56">
        <f t="shared" si="0"/>
        <v>0</v>
      </c>
      <c r="F22" s="56" t="s">
        <v>285</v>
      </c>
      <c r="G22" s="56"/>
      <c r="H22" s="56"/>
      <c r="I22" s="56">
        <f t="shared" si="1"/>
        <v>0</v>
      </c>
      <c r="J22" s="56"/>
      <c r="K22" s="56"/>
      <c r="L22" s="56">
        <f t="shared" si="2"/>
        <v>0</v>
      </c>
    </row>
    <row r="23" spans="2:12" x14ac:dyDescent="0.3">
      <c r="B23" s="56"/>
      <c r="C23" s="56"/>
      <c r="D23" s="56"/>
      <c r="E23" s="56">
        <f t="shared" si="0"/>
        <v>0</v>
      </c>
      <c r="F23" s="56"/>
      <c r="G23" s="56"/>
      <c r="H23" s="56"/>
      <c r="I23" s="56">
        <f t="shared" si="1"/>
        <v>0</v>
      </c>
      <c r="J23" s="56"/>
      <c r="K23" s="56"/>
      <c r="L23" s="56">
        <f t="shared" si="2"/>
        <v>0</v>
      </c>
    </row>
    <row r="24" spans="2:12" x14ac:dyDescent="0.3">
      <c r="B24" s="56" t="s">
        <v>289</v>
      </c>
      <c r="C24" s="56"/>
      <c r="D24" s="56"/>
      <c r="E24" s="56">
        <f t="shared" si="0"/>
        <v>0</v>
      </c>
      <c r="F24" s="56" t="s">
        <v>290</v>
      </c>
      <c r="G24" s="56"/>
      <c r="H24" s="56"/>
      <c r="I24" s="56">
        <f t="shared" si="1"/>
        <v>0</v>
      </c>
      <c r="J24" s="56"/>
      <c r="K24" s="56"/>
      <c r="L24" s="56">
        <f t="shared" si="2"/>
        <v>0</v>
      </c>
    </row>
    <row r="25" spans="2:12" x14ac:dyDescent="0.3">
      <c r="B25" s="56"/>
      <c r="C25" s="56"/>
      <c r="D25" s="56"/>
      <c r="E25" s="56">
        <f t="shared" si="0"/>
        <v>0</v>
      </c>
      <c r="F25" s="56" t="s">
        <v>290</v>
      </c>
      <c r="G25" s="56"/>
      <c r="H25" s="56"/>
      <c r="I25" s="56">
        <f t="shared" si="1"/>
        <v>0</v>
      </c>
      <c r="J25" s="56"/>
      <c r="K25" s="56"/>
      <c r="L25" s="56">
        <f t="shared" si="2"/>
        <v>0</v>
      </c>
    </row>
    <row r="26" spans="2:12" x14ac:dyDescent="0.3">
      <c r="B26" s="56"/>
      <c r="C26" s="56"/>
      <c r="D26" s="56"/>
      <c r="E26" s="56">
        <f t="shared" si="0"/>
        <v>0</v>
      </c>
      <c r="F26" s="56" t="s">
        <v>290</v>
      </c>
      <c r="G26" s="56"/>
      <c r="H26" s="56"/>
      <c r="I26" s="56">
        <f t="shared" si="1"/>
        <v>0</v>
      </c>
      <c r="J26" s="56"/>
      <c r="K26" s="56"/>
      <c r="L26" s="56">
        <f t="shared" si="2"/>
        <v>0</v>
      </c>
    </row>
    <row r="27" spans="2:12" x14ac:dyDescent="0.3">
      <c r="B27" s="56"/>
      <c r="C27" s="56"/>
      <c r="D27" s="56"/>
      <c r="E27" s="56">
        <f t="shared" si="0"/>
        <v>0</v>
      </c>
      <c r="F27" s="56" t="s">
        <v>290</v>
      </c>
      <c r="G27" s="56"/>
      <c r="H27" s="56"/>
      <c r="I27" s="56">
        <f t="shared" si="1"/>
        <v>0</v>
      </c>
      <c r="J27" s="56"/>
      <c r="K27" s="56"/>
      <c r="L27" s="56">
        <f t="shared" si="2"/>
        <v>0</v>
      </c>
    </row>
    <row r="28" spans="2:12" x14ac:dyDescent="0.3">
      <c r="B28" s="56" t="s">
        <v>291</v>
      </c>
      <c r="C28" s="56"/>
      <c r="D28" s="56"/>
      <c r="E28" s="56">
        <f t="shared" si="0"/>
        <v>0</v>
      </c>
      <c r="F28" s="56" t="s">
        <v>290</v>
      </c>
      <c r="G28" s="56"/>
      <c r="H28" s="56"/>
      <c r="I28" s="56">
        <f t="shared" si="1"/>
        <v>0</v>
      </c>
      <c r="J28" s="56"/>
      <c r="K28" s="56"/>
      <c r="L28" s="56">
        <f t="shared" si="2"/>
        <v>0</v>
      </c>
    </row>
    <row r="29" spans="2:12" x14ac:dyDescent="0.3">
      <c r="B29" s="56" t="s">
        <v>292</v>
      </c>
      <c r="C29" s="56"/>
      <c r="D29" s="56"/>
      <c r="E29" s="56">
        <f t="shared" si="0"/>
        <v>0</v>
      </c>
      <c r="F29" s="56" t="s">
        <v>290</v>
      </c>
      <c r="G29" s="56"/>
      <c r="H29" s="56"/>
      <c r="I29" s="56">
        <f t="shared" si="1"/>
        <v>0</v>
      </c>
      <c r="J29" s="56"/>
      <c r="K29" s="56"/>
      <c r="L29" s="56">
        <f t="shared" si="2"/>
        <v>0</v>
      </c>
    </row>
    <row r="30" spans="2:12" x14ac:dyDescent="0.3">
      <c r="B30" s="56" t="s">
        <v>293</v>
      </c>
      <c r="C30" s="56"/>
      <c r="D30" s="56"/>
      <c r="E30" s="56">
        <f t="shared" si="0"/>
        <v>0</v>
      </c>
      <c r="F30" s="56"/>
      <c r="G30" s="56"/>
      <c r="H30" s="56"/>
      <c r="I30" s="56">
        <f t="shared" si="1"/>
        <v>0</v>
      </c>
      <c r="J30" s="56"/>
      <c r="K30" s="56"/>
      <c r="L30" s="56">
        <f t="shared" si="2"/>
        <v>0</v>
      </c>
    </row>
    <row r="31" spans="2:12" x14ac:dyDescent="0.3">
      <c r="B31" s="56"/>
      <c r="C31" s="56"/>
      <c r="D31" s="56"/>
      <c r="E31" s="56">
        <f t="shared" si="0"/>
        <v>0</v>
      </c>
      <c r="F31" s="56"/>
      <c r="G31" s="56"/>
      <c r="H31" s="56"/>
      <c r="I31" s="56">
        <f t="shared" si="1"/>
        <v>0</v>
      </c>
      <c r="J31" s="56"/>
      <c r="K31" s="56"/>
      <c r="L31" s="56">
        <f t="shared" si="2"/>
        <v>0</v>
      </c>
    </row>
    <row r="32" spans="2:12" x14ac:dyDescent="0.3">
      <c r="B32" s="56"/>
      <c r="C32" s="56"/>
      <c r="D32" s="56"/>
      <c r="E32" s="56">
        <f t="shared" si="0"/>
        <v>0</v>
      </c>
      <c r="F32" s="56"/>
      <c r="G32" s="56"/>
      <c r="H32" s="56"/>
      <c r="I32" s="56">
        <f t="shared" si="1"/>
        <v>0</v>
      </c>
      <c r="J32" s="56"/>
      <c r="K32" s="56"/>
      <c r="L32" s="56">
        <f t="shared" si="2"/>
        <v>0</v>
      </c>
    </row>
    <row r="33" spans="2:12" x14ac:dyDescent="0.3">
      <c r="B33" s="56" t="s">
        <v>294</v>
      </c>
      <c r="C33" s="56"/>
      <c r="D33" s="56"/>
      <c r="E33" s="56">
        <f t="shared" si="0"/>
        <v>0</v>
      </c>
      <c r="F33" s="56"/>
      <c r="G33" s="56"/>
      <c r="H33" s="56"/>
      <c r="I33" s="56">
        <f t="shared" si="1"/>
        <v>0</v>
      </c>
      <c r="J33" s="56"/>
      <c r="K33" s="56"/>
      <c r="L33" s="56">
        <f t="shared" si="2"/>
        <v>0</v>
      </c>
    </row>
    <row r="34" spans="2:12" x14ac:dyDescent="0.3">
      <c r="B34" s="56" t="s">
        <v>295</v>
      </c>
      <c r="C34" s="56"/>
      <c r="D34" s="56"/>
      <c r="E34" s="56">
        <f t="shared" si="0"/>
        <v>0</v>
      </c>
      <c r="F34" s="56"/>
      <c r="G34" s="56"/>
      <c r="H34" s="56"/>
      <c r="I34" s="56">
        <f t="shared" si="1"/>
        <v>0</v>
      </c>
      <c r="J34" s="56"/>
      <c r="K34" s="56"/>
      <c r="L34" s="56">
        <f t="shared" si="2"/>
        <v>0</v>
      </c>
    </row>
    <row r="35" spans="2:12" x14ac:dyDescent="0.3">
      <c r="B35" s="56" t="s">
        <v>296</v>
      </c>
      <c r="C35" s="56"/>
      <c r="D35" s="56"/>
      <c r="E35" s="56">
        <f t="shared" si="0"/>
        <v>0</v>
      </c>
      <c r="F35" s="56"/>
      <c r="G35" s="56"/>
      <c r="H35" s="56"/>
      <c r="I35" s="56">
        <f t="shared" si="1"/>
        <v>0</v>
      </c>
      <c r="J35" s="56"/>
      <c r="K35" s="56"/>
      <c r="L35" s="56">
        <f t="shared" si="2"/>
        <v>0</v>
      </c>
    </row>
    <row r="36" spans="2:12" x14ac:dyDescent="0.3">
      <c r="B36" s="56" t="s">
        <v>297</v>
      </c>
      <c r="C36" s="56"/>
      <c r="D36" s="56"/>
      <c r="E36" s="56">
        <f t="shared" si="0"/>
        <v>0</v>
      </c>
      <c r="F36" s="56"/>
      <c r="G36" s="56"/>
      <c r="H36" s="56"/>
      <c r="I36" s="56">
        <f>G36*H36</f>
        <v>0</v>
      </c>
      <c r="J36" s="56"/>
      <c r="K36" s="56"/>
      <c r="L36" s="56">
        <f>J36*K36</f>
        <v>0</v>
      </c>
    </row>
    <row r="37" spans="2:12" x14ac:dyDescent="0.3">
      <c r="B37" s="56"/>
      <c r="C37" s="56"/>
      <c r="D37" s="56"/>
      <c r="E37" s="56">
        <f t="shared" si="0"/>
        <v>0</v>
      </c>
      <c r="F37" s="56"/>
      <c r="G37" s="56"/>
      <c r="H37" s="56"/>
      <c r="I37" s="56">
        <f t="shared" ref="I37:I38" si="3">G37*H37</f>
        <v>0</v>
      </c>
      <c r="J37" s="56"/>
      <c r="K37" s="56"/>
      <c r="L37" s="56">
        <f t="shared" ref="L37:L38" si="4">J37*K37</f>
        <v>0</v>
      </c>
    </row>
    <row r="38" spans="2:12" x14ac:dyDescent="0.3">
      <c r="B38" s="56" t="s">
        <v>298</v>
      </c>
      <c r="C38" s="56"/>
      <c r="D38" s="56"/>
      <c r="E38" s="56">
        <f t="shared" si="0"/>
        <v>0</v>
      </c>
      <c r="F38" s="56"/>
      <c r="G38" s="56"/>
      <c r="H38" s="56"/>
      <c r="I38" s="56">
        <f t="shared" si="3"/>
        <v>0</v>
      </c>
      <c r="J38" s="56"/>
      <c r="K38" s="56"/>
      <c r="L38" s="56">
        <f t="shared" si="4"/>
        <v>0</v>
      </c>
    </row>
    <row r="39" spans="2:12" x14ac:dyDescent="0.3">
      <c r="B39" s="56"/>
      <c r="C39" s="56"/>
      <c r="D39" s="56"/>
      <c r="E39" s="56">
        <f t="shared" si="0"/>
        <v>0</v>
      </c>
      <c r="F39" s="56"/>
      <c r="G39" s="56"/>
      <c r="H39" s="56"/>
      <c r="I39" s="56">
        <f>G39*H39</f>
        <v>0</v>
      </c>
      <c r="J39" s="56"/>
      <c r="K39" s="56"/>
      <c r="L39" s="56">
        <f>J39*K39</f>
        <v>0</v>
      </c>
    </row>
    <row r="40" spans="2:12" x14ac:dyDescent="0.3">
      <c r="B40" s="56"/>
      <c r="C40" s="56"/>
      <c r="D40" s="56"/>
      <c r="E40" s="56">
        <f t="shared" si="0"/>
        <v>0</v>
      </c>
      <c r="F40" s="56"/>
      <c r="G40" s="56"/>
      <c r="H40" s="56"/>
      <c r="I40" s="56">
        <f>G40*H40</f>
        <v>0</v>
      </c>
      <c r="J40" s="56"/>
      <c r="K40" s="56"/>
      <c r="L40" s="56">
        <f>J40*K40</f>
        <v>0</v>
      </c>
    </row>
    <row r="41" spans="2:12" x14ac:dyDescent="0.3">
      <c r="B41" s="56"/>
      <c r="C41" s="56"/>
      <c r="D41" s="56"/>
      <c r="E41" s="56">
        <f t="shared" si="0"/>
        <v>0</v>
      </c>
      <c r="F41" s="56"/>
      <c r="G41" s="56"/>
      <c r="H41" s="56"/>
      <c r="I41" s="56">
        <f>G41*H41</f>
        <v>0</v>
      </c>
      <c r="J41" s="56"/>
      <c r="K41" s="56"/>
      <c r="L41" s="56">
        <f>J41*K41</f>
        <v>0</v>
      </c>
    </row>
    <row r="42" spans="2:12" x14ac:dyDescent="0.3">
      <c r="B42" s="56" t="s">
        <v>156</v>
      </c>
      <c r="C42" s="56"/>
      <c r="D42" s="56">
        <f>E42*10.764</f>
        <v>0</v>
      </c>
      <c r="E42" s="71">
        <f>SUM(E6:E41)</f>
        <v>0</v>
      </c>
      <c r="F42" s="56"/>
      <c r="G42" s="56"/>
      <c r="H42" s="56">
        <f>I42*10.764</f>
        <v>0</v>
      </c>
      <c r="I42" s="72">
        <f>SUM(I6:I41)</f>
        <v>0</v>
      </c>
      <c r="J42" s="56"/>
      <c r="K42" s="56">
        <f>L42*10.764</f>
        <v>0</v>
      </c>
      <c r="L42" s="73">
        <f>SUM(L6:L41)</f>
        <v>0</v>
      </c>
    </row>
    <row r="44" spans="2:12" x14ac:dyDescent="0.3">
      <c r="D44" s="68">
        <f>D42+H42</f>
        <v>0</v>
      </c>
      <c r="E44" s="68">
        <f>E42+I42</f>
        <v>0</v>
      </c>
    </row>
  </sheetData>
  <mergeCells count="4">
    <mergeCell ref="C2:D2"/>
    <mergeCell ref="C4:E4"/>
    <mergeCell ref="G4:I4"/>
    <mergeCell ref="J4:L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2"/>
  <sheetViews>
    <sheetView topLeftCell="A37" workbookViewId="0">
      <selection activeCell="M86" sqref="M86"/>
    </sheetView>
  </sheetViews>
  <sheetFormatPr defaultRowHeight="14.4" x14ac:dyDescent="0.3"/>
  <sheetData>
    <row r="1" spans="1:10" ht="15" thickBot="1" x14ac:dyDescent="0.35"/>
    <row r="2" spans="1:10" ht="15" thickBot="1" x14ac:dyDescent="0.35">
      <c r="A2" s="208" t="s">
        <v>348</v>
      </c>
      <c r="B2" s="209"/>
      <c r="C2" s="209"/>
      <c r="D2" s="210"/>
      <c r="G2" s="208" t="s">
        <v>349</v>
      </c>
      <c r="H2" s="209"/>
      <c r="I2" s="209"/>
      <c r="J2" s="210"/>
    </row>
    <row r="3" spans="1:10" x14ac:dyDescent="0.3">
      <c r="A3" s="78" t="s">
        <v>346</v>
      </c>
      <c r="B3" s="83">
        <v>5.25</v>
      </c>
      <c r="C3" s="83">
        <f>3.375</f>
        <v>3.375</v>
      </c>
      <c r="D3" s="84">
        <f>B3*C3</f>
        <v>17.71875</v>
      </c>
      <c r="G3" s="78" t="s">
        <v>281</v>
      </c>
      <c r="H3" s="85">
        <v>6.1</v>
      </c>
      <c r="I3" s="85">
        <v>4.4249999999999998</v>
      </c>
      <c r="J3" s="86">
        <f>H3*I3</f>
        <v>26.992499999999996</v>
      </c>
    </row>
    <row r="4" spans="1:10" x14ac:dyDescent="0.3">
      <c r="A4" s="78" t="s">
        <v>347</v>
      </c>
      <c r="B4" s="75">
        <v>3.35</v>
      </c>
      <c r="C4" s="75">
        <v>1.9750000000000001</v>
      </c>
      <c r="D4" s="79">
        <f>B4*C4</f>
        <v>6.6162500000000009</v>
      </c>
      <c r="G4" s="78" t="s">
        <v>350</v>
      </c>
      <c r="H4" s="40">
        <v>4.125</v>
      </c>
      <c r="I4" s="40">
        <v>4.2750000000000004</v>
      </c>
      <c r="J4" s="86">
        <f t="shared" ref="J4:J19" si="0">H4*I4</f>
        <v>17.634375000000002</v>
      </c>
    </row>
    <row r="5" spans="1:10" x14ac:dyDescent="0.3">
      <c r="A5" s="78" t="s">
        <v>330</v>
      </c>
      <c r="B5" s="75">
        <v>2.4</v>
      </c>
      <c r="C5" s="75">
        <v>3.65</v>
      </c>
      <c r="D5" s="79">
        <f t="shared" ref="D5:D19" si="1">B5*C5</f>
        <v>8.76</v>
      </c>
      <c r="G5" s="78" t="s">
        <v>331</v>
      </c>
      <c r="H5" s="40">
        <v>3.65</v>
      </c>
      <c r="I5" s="40">
        <v>3.2</v>
      </c>
      <c r="J5" s="86">
        <f t="shared" si="0"/>
        <v>11.68</v>
      </c>
    </row>
    <row r="6" spans="1:10" x14ac:dyDescent="0.3">
      <c r="A6" s="78" t="s">
        <v>331</v>
      </c>
      <c r="B6" s="75">
        <v>3.05</v>
      </c>
      <c r="C6" s="75">
        <v>3.65</v>
      </c>
      <c r="D6" s="79">
        <f t="shared" si="1"/>
        <v>11.132499999999999</v>
      </c>
      <c r="G6" s="78" t="s">
        <v>332</v>
      </c>
      <c r="H6" s="40">
        <v>3.2</v>
      </c>
      <c r="I6" s="40">
        <v>3.65</v>
      </c>
      <c r="J6" s="86">
        <f t="shared" si="0"/>
        <v>11.68</v>
      </c>
    </row>
    <row r="7" spans="1:10" x14ac:dyDescent="0.3">
      <c r="A7" s="78" t="s">
        <v>332</v>
      </c>
      <c r="B7" s="75">
        <v>3.2</v>
      </c>
      <c r="C7" s="75">
        <v>3.8</v>
      </c>
      <c r="D7" s="79">
        <f t="shared" si="1"/>
        <v>12.16</v>
      </c>
      <c r="G7" s="78" t="s">
        <v>333</v>
      </c>
      <c r="H7" s="40">
        <v>3.35</v>
      </c>
      <c r="I7" s="40">
        <v>5.5750000000000002</v>
      </c>
      <c r="J7" s="86">
        <f t="shared" si="0"/>
        <v>18.67625</v>
      </c>
    </row>
    <row r="8" spans="1:10" x14ac:dyDescent="0.3">
      <c r="A8" s="78" t="s">
        <v>333</v>
      </c>
      <c r="B8" s="75">
        <v>3.05</v>
      </c>
      <c r="C8" s="75">
        <v>3.23</v>
      </c>
      <c r="D8" s="79">
        <f t="shared" si="1"/>
        <v>9.8514999999999997</v>
      </c>
      <c r="G8" s="78" t="s">
        <v>351</v>
      </c>
      <c r="H8" s="40">
        <v>3.4</v>
      </c>
      <c r="I8" s="40">
        <v>4.375</v>
      </c>
      <c r="J8" s="86">
        <f t="shared" si="0"/>
        <v>14.875</v>
      </c>
    </row>
    <row r="9" spans="1:10" x14ac:dyDescent="0.3">
      <c r="A9" s="78" t="s">
        <v>334</v>
      </c>
      <c r="B9" s="75">
        <v>1.375</v>
      </c>
      <c r="C9" s="75">
        <v>2.2749999999999999</v>
      </c>
      <c r="D9" s="79">
        <f t="shared" si="1"/>
        <v>3.1281249999999998</v>
      </c>
      <c r="G9" s="78" t="s">
        <v>352</v>
      </c>
      <c r="H9" s="40">
        <v>2.4500000000000002</v>
      </c>
      <c r="I9" s="40">
        <v>1.5249999999999999</v>
      </c>
      <c r="J9" s="86">
        <f t="shared" si="0"/>
        <v>3.7362500000000001</v>
      </c>
    </row>
    <row r="10" spans="1:10" x14ac:dyDescent="0.3">
      <c r="A10" s="78" t="s">
        <v>335</v>
      </c>
      <c r="B10" s="75">
        <v>2.4500000000000002</v>
      </c>
      <c r="C10" s="75">
        <v>1.5249999999999999</v>
      </c>
      <c r="D10" s="79">
        <f t="shared" si="1"/>
        <v>3.7362500000000001</v>
      </c>
      <c r="G10" s="78" t="s">
        <v>353</v>
      </c>
      <c r="H10" s="40">
        <v>2.4500000000000002</v>
      </c>
      <c r="I10" s="40">
        <v>1.5249999999999999</v>
      </c>
      <c r="J10" s="86">
        <f t="shared" si="0"/>
        <v>3.7362500000000001</v>
      </c>
    </row>
    <row r="11" spans="1:10" x14ac:dyDescent="0.3">
      <c r="A11" s="78" t="s">
        <v>336</v>
      </c>
      <c r="B11" s="75">
        <v>1.2</v>
      </c>
      <c r="C11" s="75">
        <v>2.17</v>
      </c>
      <c r="D11" s="79">
        <f t="shared" si="1"/>
        <v>2.6039999999999996</v>
      </c>
      <c r="G11" s="78" t="s">
        <v>354</v>
      </c>
      <c r="H11" s="40">
        <v>1.375</v>
      </c>
      <c r="I11" s="40">
        <v>2.2749999999999999</v>
      </c>
      <c r="J11" s="86">
        <f t="shared" si="0"/>
        <v>3.1281249999999998</v>
      </c>
    </row>
    <row r="12" spans="1:10" x14ac:dyDescent="0.3">
      <c r="A12" s="78" t="s">
        <v>337</v>
      </c>
      <c r="B12" s="75">
        <v>1.42</v>
      </c>
      <c r="C12" s="75">
        <v>1.4750000000000001</v>
      </c>
      <c r="D12" s="79">
        <f t="shared" si="1"/>
        <v>2.0945</v>
      </c>
      <c r="G12" s="78" t="s">
        <v>355</v>
      </c>
      <c r="H12" s="40">
        <v>1.375</v>
      </c>
      <c r="I12" s="40">
        <v>2.2749999999999999</v>
      </c>
      <c r="J12" s="86">
        <f t="shared" si="0"/>
        <v>3.1281249999999998</v>
      </c>
    </row>
    <row r="13" spans="1:10" x14ac:dyDescent="0.3">
      <c r="A13" s="78" t="s">
        <v>338</v>
      </c>
      <c r="B13" s="75">
        <v>3.02</v>
      </c>
      <c r="C13" s="75">
        <v>1</v>
      </c>
      <c r="D13" s="79">
        <f t="shared" si="1"/>
        <v>3.02</v>
      </c>
      <c r="G13" s="78" t="s">
        <v>337</v>
      </c>
      <c r="H13" s="40">
        <v>1.875</v>
      </c>
      <c r="I13" s="40">
        <v>2.375</v>
      </c>
      <c r="J13" s="86">
        <f t="shared" si="0"/>
        <v>4.453125</v>
      </c>
    </row>
    <row r="14" spans="1:10" x14ac:dyDescent="0.3">
      <c r="A14" s="78" t="s">
        <v>339</v>
      </c>
      <c r="B14" s="75">
        <v>1.1299999999999999</v>
      </c>
      <c r="C14" s="75">
        <v>1</v>
      </c>
      <c r="D14" s="79">
        <f t="shared" si="1"/>
        <v>1.1299999999999999</v>
      </c>
      <c r="G14" s="78" t="s">
        <v>338</v>
      </c>
      <c r="H14" s="40">
        <v>6.8049999999999997</v>
      </c>
      <c r="I14" s="40">
        <v>1</v>
      </c>
      <c r="J14" s="86">
        <f t="shared" si="0"/>
        <v>6.8049999999999997</v>
      </c>
    </row>
    <row r="15" spans="1:10" x14ac:dyDescent="0.3">
      <c r="A15" s="78" t="s">
        <v>340</v>
      </c>
      <c r="B15" s="75">
        <v>1.55</v>
      </c>
      <c r="C15" s="75">
        <v>2.375</v>
      </c>
      <c r="D15" s="79">
        <f t="shared" si="1"/>
        <v>3.6812499999999999</v>
      </c>
      <c r="G15" s="78" t="s">
        <v>339</v>
      </c>
      <c r="H15" s="40">
        <v>1.87</v>
      </c>
      <c r="I15" s="40">
        <v>1</v>
      </c>
      <c r="J15" s="86">
        <f t="shared" si="0"/>
        <v>1.87</v>
      </c>
    </row>
    <row r="16" spans="1:10" x14ac:dyDescent="0.3">
      <c r="A16" s="78" t="s">
        <v>341</v>
      </c>
      <c r="B16" s="75">
        <v>0.9</v>
      </c>
      <c r="C16" s="75">
        <v>2.4</v>
      </c>
      <c r="D16" s="79">
        <f t="shared" si="1"/>
        <v>2.16</v>
      </c>
      <c r="G16" s="78" t="s">
        <v>340</v>
      </c>
      <c r="H16" s="40">
        <v>1.7250000000000001</v>
      </c>
      <c r="I16" s="40">
        <v>1.4750000000000001</v>
      </c>
      <c r="J16" s="86">
        <f t="shared" si="0"/>
        <v>2.5443750000000005</v>
      </c>
    </row>
    <row r="17" spans="1:10" x14ac:dyDescent="0.3">
      <c r="A17" s="78" t="s">
        <v>342</v>
      </c>
      <c r="B17" s="75">
        <v>1.375</v>
      </c>
      <c r="C17" s="75">
        <v>1.425</v>
      </c>
      <c r="D17" s="79">
        <f t="shared" si="1"/>
        <v>1.9593750000000001</v>
      </c>
      <c r="G17" s="78" t="s">
        <v>341</v>
      </c>
      <c r="H17" s="40">
        <v>1.2749999999999999</v>
      </c>
      <c r="I17" s="40">
        <v>0.6</v>
      </c>
      <c r="J17" s="86">
        <f t="shared" si="0"/>
        <v>0.7649999999999999</v>
      </c>
    </row>
    <row r="18" spans="1:10" x14ac:dyDescent="0.3">
      <c r="A18" s="78" t="s">
        <v>343</v>
      </c>
      <c r="B18" s="75">
        <v>1.325</v>
      </c>
      <c r="C18" s="75">
        <v>3.35</v>
      </c>
      <c r="D18" s="79">
        <f t="shared" si="1"/>
        <v>4.4387499999999998</v>
      </c>
      <c r="G18" s="78" t="s">
        <v>342</v>
      </c>
      <c r="H18" s="40">
        <v>1.1950000000000001</v>
      </c>
      <c r="I18" s="40">
        <v>1.5249999999999999</v>
      </c>
      <c r="J18" s="86">
        <f t="shared" si="0"/>
        <v>1.8223750000000001</v>
      </c>
    </row>
    <row r="19" spans="1:10" ht="15" thickBot="1" x14ac:dyDescent="0.35">
      <c r="A19" s="78" t="s">
        <v>344</v>
      </c>
      <c r="B19" s="80">
        <v>1.2250000000000001</v>
      </c>
      <c r="C19" s="80">
        <v>3.08</v>
      </c>
      <c r="D19" s="81">
        <f t="shared" si="1"/>
        <v>3.7730000000000006</v>
      </c>
      <c r="G19" s="78" t="s">
        <v>343</v>
      </c>
      <c r="H19" s="40">
        <v>6.1</v>
      </c>
      <c r="I19" s="40">
        <v>1.66</v>
      </c>
      <c r="J19" s="86">
        <f t="shared" si="0"/>
        <v>10.125999999999999</v>
      </c>
    </row>
    <row r="20" spans="1:10" ht="15" thickBot="1" x14ac:dyDescent="0.35">
      <c r="A20" s="208" t="s">
        <v>345</v>
      </c>
      <c r="B20" s="209"/>
      <c r="C20" s="211"/>
      <c r="D20" s="82">
        <f>SUM(D3:D19)</f>
        <v>97.964249999999979</v>
      </c>
      <c r="G20" s="78" t="s">
        <v>344</v>
      </c>
      <c r="H20" s="40">
        <v>3.15</v>
      </c>
      <c r="I20" s="40">
        <v>1.325</v>
      </c>
      <c r="J20" s="86">
        <f t="shared" ref="J20:J21" si="2">H20*I20</f>
        <v>4.1737500000000001</v>
      </c>
    </row>
    <row r="21" spans="1:10" ht="15" thickBot="1" x14ac:dyDescent="0.35">
      <c r="G21" s="78" t="s">
        <v>356</v>
      </c>
      <c r="H21" s="40">
        <v>1.7</v>
      </c>
      <c r="I21" s="40">
        <v>2.75</v>
      </c>
      <c r="J21" s="87">
        <f t="shared" si="2"/>
        <v>4.6749999999999998</v>
      </c>
    </row>
    <row r="22" spans="1:10" ht="15" thickBot="1" x14ac:dyDescent="0.35">
      <c r="G22" s="212" t="s">
        <v>345</v>
      </c>
      <c r="H22" s="213"/>
      <c r="I22" s="214"/>
      <c r="J22" s="88">
        <f>SUM(J3:J21)</f>
        <v>152.50149999999999</v>
      </c>
    </row>
  </sheetData>
  <mergeCells count="4">
    <mergeCell ref="A2:D2"/>
    <mergeCell ref="A20:C20"/>
    <mergeCell ref="G2:J2"/>
    <mergeCell ref="G22:I2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Construction table</vt:lpstr>
      <vt:lpstr>Remarks</vt:lpstr>
      <vt:lpstr>Area Calculation</vt:lpstr>
      <vt:lpstr>Flat CA</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cp:lastPrinted>2025-09-15T09:29:37Z</cp:lastPrinted>
  <dcterms:created xsi:type="dcterms:W3CDTF">2010-11-23T11:42:48Z</dcterms:created>
  <dcterms:modified xsi:type="dcterms:W3CDTF">2025-09-15T09:30:43Z</dcterms:modified>
</cp:coreProperties>
</file>