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Old\"/>
    </mc:Choice>
  </mc:AlternateContent>
  <xr:revisionPtr revIDLastSave="0" documentId="13_ncr:1_{269E49AA-9B52-488F-BAB6-0FC1CFCB1178}"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Report!$A$1:$H$266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3" l="1"/>
  <c r="K4" i="3"/>
  <c r="I56" i="3"/>
  <c r="I105" i="3" l="1"/>
  <c r="F133" i="3" l="1"/>
  <c r="E133" i="3"/>
  <c r="F132" i="3"/>
  <c r="E132" i="3"/>
  <c r="F131" i="3"/>
  <c r="E131" i="3"/>
  <c r="F130" i="3"/>
  <c r="E130" i="3"/>
  <c r="F129" i="3"/>
  <c r="E129" i="3"/>
  <c r="F123" i="3"/>
  <c r="F122" i="3"/>
  <c r="F127" i="3"/>
  <c r="E127" i="3"/>
  <c r="F126" i="3"/>
  <c r="E126" i="3"/>
  <c r="F125" i="3"/>
  <c r="E125" i="3"/>
  <c r="F124" i="3"/>
  <c r="E124" i="3"/>
  <c r="E123" i="3"/>
  <c r="E122" i="3"/>
  <c r="F119" i="3"/>
  <c r="E119" i="3"/>
  <c r="F118" i="3"/>
  <c r="E118" i="3"/>
  <c r="F117" i="3"/>
  <c r="E117" i="3"/>
  <c r="F116" i="3"/>
  <c r="E116" i="3"/>
  <c r="F115" i="3"/>
  <c r="E115" i="3"/>
  <c r="F113" i="3"/>
  <c r="E113" i="3"/>
  <c r="F112" i="3"/>
  <c r="E112" i="3"/>
  <c r="F111" i="3"/>
  <c r="E111" i="3"/>
  <c r="F110" i="3"/>
  <c r="E110" i="3"/>
  <c r="F109" i="3"/>
  <c r="E109" i="3"/>
  <c r="F108" i="3"/>
  <c r="E108" i="3"/>
  <c r="G106" i="3"/>
  <c r="G105" i="3"/>
  <c r="G103" i="3"/>
  <c r="G104" i="3"/>
  <c r="F106" i="3"/>
  <c r="E106" i="3"/>
  <c r="E104" i="3"/>
  <c r="E105" i="3"/>
  <c r="E103" i="3"/>
  <c r="F102" i="3"/>
  <c r="E102" i="3"/>
  <c r="F101" i="3"/>
  <c r="E101" i="3"/>
  <c r="E92" i="3"/>
  <c r="E93" i="3"/>
  <c r="F93" i="3"/>
  <c r="F92" i="3"/>
  <c r="D145" i="3"/>
  <c r="C19" i="3"/>
  <c r="G79" i="3" l="1"/>
  <c r="G80" i="3"/>
  <c r="I128" i="3" l="1"/>
  <c r="I121" i="3"/>
  <c r="I114" i="3"/>
  <c r="I107" i="3"/>
  <c r="I100" i="3"/>
  <c r="H130" i="3"/>
  <c r="H126" i="3"/>
  <c r="H125" i="3"/>
  <c r="F105" i="3"/>
  <c r="F104" i="3"/>
  <c r="F103" i="3"/>
  <c r="E84" i="3"/>
  <c r="E85" i="3" s="1"/>
  <c r="H132" i="3"/>
  <c r="H123" i="3"/>
  <c r="I87" i="3"/>
  <c r="V129" i="3"/>
  <c r="U122" i="3"/>
  <c r="V122" i="3"/>
  <c r="U129" i="3"/>
  <c r="H122" i="3" l="1"/>
  <c r="I122" i="3" s="1"/>
  <c r="H124" i="3"/>
  <c r="H129" i="3"/>
  <c r="H131" i="3"/>
  <c r="H133" i="3"/>
  <c r="H127" i="3"/>
  <c r="V130" i="3"/>
  <c r="V131" i="3" s="1"/>
  <c r="V132" i="3" s="1"/>
  <c r="V133" i="3" s="1"/>
  <c r="V134" i="3" s="1"/>
  <c r="T129" i="3"/>
  <c r="U130" i="3"/>
  <c r="U123" i="3"/>
  <c r="T122" i="3"/>
  <c r="V123" i="3"/>
  <c r="V124" i="3" s="1"/>
  <c r="V125" i="3" s="1"/>
  <c r="V126" i="3" s="1"/>
  <c r="V127" i="3" s="1"/>
  <c r="D143" i="3"/>
  <c r="H92" i="3"/>
  <c r="H93" i="3"/>
  <c r="A58" i="3"/>
  <c r="U131" i="3" l="1"/>
  <c r="T130" i="3"/>
  <c r="T123" i="3"/>
  <c r="U124"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l="1"/>
  <c r="T131" i="3"/>
  <c r="U132" i="3"/>
  <c r="U125" i="3"/>
  <c r="T124" i="3"/>
  <c r="I42" i="6"/>
  <c r="H42" i="6" s="1"/>
  <c r="L42" i="6"/>
  <c r="K42" i="6" s="1"/>
  <c r="E44" i="6"/>
  <c r="D42" i="6"/>
  <c r="D44" i="6" s="1"/>
  <c r="U133" i="3" l="1"/>
  <c r="T132" i="3"/>
  <c r="T125" i="3"/>
  <c r="U126" i="3"/>
  <c r="C26" i="3"/>
  <c r="C18" i="3"/>
  <c r="H119" i="3"/>
  <c r="H118" i="3"/>
  <c r="H117" i="3"/>
  <c r="H116" i="3"/>
  <c r="H115" i="3"/>
  <c r="I115" i="3" s="1"/>
  <c r="H113" i="3"/>
  <c r="H112" i="3"/>
  <c r="H111" i="3"/>
  <c r="H110" i="3"/>
  <c r="H109" i="3"/>
  <c r="I109" i="3" s="1"/>
  <c r="H108" i="3"/>
  <c r="H106" i="3"/>
  <c r="H105" i="3"/>
  <c r="H104" i="3"/>
  <c r="H103" i="3"/>
  <c r="H102" i="3"/>
  <c r="H101" i="3"/>
  <c r="I108" i="3" l="1"/>
  <c r="J105" i="3"/>
  <c r="G84" i="3"/>
  <c r="G85" i="3" s="1"/>
  <c r="T133" i="3"/>
  <c r="U134" i="3"/>
  <c r="T134" i="3" s="1"/>
  <c r="U127" i="3"/>
  <c r="T127" i="3" s="1"/>
  <c r="T126" i="3"/>
  <c r="D59" i="3"/>
  <c r="C38" i="4" l="1"/>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F38" i="4" l="1"/>
  <c r="G38" i="4"/>
  <c r="E18" i="4"/>
  <c r="E15" i="4"/>
  <c r="E17" i="4"/>
  <c r="E11" i="4"/>
  <c r="K6" i="4"/>
  <c r="E9" i="4"/>
  <c r="K8" i="4"/>
  <c r="C7" i="4" s="1"/>
  <c r="E14" i="4"/>
  <c r="E12" i="4"/>
  <c r="E16" i="4"/>
  <c r="E10" i="4"/>
  <c r="K9" i="4"/>
  <c r="K10" i="4" s="1"/>
  <c r="K11" i="4" s="1"/>
  <c r="E13" i="4"/>
  <c r="K7" i="4"/>
  <c r="K12" i="4" l="1"/>
  <c r="K16" i="4" s="1"/>
  <c r="C8" i="4" s="1"/>
  <c r="E8" i="4" s="1"/>
  <c r="E7" i="4"/>
  <c r="A93" i="3"/>
  <c r="A94" i="3" s="1"/>
  <c r="A95" i="3" s="1"/>
  <c r="A96" i="3" s="1"/>
  <c r="A97" i="3" s="1"/>
  <c r="A98" i="3" s="1"/>
  <c r="A99" i="3" s="1"/>
  <c r="F7" i="4" l="1"/>
  <c r="J4" i="4" s="1"/>
  <c r="H7" i="4" s="1"/>
  <c r="D144" i="3" l="1"/>
  <c r="G81" i="3"/>
  <c r="J70" i="3"/>
  <c r="J69" i="3"/>
  <c r="H59" i="3"/>
  <c r="J65" i="3" l="1"/>
  <c r="D68" i="3"/>
  <c r="D65" i="3"/>
  <c r="D63" i="3"/>
  <c r="J63" i="3"/>
  <c r="D72" i="3"/>
  <c r="D70" i="3"/>
  <c r="D67" i="3"/>
  <c r="D64" i="3"/>
  <c r="J64" i="3"/>
  <c r="C61" i="3" s="1"/>
  <c r="J62" i="3"/>
  <c r="D71" i="3"/>
  <c r="D69" i="3"/>
  <c r="D66" i="3"/>
  <c r="J66" i="3" l="1"/>
  <c r="J71" i="3" s="1"/>
  <c r="J67" i="3" l="1"/>
  <c r="J68" i="3" l="1"/>
  <c r="J72" i="3" l="1"/>
  <c r="C62" i="3" s="1"/>
  <c r="U101" i="3"/>
  <c r="V101" i="3"/>
  <c r="V115" i="3"/>
  <c r="U108" i="3"/>
  <c r="V108" i="3"/>
  <c r="U115" i="3"/>
  <c r="D61" i="3" l="1"/>
  <c r="E61" i="3"/>
  <c r="G73" i="3" s="1"/>
  <c r="T115" i="3"/>
  <c r="U116" i="3"/>
  <c r="V116" i="3"/>
  <c r="V117" i="3" s="1"/>
  <c r="V118" i="3" s="1"/>
  <c r="V119" i="3" s="1"/>
  <c r="V120" i="3" s="1"/>
  <c r="T108" i="3"/>
  <c r="U109" i="3"/>
  <c r="V109" i="3"/>
  <c r="V110" i="3" s="1"/>
  <c r="V111" i="3" s="1"/>
  <c r="V112" i="3" s="1"/>
  <c r="V113" i="3" s="1"/>
  <c r="V102" i="3"/>
  <c r="V103" i="3" s="1"/>
  <c r="V104" i="3" s="1"/>
  <c r="V105" i="3" s="1"/>
  <c r="V106" i="3" s="1"/>
  <c r="U102" i="3"/>
  <c r="T101" i="3"/>
  <c r="D62" i="3" l="1"/>
  <c r="I60" i="3"/>
  <c r="G61" i="3" s="1"/>
  <c r="T116" i="3"/>
  <c r="U117" i="3"/>
  <c r="T117" i="3" s="1"/>
  <c r="T109" i="3"/>
  <c r="U110" i="3"/>
  <c r="T110" i="3" s="1"/>
  <c r="U103" i="3"/>
  <c r="T102" i="3"/>
  <c r="U118" i="3" l="1"/>
  <c r="T118" i="3" s="1"/>
  <c r="U111" i="3"/>
  <c r="T111" i="3" s="1"/>
  <c r="U104" i="3"/>
  <c r="T103" i="3"/>
  <c r="U119" i="3" l="1"/>
  <c r="T119" i="3" s="1"/>
  <c r="U112" i="3"/>
  <c r="T112" i="3" s="1"/>
  <c r="U105" i="3"/>
  <c r="T104" i="3"/>
  <c r="U120" i="3" l="1"/>
  <c r="T120" i="3" s="1"/>
  <c r="U113" i="3"/>
  <c r="T113" i="3" s="1"/>
  <c r="U106" i="3"/>
  <c r="T105" i="3"/>
  <c r="T106"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G17" authorId="0" shapeId="0" xr:uid="{00000000-0006-0000-0000-000004000000}">
      <text>
        <r>
          <rPr>
            <b/>
            <sz val="18"/>
            <color indexed="81"/>
            <rFont val="Tahoma"/>
            <family val="2"/>
          </rPr>
          <t>From Rera</t>
        </r>
      </text>
    </comment>
    <comment ref="G20" authorId="0" shapeId="0" xr:uid="{00000000-0006-0000-0000-000005000000}">
      <text>
        <r>
          <rPr>
            <b/>
            <sz val="16"/>
            <color indexed="81"/>
            <rFont val="Tahoma"/>
            <family val="2"/>
          </rPr>
          <t>From RERA</t>
        </r>
      </text>
    </comment>
    <comment ref="G21" authorId="0" shapeId="0" xr:uid="{00000000-0006-0000-0000-000006000000}">
      <text>
        <r>
          <rPr>
            <b/>
            <sz val="16"/>
            <color indexed="81"/>
            <rFont val="Tahoma"/>
            <family val="2"/>
          </rPr>
          <t>From RERA</t>
        </r>
      </text>
    </comment>
    <comment ref="G27" authorId="0" shapeId="0" xr:uid="{00000000-0006-0000-0000-000007000000}">
      <text>
        <r>
          <rPr>
            <b/>
            <sz val="12"/>
            <color indexed="81"/>
            <rFont val="Tahoma"/>
            <family val="2"/>
          </rPr>
          <t>SACHIN:</t>
        </r>
        <r>
          <rPr>
            <sz val="12"/>
            <color indexed="81"/>
            <rFont val="Tahoma"/>
            <family val="2"/>
          </rPr>
          <t xml:space="preserve">
Road size should be in metre</t>
        </r>
      </text>
    </comment>
    <comment ref="G79" authorId="0" shapeId="0" xr:uid="{00000000-0006-0000-0000-000008000000}">
      <text>
        <r>
          <rPr>
            <b/>
            <sz val="16"/>
            <color indexed="81"/>
            <rFont val="Tahoma"/>
            <family val="2"/>
          </rPr>
          <t>Ready Recknor</t>
        </r>
      </text>
    </comment>
    <comment ref="G80"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<sst xmlns="http://schemas.openxmlformats.org/spreadsheetml/2006/main" count="556" uniqueCount="366">
  <si>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</si>
  <si>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</si>
  <si>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</si>
  <si>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</si>
  <si>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</si>
  <si>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</si>
  <si>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</si>
  <si>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</si>
  <si>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</si>
  <si>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</si>
  <si>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</si>
  <si>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</si>
  <si>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</si>
  <si>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</si>
  <si>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</si>
  <si>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</si>
  <si>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</si>
  <si>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</si>
  <si>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</si>
  <si>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</si>
  <si>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</si>
  <si>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</si>
  <si>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</si>
  <si>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</si>
  <si>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</si>
  <si>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</si>
  <si>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</si>
  <si>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</si>
  <si>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</si>
  <si>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</si>
  <si>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</si>
  <si>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</si>
  <si>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</si>
  <si>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</si>
  <si>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</si>
  <si>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</si>
  <si>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</si>
  <si>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</si>
  <si>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</si>
  <si>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</si>
  <si>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</si>
  <si>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</si>
  <si>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</si>
  <si>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</si>
  <si>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</si>
  <si>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</si>
  <si>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</si>
  <si>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</si>
  <si>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</si>
  <si>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</si>
  <si>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</si>
  <si>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</si>
  <si>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</si>
  <si>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</si>
  <si>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</si>
  <si>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</si>
  <si>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</si>
  <si>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</si>
  <si>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</si>
  <si>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</si>
  <si>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</si>
  <si>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</si>
  <si>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</si>
  <si>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</si>
  <si>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</si>
  <si>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</si>
  <si>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</si>
  <si>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</si>
  <si>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</si>
  <si>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</si>
  <si>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</si>
  <si>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</si>
  <si>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</si>
  <si>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</si>
  <si>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</si>
  <si>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</si>
  <si>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</si>
  <si>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</si>
  <si>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</si>
  <si>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</si>
  <si>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</si>
  <si>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</si>
  <si>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</si>
  <si>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</si>
  <si>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</si>
  <si>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</si>
  <si>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</si>
  <si>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</si>
  <si>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</si>
  <si>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</si>
  <si>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</si>
  <si>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</si>
  <si>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</si>
  <si>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</si>
  <si>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</si>
  <si>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</si>
  <si>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</si>
  <si>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</si>
  <si>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</si>
  <si>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</si>
  <si>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</si>
  <si>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</si>
  <si>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</si>
  <si>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</si>
  <si>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</si>
  <si>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</si>
  <si>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</si>
  <si>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</si>
  <si>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</si>
  <si>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</si>
  <si>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</si>
  <si>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</si>
  <si>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</si>
  <si>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</si>
  <si>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</si>
  <si>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</si>
  <si>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</si>
  <si>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</si>
  <si>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</si>
  <si>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</si>
  <si>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</si>
  <si>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</si>
  <si>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</si>
  <si>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</si>
  <si>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</si>
  <si>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</si>
  <si>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</si>
  <si>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</si>
  <si>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</si>
  <si>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</si>
  <si>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</si>
  <si>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</si>
  <si>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</si>
  <si>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</si>
  <si>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</si>
  <si>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</si>
  <si>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</si>
  <si>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</si>
  <si>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</si>
  <si>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</si>
  <si>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</si>
  <si>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</si>
  <si>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</si>
  <si>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</si>
  <si>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</si>
  <si>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</si>
  <si>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</si>
  <si>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</si>
  <si>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</si>
  <si>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</si>
  <si>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</si>
  <si>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</si>
  <si>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</si>
  <si>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</si>
  <si>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</si>
  <si>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</si>
  <si>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</si>
  <si>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</si>
  <si>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</si>
  <si>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</si>
  <si>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</si>
  <si>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</si>
  <si>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</si>
  <si>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</si>
  <si>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</si>
  <si>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</si>
  <si>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</si>
  <si>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</si>
  <si>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</si>
  <si>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</si>
  <si>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</si>
  <si>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</si>
  <si>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</si>
  <si>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</si>
  <si>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</si>
  <si>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</si>
  <si>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</si>
  <si>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</si>
  <si>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</si>
  <si>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</si>
  <si>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</si>
  <si>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</si>
  <si>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</si>
  <si>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</si>
  <si>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</si>
  <si>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</si>
  <si>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</si>
  <si>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</si>
  <si>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</si>
  <si>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</si>
  <si>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</si>
  <si>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</si>
  <si>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</si>
  <si>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</si>
  <si>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</si>
  <si>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</si>
  <si>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</si>
  <si>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</si>
  <si>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</si>
  <si>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</si>
  <si>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</si>
  <si>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</si>
  <si>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</si>
  <si>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</si>
  <si>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</si>
  <si>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</si>
  <si>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</si>
  <si>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</si>
  <si>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</si>
  <si>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</si>
  <si>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</si>
  <si>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</si>
  <si>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</si>
  <si>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</si>
  <si>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</si>
  <si>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</si>
  <si>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</si>
  <si>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</si>
  <si>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</si>
  <si>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</si>
  <si>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</si>
  <si>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</si>
  <si>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</si>
  <si>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</si>
  <si>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</si>
  <si>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</si>
  <si>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</si>
  <si>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</si>
  <si>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</si>
  <si>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</si>
  <si>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</si>
  <si>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</si>
  <si>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</si>
  <si>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</si>
  <si>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</si>
  <si>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</si>
  <si>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</si>
  <si>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</si>
  <si>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</si>
  <si>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</si>
  <si>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</si>
  <si>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</si>
  <si>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</si>
  <si>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</si>
  <si>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</si>
  <si>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</si>
  <si>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</si>
  <si>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</si>
  <si>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</si>
  <si>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</si>
  <si>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</si>
  <si>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</si>
  <si>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</si>
  <si>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</si>
  <si>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</si>
  <si>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</si>
  <si>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</si>
  <si>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</si>
  <si>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</si>
  <si>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</si>
  <si>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</si>
  <si>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</si>
  <si>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</si>
  <si>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</si>
  <si>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</si>
  <si>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</si>
  <si>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</si>
  <si>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</si>
  <si>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</si>
  <si>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</si>
  <si>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</si>
  <si>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</si>
  <si>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</si>
  <si>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</si>
  <si>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</si>
  <si>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</si>
  <si>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</si>
  <si>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</si>
  <si>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</si>
  <si>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</si>
  <si>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</si>
  <si>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</si>
  <si>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</si>
  <si>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</si>
  <si>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</si>
  <si>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</si>
  <si>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</si>
  <si>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</si>
  <si>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</si>
  <si>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</si>
  <si>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</si>
  <si>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</si>
  <si>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Bitumen</t>
  </si>
  <si>
    <t>Mr. Suraj Khare</t>
  </si>
  <si>
    <t>T11 Raheja Jade City</t>
  </si>
  <si>
    <t>M/s. Newfound Properties And Leasing Private Limited</t>
  </si>
  <si>
    <t>Plot No Gen 2/1/F, next to Mindspace Business Park, TTC Industrial Area, Shiravane, Juinagar, Navi Mumbai - 400706</t>
  </si>
  <si>
    <t>Maharashtra Industrial Development Corporation (MIDC)</t>
  </si>
  <si>
    <t>P51700080277</t>
  </si>
  <si>
    <t>Other Plot</t>
  </si>
  <si>
    <t>Open Plot</t>
  </si>
  <si>
    <t>Tower 11</t>
  </si>
  <si>
    <t>https://www.krahejajadecityjuinagar.com/?utm_source=Google-Ads&amp;utm_adgroup=exact&amp;utm_medium=search&amp;utm_campaign=jade-city-juinagar&amp;Keyword=raheja%20jade%20city&amp;Device=c&amp;gad_source=1&amp;gad_campaignid=22709801488&amp;gbraid=0AAAABAKIb3stBiyU-N7aFfIqpNYjTK5AS&amp;gclid=CjwKCAjw9uPCBhATEiwABHN9K4qx4jBdSoM1ObzGT1rAWo3f6WmId2BdE36PkMSiDCvDYgrmaH1wIRoCiAUQAvD_BwE</t>
  </si>
  <si>
    <t xml:space="preserve">EE/Dn. II/MHP/SPA/I/13157/of 2023 </t>
  </si>
  <si>
    <t>0.75 KM from Fire Brigade TTC Bus Stop</t>
  </si>
  <si>
    <t>About 1.40 KM from Nattional Public School</t>
  </si>
  <si>
    <t>About 2.70 KM from DY Patil Hospital</t>
  </si>
  <si>
    <t>Podium 5 in Plan</t>
  </si>
  <si>
    <t>Podium 4 in Plan</t>
  </si>
  <si>
    <t xml:space="preserve"> - </t>
  </si>
  <si>
    <t>2BHK</t>
  </si>
  <si>
    <t>Stilt Area</t>
  </si>
  <si>
    <t>3BHK</t>
  </si>
  <si>
    <t>2nd to 4th, 6th to 9th &amp; 11th to 13th Floor</t>
  </si>
  <si>
    <t>5th &amp; 10th Floor For Residential (Part Refuge Area)</t>
  </si>
  <si>
    <t>Refuge Area</t>
  </si>
  <si>
    <t>15th, 20th &amp; 25th Floor For Residential (Part Refuge Area)</t>
  </si>
  <si>
    <t>OK</t>
  </si>
  <si>
    <t xml:space="preserve">We considered Gross carpet area = Net carpet + Balcony + Enclosed Balcony + AC Ledge Area.
</t>
  </si>
  <si>
    <t>Plot No C-30, Block 'G‘, Raheja Tower, Bandra Kurla Complex, Opp. SIDBI, Bandra East, Tal. Andheri, Mumbai 400051.</t>
  </si>
  <si>
    <t>Flats = 153</t>
  </si>
  <si>
    <t>As per RERA Site Flats =  153</t>
  </si>
  <si>
    <t>Mindspace Juinagar</t>
  </si>
  <si>
    <t>Middle</t>
  </si>
  <si>
    <t>1. Approx. 2.50 KM from Juinagar Vegetable &amp; Fish Market.
2. Approx. 3.00 KM from Janta Market.</t>
  </si>
  <si>
    <t>2.00 KM from Juinagar Railway Station
3.60 KM from Nerul Railway Station</t>
  </si>
  <si>
    <t xml:space="preserve">Mr. Mayur Ranvare </t>
  </si>
  <si>
    <t>Mr. Suraj 9665250409</t>
  </si>
  <si>
    <t>Plot No.Gen 2/1D, Gen 2/1E, Gen 2/1F, Thane Ward</t>
  </si>
  <si>
    <t>Mumbai-RO Thane</t>
  </si>
  <si>
    <t>Developer Bank Name
(As per RERA)</t>
  </si>
  <si>
    <t>ICICI Bank Limited
IFSC Code- ICIC0000555</t>
  </si>
  <si>
    <t>19.050000,73.031250</t>
  </si>
  <si>
    <t>https://maps.app.goo.gl/KxqPRD7qE1PusDSh9</t>
  </si>
  <si>
    <t>12m</t>
  </si>
  <si>
    <t>Power house</t>
  </si>
  <si>
    <t>Kuchcha Road</t>
  </si>
  <si>
    <t>Under Construction Building</t>
  </si>
  <si>
    <t>Tower 2</t>
  </si>
  <si>
    <t>1.2 M Wide Driveway</t>
  </si>
  <si>
    <t>Construction work is in process at the time of Visit.</t>
  </si>
  <si>
    <t xml:space="preserve">Environmental Clearance Details
Valid Up to: </t>
  </si>
  <si>
    <t>P4 + P5 + E Deck + 1st to 26th Floor</t>
  </si>
  <si>
    <t>4th Podium Floor (Ground Floor) For Parking</t>
  </si>
  <si>
    <t>E- Deck Level Floor For Residential &amp; Parking</t>
  </si>
  <si>
    <t>1st Floor For Residential</t>
  </si>
  <si>
    <t>Balcony + AC Ledge + Utility Area</t>
  </si>
  <si>
    <t>14th, 16th to 19th, 21st to 24th &amp; 26th Floor</t>
  </si>
  <si>
    <t>Tower 11 = P4 + P5 + E Deck + 1st to 26th Floor (BUA = 12622.42 Sq M)</t>
  </si>
  <si>
    <t xml:space="preserve">CC Details
Valid Up to: </t>
  </si>
  <si>
    <t>https://newlaunchjuinagar.in/krahejajadecity/?utm_source=Google&amp;utm_medium=Google-Search&amp;utm_campaign=K-Raheja-Juinagar-PPC&amp;Keyword=raheja%20project%20in%20juinagar&amp;Device=c&amp;ads_group_id=178392712923&amp;ads_set_name=Raheja-Juinagar-Phrase-Match&amp;campaign_id=22495873327&amp;campaign_name=K-Raheja-Juinagar-PPC&amp;keyword_type=p&amp;physical_location=9198152&amp;ad_strategy=Phrase-Match&amp;gad_source=1&amp;gad_campaignid=22495873327&amp;gbraid=0AAAAA_Iuc28lJmxsayFptFYTpvX5mfwMh&amp;gclid=CjwKCAjwvO7CBhAqEiwA9q2YJcpP652w9p9wnptTgrhcz6oe66EsJn92LSWDIPeJmo6a-ao_IiniURoCmlMQAvD_BwE#amenities</t>
  </si>
  <si>
    <t xml:space="preserve">Flower Garden, Jogging Track, Pet Park, Gym, Kids Play Area, Senior Citizen Area, Multipurpose Lawn, Swimming Pool, Cafeteria etc. </t>
  </si>
  <si>
    <t>G + P + E Deck + 1st to 26th Floor</t>
  </si>
  <si>
    <t>22000 to 23000</t>
  </si>
  <si>
    <t>T11 Raheja Jade City, Plot No Gen 2/1/F, next to Mindspace Juinagar, MIDC Industrial Area, Shiravane, Juinagar, Navi Mumbai, Maharashtra 400706</t>
  </si>
  <si>
    <t>5th Podium Floor (1st Podium Floor) For Parking</t>
  </si>
  <si>
    <t xml:space="preserve">Fire Noc No
Valid Up to: </t>
  </si>
  <si>
    <t xml:space="preserve">Airport Authority Clearance Details
Valid Up to: </t>
  </si>
  <si>
    <t xml:space="preserve">Valid upto Dated 
</t>
  </si>
  <si>
    <t>NAVI/WEST/B/062422/679003</t>
  </si>
  <si>
    <t>Site Elevation (AMSL)  = 27.5M
Permissible Top Elevation (AMSL) = 121.94M</t>
  </si>
  <si>
    <t>Approved Layout &amp; Floor Plans, CC, RERA certificate, Airport Noc, Fire Noc &amp; EC</t>
  </si>
  <si>
    <t>We have updated Environment Clearance Certificate, Fire NOC &amp; Airport NOC on 16/07/2025</t>
  </si>
  <si>
    <t>SIA/MH/INFRA2/410004/2022
Plot No.Gen 2/1/D, Gen 2/1/E, Gen 2/1/F
Proposed BUA = 672025.55 Sq.M
B11- Residential Tower - T11 = P4+ P5 + E-Deck + 1st to 23rd Floor + (Part Basement For Service)</t>
  </si>
  <si>
    <t>SWC/14/521/20220528/836405.
T11 = P4 + P5 + E Deck + 1st to 26th Floor</t>
  </si>
  <si>
    <t>15/09/2025 @ 11:30AM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</si>
</sst>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26"/>
      <name val="Times New Roman"/>
      <family val="1"/>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193">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2" fillId="0" borderId="1" xfId="1" applyNumberFormat="1" applyFont="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26" fillId="0" borderId="0" xfId="2" applyAlignment="1">
      <alignment vertical="top"/>
    </xf>
    <xf numFmtId="14" fontId="4" fillId="4" borderId="1" xfId="0" applyNumberFormat="1" applyFont="1" applyFill="1" applyBorder="1" applyAlignment="1">
      <alignment horizontal="left" vertical="top" wrapText="1"/>
    </xf>
    <xf numFmtId="0" fontId="9" fillId="0" borderId="0" xfId="0" applyFont="1" applyAlignment="1">
      <alignment vertical="top"/>
    </xf>
    <xf numFmtId="0" fontId="3" fillId="0" borderId="10" xfId="0" applyFont="1" applyBorder="1" applyAlignment="1">
      <alignment vertical="top"/>
    </xf>
    <xf numFmtId="0" fontId="3" fillId="0" borderId="1" xfId="0" applyFont="1" applyBorder="1" applyAlignment="1">
      <alignment vertical="top"/>
    </xf>
    <xf numFmtId="0" fontId="4" fillId="4" borderId="1" xfId="0" applyFont="1" applyFill="1" applyBorder="1" applyAlignment="1">
      <alignment horizontal="center" vertical="center" wrapText="1"/>
    </xf>
    <xf numFmtId="1" fontId="4" fillId="4" borderId="1" xfId="1" applyNumberFormat="1" applyFont="1" applyFill="1" applyBorder="1" applyAlignment="1" applyProtection="1">
      <alignment horizontal="center" vertical="center" wrapText="1"/>
      <protection hidden="1"/>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1" fontId="6" fillId="4" borderId="1" xfId="1" applyNumberFormat="1" applyFont="1" applyFill="1" applyBorder="1" applyAlignment="1">
      <alignment horizontal="center" vertical="center"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3"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0" borderId="1" xfId="0" applyFont="1" applyBorder="1" applyAlignment="1">
      <alignment horizontal="left" vertical="top" wrapText="1"/>
    </xf>
    <xf numFmtId="0" fontId="4" fillId="4" borderId="3" xfId="0" applyFont="1" applyFill="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9"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4" fillId="4" borderId="1" xfId="0" applyFont="1" applyFill="1" applyBorder="1" applyAlignment="1">
      <alignment horizontal="left" vertical="center"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164" fontId="4" fillId="4" borderId="1" xfId="0" applyNumberFormat="1" applyFont="1" applyFill="1" applyBorder="1" applyAlignment="1">
      <alignment horizontal="left" vertical="top"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6" fillId="4" borderId="7" xfId="1" applyFont="1" applyFill="1" applyBorder="1" applyAlignment="1">
      <alignment horizontal="center" vertical="center" wrapText="1"/>
    </xf>
    <xf numFmtId="0" fontId="6" fillId="4" borderId="4" xfId="1" applyFont="1" applyFill="1" applyBorder="1" applyAlignment="1">
      <alignment horizontal="center" vertical="center" wrapText="1"/>
    </xf>
    <xf numFmtId="0" fontId="6" fillId="4" borderId="9" xfId="1" applyFont="1" applyFill="1" applyBorder="1" applyAlignment="1">
      <alignment horizontal="center" vertical="center" wrapText="1"/>
    </xf>
    <xf numFmtId="0" fontId="6" fillId="4" borderId="10" xfId="1" applyFont="1" applyFill="1" applyBorder="1" applyAlignment="1">
      <alignment horizontal="center" vertical="center" wrapText="1"/>
    </xf>
    <xf numFmtId="0" fontId="6" fillId="4" borderId="0" xfId="1" applyFont="1" applyFill="1" applyAlignment="1">
      <alignment horizontal="center" vertical="center" wrapText="1"/>
    </xf>
    <xf numFmtId="0" fontId="6" fillId="4" borderId="11" xfId="1" applyFont="1" applyFill="1" applyBorder="1" applyAlignment="1">
      <alignment horizontal="center" vertical="center" wrapText="1"/>
    </xf>
    <xf numFmtId="0" fontId="6" fillId="4" borderId="12" xfId="1" applyFont="1" applyFill="1" applyBorder="1" applyAlignment="1">
      <alignment horizontal="center" vertical="center" wrapText="1"/>
    </xf>
    <xf numFmtId="0" fontId="6" fillId="4" borderId="8" xfId="1" applyFont="1" applyFill="1" applyBorder="1" applyAlignment="1">
      <alignment horizontal="center" vertical="center" wrapText="1"/>
    </xf>
    <xf numFmtId="0" fontId="6" fillId="4" borderId="13" xfId="1" applyFont="1" applyFill="1" applyBorder="1" applyAlignment="1">
      <alignment horizontal="center" vertical="center" wrapText="1"/>
    </xf>
    <xf numFmtId="1" fontId="5" fillId="2" borderId="12" xfId="1" applyNumberFormat="1" applyFont="1" applyFill="1" applyBorder="1" applyAlignment="1">
      <alignment horizontal="center" vertical="center" wrapText="1"/>
    </xf>
    <xf numFmtId="1" fontId="5" fillId="2" borderId="8" xfId="1" applyNumberFormat="1" applyFont="1" applyFill="1" applyBorder="1" applyAlignment="1">
      <alignment horizontal="center" vertical="center" wrapText="1"/>
    </xf>
    <xf numFmtId="1" fontId="5" fillId="2" borderId="13" xfId="1" applyNumberFormat="1"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14" fontId="3" fillId="0" borderId="0" xfId="0" applyNumberFormat="1" applyFont="1" applyAlignment="1">
      <alignment vertical="top"/>
    </xf>
    <xf numFmtId="0" fontId="26" fillId="4" borderId="1" xfId="2" applyFill="1" applyBorder="1" applyAlignment="1">
      <alignment horizontal="left" vertical="top" wrapText="1"/>
    </xf>
    <xf numFmtId="0" fontId="20" fillId="4" borderId="1" xfId="0" applyFont="1" applyFill="1" applyBorder="1" applyAlignment="1">
      <alignment horizontal="left"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8</xdr:col>
      <xdr:colOff>285750</xdr:colOff>
      <xdr:row>8</xdr:row>
      <xdr:rowOff>40822</xdr:rowOff>
    </xdr:from>
    <xdr:to>
      <xdr:col>18</xdr:col>
      <xdr:colOff>398388</xdr:colOff>
      <xdr:row>11</xdr:row>
      <xdr:rowOff>68036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647464" y="3932465"/>
          <a:ext cx="8738926" cy="1646464"/>
        </a:xfrm>
        <a:prstGeom prst="rect">
          <a:avLst/>
        </a:prstGeom>
      </xdr:spPr>
    </xdr:pic>
    <xdr:clientData/>
  </xdr:twoCellAnchor>
  <xdr:twoCellAnchor editAs="oneCell">
    <xdr:from>
      <xdr:col>8</xdr:col>
      <xdr:colOff>1292678</xdr:colOff>
      <xdr:row>81</xdr:row>
      <xdr:rowOff>0</xdr:rowOff>
    </xdr:from>
    <xdr:to>
      <xdr:col>13</xdr:col>
      <xdr:colOff>166092</xdr:colOff>
      <xdr:row>86</xdr:row>
      <xdr:rowOff>1240654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0654392" y="33092572"/>
          <a:ext cx="4438095" cy="2533333"/>
        </a:xfrm>
        <a:prstGeom prst="rect">
          <a:avLst/>
        </a:prstGeom>
      </xdr:spPr>
    </xdr:pic>
    <xdr:clientData/>
  </xdr:twoCellAnchor>
  <xdr:twoCellAnchor editAs="oneCell">
    <xdr:from>
      <xdr:col>8</xdr:col>
      <xdr:colOff>1156607</xdr:colOff>
      <xdr:row>73</xdr:row>
      <xdr:rowOff>13607</xdr:rowOff>
    </xdr:from>
    <xdr:to>
      <xdr:col>23</xdr:col>
      <xdr:colOff>239009</xdr:colOff>
      <xdr:row>86</xdr:row>
      <xdr:rowOff>577857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0577698" y="27618789"/>
          <a:ext cx="8851690" cy="4564750"/>
        </a:xfrm>
        <a:prstGeom prst="rect">
          <a:avLst/>
        </a:prstGeom>
      </xdr:spPr>
    </xdr:pic>
    <xdr:clientData/>
  </xdr:twoCellAnchor>
  <xdr:twoCellAnchor editAs="oneCell">
    <xdr:from>
      <xdr:col>27</xdr:col>
      <xdr:colOff>115044</xdr:colOff>
      <xdr:row>52</xdr:row>
      <xdr:rowOff>1196189</xdr:rowOff>
    </xdr:from>
    <xdr:to>
      <xdr:col>34</xdr:col>
      <xdr:colOff>571194</xdr:colOff>
      <xdr:row>74</xdr:row>
      <xdr:rowOff>230082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20983453" y="24367916"/>
          <a:ext cx="4699105" cy="6619257"/>
        </a:xfrm>
        <a:prstGeom prst="rect">
          <a:avLst/>
        </a:prstGeom>
      </xdr:spPr>
    </xdr:pic>
    <xdr:clientData/>
  </xdr:twoCellAnchor>
  <xdr:twoCellAnchor editAs="oneCell">
    <xdr:from>
      <xdr:col>8</xdr:col>
      <xdr:colOff>190501</xdr:colOff>
      <xdr:row>45</xdr:row>
      <xdr:rowOff>394606</xdr:rowOff>
    </xdr:from>
    <xdr:to>
      <xdr:col>9</xdr:col>
      <xdr:colOff>76663</xdr:colOff>
      <xdr:row>53</xdr:row>
      <xdr:rowOff>260542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9552215" y="21839463"/>
          <a:ext cx="2144948" cy="3600000"/>
        </a:xfrm>
        <a:prstGeom prst="rect">
          <a:avLst/>
        </a:prstGeom>
      </xdr:spPr>
    </xdr:pic>
    <xdr:clientData/>
  </xdr:twoCellAnchor>
  <xdr:twoCellAnchor>
    <xdr:from>
      <xdr:col>0</xdr:col>
      <xdr:colOff>994599</xdr:colOff>
      <xdr:row>185</xdr:row>
      <xdr:rowOff>152400</xdr:rowOff>
    </xdr:from>
    <xdr:to>
      <xdr:col>7</xdr:col>
      <xdr:colOff>161364</xdr:colOff>
      <xdr:row>223</xdr:row>
      <xdr:rowOff>119423</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994599" y="62197129"/>
          <a:ext cx="7575659" cy="10186788"/>
          <a:chOff x="369000" y="0"/>
          <a:chExt cx="6120000" cy="9144000"/>
        </a:xfrm>
      </xdr:grpSpPr>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69000" y="0"/>
            <a:ext cx="6120000" cy="6531431"/>
          </a:xfrm>
          <a:prstGeom prst="rect">
            <a:avLst/>
          </a:prstGeom>
          <a:ln>
            <a:solidFill>
              <a:schemeClr val="tx1"/>
            </a:solidFill>
          </a:ln>
        </xdr:spPr>
      </xdr:pic>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72" y="6624000"/>
            <a:ext cx="4457656" cy="2520000"/>
          </a:xfrm>
          <a:prstGeom prst="rect">
            <a:avLst/>
          </a:prstGeom>
          <a:ln>
            <a:solidFill>
              <a:schemeClr val="tx1"/>
            </a:solidFill>
          </a:ln>
        </xdr:spPr>
      </xdr:pic>
    </xdr:grpSp>
    <xdr:clientData/>
  </xdr:twoCellAnchor>
  <xdr:twoCellAnchor editAs="oneCell">
    <xdr:from>
      <xdr:col>8</xdr:col>
      <xdr:colOff>884464</xdr:colOff>
      <xdr:row>11</xdr:row>
      <xdr:rowOff>380999</xdr:rowOff>
    </xdr:from>
    <xdr:to>
      <xdr:col>22</xdr:col>
      <xdr:colOff>476761</xdr:colOff>
      <xdr:row>17</xdr:row>
      <xdr:rowOff>193641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a:stretch>
          <a:fillRect/>
        </a:stretch>
      </xdr:blipFill>
      <xdr:spPr>
        <a:xfrm>
          <a:off x="10246178" y="5891892"/>
          <a:ext cx="8830907" cy="3010320"/>
        </a:xfrm>
        <a:prstGeom prst="rect">
          <a:avLst/>
        </a:prstGeom>
      </xdr:spPr>
    </xdr:pic>
    <xdr:clientData/>
  </xdr:twoCellAnchor>
  <xdr:twoCellAnchor>
    <xdr:from>
      <xdr:col>1</xdr:col>
      <xdr:colOff>834838</xdr:colOff>
      <xdr:row>228</xdr:row>
      <xdr:rowOff>224116</xdr:rowOff>
    </xdr:from>
    <xdr:to>
      <xdr:col>6</xdr:col>
      <xdr:colOff>304799</xdr:colOff>
      <xdr:row>253</xdr:row>
      <xdr:rowOff>188818</xdr:rowOff>
    </xdr:to>
    <xdr:grpSp>
      <xdr:nvGrpSpPr>
        <xdr:cNvPr id="28" name="Group 27">
          <a:extLst>
            <a:ext uri="{FF2B5EF4-FFF2-40B4-BE49-F238E27FC236}">
              <a16:creationId xmlns:a16="http://schemas.microsoft.com/office/drawing/2014/main" id="{00000000-0008-0000-0000-00001C000000}"/>
            </a:ext>
          </a:extLst>
        </xdr:cNvPr>
        <xdr:cNvGrpSpPr/>
      </xdr:nvGrpSpPr>
      <xdr:grpSpPr>
        <a:xfrm>
          <a:off x="2036109" y="73833316"/>
          <a:ext cx="5476314" cy="6688231"/>
          <a:chOff x="1210236" y="76536591"/>
          <a:chExt cx="6656294" cy="7216175"/>
        </a:xfrm>
      </xdr:grpSpPr>
      <xdr:grpSp>
        <xdr:nvGrpSpPr>
          <xdr:cNvPr id="25" name="Group 24">
            <a:extLst>
              <a:ext uri="{FF2B5EF4-FFF2-40B4-BE49-F238E27FC236}">
                <a16:creationId xmlns:a16="http://schemas.microsoft.com/office/drawing/2014/main" id="{00000000-0008-0000-0000-000019000000}"/>
              </a:ext>
            </a:extLst>
          </xdr:cNvPr>
          <xdr:cNvGrpSpPr/>
        </xdr:nvGrpSpPr>
        <xdr:grpSpPr>
          <a:xfrm>
            <a:off x="1210236" y="76536591"/>
            <a:ext cx="6656294" cy="7216175"/>
            <a:chOff x="1411941" y="76552908"/>
            <a:chExt cx="7421011" cy="9084345"/>
          </a:xfrm>
        </xdr:grpSpPr>
        <xdr:grpSp>
          <xdr:nvGrpSpPr>
            <xdr:cNvPr id="12" name="Group 11">
              <a:extLst>
                <a:ext uri="{FF2B5EF4-FFF2-40B4-BE49-F238E27FC236}">
                  <a16:creationId xmlns:a16="http://schemas.microsoft.com/office/drawing/2014/main" id="{00000000-0008-0000-0000-00000C000000}"/>
                </a:ext>
              </a:extLst>
            </xdr:cNvPr>
            <xdr:cNvGrpSpPr/>
          </xdr:nvGrpSpPr>
          <xdr:grpSpPr>
            <a:xfrm>
              <a:off x="1825948" y="76552908"/>
              <a:ext cx="6637884" cy="7030312"/>
              <a:chOff x="547551" y="56831"/>
              <a:chExt cx="6120000" cy="9349766"/>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9"/>
              <a:srcRect l="28691" t="16907" r="16573" b="12901"/>
              <a:stretch/>
            </xdr:blipFill>
            <xdr:spPr>
              <a:xfrm>
                <a:off x="547551" y="56831"/>
                <a:ext cx="6120000" cy="4412435"/>
              </a:xfrm>
              <a:prstGeom prst="rect">
                <a:avLst/>
              </a:prstGeom>
              <a:ln>
                <a:solidFill>
                  <a:schemeClr val="tx1"/>
                </a:solidFill>
              </a:ln>
            </xdr:spPr>
          </xdr:pic>
          <xdr:grpSp>
            <xdr:nvGrpSpPr>
              <xdr:cNvPr id="14" name="Group 13">
                <a:extLst>
                  <a:ext uri="{FF2B5EF4-FFF2-40B4-BE49-F238E27FC236}">
                    <a16:creationId xmlns:a16="http://schemas.microsoft.com/office/drawing/2014/main" id="{00000000-0008-0000-0000-00000E000000}"/>
                  </a:ext>
                </a:extLst>
              </xdr:cNvPr>
              <xdr:cNvGrpSpPr/>
            </xdr:nvGrpSpPr>
            <xdr:grpSpPr>
              <a:xfrm>
                <a:off x="3300283" y="7593829"/>
                <a:ext cx="2279323" cy="1812768"/>
                <a:chOff x="3298350" y="5052852"/>
                <a:chExt cx="3372831" cy="1812768"/>
              </a:xfrm>
            </xdr:grpSpPr>
            <xdr:sp macro="" textlink="">
              <xdr:nvSpPr>
                <xdr:cNvPr id="16" name="Rectangle 15">
                  <a:extLst>
                    <a:ext uri="{FF2B5EF4-FFF2-40B4-BE49-F238E27FC236}">
                      <a16:creationId xmlns:a16="http://schemas.microsoft.com/office/drawing/2014/main" id="{00000000-0008-0000-0000-000010000000}"/>
                    </a:ext>
                  </a:extLst>
                </xdr:cNvPr>
                <xdr:cNvSpPr/>
              </xdr:nvSpPr>
              <xdr:spPr>
                <a:xfrm>
                  <a:off x="4091940" y="5753100"/>
                  <a:ext cx="1120140" cy="111252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7" name="TextBox 7">
                  <a:extLst>
                    <a:ext uri="{FF2B5EF4-FFF2-40B4-BE49-F238E27FC236}">
                      <a16:creationId xmlns:a16="http://schemas.microsoft.com/office/drawing/2014/main" id="{00000000-0008-0000-0000-000011000000}"/>
                    </a:ext>
                  </a:extLst>
                </xdr:cNvPr>
                <xdr:cNvSpPr txBox="1"/>
              </xdr:nvSpPr>
              <xdr:spPr>
                <a:xfrm>
                  <a:off x="3298350" y="5052852"/>
                  <a:ext cx="3372831" cy="49757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T11 Raheja Jade City</a:t>
                  </a:r>
                  <a:endParaRPr lang="en-IN" b="1">
                    <a:solidFill>
                      <a:srgbClr val="FFFF00"/>
                    </a:solidFill>
                  </a:endParaRPr>
                </a:p>
              </xdr:txBody>
            </xdr:sp>
          </xdr:grpSp>
        </xdr:grpSp>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0"/>
            <a:stretch>
              <a:fillRect/>
            </a:stretch>
          </xdr:blipFill>
          <xdr:spPr>
            <a:xfrm>
              <a:off x="1411941" y="80054824"/>
              <a:ext cx="7421011" cy="5582429"/>
            </a:xfrm>
            <a:prstGeom prst="rect">
              <a:avLst/>
            </a:prstGeom>
            <a:ln>
              <a:solidFill>
                <a:sysClr val="windowText" lastClr="000000"/>
              </a:solidFill>
            </a:ln>
          </xdr:spPr>
        </xdr:pic>
      </xdr:grpSp>
      <xdr:sp macro="" textlink="">
        <xdr:nvSpPr>
          <xdr:cNvPr id="26" name="Rectangle 25">
            <a:extLst>
              <a:ext uri="{FF2B5EF4-FFF2-40B4-BE49-F238E27FC236}">
                <a16:creationId xmlns:a16="http://schemas.microsoft.com/office/drawing/2014/main" id="{00000000-0008-0000-0000-00001A000000}"/>
              </a:ext>
            </a:extLst>
          </xdr:cNvPr>
          <xdr:cNvSpPr/>
        </xdr:nvSpPr>
        <xdr:spPr>
          <a:xfrm>
            <a:off x="3899647" y="81971029"/>
            <a:ext cx="997324" cy="885265"/>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3227294" y="81634853"/>
            <a:ext cx="2805214" cy="705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1">
                <a:solidFill>
                  <a:srgbClr val="FFFF00"/>
                </a:solidFill>
                <a:latin typeface="Times New Roman" panose="02020603050405020304" pitchFamily="18" charset="0"/>
                <a:cs typeface="Times New Roman" panose="02020603050405020304" pitchFamily="18" charset="0"/>
              </a:rPr>
              <a:t>T11 Raheja Jade City</a:t>
            </a:r>
          </a:p>
        </xdr:txBody>
      </xdr:sp>
    </xdr:grpSp>
    <xdr:clientData/>
  </xdr:twoCellAnchor>
  <xdr:twoCellAnchor>
    <xdr:from>
      <xdr:col>8</xdr:col>
      <xdr:colOff>194982</xdr:colOff>
      <xdr:row>142</xdr:row>
      <xdr:rowOff>258054</xdr:rowOff>
    </xdr:from>
    <xdr:to>
      <xdr:col>17</xdr:col>
      <xdr:colOff>15848</xdr:colOff>
      <xdr:row>182</xdr:row>
      <xdr:rowOff>0</xdr:rowOff>
    </xdr:to>
    <xdr:grpSp>
      <xdr:nvGrpSpPr>
        <xdr:cNvPr id="36" name="Group 35">
          <a:extLst>
            <a:ext uri="{FF2B5EF4-FFF2-40B4-BE49-F238E27FC236}">
              <a16:creationId xmlns:a16="http://schemas.microsoft.com/office/drawing/2014/main" id="{00000000-0008-0000-0000-000024000000}"/>
            </a:ext>
          </a:extLst>
        </xdr:cNvPr>
        <xdr:cNvGrpSpPr/>
      </xdr:nvGrpSpPr>
      <xdr:grpSpPr>
        <a:xfrm>
          <a:off x="9805147" y="50514195"/>
          <a:ext cx="8041501" cy="10723711"/>
          <a:chOff x="571500" y="52167064"/>
          <a:chExt cx="7833632" cy="10571389"/>
        </a:xfrm>
      </xdr:grpSpPr>
      <xdr:grpSp>
        <xdr:nvGrpSpPr>
          <xdr:cNvPr id="18" name="Group 17">
            <a:extLst>
              <a:ext uri="{FF2B5EF4-FFF2-40B4-BE49-F238E27FC236}">
                <a16:creationId xmlns:a16="http://schemas.microsoft.com/office/drawing/2014/main" id="{00000000-0008-0000-0000-000012000000}"/>
              </a:ext>
            </a:extLst>
          </xdr:cNvPr>
          <xdr:cNvGrpSpPr/>
        </xdr:nvGrpSpPr>
        <xdr:grpSpPr>
          <a:xfrm>
            <a:off x="571500" y="52167064"/>
            <a:ext cx="7833632" cy="10571389"/>
            <a:chOff x="725487" y="182073"/>
            <a:chExt cx="5667879" cy="8219597"/>
          </a:xfrm>
        </xdr:grpSpPr>
        <xdr:pic>
          <xdr:nvPicPr>
            <xdr:cNvPr id="19" name="Picture 18" descr="https://vsjcllp.vsjadon.com/upload/insp-238244-843.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35492" y="4538717"/>
              <a:ext cx="1693399" cy="225083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0" name="Picture 19" descr="https://vsjcllp.vsjadon.com/upload/insp-238244-849.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559426" y="4538717"/>
              <a:ext cx="1693399" cy="225083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38244-860.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251773" y="6875584"/>
              <a:ext cx="1143373" cy="15260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38244-925.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25487" y="182073"/>
              <a:ext cx="5667879" cy="427060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38244-1525.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890" y="6875584"/>
              <a:ext cx="1148142" cy="15260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xnSp macro="">
        <xdr:nvCxnSpPr>
          <xdr:cNvPr id="30" name="Straight Arrow Connector 29">
            <a:extLst>
              <a:ext uri="{FF2B5EF4-FFF2-40B4-BE49-F238E27FC236}">
                <a16:creationId xmlns:a16="http://schemas.microsoft.com/office/drawing/2014/main" id="{00000000-0008-0000-0000-00001E000000}"/>
              </a:ext>
            </a:extLst>
          </xdr:cNvPr>
          <xdr:cNvCxnSpPr/>
        </xdr:nvCxnSpPr>
        <xdr:spPr>
          <a:xfrm>
            <a:off x="1714501" y="53273325"/>
            <a:ext cx="47624" cy="9620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2" name="TextBox 48">
            <a:extLst>
              <a:ext uri="{FF2B5EF4-FFF2-40B4-BE49-F238E27FC236}">
                <a16:creationId xmlns:a16="http://schemas.microsoft.com/office/drawing/2014/main" id="{00000000-0008-0000-0000-000020000000}"/>
              </a:ext>
            </a:extLst>
          </xdr:cNvPr>
          <xdr:cNvSpPr txBox="1"/>
        </xdr:nvSpPr>
        <xdr:spPr>
          <a:xfrm>
            <a:off x="1116448" y="52965658"/>
            <a:ext cx="1207303" cy="326547"/>
          </a:xfrm>
          <a:prstGeom prst="rect">
            <a:avLst/>
          </a:prstGeom>
          <a:solidFill>
            <a:schemeClr val="bg1"/>
          </a:solid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solidFill>
                  <a:srgbClr val="FF0000"/>
                </a:solidFill>
                <a:latin typeface="Times New Roman" panose="02020603050405020304" pitchFamily="18" charset="0"/>
                <a:cs typeface="Times New Roman" panose="02020603050405020304" pitchFamily="18" charset="0"/>
              </a:rPr>
              <a:t>Tower 11</a:t>
            </a:r>
            <a:endParaRPr lang="en-IN" sz="1600" b="1">
              <a:solidFill>
                <a:srgbClr val="FF0000"/>
              </a:solidFill>
              <a:latin typeface="Times New Roman" panose="02020603050405020304" pitchFamily="18" charset="0"/>
              <a:cs typeface="Times New Roman" panose="02020603050405020304" pitchFamily="18" charset="0"/>
            </a:endParaRPr>
          </a:p>
        </xdr:txBody>
      </xdr:sp>
    </xdr:grpSp>
    <xdr:clientData/>
  </xdr:twoCellAnchor>
  <xdr:twoCellAnchor editAs="oneCell">
    <xdr:from>
      <xdr:col>13</xdr:col>
      <xdr:colOff>275344</xdr:colOff>
      <xdr:row>86</xdr:row>
      <xdr:rowOff>869621</xdr:rowOff>
    </xdr:from>
    <xdr:to>
      <xdr:col>32</xdr:col>
      <xdr:colOff>513795</xdr:colOff>
      <xdr:row>104</xdr:row>
      <xdr:rowOff>44592</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16"/>
        <a:stretch>
          <a:fillRect/>
        </a:stretch>
      </xdr:blipFill>
      <xdr:spPr>
        <a:xfrm>
          <a:off x="14562844" y="32475303"/>
          <a:ext cx="9850043" cy="4959245"/>
        </a:xfrm>
        <a:prstGeom prst="rect">
          <a:avLst/>
        </a:prstGeom>
      </xdr:spPr>
    </xdr:pic>
    <xdr:clientData/>
  </xdr:twoCellAnchor>
  <xdr:twoCellAnchor editAs="oneCell">
    <xdr:from>
      <xdr:col>10</xdr:col>
      <xdr:colOff>204107</xdr:colOff>
      <xdr:row>45</xdr:row>
      <xdr:rowOff>0</xdr:rowOff>
    </xdr:from>
    <xdr:to>
      <xdr:col>29</xdr:col>
      <xdr:colOff>99615</xdr:colOff>
      <xdr:row>52</xdr:row>
      <xdr:rowOff>912131</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a:stretch>
          <a:fillRect/>
        </a:stretch>
      </xdr:blipFill>
      <xdr:spPr>
        <a:xfrm>
          <a:off x="12627428" y="20941393"/>
          <a:ext cx="10050278" cy="3238952"/>
        </a:xfrm>
        <a:prstGeom prst="rect">
          <a:avLst/>
        </a:prstGeom>
      </xdr:spPr>
    </xdr:pic>
    <xdr:clientData/>
  </xdr:twoCellAnchor>
  <xdr:twoCellAnchor editAs="oneCell">
    <xdr:from>
      <xdr:col>10</xdr:col>
      <xdr:colOff>82262</xdr:colOff>
      <xdr:row>84</xdr:row>
      <xdr:rowOff>114114</xdr:rowOff>
    </xdr:from>
    <xdr:to>
      <xdr:col>17</xdr:col>
      <xdr:colOff>393308</xdr:colOff>
      <xdr:row>103</xdr:row>
      <xdr:rowOff>153992</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8"/>
        <a:stretch>
          <a:fillRect/>
        </a:stretch>
      </xdr:blipFill>
      <xdr:spPr>
        <a:xfrm>
          <a:off x="12551353" y="31200250"/>
          <a:ext cx="4971877" cy="6083923"/>
        </a:xfrm>
        <a:prstGeom prst="rect">
          <a:avLst/>
        </a:prstGeom>
      </xdr:spPr>
    </xdr:pic>
    <xdr:clientData/>
  </xdr:twoCellAnchor>
  <xdr:twoCellAnchor editAs="oneCell">
    <xdr:from>
      <xdr:col>18</xdr:col>
      <xdr:colOff>387805</xdr:colOff>
      <xdr:row>115</xdr:row>
      <xdr:rowOff>251115</xdr:rowOff>
    </xdr:from>
    <xdr:to>
      <xdr:col>33</xdr:col>
      <xdr:colOff>107227</xdr:colOff>
      <xdr:row>127</xdr:row>
      <xdr:rowOff>248953</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9"/>
        <a:stretch>
          <a:fillRect/>
        </a:stretch>
      </xdr:blipFill>
      <xdr:spPr>
        <a:xfrm>
          <a:off x="17747118" y="40708553"/>
          <a:ext cx="7053672" cy="3141087"/>
        </a:xfrm>
        <a:prstGeom prst="rect">
          <a:avLst/>
        </a:prstGeom>
      </xdr:spPr>
    </xdr:pic>
    <xdr:clientData/>
  </xdr:twoCellAnchor>
  <xdr:twoCellAnchor editAs="oneCell">
    <xdr:from>
      <xdr:col>8</xdr:col>
      <xdr:colOff>796637</xdr:colOff>
      <xdr:row>24</xdr:row>
      <xdr:rowOff>155864</xdr:rowOff>
    </xdr:from>
    <xdr:to>
      <xdr:col>16</xdr:col>
      <xdr:colOff>244167</xdr:colOff>
      <xdr:row>29</xdr:row>
      <xdr:rowOff>780624</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0"/>
        <a:stretch>
          <a:fillRect/>
        </a:stretch>
      </xdr:blipFill>
      <xdr:spPr>
        <a:xfrm>
          <a:off x="10217728" y="12278591"/>
          <a:ext cx="6792273" cy="3153215"/>
        </a:xfrm>
        <a:prstGeom prst="rect">
          <a:avLst/>
        </a:prstGeom>
      </xdr:spPr>
    </xdr:pic>
    <xdr:clientData/>
  </xdr:twoCellAnchor>
  <xdr:twoCellAnchor editAs="oneCell">
    <xdr:from>
      <xdr:col>23</xdr:col>
      <xdr:colOff>283275</xdr:colOff>
      <xdr:row>77</xdr:row>
      <xdr:rowOff>237507</xdr:rowOff>
    </xdr:from>
    <xdr:to>
      <xdr:col>29</xdr:col>
      <xdr:colOff>578</xdr:colOff>
      <xdr:row>86</xdr:row>
      <xdr:rowOff>519294</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1"/>
        <a:stretch>
          <a:fillRect/>
        </a:stretch>
      </xdr:blipFill>
      <xdr:spPr>
        <a:xfrm>
          <a:off x="18813730" y="29505234"/>
          <a:ext cx="3267531" cy="2619741"/>
        </a:xfrm>
        <a:prstGeom prst="rect">
          <a:avLst/>
        </a:prstGeom>
      </xdr:spPr>
    </xdr:pic>
    <xdr:clientData/>
  </xdr:twoCellAnchor>
  <xdr:twoCellAnchor editAs="oneCell">
    <xdr:from>
      <xdr:col>18</xdr:col>
      <xdr:colOff>432955</xdr:colOff>
      <xdr:row>103</xdr:row>
      <xdr:rowOff>155864</xdr:rowOff>
    </xdr:from>
    <xdr:to>
      <xdr:col>27</xdr:col>
      <xdr:colOff>150258</xdr:colOff>
      <xdr:row>113</xdr:row>
      <xdr:rowOff>177879</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1"/>
        <a:stretch>
          <a:fillRect/>
        </a:stretch>
      </xdr:blipFill>
      <xdr:spPr>
        <a:xfrm>
          <a:off x="17751137" y="37286046"/>
          <a:ext cx="3267531" cy="2619741"/>
        </a:xfrm>
        <a:prstGeom prst="rect">
          <a:avLst/>
        </a:prstGeom>
      </xdr:spPr>
    </xdr:pic>
    <xdr:clientData/>
  </xdr:twoCellAnchor>
  <xdr:twoCellAnchor editAs="oneCell">
    <xdr:from>
      <xdr:col>17</xdr:col>
      <xdr:colOff>383165</xdr:colOff>
      <xdr:row>87</xdr:row>
      <xdr:rowOff>86591</xdr:rowOff>
    </xdr:from>
    <xdr:to>
      <xdr:col>31</xdr:col>
      <xdr:colOff>593663</xdr:colOff>
      <xdr:row>102</xdr:row>
      <xdr:rowOff>95796</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2"/>
        <a:stretch>
          <a:fillRect/>
        </a:stretch>
      </xdr:blipFill>
      <xdr:spPr>
        <a:xfrm>
          <a:off x="17095210" y="33060409"/>
          <a:ext cx="6791407" cy="3905794"/>
        </a:xfrm>
        <a:prstGeom prst="rect">
          <a:avLst/>
        </a:prstGeom>
      </xdr:spPr>
    </xdr:pic>
    <xdr:clientData/>
  </xdr:twoCellAnchor>
  <xdr:twoCellAnchor editAs="oneCell">
    <xdr:from>
      <xdr:col>25</xdr:col>
      <xdr:colOff>272143</xdr:colOff>
      <xdr:row>116</xdr:row>
      <xdr:rowOff>61232</xdr:rowOff>
    </xdr:from>
    <xdr:to>
      <xdr:col>35</xdr:col>
      <xdr:colOff>293397</xdr:colOff>
      <xdr:row>130</xdr:row>
      <xdr:rowOff>204632</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3"/>
        <a:stretch>
          <a:fillRect/>
        </a:stretch>
      </xdr:blipFill>
      <xdr:spPr>
        <a:xfrm>
          <a:off x="20107956" y="40780607"/>
          <a:ext cx="6117254" cy="3810525"/>
        </a:xfrm>
        <a:prstGeom prst="rect">
          <a:avLst/>
        </a:prstGeom>
      </xdr:spPr>
    </xdr:pic>
    <xdr:clientData/>
  </xdr:twoCellAnchor>
  <xdr:twoCellAnchor editAs="oneCell">
    <xdr:from>
      <xdr:col>10</xdr:col>
      <xdr:colOff>209982</xdr:colOff>
      <xdr:row>101</xdr:row>
      <xdr:rowOff>149369</xdr:rowOff>
    </xdr:from>
    <xdr:to>
      <xdr:col>29</xdr:col>
      <xdr:colOff>333012</xdr:colOff>
      <xdr:row>116</xdr:row>
      <xdr:rowOff>211839</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4"/>
        <a:stretch>
          <a:fillRect/>
        </a:stretch>
      </xdr:blipFill>
      <xdr:spPr>
        <a:xfrm>
          <a:off x="12679073" y="36760005"/>
          <a:ext cx="10152498" cy="3959060"/>
        </a:xfrm>
        <a:prstGeom prst="rect">
          <a:avLst/>
        </a:prstGeom>
      </xdr:spPr>
    </xdr:pic>
    <xdr:clientData/>
  </xdr:twoCellAnchor>
  <xdr:twoCellAnchor>
    <xdr:from>
      <xdr:col>0</xdr:col>
      <xdr:colOff>878541</xdr:colOff>
      <xdr:row>146</xdr:row>
      <xdr:rowOff>8965</xdr:rowOff>
    </xdr:from>
    <xdr:to>
      <xdr:col>7</xdr:col>
      <xdr:colOff>35858</xdr:colOff>
      <xdr:row>177</xdr:row>
      <xdr:rowOff>53789</xdr:rowOff>
    </xdr:to>
    <xdr:grpSp>
      <xdr:nvGrpSpPr>
        <xdr:cNvPr id="3" name="Group 2">
          <a:extLst>
            <a:ext uri="{FF2B5EF4-FFF2-40B4-BE49-F238E27FC236}">
              <a16:creationId xmlns:a16="http://schemas.microsoft.com/office/drawing/2014/main" id="{48E67827-8013-C569-387B-EBCF32FC17E4}"/>
            </a:ext>
          </a:extLst>
        </xdr:cNvPr>
        <xdr:cNvGrpSpPr/>
      </xdr:nvGrpSpPr>
      <xdr:grpSpPr>
        <a:xfrm>
          <a:off x="878541" y="51564989"/>
          <a:ext cx="7566211" cy="8382000"/>
          <a:chOff x="302441" y="137981"/>
          <a:chExt cx="5914459" cy="6120001"/>
        </a:xfrm>
      </xdr:grpSpPr>
      <xdr:grpSp>
        <xdr:nvGrpSpPr>
          <xdr:cNvPr id="39" name="Group 38">
            <a:extLst>
              <a:ext uri="{FF2B5EF4-FFF2-40B4-BE49-F238E27FC236}">
                <a16:creationId xmlns:a16="http://schemas.microsoft.com/office/drawing/2014/main" id="{C07E15FC-3DFA-58D7-153C-70800C9B6D73}"/>
              </a:ext>
            </a:extLst>
          </xdr:cNvPr>
          <xdr:cNvGrpSpPr/>
        </xdr:nvGrpSpPr>
        <xdr:grpSpPr>
          <a:xfrm>
            <a:off x="683350" y="4097982"/>
            <a:ext cx="5152640" cy="2160000"/>
            <a:chOff x="55881" y="4097982"/>
            <a:chExt cx="5152640" cy="2160000"/>
          </a:xfrm>
        </xdr:grpSpPr>
        <xdr:pic>
          <xdr:nvPicPr>
            <xdr:cNvPr id="45" name="Picture 44">
              <a:extLst>
                <a:ext uri="{FF2B5EF4-FFF2-40B4-BE49-F238E27FC236}">
                  <a16:creationId xmlns:a16="http://schemas.microsoft.com/office/drawing/2014/main" id="{DCAE4E58-9C52-8DC7-713C-4755F6E5CC8F}"/>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55881" y="4097982"/>
              <a:ext cx="1625062" cy="2160000"/>
            </a:xfrm>
            <a:prstGeom prst="rect">
              <a:avLst/>
            </a:prstGeom>
            <a:ln>
              <a:solidFill>
                <a:schemeClr val="tx1"/>
              </a:solidFill>
            </a:ln>
          </xdr:spPr>
        </xdr:pic>
        <xdr:pic>
          <xdr:nvPicPr>
            <xdr:cNvPr id="46" name="Picture 45">
              <a:extLst>
                <a:ext uri="{FF2B5EF4-FFF2-40B4-BE49-F238E27FC236}">
                  <a16:creationId xmlns:a16="http://schemas.microsoft.com/office/drawing/2014/main" id="{88017AE1-1A25-BA93-F9CA-6068928FC571}"/>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1810688" y="4097982"/>
              <a:ext cx="1618312" cy="2160000"/>
            </a:xfrm>
            <a:prstGeom prst="rect">
              <a:avLst/>
            </a:prstGeom>
            <a:ln>
              <a:solidFill>
                <a:schemeClr val="tx1"/>
              </a:solidFill>
            </a:ln>
          </xdr:spPr>
        </xdr:pic>
        <xdr:pic>
          <xdr:nvPicPr>
            <xdr:cNvPr id="47" name="Picture 46">
              <a:extLst>
                <a:ext uri="{FF2B5EF4-FFF2-40B4-BE49-F238E27FC236}">
                  <a16:creationId xmlns:a16="http://schemas.microsoft.com/office/drawing/2014/main" id="{BD833B43-8FF6-D01F-0D8D-BB3E1A9E9A01}"/>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3583459" y="4097982"/>
              <a:ext cx="1625062" cy="2160000"/>
            </a:xfrm>
            <a:prstGeom prst="rect">
              <a:avLst/>
            </a:prstGeom>
            <a:ln>
              <a:solidFill>
                <a:schemeClr val="tx1"/>
              </a:solidFill>
            </a:ln>
          </xdr:spPr>
        </xdr:pic>
      </xdr:grpSp>
      <xdr:grpSp>
        <xdr:nvGrpSpPr>
          <xdr:cNvPr id="42" name="Group 41">
            <a:extLst>
              <a:ext uri="{FF2B5EF4-FFF2-40B4-BE49-F238E27FC236}">
                <a16:creationId xmlns:a16="http://schemas.microsoft.com/office/drawing/2014/main" id="{D144D602-7B9D-B71D-96ED-CBC8A8410395}"/>
              </a:ext>
            </a:extLst>
          </xdr:cNvPr>
          <xdr:cNvGrpSpPr/>
        </xdr:nvGrpSpPr>
        <xdr:grpSpPr>
          <a:xfrm>
            <a:off x="302441" y="137981"/>
            <a:ext cx="5914459" cy="3828038"/>
            <a:chOff x="549000" y="137981"/>
            <a:chExt cx="5914459" cy="3828038"/>
          </a:xfrm>
        </xdr:grpSpPr>
        <xdr:pic>
          <xdr:nvPicPr>
            <xdr:cNvPr id="43" name="Picture 42">
              <a:extLst>
                <a:ext uri="{FF2B5EF4-FFF2-40B4-BE49-F238E27FC236}">
                  <a16:creationId xmlns:a16="http://schemas.microsoft.com/office/drawing/2014/main" id="{411A7CA7-A125-EB60-0367-5D129FC30126}"/>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549000" y="137981"/>
              <a:ext cx="2880000" cy="3828038"/>
            </a:xfrm>
            <a:prstGeom prst="rect">
              <a:avLst/>
            </a:prstGeom>
            <a:ln>
              <a:solidFill>
                <a:schemeClr val="tx1"/>
              </a:solidFill>
            </a:ln>
          </xdr:spPr>
        </xdr:pic>
        <xdr:pic>
          <xdr:nvPicPr>
            <xdr:cNvPr id="44" name="Picture 43">
              <a:extLst>
                <a:ext uri="{FF2B5EF4-FFF2-40B4-BE49-F238E27FC236}">
                  <a16:creationId xmlns:a16="http://schemas.microsoft.com/office/drawing/2014/main" id="{445247AA-43EB-578D-A7E0-0B8806CEEBCB}"/>
                </a:ext>
              </a:extLst>
            </xdr:cNvPr>
            <xdr:cNvPicPr>
              <a:picLocks noChangeAspect="1"/>
            </xdr:cNvPicPr>
          </xdr:nvPicPr>
          <xdr:blipFill>
            <a:blip xmlns:r="http://schemas.openxmlformats.org/officeDocument/2006/relationships" r:embed="rId29" cstate="hqprint">
              <a:extLst>
                <a:ext uri="{28A0092B-C50C-407E-A947-70E740481C1C}">
                  <a14:useLocalDpi xmlns:a14="http://schemas.microsoft.com/office/drawing/2010/main"/>
                </a:ext>
              </a:extLst>
            </a:blip>
            <a:stretch>
              <a:fillRect/>
            </a:stretch>
          </xdr:blipFill>
          <xdr:spPr>
            <a:xfrm>
              <a:off x="3583459" y="137981"/>
              <a:ext cx="2880000" cy="3828038"/>
            </a:xfrm>
            <a:prstGeom prst="rect">
              <a:avLst/>
            </a:prstGeom>
            <a:ln>
              <a:solidFill>
                <a:schemeClr val="tx1"/>
              </a:solidFill>
            </a:ln>
          </xdr:spPr>
        </xdr:pic>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KxqPRD7qE1PusDSh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266"/>
  <sheetViews>
    <sheetView tabSelected="1" view="pageBreakPreview" topLeftCell="A180" zoomScale="85" zoomScaleNormal="85" zoomScaleSheetLayoutView="85" zoomScalePageLayoutView="70" workbookViewId="0">
      <selection activeCell="I190" sqref="I190"/>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1" width="15.5546875" style="1" bestFit="1" customWidth="1"/>
    <col min="12" max="19" width="9.109375" style="1"/>
    <col min="20" max="22" width="0" style="1" hidden="1" customWidth="1"/>
    <col min="23" max="25" width="9.109375" style="1"/>
    <col min="26" max="26" width="7.88671875" style="1" customWidth="1"/>
    <col min="27" max="16384" width="9.109375" style="1"/>
  </cols>
  <sheetData>
    <row r="1" spans="1:11" ht="21" x14ac:dyDescent="0.3">
      <c r="A1" s="92" t="s">
        <v>38</v>
      </c>
      <c r="B1" s="93"/>
      <c r="C1" s="93"/>
      <c r="D1" s="93"/>
      <c r="E1" s="93"/>
      <c r="F1" s="93"/>
      <c r="G1" s="93"/>
      <c r="H1" s="94"/>
    </row>
    <row r="2" spans="1:11" ht="42" customHeight="1" x14ac:dyDescent="0.3">
      <c r="A2" s="104" t="s">
        <v>10</v>
      </c>
      <c r="B2" s="104"/>
      <c r="C2" s="95" t="s">
        <v>82</v>
      </c>
      <c r="D2" s="95"/>
      <c r="E2" s="104" t="s">
        <v>12</v>
      </c>
      <c r="F2" s="104"/>
      <c r="G2" s="150">
        <v>45895</v>
      </c>
      <c r="H2" s="150"/>
      <c r="J2" s="118"/>
      <c r="K2" s="119"/>
    </row>
    <row r="3" spans="1:11" ht="21" x14ac:dyDescent="0.3">
      <c r="A3" s="104" t="s">
        <v>39</v>
      </c>
      <c r="B3" s="104"/>
      <c r="C3" s="121" t="s">
        <v>294</v>
      </c>
      <c r="D3" s="121"/>
      <c r="E3" s="104" t="s">
        <v>151</v>
      </c>
      <c r="F3" s="104"/>
      <c r="G3" s="150" t="s">
        <v>365</v>
      </c>
      <c r="H3" s="95"/>
      <c r="J3" s="190">
        <v>45832</v>
      </c>
      <c r="K3" s="190">
        <v>45915</v>
      </c>
    </row>
    <row r="4" spans="1:11" ht="43.5" customHeight="1" x14ac:dyDescent="0.3">
      <c r="A4" s="104" t="s">
        <v>36</v>
      </c>
      <c r="B4" s="104"/>
      <c r="C4" s="95" t="s">
        <v>327</v>
      </c>
      <c r="D4" s="95"/>
      <c r="E4" s="104" t="s">
        <v>33</v>
      </c>
      <c r="F4" s="104"/>
      <c r="G4" s="95" t="str">
        <f ca="1">TEXT(TODAY(),"DD/MM/YYYY")</f>
        <v>18/09/2025</v>
      </c>
      <c r="H4" s="95"/>
      <c r="K4" s="1">
        <f>K3-J3</f>
        <v>83</v>
      </c>
    </row>
    <row r="5" spans="1:11" ht="21" x14ac:dyDescent="0.3">
      <c r="A5" s="125" t="s">
        <v>40</v>
      </c>
      <c r="B5" s="125"/>
      <c r="C5" s="125"/>
      <c r="D5" s="125"/>
      <c r="E5" s="125"/>
      <c r="F5" s="125"/>
      <c r="G5" s="125"/>
      <c r="H5" s="125"/>
    </row>
    <row r="6" spans="1:11" ht="43.5" customHeight="1" x14ac:dyDescent="0.3">
      <c r="A6" s="104" t="s">
        <v>29</v>
      </c>
      <c r="B6" s="104"/>
      <c r="C6" s="95" t="s">
        <v>329</v>
      </c>
      <c r="D6" s="95"/>
      <c r="E6" s="104" t="s">
        <v>35</v>
      </c>
      <c r="F6" s="104"/>
      <c r="G6" s="95" t="s">
        <v>293</v>
      </c>
      <c r="H6" s="95"/>
    </row>
    <row r="7" spans="1:11" ht="66.75" customHeight="1" x14ac:dyDescent="0.3">
      <c r="A7" s="104" t="s">
        <v>42</v>
      </c>
      <c r="B7" s="104"/>
      <c r="C7" s="95" t="s">
        <v>295</v>
      </c>
      <c r="D7" s="95"/>
      <c r="E7" s="104" t="s">
        <v>43</v>
      </c>
      <c r="F7" s="104"/>
      <c r="G7" s="95" t="s">
        <v>295</v>
      </c>
      <c r="H7" s="95"/>
    </row>
    <row r="8" spans="1:11" ht="48.75" customHeight="1" x14ac:dyDescent="0.3">
      <c r="A8" s="104" t="s">
        <v>44</v>
      </c>
      <c r="B8" s="104"/>
      <c r="C8" s="95" t="s">
        <v>319</v>
      </c>
      <c r="D8" s="95"/>
      <c r="E8" s="95"/>
      <c r="F8" s="95"/>
      <c r="G8" s="95"/>
      <c r="H8" s="95"/>
    </row>
    <row r="9" spans="1:11" ht="45" customHeight="1" x14ac:dyDescent="0.3">
      <c r="A9" s="146" t="s">
        <v>142</v>
      </c>
      <c r="B9" s="33" t="s">
        <v>41</v>
      </c>
      <c r="C9" s="95" t="s">
        <v>296</v>
      </c>
      <c r="D9" s="95"/>
      <c r="E9" s="95"/>
      <c r="F9" s="95"/>
      <c r="G9" s="95"/>
      <c r="H9" s="95"/>
    </row>
    <row r="10" spans="1:11" ht="42" x14ac:dyDescent="0.3">
      <c r="A10" s="146"/>
      <c r="B10" s="33" t="s">
        <v>11</v>
      </c>
      <c r="C10" s="95" t="s">
        <v>328</v>
      </c>
      <c r="D10" s="95"/>
      <c r="E10" s="95"/>
      <c r="F10" s="95"/>
      <c r="G10" s="95"/>
      <c r="H10" s="95"/>
    </row>
    <row r="11" spans="1:11" ht="42" customHeight="1" x14ac:dyDescent="0.3">
      <c r="A11" s="146"/>
      <c r="B11" s="33" t="s">
        <v>5</v>
      </c>
      <c r="C11" s="95" t="s">
        <v>354</v>
      </c>
      <c r="D11" s="95"/>
      <c r="E11" s="95"/>
      <c r="F11" s="95"/>
      <c r="G11" s="95"/>
      <c r="H11" s="95"/>
    </row>
    <row r="12" spans="1:11" ht="40.5" customHeight="1" x14ac:dyDescent="0.3">
      <c r="A12" s="104" t="s">
        <v>34</v>
      </c>
      <c r="B12" s="104"/>
      <c r="C12" s="95" t="s">
        <v>361</v>
      </c>
      <c r="D12" s="120"/>
      <c r="E12" s="120"/>
      <c r="F12" s="120"/>
      <c r="G12" s="120"/>
      <c r="H12" s="120"/>
    </row>
    <row r="13" spans="1:11" ht="20.100000000000001" customHeight="1" x14ac:dyDescent="0.3">
      <c r="A13" s="125" t="s">
        <v>45</v>
      </c>
      <c r="B13" s="125"/>
      <c r="C13" s="125"/>
      <c r="D13" s="125"/>
      <c r="E13" s="125"/>
      <c r="F13" s="125"/>
      <c r="G13" s="125"/>
      <c r="H13" s="125"/>
    </row>
    <row r="14" spans="1:11" ht="66.75" customHeight="1" x14ac:dyDescent="0.3">
      <c r="A14" s="104" t="s">
        <v>27</v>
      </c>
      <c r="B14" s="104" t="s">
        <v>4</v>
      </c>
      <c r="C14" s="95" t="s">
        <v>83</v>
      </c>
      <c r="D14" s="95"/>
      <c r="E14" s="104" t="s">
        <v>46</v>
      </c>
      <c r="F14" s="104" t="s">
        <v>4</v>
      </c>
      <c r="G14" s="95" t="s">
        <v>297</v>
      </c>
      <c r="H14" s="95"/>
    </row>
    <row r="15" spans="1:11" ht="41.25" customHeight="1" x14ac:dyDescent="0.3">
      <c r="A15" s="104" t="s">
        <v>47</v>
      </c>
      <c r="B15" s="104" t="s">
        <v>4</v>
      </c>
      <c r="C15" s="95" t="s">
        <v>298</v>
      </c>
      <c r="D15" s="95"/>
      <c r="E15" s="104" t="s">
        <v>48</v>
      </c>
      <c r="F15" s="104" t="s">
        <v>4</v>
      </c>
      <c r="G15" s="150">
        <v>48060</v>
      </c>
      <c r="H15" s="150"/>
    </row>
    <row r="16" spans="1:11" ht="41.25" customHeight="1" x14ac:dyDescent="0.3">
      <c r="A16" s="104" t="s">
        <v>49</v>
      </c>
      <c r="B16" s="104" t="s">
        <v>4</v>
      </c>
      <c r="C16" s="150">
        <v>45792</v>
      </c>
      <c r="D16" s="150"/>
      <c r="E16" s="104" t="s">
        <v>50</v>
      </c>
      <c r="F16" s="104" t="s">
        <v>4</v>
      </c>
      <c r="G16" s="149">
        <v>45778</v>
      </c>
      <c r="H16" s="95"/>
    </row>
    <row r="17" spans="1:9" ht="41.25" customHeight="1" x14ac:dyDescent="0.3">
      <c r="A17" s="104" t="s">
        <v>51</v>
      </c>
      <c r="B17" s="104" t="s">
        <v>4</v>
      </c>
      <c r="C17" s="150">
        <v>48060</v>
      </c>
      <c r="D17" s="150"/>
      <c r="E17" s="104" t="s">
        <v>330</v>
      </c>
      <c r="F17" s="104" t="s">
        <v>4</v>
      </c>
      <c r="G17" s="95" t="s">
        <v>331</v>
      </c>
      <c r="H17" s="95"/>
    </row>
    <row r="18" spans="1:9" ht="41.25" customHeight="1" x14ac:dyDescent="0.3">
      <c r="A18" s="104" t="s">
        <v>52</v>
      </c>
      <c r="B18" s="104" t="s">
        <v>4</v>
      </c>
      <c r="C18" s="95"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5"/>
      <c r="E18" s="104" t="s">
        <v>90</v>
      </c>
      <c r="F18" s="104" t="s">
        <v>4</v>
      </c>
      <c r="G18" s="95">
        <v>237860.23</v>
      </c>
      <c r="H18" s="95"/>
    </row>
    <row r="19" spans="1:9" ht="41.25" customHeight="1" x14ac:dyDescent="0.3">
      <c r="A19" s="104" t="s">
        <v>53</v>
      </c>
      <c r="B19" s="104" t="s">
        <v>4</v>
      </c>
      <c r="C19" s="148">
        <f>214074.21/G19</f>
        <v>0.90000001261244889</v>
      </c>
      <c r="D19" s="148"/>
      <c r="E19" s="104" t="s">
        <v>234</v>
      </c>
      <c r="F19" s="104" t="s">
        <v>4</v>
      </c>
      <c r="G19" s="95">
        <v>237860.23</v>
      </c>
      <c r="H19" s="95"/>
    </row>
    <row r="20" spans="1:9" ht="41.25" customHeight="1" x14ac:dyDescent="0.3">
      <c r="A20" s="104" t="s">
        <v>88</v>
      </c>
      <c r="B20" s="104" t="s">
        <v>4</v>
      </c>
      <c r="C20" s="95">
        <v>214074.21</v>
      </c>
      <c r="D20" s="95"/>
      <c r="E20" s="104" t="s">
        <v>89</v>
      </c>
      <c r="F20" s="104" t="s">
        <v>4</v>
      </c>
      <c r="G20" s="95">
        <v>177110.65</v>
      </c>
      <c r="H20" s="95"/>
    </row>
    <row r="21" spans="1:9" ht="41.25" customHeight="1" x14ac:dyDescent="0.3">
      <c r="A21" s="104" t="s">
        <v>55</v>
      </c>
      <c r="B21" s="104" t="s">
        <v>4</v>
      </c>
      <c r="C21" s="95" t="s">
        <v>320</v>
      </c>
      <c r="D21" s="95"/>
      <c r="E21" s="104" t="s">
        <v>54</v>
      </c>
      <c r="F21" s="104" t="s">
        <v>4</v>
      </c>
      <c r="G21" s="95" t="s">
        <v>321</v>
      </c>
      <c r="H21" s="95"/>
    </row>
    <row r="22" spans="1:9" ht="41.25" customHeight="1" x14ac:dyDescent="0.3">
      <c r="A22" s="104" t="s">
        <v>155</v>
      </c>
      <c r="B22" s="104" t="s">
        <v>4</v>
      </c>
      <c r="C22" s="95" t="s">
        <v>332</v>
      </c>
      <c r="D22" s="95"/>
      <c r="E22" s="104" t="s">
        <v>156</v>
      </c>
      <c r="F22" s="104" t="s">
        <v>4</v>
      </c>
      <c r="G22" s="95" t="s">
        <v>322</v>
      </c>
      <c r="H22" s="95"/>
    </row>
    <row r="23" spans="1:9" ht="21.75" customHeight="1" x14ac:dyDescent="0.3">
      <c r="A23" s="104" t="s">
        <v>153</v>
      </c>
      <c r="B23" s="104" t="s">
        <v>4</v>
      </c>
      <c r="C23" s="191" t="s">
        <v>333</v>
      </c>
      <c r="D23" s="192"/>
      <c r="E23" s="192"/>
      <c r="F23" s="192"/>
      <c r="G23" s="192"/>
      <c r="H23" s="192"/>
      <c r="I23" s="70" t="s">
        <v>350</v>
      </c>
    </row>
    <row r="24" spans="1:9" ht="43.5" customHeight="1" x14ac:dyDescent="0.3">
      <c r="A24" s="104" t="s">
        <v>25</v>
      </c>
      <c r="B24" s="104" t="s">
        <v>4</v>
      </c>
      <c r="C24" s="95" t="s">
        <v>351</v>
      </c>
      <c r="D24" s="95"/>
      <c r="E24" s="95"/>
      <c r="F24" s="95"/>
      <c r="G24" s="95"/>
      <c r="H24" s="95"/>
      <c r="I24" s="70" t="s">
        <v>302</v>
      </c>
    </row>
    <row r="25" spans="1:9" ht="24" customHeight="1" x14ac:dyDescent="0.3">
      <c r="A25" s="125" t="s">
        <v>20</v>
      </c>
      <c r="B25" s="125"/>
      <c r="C25" s="125"/>
      <c r="D25" s="125"/>
      <c r="E25" s="125"/>
      <c r="F25" s="125"/>
      <c r="G25" s="125"/>
      <c r="H25" s="125"/>
    </row>
    <row r="26" spans="1:9" ht="43.5" customHeight="1" x14ac:dyDescent="0.3">
      <c r="A26" s="104" t="s">
        <v>26</v>
      </c>
      <c r="B26" s="104" t="s">
        <v>4</v>
      </c>
      <c r="C26" s="95" t="str">
        <f>IF(AND(G26="Upper"),"Developed","Developing")</f>
        <v>Developing</v>
      </c>
      <c r="D26" s="95"/>
      <c r="E26" s="104" t="s">
        <v>13</v>
      </c>
      <c r="F26" s="104" t="s">
        <v>4</v>
      </c>
      <c r="G26" s="95" t="s">
        <v>323</v>
      </c>
      <c r="H26" s="95"/>
    </row>
    <row r="27" spans="1:9" ht="43.5" customHeight="1" x14ac:dyDescent="0.3">
      <c r="A27" s="104" t="s">
        <v>14</v>
      </c>
      <c r="B27" s="104" t="s">
        <v>4</v>
      </c>
      <c r="C27" s="95" t="s">
        <v>292</v>
      </c>
      <c r="D27" s="95"/>
      <c r="E27" s="104" t="s">
        <v>143</v>
      </c>
      <c r="F27" s="104" t="s">
        <v>4</v>
      </c>
      <c r="G27" s="95" t="s">
        <v>334</v>
      </c>
      <c r="H27" s="95"/>
    </row>
    <row r="28" spans="1:9" ht="43.5" customHeight="1" x14ac:dyDescent="0.3">
      <c r="A28" s="104" t="s">
        <v>23</v>
      </c>
      <c r="B28" s="104" t="s">
        <v>4</v>
      </c>
      <c r="C28" s="95" t="s">
        <v>92</v>
      </c>
      <c r="D28" s="95"/>
      <c r="E28" s="104" t="s">
        <v>16</v>
      </c>
      <c r="F28" s="104" t="s">
        <v>4</v>
      </c>
      <c r="G28" s="95" t="s">
        <v>304</v>
      </c>
      <c r="H28" s="95"/>
    </row>
    <row r="29" spans="1:9" ht="43.5" customHeight="1" x14ac:dyDescent="0.3">
      <c r="A29" s="104" t="s">
        <v>101</v>
      </c>
      <c r="B29" s="104" t="s">
        <v>4</v>
      </c>
      <c r="C29" s="95" t="s">
        <v>305</v>
      </c>
      <c r="D29" s="95"/>
      <c r="E29" s="104" t="s">
        <v>102</v>
      </c>
      <c r="F29" s="104" t="s">
        <v>4</v>
      </c>
      <c r="G29" s="95" t="s">
        <v>306</v>
      </c>
      <c r="H29" s="95"/>
    </row>
    <row r="30" spans="1:9" ht="104.25" customHeight="1" x14ac:dyDescent="0.3">
      <c r="A30" s="104" t="s">
        <v>17</v>
      </c>
      <c r="B30" s="104" t="s">
        <v>4</v>
      </c>
      <c r="C30" s="95" t="s">
        <v>324</v>
      </c>
      <c r="D30" s="95"/>
      <c r="E30" s="104" t="s">
        <v>15</v>
      </c>
      <c r="F30" s="104" t="s">
        <v>4</v>
      </c>
      <c r="G30" s="95" t="s">
        <v>325</v>
      </c>
      <c r="H30" s="95"/>
    </row>
    <row r="31" spans="1:9" ht="21" x14ac:dyDescent="0.3">
      <c r="A31" s="104" t="s">
        <v>107</v>
      </c>
      <c r="B31" s="104" t="s">
        <v>4</v>
      </c>
      <c r="C31" s="95" t="s">
        <v>108</v>
      </c>
      <c r="D31" s="95"/>
      <c r="E31" s="104" t="s">
        <v>109</v>
      </c>
      <c r="F31" s="104" t="s">
        <v>4</v>
      </c>
      <c r="G31" s="95" t="s">
        <v>108</v>
      </c>
      <c r="H31" s="95"/>
    </row>
    <row r="32" spans="1:9" ht="21.75" customHeight="1" x14ac:dyDescent="0.3">
      <c r="A32" s="104" t="s">
        <v>110</v>
      </c>
      <c r="B32" s="104" t="s">
        <v>4</v>
      </c>
      <c r="C32" s="95" t="s">
        <v>108</v>
      </c>
      <c r="D32" s="95"/>
      <c r="E32" s="95"/>
      <c r="F32" s="95"/>
      <c r="G32" s="95"/>
      <c r="H32" s="95"/>
    </row>
    <row r="33" spans="1:15" ht="21" x14ac:dyDescent="0.3">
      <c r="A33" s="147" t="s">
        <v>37</v>
      </c>
      <c r="B33" s="147"/>
      <c r="C33" s="147"/>
      <c r="D33" s="147"/>
      <c r="E33" s="147"/>
      <c r="F33" s="147"/>
      <c r="G33" s="147"/>
      <c r="H33" s="147"/>
    </row>
    <row r="34" spans="1:15" ht="43.5" customHeight="1" x14ac:dyDescent="0.3">
      <c r="A34" s="104" t="s">
        <v>18</v>
      </c>
      <c r="B34" s="104"/>
      <c r="C34" s="95" t="s">
        <v>93</v>
      </c>
      <c r="D34" s="95"/>
      <c r="E34" s="104" t="s">
        <v>19</v>
      </c>
      <c r="F34" s="104" t="s">
        <v>4</v>
      </c>
      <c r="G34" s="95" t="s">
        <v>94</v>
      </c>
      <c r="H34" s="95"/>
    </row>
    <row r="35" spans="1:15" ht="43.5" customHeight="1" x14ac:dyDescent="0.3">
      <c r="A35" s="104" t="s">
        <v>22</v>
      </c>
      <c r="B35" s="104"/>
      <c r="C35" s="95" t="s">
        <v>94</v>
      </c>
      <c r="D35" s="95"/>
      <c r="E35" s="104" t="s">
        <v>32</v>
      </c>
      <c r="F35" s="104" t="s">
        <v>4</v>
      </c>
      <c r="G35" s="95" t="s">
        <v>94</v>
      </c>
      <c r="H35" s="95"/>
    </row>
    <row r="36" spans="1:15" ht="21" x14ac:dyDescent="0.3">
      <c r="A36" s="104" t="s">
        <v>31</v>
      </c>
      <c r="B36" s="104"/>
      <c r="C36" s="95" t="s">
        <v>95</v>
      </c>
      <c r="D36" s="95"/>
      <c r="E36" s="104" t="s">
        <v>21</v>
      </c>
      <c r="F36" s="104" t="s">
        <v>4</v>
      </c>
      <c r="G36" s="95" t="s">
        <v>96</v>
      </c>
      <c r="H36" s="95"/>
    </row>
    <row r="37" spans="1:15" ht="21" x14ac:dyDescent="0.3">
      <c r="A37" s="125" t="s">
        <v>0</v>
      </c>
      <c r="B37" s="125"/>
      <c r="C37" s="125"/>
      <c r="D37" s="125"/>
      <c r="E37" s="125"/>
      <c r="F37" s="125"/>
      <c r="G37" s="125"/>
      <c r="H37" s="125"/>
    </row>
    <row r="38" spans="1:15" ht="21" x14ac:dyDescent="0.3">
      <c r="A38" s="116" t="s">
        <v>0</v>
      </c>
      <c r="B38" s="116"/>
      <c r="C38" s="116" t="s">
        <v>221</v>
      </c>
      <c r="D38" s="116"/>
      <c r="E38" s="116"/>
      <c r="F38" s="116" t="s">
        <v>7</v>
      </c>
      <c r="G38" s="116"/>
      <c r="H38" s="116"/>
      <c r="J38" s="114" t="s">
        <v>1</v>
      </c>
      <c r="K38" s="115"/>
      <c r="L38" s="2" t="s">
        <v>6</v>
      </c>
      <c r="M38" s="114" t="s">
        <v>2</v>
      </c>
      <c r="N38" s="115"/>
      <c r="O38" s="2" t="s">
        <v>3</v>
      </c>
    </row>
    <row r="39" spans="1:15" ht="20.25" customHeight="1" x14ac:dyDescent="0.3">
      <c r="A39" s="146" t="s">
        <v>2</v>
      </c>
      <c r="B39" s="146"/>
      <c r="C39" s="117" t="s">
        <v>299</v>
      </c>
      <c r="D39" s="117"/>
      <c r="E39" s="117"/>
      <c r="F39" s="117" t="s">
        <v>335</v>
      </c>
      <c r="G39" s="117"/>
      <c r="H39" s="117"/>
    </row>
    <row r="40" spans="1:15" ht="21" x14ac:dyDescent="0.3">
      <c r="A40" s="146" t="s">
        <v>3</v>
      </c>
      <c r="B40" s="146"/>
      <c r="C40" s="117" t="s">
        <v>299</v>
      </c>
      <c r="D40" s="117"/>
      <c r="E40" s="117"/>
      <c r="F40" s="117" t="s">
        <v>300</v>
      </c>
      <c r="G40" s="117"/>
      <c r="H40" s="117"/>
    </row>
    <row r="41" spans="1:15" ht="21" x14ac:dyDescent="0.3">
      <c r="A41" s="146" t="s">
        <v>1</v>
      </c>
      <c r="B41" s="146"/>
      <c r="C41" s="117" t="s">
        <v>339</v>
      </c>
      <c r="D41" s="117"/>
      <c r="E41" s="117"/>
      <c r="F41" s="117" t="s">
        <v>336</v>
      </c>
      <c r="G41" s="117"/>
      <c r="H41" s="117"/>
    </row>
    <row r="42" spans="1:15" ht="20.25" customHeight="1" x14ac:dyDescent="0.3">
      <c r="A42" s="146" t="s">
        <v>6</v>
      </c>
      <c r="B42" s="146"/>
      <c r="C42" s="117" t="s">
        <v>338</v>
      </c>
      <c r="D42" s="117"/>
      <c r="E42" s="117"/>
      <c r="F42" s="117" t="s">
        <v>337</v>
      </c>
      <c r="G42" s="117"/>
      <c r="H42" s="117"/>
    </row>
    <row r="43" spans="1:15" ht="51" customHeight="1" x14ac:dyDescent="0.3">
      <c r="A43" s="104" t="s">
        <v>222</v>
      </c>
      <c r="B43" s="104"/>
      <c r="C43" s="95" t="s">
        <v>92</v>
      </c>
      <c r="D43" s="95"/>
      <c r="E43" s="95"/>
      <c r="F43" s="95"/>
      <c r="G43" s="95"/>
      <c r="H43" s="95"/>
    </row>
    <row r="44" spans="1:15" ht="21" x14ac:dyDescent="0.3">
      <c r="A44" s="125" t="s">
        <v>56</v>
      </c>
      <c r="B44" s="125"/>
      <c r="C44" s="125"/>
      <c r="D44" s="125"/>
      <c r="E44" s="125"/>
      <c r="F44" s="125"/>
      <c r="G44" s="125"/>
      <c r="H44" s="125"/>
    </row>
    <row r="45" spans="1:15" ht="21" customHeight="1" x14ac:dyDescent="0.3">
      <c r="A45" s="116" t="s">
        <v>57</v>
      </c>
      <c r="B45" s="116"/>
      <c r="C45" s="2" t="s">
        <v>58</v>
      </c>
      <c r="D45" s="116" t="s">
        <v>141</v>
      </c>
      <c r="E45" s="116"/>
      <c r="F45" s="116"/>
      <c r="G45" s="116" t="s">
        <v>59</v>
      </c>
      <c r="H45" s="116"/>
    </row>
    <row r="46" spans="1:15" ht="38.25" customHeight="1" x14ac:dyDescent="0.3">
      <c r="A46" s="146" t="s">
        <v>301</v>
      </c>
      <c r="B46" s="146"/>
      <c r="C46" s="75" t="s">
        <v>84</v>
      </c>
      <c r="D46" s="143" t="s">
        <v>352</v>
      </c>
      <c r="E46" s="143"/>
      <c r="F46" s="143"/>
      <c r="G46" s="143" t="s">
        <v>342</v>
      </c>
      <c r="H46" s="143"/>
    </row>
    <row r="47" spans="1:15" ht="21" x14ac:dyDescent="0.3">
      <c r="A47" s="125" t="s">
        <v>60</v>
      </c>
      <c r="B47" s="125"/>
      <c r="C47" s="125"/>
      <c r="D47" s="125"/>
      <c r="E47" s="125"/>
      <c r="F47" s="125"/>
      <c r="G47" s="125"/>
      <c r="H47" s="125"/>
    </row>
    <row r="48" spans="1:15" ht="42.75" customHeight="1" x14ac:dyDescent="0.3">
      <c r="A48" s="104" t="s">
        <v>61</v>
      </c>
      <c r="B48" s="104" t="s">
        <v>4</v>
      </c>
      <c r="C48" s="95" t="s">
        <v>92</v>
      </c>
      <c r="D48" s="95"/>
      <c r="E48" s="95"/>
      <c r="F48" s="95"/>
      <c r="G48" s="95"/>
      <c r="H48" s="95"/>
    </row>
    <row r="49" spans="1:14" ht="21" x14ac:dyDescent="0.3">
      <c r="A49" s="104" t="s">
        <v>62</v>
      </c>
      <c r="B49" s="104" t="s">
        <v>4</v>
      </c>
      <c r="C49" s="95" t="s">
        <v>303</v>
      </c>
      <c r="D49" s="95"/>
      <c r="E49" s="95"/>
      <c r="F49" s="95"/>
      <c r="G49" s="48" t="s">
        <v>223</v>
      </c>
      <c r="H49" s="71">
        <v>45159</v>
      </c>
    </row>
    <row r="50" spans="1:14" ht="21" x14ac:dyDescent="0.3">
      <c r="A50" s="104" t="s">
        <v>63</v>
      </c>
      <c r="B50" s="104" t="s">
        <v>4</v>
      </c>
      <c r="C50" s="95" t="s">
        <v>303</v>
      </c>
      <c r="D50" s="95"/>
      <c r="E50" s="95"/>
      <c r="F50" s="95"/>
      <c r="G50" s="48" t="s">
        <v>223</v>
      </c>
      <c r="H50" s="71">
        <v>45159</v>
      </c>
    </row>
    <row r="51" spans="1:14" ht="21" x14ac:dyDescent="0.3">
      <c r="A51" s="104" t="s">
        <v>349</v>
      </c>
      <c r="B51" s="104"/>
      <c r="C51" s="95" t="s">
        <v>303</v>
      </c>
      <c r="D51" s="95"/>
      <c r="E51" s="95"/>
      <c r="F51" s="95"/>
      <c r="G51" s="48" t="s">
        <v>223</v>
      </c>
      <c r="H51" s="71">
        <v>45159</v>
      </c>
    </row>
    <row r="52" spans="1:14" ht="21" x14ac:dyDescent="0.3">
      <c r="A52" s="104"/>
      <c r="B52" s="104"/>
      <c r="C52" s="89" t="s">
        <v>348</v>
      </c>
      <c r="D52" s="105"/>
      <c r="E52" s="105"/>
      <c r="F52" s="105"/>
      <c r="G52" s="105"/>
      <c r="H52" s="90"/>
    </row>
    <row r="53" spans="1:14" ht="111.75" customHeight="1" x14ac:dyDescent="0.3">
      <c r="A53" s="104" t="s">
        <v>341</v>
      </c>
      <c r="B53" s="104" t="s">
        <v>4</v>
      </c>
      <c r="C53" s="95" t="s">
        <v>363</v>
      </c>
      <c r="D53" s="95"/>
      <c r="E53" s="95"/>
      <c r="F53" s="95"/>
      <c r="G53" s="48" t="s">
        <v>224</v>
      </c>
      <c r="H53" s="71">
        <v>45064</v>
      </c>
    </row>
    <row r="54" spans="1:14" ht="48" customHeight="1" x14ac:dyDescent="0.3">
      <c r="A54" s="104" t="s">
        <v>356</v>
      </c>
      <c r="B54" s="104" t="s">
        <v>4</v>
      </c>
      <c r="C54" s="95" t="s">
        <v>364</v>
      </c>
      <c r="D54" s="95"/>
      <c r="E54" s="95"/>
      <c r="F54" s="95"/>
      <c r="G54" s="48" t="s">
        <v>224</v>
      </c>
      <c r="H54" s="71">
        <v>45076</v>
      </c>
    </row>
    <row r="55" spans="1:14" ht="22.5" customHeight="1" x14ac:dyDescent="0.3">
      <c r="A55" s="77" t="s">
        <v>357</v>
      </c>
      <c r="B55" s="78"/>
      <c r="C55" s="95" t="s">
        <v>359</v>
      </c>
      <c r="D55" s="95"/>
      <c r="E55" s="95"/>
      <c r="F55" s="95"/>
      <c r="G55" s="48" t="s">
        <v>224</v>
      </c>
      <c r="H55" s="71">
        <v>44789</v>
      </c>
      <c r="N55" s="69"/>
    </row>
    <row r="56" spans="1:14" ht="45" customHeight="1" x14ac:dyDescent="0.3">
      <c r="A56" s="79"/>
      <c r="B56" s="80"/>
      <c r="C56" s="89" t="s">
        <v>360</v>
      </c>
      <c r="D56" s="105"/>
      <c r="E56" s="105"/>
      <c r="F56" s="90"/>
      <c r="G56" s="48" t="s">
        <v>358</v>
      </c>
      <c r="H56" s="71">
        <v>47710</v>
      </c>
      <c r="I56" s="1">
        <f>121.94-27.5</f>
        <v>94.44</v>
      </c>
    </row>
    <row r="57" spans="1:14" ht="21" x14ac:dyDescent="0.3">
      <c r="A57" s="125" t="s">
        <v>64</v>
      </c>
      <c r="B57" s="125"/>
      <c r="C57" s="125"/>
      <c r="D57" s="125"/>
      <c r="E57" s="125"/>
      <c r="F57" s="125"/>
      <c r="G57" s="125"/>
      <c r="H57" s="125"/>
    </row>
    <row r="58" spans="1:14" ht="20.25" customHeight="1" x14ac:dyDescent="0.3">
      <c r="A58" s="174" t="str">
        <f>CONCATENATE((IF(OR(A46="",A46="NA"),"",A46)),"= ",(IF(OR(D46="",D46="NA"),"",D46)),".")</f>
        <v>Tower 11= G + P + E Deck + 1st to 26th Floor.</v>
      </c>
      <c r="B58" s="174"/>
      <c r="C58" s="174"/>
      <c r="D58" s="30" t="s">
        <v>111</v>
      </c>
      <c r="E58" s="173" t="s">
        <v>98</v>
      </c>
      <c r="F58" s="173"/>
      <c r="G58" s="30" t="s">
        <v>112</v>
      </c>
      <c r="H58" s="30" t="s">
        <v>113</v>
      </c>
      <c r="I58" s="73"/>
    </row>
    <row r="59" spans="1:14" ht="21.6" thickBot="1" x14ac:dyDescent="0.35">
      <c r="A59" s="174"/>
      <c r="B59" s="174"/>
      <c r="C59" s="174"/>
      <c r="D59" s="30">
        <f>IF(AND(ISNUMBER(SEARCH("1B",A58))),1,IF(AND(ISNUMBER(SEARCH("2B",A58))),2,IF(AND(ISNUMBER(SEARCH("3B",A58))),3,IF(AND(ISNUMBER(SEARCH("4B",A58))),4,IF(ISNUMBER(SEARCH("5B",A58)),5,0)))))</f>
        <v>0</v>
      </c>
      <c r="E59" s="173">
        <v>1</v>
      </c>
      <c r="F59" s="173"/>
      <c r="G59" s="30">
        <v>2</v>
      </c>
      <c r="H59" s="30">
        <f ca="1">--TRIM(RIGHT(SUBSTITUTE(LEFT(A58,_xlfn.AGGREGATE(16,6,FIND({0,1,2,3,4,5,6,7,8,9},A58,ROW(INDIRECT("1:"&amp;LEN(A58)))),1))," ",REPT(" ",LEN(A58))),LEN(A58)))</f>
        <v>26</v>
      </c>
    </row>
    <row r="60" spans="1:14" ht="20.25" customHeight="1" x14ac:dyDescent="0.4">
      <c r="A60" s="172" t="s">
        <v>115</v>
      </c>
      <c r="B60" s="172"/>
      <c r="C60" s="28" t="s">
        <v>125</v>
      </c>
      <c r="D60" s="28" t="s">
        <v>126</v>
      </c>
      <c r="E60" s="172" t="s">
        <v>116</v>
      </c>
      <c r="F60" s="172"/>
      <c r="G60" s="29" t="s">
        <v>114</v>
      </c>
      <c r="H60" s="29"/>
      <c r="I60" s="16" t="str">
        <f ca="1">(IF(E61&gt;99%,"All work completed. Please provide OC.",IF(E61&gt;89.8%,"Plinth, RCC, Brick, Plaster, Flooring, Wooden, Plumbing, Electrification, etc., work Completed. Finishing work is in process.",IF(E61&lt;94%,(IF(C61=0,"Work not yet Started.",IF(D61=25%,"Piling work in process",IF(D61=50%,"Excavation work in process",IF(D61=100%,"Excavation work Completed. ","0")))&amp;(IF(C62=0%,"",IF(C62=J65,"Footing work is process",IF(C62=J66,"Footing work Completed",IF(C62=J67,"1st Basement Completed",IF(C62=J68,"1st &amp; 2nd Basement Completed",IF(C62=J69,"1st to 3rd Basement Completed",IF(C62=J70,"1st to 4th Basement Completed",IF(C62=J71,"Plinth work is process",IF(C62=J72,"Plinth work completed","0")))))))))))&amp;(IF(C63=(E59+G59+H59),", RCC Slab",IF(C63&gt;0,", RCC upto "&amp;C63&amp;" Slab",""))&amp;(IF(C64=H59,", Brickwork",IF(C64&gt;0,", Brickwork upto "&amp;C64&amp;" Floor",""))&amp;(IF(C65=H59,", Internal Plaster",IF(C65&gt;0,", Internal Plaster upto "&amp;C65&amp;" Floor",""))&amp;(IF(C66=H59,", External Plaster",IF(C66&gt;0,", External Plaster upto "&amp;C66&amp;" Floor",""))&amp;(IF(C67=H59,", External Plumbing, Elevation and Waterproofing",IF(C67&gt;0,", External Plumbing, Elevation and Waterproofing upto "&amp;C67&amp;" Floor",""))&amp;(IF(C68=H59,", Flooring &amp; Fitting",IF(C68&gt;0,", Flooring &amp; Fitting upto "&amp;C68&amp;" Floor",""))&amp;(IF(C69=H59,", Wooden Work",IF(C69&gt;0,", Wooden Work upto "&amp;C69&amp;" Floor",""))&amp;(IF(C70=H59,", Electrical &amp; Sanitary fittings",IF(C70&gt;0,", Electrical &amp; Sanitary fittings upto "&amp;C70&amp;" Floor",""))&amp;(IF(C71&gt;0,", Finishing upto "&amp;C71&amp;" Floor","")&amp;(IF(C63&gt;0.5," Completed",""))))))))))))))))</f>
        <v>Excavation work Completed. Plinth work completed, RCC upto 1 Slab Completed</v>
      </c>
      <c r="J60" s="18"/>
    </row>
    <row r="61" spans="1:14" ht="20.25" customHeight="1" x14ac:dyDescent="0.4">
      <c r="A61" s="126" t="s">
        <v>128</v>
      </c>
      <c r="B61" s="126"/>
      <c r="C61" s="30">
        <f ca="1">J64</f>
        <v>26</v>
      </c>
      <c r="D61" s="5">
        <f ca="1">((100/H59)*C61)/100</f>
        <v>1</v>
      </c>
      <c r="E61" s="106">
        <f ca="1">(((C61/H59*10)+(C62/H59*15)+(25/(E59+G59+H59)*C63)+(5/(H59)*C64)+(2.5/(H59)*C65)+(2.5/(H59)*C66)+(5/H59*C67)+(10/H59*C68)+(2.5/H59*C69)+(2.5/H59*C70)+(10/H59*C71)+(10/H59*C72))/100)</f>
        <v>0.25862068965517243</v>
      </c>
      <c r="F61" s="107"/>
      <c r="G61" s="126" t="str">
        <f ca="1">I60</f>
        <v>Excavation work Completed. Plinth work completed, RCC upto 1 Slab Completed</v>
      </c>
      <c r="H61" s="126"/>
      <c r="I61" s="17" t="s">
        <v>117</v>
      </c>
      <c r="J61" s="18"/>
    </row>
    <row r="62" spans="1:14" ht="21" x14ac:dyDescent="0.4">
      <c r="A62" s="126" t="s">
        <v>99</v>
      </c>
      <c r="B62" s="126"/>
      <c r="C62" s="76">
        <f ca="1">J72</f>
        <v>26</v>
      </c>
      <c r="D62" s="5">
        <f ca="1">((100/H59)*C62)/100</f>
        <v>1</v>
      </c>
      <c r="E62" s="108"/>
      <c r="F62" s="109"/>
      <c r="G62" s="126"/>
      <c r="H62" s="126"/>
      <c r="I62" s="20" t="s">
        <v>127</v>
      </c>
      <c r="J62" s="19">
        <f ca="1">H59*25%</f>
        <v>6.5</v>
      </c>
    </row>
    <row r="63" spans="1:14" ht="21" customHeight="1" x14ac:dyDescent="0.4">
      <c r="A63" s="126" t="s">
        <v>129</v>
      </c>
      <c r="B63" s="126"/>
      <c r="C63" s="30">
        <v>1</v>
      </c>
      <c r="D63" s="5">
        <f ca="1">((100/(E59+G59+H59))*C63)/100</f>
        <v>3.4482758620689655E-2</v>
      </c>
      <c r="E63" s="108"/>
      <c r="F63" s="109"/>
      <c r="G63" s="126"/>
      <c r="H63" s="126"/>
      <c r="I63" s="20" t="s">
        <v>118</v>
      </c>
      <c r="J63" s="24">
        <f ca="1">H59*50%</f>
        <v>13</v>
      </c>
    </row>
    <row r="64" spans="1:14" ht="21" customHeight="1" x14ac:dyDescent="0.4">
      <c r="A64" s="126" t="s">
        <v>130</v>
      </c>
      <c r="B64" s="126"/>
      <c r="C64" s="30">
        <v>0</v>
      </c>
      <c r="D64" s="5">
        <f ca="1">((100/H59)*C64)/100</f>
        <v>0</v>
      </c>
      <c r="E64" s="108"/>
      <c r="F64" s="109"/>
      <c r="G64" s="126"/>
      <c r="H64" s="126"/>
      <c r="I64" s="20" t="s">
        <v>119</v>
      </c>
      <c r="J64" s="24">
        <f ca="1">H59</f>
        <v>26</v>
      </c>
    </row>
    <row r="65" spans="1:11" ht="21" customHeight="1" x14ac:dyDescent="0.4">
      <c r="A65" s="128" t="s">
        <v>131</v>
      </c>
      <c r="B65" s="129"/>
      <c r="C65" s="30">
        <v>0</v>
      </c>
      <c r="D65" s="5">
        <f ca="1">((100/H59)*C65)/100</f>
        <v>0</v>
      </c>
      <c r="E65" s="108"/>
      <c r="F65" s="109"/>
      <c r="G65" s="126"/>
      <c r="H65" s="126"/>
      <c r="I65" s="20" t="s">
        <v>120</v>
      </c>
      <c r="J65" s="25">
        <f ca="1">(IF(D59&gt;1,(H59/(D59+2)),H59*0.2))</f>
        <v>5.2</v>
      </c>
    </row>
    <row r="66" spans="1:11" ht="21" customHeight="1" x14ac:dyDescent="0.4">
      <c r="A66" s="128" t="s">
        <v>162</v>
      </c>
      <c r="B66" s="129"/>
      <c r="C66" s="30">
        <v>0</v>
      </c>
      <c r="D66" s="5">
        <f ca="1">((100/H59)*C66)/100</f>
        <v>0</v>
      </c>
      <c r="E66" s="108"/>
      <c r="F66" s="109"/>
      <c r="G66" s="126"/>
      <c r="H66" s="126"/>
      <c r="I66" s="20" t="s">
        <v>121</v>
      </c>
      <c r="J66" s="25">
        <f ca="1">(IF(D59&gt;1,(H59/(D59+2)+J65),H59*0.2+J65))</f>
        <v>10.4</v>
      </c>
    </row>
    <row r="67" spans="1:11" ht="21" x14ac:dyDescent="0.4">
      <c r="A67" s="128" t="s">
        <v>159</v>
      </c>
      <c r="B67" s="129"/>
      <c r="C67" s="30">
        <v>0</v>
      </c>
      <c r="D67" s="5">
        <f ca="1">((100/(H59))*C67)/100</f>
        <v>0</v>
      </c>
      <c r="E67" s="108"/>
      <c r="F67" s="109"/>
      <c r="G67" s="126"/>
      <c r="H67" s="126"/>
      <c r="I67" s="20" t="s">
        <v>132</v>
      </c>
      <c r="J67" s="25">
        <f>(IF(D59&gt;1,(H59/(D59+2)+J66),0))</f>
        <v>0</v>
      </c>
    </row>
    <row r="68" spans="1:11" ht="21" x14ac:dyDescent="0.4">
      <c r="A68" s="126" t="s">
        <v>134</v>
      </c>
      <c r="B68" s="126"/>
      <c r="C68" s="30">
        <v>0</v>
      </c>
      <c r="D68" s="5">
        <f ca="1">((100/(H59))*C68)/100</f>
        <v>0</v>
      </c>
      <c r="E68" s="108"/>
      <c r="F68" s="109"/>
      <c r="G68" s="126"/>
      <c r="H68" s="126"/>
      <c r="I68" s="20" t="s">
        <v>133</v>
      </c>
      <c r="J68" s="25">
        <f>(IF(D59&gt;2,(H59/(D59+2)+J67),0))</f>
        <v>0</v>
      </c>
    </row>
    <row r="69" spans="1:11" ht="21" customHeight="1" x14ac:dyDescent="0.4">
      <c r="A69" s="126" t="s">
        <v>161</v>
      </c>
      <c r="B69" s="126"/>
      <c r="C69" s="30">
        <v>0</v>
      </c>
      <c r="D69" s="5">
        <f ca="1">((100/H59)*C69)/100</f>
        <v>0</v>
      </c>
      <c r="E69" s="108"/>
      <c r="F69" s="109"/>
      <c r="G69" s="126"/>
      <c r="H69" s="126"/>
      <c r="I69" s="20" t="s">
        <v>135</v>
      </c>
      <c r="J69" s="26">
        <f>(IF(D59&gt;3,(H59/(D59+2)+J68),0))</f>
        <v>0</v>
      </c>
    </row>
    <row r="70" spans="1:11" ht="21" x14ac:dyDescent="0.4">
      <c r="A70" s="126" t="s">
        <v>160</v>
      </c>
      <c r="B70" s="126"/>
      <c r="C70" s="30">
        <v>0</v>
      </c>
      <c r="D70" s="5">
        <f ca="1">((100/H59)*C70)/100</f>
        <v>0</v>
      </c>
      <c r="E70" s="108"/>
      <c r="F70" s="109"/>
      <c r="G70" s="126"/>
      <c r="H70" s="126"/>
      <c r="I70" s="20" t="s">
        <v>136</v>
      </c>
      <c r="J70" s="25">
        <f>(IF(D59&gt;4,(H59/(D59+2)+J69),0))</f>
        <v>0</v>
      </c>
    </row>
    <row r="71" spans="1:11" ht="21" x14ac:dyDescent="0.4">
      <c r="A71" s="126" t="s">
        <v>137</v>
      </c>
      <c r="B71" s="126"/>
      <c r="C71" s="30">
        <v>0</v>
      </c>
      <c r="D71" s="5">
        <f ca="1">((100/(H59))*C71)/100</f>
        <v>0</v>
      </c>
      <c r="E71" s="108"/>
      <c r="F71" s="109"/>
      <c r="G71" s="126"/>
      <c r="H71" s="126"/>
      <c r="I71" s="20" t="s">
        <v>122</v>
      </c>
      <c r="J71" s="25">
        <f ca="1">(IF(D59=1,(H59/(D59+3)+J66),IF(D59=0,(H59*0.3+J66),IF(D59&gt;1,0))))</f>
        <v>18.2</v>
      </c>
    </row>
    <row r="72" spans="1:11" ht="21.6" thickBot="1" x14ac:dyDescent="0.45">
      <c r="A72" s="126" t="s">
        <v>138</v>
      </c>
      <c r="B72" s="126"/>
      <c r="C72" s="30">
        <v>0</v>
      </c>
      <c r="D72" s="5">
        <f ca="1">((100/(H59))*C72)/100</f>
        <v>0</v>
      </c>
      <c r="E72" s="110"/>
      <c r="F72" s="111"/>
      <c r="G72" s="126"/>
      <c r="H72" s="126"/>
      <c r="I72" s="22" t="s">
        <v>123</v>
      </c>
      <c r="J72" s="27">
        <f ca="1">(IF(D59&gt;1.5,(H59/(D59+2)+J66+MAX(0,J67-J66)+MAX(0,J68-J67)+MAX(0,J69-J68)+MAX(0,J70-J69)+MAX(0,J71-J70)),IF(D59=1,(H59/(D59+3)+J71),IF(D59=0,H59*0.3+J71))))</f>
        <v>26</v>
      </c>
    </row>
    <row r="73" spans="1:11" ht="21" x14ac:dyDescent="0.4">
      <c r="A73" s="168" t="s">
        <v>124</v>
      </c>
      <c r="B73" s="169"/>
      <c r="C73" s="169"/>
      <c r="D73" s="169"/>
      <c r="E73" s="169"/>
      <c r="F73" s="169"/>
      <c r="G73" s="151">
        <f ca="1">AVERAGE(E61)</f>
        <v>0.25862068965517243</v>
      </c>
      <c r="H73" s="152"/>
      <c r="K73" s="21"/>
    </row>
    <row r="74" spans="1:11" ht="21" x14ac:dyDescent="0.3">
      <c r="A74" s="92" t="s">
        <v>68</v>
      </c>
      <c r="B74" s="93"/>
      <c r="C74" s="93"/>
      <c r="D74" s="93"/>
      <c r="E74" s="93"/>
      <c r="F74" s="93"/>
      <c r="G74" s="93"/>
      <c r="H74" s="94"/>
    </row>
    <row r="75" spans="1:11" ht="46.5" customHeight="1" x14ac:dyDescent="0.4">
      <c r="A75" s="85" t="s">
        <v>69</v>
      </c>
      <c r="B75" s="86"/>
      <c r="C75" s="87" t="s">
        <v>103</v>
      </c>
      <c r="D75" s="88"/>
      <c r="E75" s="85" t="s">
        <v>139</v>
      </c>
      <c r="F75" s="86" t="s">
        <v>4</v>
      </c>
      <c r="G75" s="127" t="s">
        <v>152</v>
      </c>
      <c r="H75" s="127"/>
      <c r="I75" s="20"/>
      <c r="J75" s="21"/>
    </row>
    <row r="76" spans="1:11" ht="44.25" customHeight="1" x14ac:dyDescent="0.3">
      <c r="A76" s="85" t="s">
        <v>149</v>
      </c>
      <c r="B76" s="86"/>
      <c r="C76" s="87" t="s">
        <v>353</v>
      </c>
      <c r="D76" s="88"/>
      <c r="E76" s="85" t="s">
        <v>150</v>
      </c>
      <c r="F76" s="86" t="s">
        <v>4</v>
      </c>
      <c r="G76" s="95" t="s">
        <v>140</v>
      </c>
      <c r="H76" s="95"/>
    </row>
    <row r="77" spans="1:11" ht="21" x14ac:dyDescent="0.3">
      <c r="A77" s="85" t="s">
        <v>70</v>
      </c>
      <c r="B77" s="86"/>
      <c r="C77" s="89">
        <v>800000</v>
      </c>
      <c r="D77" s="90"/>
      <c r="E77" s="85" t="s">
        <v>97</v>
      </c>
      <c r="F77" s="86" t="s">
        <v>4</v>
      </c>
      <c r="G77" s="87" t="s">
        <v>104</v>
      </c>
      <c r="H77" s="88"/>
    </row>
    <row r="78" spans="1:11" ht="21" x14ac:dyDescent="0.3">
      <c r="A78" s="92" t="s">
        <v>67</v>
      </c>
      <c r="B78" s="93"/>
      <c r="C78" s="93"/>
      <c r="D78" s="93"/>
      <c r="E78" s="93"/>
      <c r="F78" s="93"/>
      <c r="G78" s="93"/>
      <c r="H78" s="94"/>
    </row>
    <row r="79" spans="1:11" ht="20.25" customHeight="1" x14ac:dyDescent="0.3">
      <c r="A79" s="85" t="s">
        <v>8</v>
      </c>
      <c r="B79" s="91"/>
      <c r="C79" s="91"/>
      <c r="D79" s="91"/>
      <c r="E79" s="91"/>
      <c r="F79" s="86"/>
      <c r="G79" s="144">
        <f>21500/10.764</f>
        <v>1997.3987365291714</v>
      </c>
      <c r="H79" s="145"/>
      <c r="I79" s="70"/>
    </row>
    <row r="80" spans="1:11" ht="20.25" customHeight="1" x14ac:dyDescent="0.3">
      <c r="A80" s="85" t="s">
        <v>28</v>
      </c>
      <c r="B80" s="91"/>
      <c r="C80" s="91"/>
      <c r="D80" s="91"/>
      <c r="E80" s="91"/>
      <c r="F80" s="86" t="s">
        <v>4</v>
      </c>
      <c r="G80" s="144">
        <f>48300/10.764</f>
        <v>4487.1794871794873</v>
      </c>
      <c r="H80" s="145"/>
    </row>
    <row r="81" spans="1:150 16226:16383" ht="20.25" customHeight="1" x14ac:dyDescent="0.3">
      <c r="A81" s="85" t="s">
        <v>105</v>
      </c>
      <c r="B81" s="91"/>
      <c r="C81" s="91"/>
      <c r="D81" s="91"/>
      <c r="E81" s="91"/>
      <c r="F81" s="86" t="s">
        <v>4</v>
      </c>
      <c r="G81" s="100">
        <f>G79*0.8</f>
        <v>1597.9189892233371</v>
      </c>
      <c r="H81" s="100"/>
    </row>
    <row r="82" spans="1:150 16226:16383" ht="21" x14ac:dyDescent="0.3">
      <c r="A82" s="101" t="s">
        <v>225</v>
      </c>
      <c r="B82" s="102"/>
      <c r="C82" s="102"/>
      <c r="D82" s="102"/>
      <c r="E82" s="102"/>
      <c r="F82" s="102"/>
      <c r="G82" s="102"/>
      <c r="H82" s="103"/>
    </row>
    <row r="83" spans="1:150 16226:16383" s="3" customFormat="1" ht="21" x14ac:dyDescent="0.3">
      <c r="A83" s="98" t="s">
        <v>146</v>
      </c>
      <c r="B83" s="99"/>
      <c r="C83" s="98" t="s">
        <v>147</v>
      </c>
      <c r="D83" s="99"/>
      <c r="E83" s="98" t="s">
        <v>145</v>
      </c>
      <c r="F83" s="99"/>
      <c r="G83" s="98" t="s">
        <v>157</v>
      </c>
      <c r="H83" s="9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row>
    <row r="84" spans="1:150 16226:16383" s="3" customFormat="1" ht="21" x14ac:dyDescent="0.3">
      <c r="A84" s="112" t="s">
        <v>301</v>
      </c>
      <c r="B84" s="113"/>
      <c r="C84" s="98" t="s">
        <v>91</v>
      </c>
      <c r="D84" s="99"/>
      <c r="E84" s="112">
        <f>COUNT(E92:E93)+COUNT(E101:E106)+COUNT(E108:E113)*10+COUNT(E115:E119)*2+COUNT(E122:E127)*10+COUNT(E129:E133)*3</f>
        <v>153</v>
      </c>
      <c r="F84" s="113"/>
      <c r="G84" s="112">
        <f>SUM(H92:H93)+SUM(H101:H106)+SUM(H108:H113)*10+SUM(H115:H119)*2+SUM(H122:H127)*10+SUM(H129:H133)*3</f>
        <v>127310.95031850001</v>
      </c>
      <c r="H84" s="113"/>
      <c r="I84" s="72" t="s">
        <v>317</v>
      </c>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row>
    <row r="85" spans="1:150 16226:16383" s="3" customFormat="1" ht="21" x14ac:dyDescent="0.3">
      <c r="A85" s="98" t="s">
        <v>148</v>
      </c>
      <c r="B85" s="99"/>
      <c r="C85" s="98" t="s">
        <v>91</v>
      </c>
      <c r="D85" s="99"/>
      <c r="E85" s="98">
        <f>SUM(E84)</f>
        <v>153</v>
      </c>
      <c r="F85" s="99"/>
      <c r="G85" s="98">
        <f>SUM(G84)</f>
        <v>127310.95031850001</v>
      </c>
      <c r="H85" s="9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row>
    <row r="86" spans="1:150 16226:16383" ht="21" x14ac:dyDescent="0.3">
      <c r="A86" s="170" t="s">
        <v>144</v>
      </c>
      <c r="B86" s="171"/>
      <c r="C86" s="171"/>
      <c r="D86" s="171"/>
      <c r="E86" s="171"/>
      <c r="F86" s="171"/>
      <c r="G86" s="171"/>
      <c r="H86" s="103"/>
    </row>
    <row r="87" spans="1:150 16226:16383" ht="108" customHeight="1" x14ac:dyDescent="0.3">
      <c r="A87" s="49" t="s">
        <v>226</v>
      </c>
      <c r="B87" s="31" t="s">
        <v>227</v>
      </c>
      <c r="C87" s="32" t="s">
        <v>228</v>
      </c>
      <c r="D87" s="31" t="s">
        <v>85</v>
      </c>
      <c r="E87" s="31" t="s">
        <v>158</v>
      </c>
      <c r="F87" s="32" t="s">
        <v>346</v>
      </c>
      <c r="G87" s="31" t="s">
        <v>87</v>
      </c>
      <c r="H87" s="31" t="s">
        <v>86</v>
      </c>
      <c r="I87" s="74">
        <f>10.764</f>
        <v>10.763999999999999</v>
      </c>
    </row>
    <row r="88" spans="1:150 16226:16383" s="3" customFormat="1" ht="21" x14ac:dyDescent="0.3">
      <c r="A88" s="165" t="s">
        <v>301</v>
      </c>
      <c r="B88" s="166"/>
      <c r="C88" s="166"/>
      <c r="D88" s="166"/>
      <c r="E88" s="166"/>
      <c r="F88" s="166"/>
      <c r="G88" s="166"/>
      <c r="H88" s="167"/>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50 16226:16383" s="3" customFormat="1" ht="21" x14ac:dyDescent="0.3">
      <c r="A89" s="153" t="s">
        <v>343</v>
      </c>
      <c r="B89" s="154"/>
      <c r="C89" s="154"/>
      <c r="D89" s="154"/>
      <c r="E89" s="154"/>
      <c r="F89" s="154"/>
      <c r="G89" s="154"/>
      <c r="H89" s="155"/>
      <c r="I89" s="72" t="s">
        <v>307</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50 16226:16383" s="3" customFormat="1" ht="21" x14ac:dyDescent="0.3">
      <c r="A90" s="153" t="s">
        <v>355</v>
      </c>
      <c r="B90" s="154"/>
      <c r="C90" s="154"/>
      <c r="D90" s="154"/>
      <c r="E90" s="154"/>
      <c r="F90" s="154"/>
      <c r="G90" s="154"/>
      <c r="H90" s="155"/>
      <c r="I90" s="72" t="s">
        <v>308</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50 16226:16383" s="3" customFormat="1" ht="21" x14ac:dyDescent="0.3">
      <c r="A91" s="153" t="s">
        <v>344</v>
      </c>
      <c r="B91" s="154"/>
      <c r="C91" s="154"/>
      <c r="D91" s="154"/>
      <c r="E91" s="154"/>
      <c r="F91" s="154"/>
      <c r="G91" s="154"/>
      <c r="H91" s="155"/>
      <c r="I91" s="72"/>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50 16226:16383" s="3" customFormat="1" ht="21" x14ac:dyDescent="0.3">
      <c r="A92" s="81">
        <v>1</v>
      </c>
      <c r="B92" s="81"/>
      <c r="C92" s="50" t="s">
        <v>309</v>
      </c>
      <c r="D92" s="50" t="s">
        <v>310</v>
      </c>
      <c r="E92" s="6">
        <f>(3.175*4.6+2.135*2.125+3.15*3.65+3.225*3.35+2*(2.275*1.375)+0.6*(1.9+1.9)+1.1*2.6+3.6*0.9+1.45*2.125)*(10.764)</f>
        <v>636.80496749999998</v>
      </c>
      <c r="F92" s="6">
        <f>(1.9*0.7)*(10.764)</f>
        <v>14.316119999999998</v>
      </c>
      <c r="G92" s="6">
        <v>0</v>
      </c>
      <c r="H92" s="6">
        <f>E92+F92+(IF(G92&lt;101,G92,IF(G92&lt;201,G92/2,IF(G92&lt;=301,G92/3,G92/4))))</f>
        <v>651.12108749999993</v>
      </c>
      <c r="I92" s="72"/>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50 16226:16383" s="3" customFormat="1" ht="21" x14ac:dyDescent="0.3">
      <c r="A93" s="96">
        <f>A92+1</f>
        <v>2</v>
      </c>
      <c r="B93" s="97"/>
      <c r="C93" s="50" t="s">
        <v>309</v>
      </c>
      <c r="D93" s="50" t="s">
        <v>310</v>
      </c>
      <c r="E93" s="6">
        <f>(3.175*4.6+2.135*2.125+3.15*3.65+3.225*3.35+2*(2.275*1.375)+0.6*(1.9+1.9)+1.1*2.6+3.6*0.9+1.45*2.125)*(10.764)</f>
        <v>636.80496749999998</v>
      </c>
      <c r="F93" s="6">
        <f>(1.9*0.7)*(10.764)</f>
        <v>14.316119999999998</v>
      </c>
      <c r="G93" s="6">
        <v>0</v>
      </c>
      <c r="H93" s="6">
        <f t="shared" ref="H93" si="0">E93+F93+(IF(G93&lt;101,G93,IF(G93&lt;201,G93/2,IF(G93&lt;=301,G93/3,G93/4))))</f>
        <v>651.12108749999993</v>
      </c>
      <c r="I93" s="72"/>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50 16226:16383" s="3" customFormat="1" ht="21" x14ac:dyDescent="0.3">
      <c r="A94" s="96">
        <f t="shared" ref="A94:A99" si="1">A93+1</f>
        <v>3</v>
      </c>
      <c r="B94" s="97"/>
      <c r="C94" s="156" t="s">
        <v>311</v>
      </c>
      <c r="D94" s="157"/>
      <c r="E94" s="157"/>
      <c r="F94" s="157"/>
      <c r="G94" s="157"/>
      <c r="H94" s="158"/>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50 16226:16383" s="3" customFormat="1" ht="20.25" customHeight="1" x14ac:dyDescent="0.3">
      <c r="A95" s="96">
        <f t="shared" si="1"/>
        <v>4</v>
      </c>
      <c r="B95" s="97"/>
      <c r="C95" s="159"/>
      <c r="D95" s="160"/>
      <c r="E95" s="160"/>
      <c r="F95" s="160"/>
      <c r="G95" s="160"/>
      <c r="H95" s="16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50 16226:16383" s="3" customFormat="1" ht="20.25" customHeight="1" x14ac:dyDescent="0.3">
      <c r="A96" s="96">
        <f t="shared" si="1"/>
        <v>5</v>
      </c>
      <c r="B96" s="97"/>
      <c r="C96" s="159"/>
      <c r="D96" s="160"/>
      <c r="E96" s="160"/>
      <c r="F96" s="160"/>
      <c r="G96" s="160"/>
      <c r="H96" s="16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50 16226:16383" s="3" customFormat="1" ht="20.25" customHeight="1" x14ac:dyDescent="0.3">
      <c r="A97" s="96">
        <f t="shared" si="1"/>
        <v>6</v>
      </c>
      <c r="B97" s="97"/>
      <c r="C97" s="159"/>
      <c r="D97" s="160"/>
      <c r="E97" s="160"/>
      <c r="F97" s="160"/>
      <c r="G97" s="160"/>
      <c r="H97" s="16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50 16226:16383" s="3" customFormat="1" ht="20.25" customHeight="1" x14ac:dyDescent="0.3">
      <c r="A98" s="96">
        <f t="shared" si="1"/>
        <v>7</v>
      </c>
      <c r="B98" s="97"/>
      <c r="C98" s="159"/>
      <c r="D98" s="160"/>
      <c r="E98" s="160"/>
      <c r="F98" s="160"/>
      <c r="G98" s="160"/>
      <c r="H98" s="16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50 16226:16383" s="3" customFormat="1" ht="20.25" customHeight="1" x14ac:dyDescent="0.3">
      <c r="A99" s="96">
        <f t="shared" si="1"/>
        <v>8</v>
      </c>
      <c r="B99" s="97"/>
      <c r="C99" s="162"/>
      <c r="D99" s="163"/>
      <c r="E99" s="163"/>
      <c r="F99" s="163"/>
      <c r="G99" s="163"/>
      <c r="H99" s="164"/>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50 16226:16383" s="3" customFormat="1" ht="21" x14ac:dyDescent="0.3">
      <c r="A100" s="122" t="s">
        <v>345</v>
      </c>
      <c r="B100" s="123"/>
      <c r="C100" s="123"/>
      <c r="D100" s="123"/>
      <c r="E100" s="123"/>
      <c r="F100" s="123"/>
      <c r="G100" s="123"/>
      <c r="H100" s="124"/>
      <c r="I100" s="1">
        <f>1</f>
        <v>1</v>
      </c>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50 16226:16383" s="3" customFormat="1" ht="20.25" customHeight="1" x14ac:dyDescent="0.3">
      <c r="A101" s="81">
        <v>1</v>
      </c>
      <c r="B101" s="81"/>
      <c r="C101" s="50" t="s">
        <v>309</v>
      </c>
      <c r="D101" s="50" t="s">
        <v>310</v>
      </c>
      <c r="E101" s="6">
        <f>(3.175*4.6+2.135*2.125+3.15*3.65+3.225*3.35+2*(2.275*1.375)+0.6*(1.9+1.9)+1.1*2.6+3.6*0.9+1.45*2.125)*(10.764)</f>
        <v>636.80496749999998</v>
      </c>
      <c r="F101" s="6">
        <f>(1.9*0.7)*(10.764)</f>
        <v>14.316119999999998</v>
      </c>
      <c r="G101" s="6">
        <v>0</v>
      </c>
      <c r="H101" s="6">
        <f>E101+F101+(IF(G101&lt;101,G101,IF(G101&lt;201,G101/2,IF(G101&lt;=301,G101/3,G101/4))))</f>
        <v>651.12108749999993</v>
      </c>
      <c r="I101" s="1"/>
      <c r="J101" s="1"/>
      <c r="K101" s="1"/>
      <c r="L101" s="1"/>
      <c r="M101" s="1"/>
      <c r="N101" s="1"/>
      <c r="O101" s="1"/>
      <c r="P101" s="1"/>
      <c r="Q101" s="1"/>
      <c r="R101" s="1"/>
      <c r="S101" s="1"/>
      <c r="T101" s="23" t="str">
        <f t="shared" ref="T101:T106" ca="1" si="2">U101&amp;""&amp;",..,"&amp;""&amp;V101</f>
        <v>101,..,101</v>
      </c>
      <c r="U101" s="23">
        <f ca="1">(SUMPRODUCT(MID(0&amp;(LEFT(A100,SUM(LEN(A100)-LEN(SUBSTITUTE(A100,{"0","1","2","3"},""))))), LARGE(INDEX(ISNUMBER(--MID((LEFT(A100,SUM(LEN(A100)-LEN(SUBSTITUTE(A100,{"0","1","2","3"},""))))), ROW(INDIRECT("1:"&amp;LEN((LEFT(A100,SUM(LEN(A100)-LEN(SUBSTITUTE(A100,{"0","1","2","3"},"")))))))), 1)) * ROW(INDIRECT("1:"&amp;LEN((LEFT(A100,SUM(LEN(A100)-LEN(SUBSTITUTE(A100,{"0","1","2","3"},"")))))))), 0), ROW(INDIRECT("1:"&amp;LEN((LEFT(A100,SUM(LEN(A100)-LEN(SUBSTITUTE(A100,{"0","1","2","3"},"")))))))))+1, 1) * 10^ROW(INDIRECT("1:"&amp;LEN((LEFT(A100,SUM(LEN(A100)-LEN(SUBSTITUTE(A100,{"0","1","2","3"},""))))))))/10))*100+1</f>
        <v>101</v>
      </c>
      <c r="V101" s="23">
        <f ca="1">(SUMPRODUCT(MID(0&amp;(--TRIM(RIGHT(SUBSTITUTE(LEFT(A100,_xlfn.AGGREGATE(16,6,FIND({0,1,2,3,4,5,6,7,8,9},A100,ROW(INDIRECT("1:"&amp;LEN(A100)))),1))," ",REPT(" ",LEN(A100))),LEN(A100)))), LARGE(INDEX(ISNUMBER(--MID((--TRIM(RIGHT(SUBSTITUTE(LEFT(A100,_xlfn.AGGREGATE(16,6,FIND({0,1,2,3,4,5,6,7,8,9},A100,ROW(INDIRECT("1:"&amp;LEN(A100)))),1))," ",REPT(" ",LEN(A100))),LEN(A100)))), ROW(INDIRECT("1:"&amp;LEN((--TRIM(RIGHT(SUBSTITUTE(LEFT(A100,_xlfn.AGGREGATE(16,6,FIND({0,1,2,3,4,5,6,7,8,9},A100,ROW(INDIRECT("1:"&amp;LEN(A100)))),1))," ",REPT(" ",LEN(A100))),LEN(A100))))))), 1)) * ROW(INDIRECT("1:"&amp;LEN((--TRIM(RIGHT(SUBSTITUTE(LEFT(A100,_xlfn.AGGREGATE(16,6,FIND({0,1,2,3,4,5,6,7,8,9},A100,ROW(INDIRECT("1:"&amp;LEN(A100)))),1))," ",REPT(" ",LEN(A100))),LEN(A100))))))), 0), ROW(INDIRECT("1:"&amp;LEN((--TRIM(RIGHT(SUBSTITUTE(LEFT(A100,_xlfn.AGGREGATE(16,6,FIND({0,1,2,3,4,5,6,7,8,9},A100,ROW(INDIRECT("1:"&amp;LEN(A100)))),1))," ",REPT(" ",LEN(A100))),LEN(A100))))))))+1, 1) * 10^ROW(INDIRECT("1:"&amp;LEN((--TRIM(RIGHT(SUBSTITUTE(LEFT(A100,_xlfn.AGGREGATE(16,6,FIND({0,1,2,3,4,5,6,7,8,9},A100,ROW(INDIRECT("1:"&amp;LEN(A100)))),1))," ",REPT(" ",LEN(A100))),LEN(A100)))))))/10))*100+1</f>
        <v>101</v>
      </c>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WZB101" s="1"/>
      <c r="WZC101" s="1"/>
      <c r="WZD101" s="1"/>
      <c r="WZE101" s="1"/>
      <c r="WZF101" s="1"/>
      <c r="WZG101" s="1"/>
      <c r="WZH101" s="1"/>
      <c r="WZI101" s="1"/>
      <c r="WZJ101" s="1"/>
      <c r="WZK101" s="1"/>
      <c r="WZL101" s="1"/>
      <c r="WZM101" s="1"/>
      <c r="WZN101" s="1"/>
      <c r="WZO101" s="1"/>
      <c r="WZP101" s="1"/>
      <c r="WZQ101" s="1"/>
      <c r="WZR101" s="1"/>
      <c r="WZS101" s="1"/>
      <c r="WZT101" s="1"/>
      <c r="WZU101" s="1"/>
      <c r="WZV101" s="1"/>
      <c r="WZW101" s="1"/>
      <c r="WZX101" s="1"/>
      <c r="WZY101" s="1"/>
      <c r="WZZ101" s="1"/>
      <c r="XAA101" s="1"/>
      <c r="XAB101" s="1"/>
      <c r="XAC101" s="1"/>
      <c r="XAD101" s="1"/>
      <c r="XAE101" s="1"/>
      <c r="XAF101" s="1"/>
      <c r="XAG101" s="1"/>
      <c r="XAH101" s="1"/>
      <c r="XAI101" s="1"/>
      <c r="XAJ101" s="1"/>
      <c r="XAK101" s="1"/>
      <c r="XAL101" s="1"/>
      <c r="XAM101" s="1"/>
      <c r="XAN101" s="1"/>
      <c r="XAO101" s="1"/>
      <c r="XAP101" s="1"/>
      <c r="XAQ101" s="1"/>
      <c r="XAR101" s="1"/>
      <c r="XAS101" s="1"/>
      <c r="XAT101" s="1"/>
      <c r="XAU101" s="1"/>
      <c r="XAV101" s="1"/>
      <c r="XAW101" s="1"/>
      <c r="XAX101" s="1"/>
      <c r="XAY101" s="1"/>
      <c r="XAZ101" s="1"/>
      <c r="XBA101" s="1"/>
      <c r="XBB101" s="1"/>
      <c r="XBC101" s="1"/>
      <c r="XBD101" s="1"/>
      <c r="XBE101" s="1"/>
      <c r="XBF101" s="1"/>
      <c r="XBG101" s="1"/>
      <c r="XBH101" s="1"/>
      <c r="XBI101" s="1"/>
      <c r="XBJ101" s="1"/>
      <c r="XBK101" s="1"/>
      <c r="XBL101" s="1"/>
      <c r="XBM101" s="1"/>
      <c r="XBN101" s="1"/>
      <c r="XBO101" s="1"/>
      <c r="XBP101" s="1"/>
      <c r="XBQ101" s="1"/>
      <c r="XBR101" s="1"/>
      <c r="XBS101" s="1"/>
      <c r="XBT101" s="1"/>
      <c r="XBU101" s="1"/>
      <c r="XBV101" s="1"/>
      <c r="XBW101" s="1"/>
      <c r="XBX101" s="1"/>
      <c r="XBY101" s="1"/>
      <c r="XBZ101" s="1"/>
      <c r="XCA101" s="1"/>
      <c r="XCB101" s="1"/>
      <c r="XCC101" s="1"/>
      <c r="XCD101" s="1"/>
      <c r="XCE101" s="1"/>
      <c r="XCF101" s="1"/>
      <c r="XCG101" s="1"/>
      <c r="XCH101" s="1"/>
      <c r="XCI101" s="1"/>
      <c r="XCJ101" s="1"/>
      <c r="XCK101" s="1"/>
      <c r="XCL101" s="1"/>
      <c r="XCM101" s="1"/>
      <c r="XCN101" s="1"/>
      <c r="XCO101" s="1"/>
      <c r="XCP101" s="1"/>
      <c r="XCQ101" s="1"/>
      <c r="XCR101" s="1"/>
      <c r="XCS101" s="1"/>
      <c r="XCT101" s="1"/>
      <c r="XCU101" s="1"/>
      <c r="XCV101" s="1"/>
      <c r="XCW101" s="1"/>
      <c r="XCX101" s="1"/>
      <c r="XCY101" s="1"/>
      <c r="XCZ101" s="1"/>
      <c r="XDA101" s="1"/>
      <c r="XDB101" s="1"/>
      <c r="XDC101" s="1"/>
      <c r="XDD101" s="1"/>
      <c r="XDE101" s="1"/>
      <c r="XDF101" s="1"/>
      <c r="XDG101" s="1"/>
      <c r="XDH101" s="1"/>
      <c r="XDI101" s="1"/>
      <c r="XDJ101" s="1"/>
      <c r="XDK101" s="1"/>
      <c r="XDL101" s="1"/>
      <c r="XDM101" s="1"/>
      <c r="XDN101" s="1"/>
      <c r="XDO101" s="1"/>
      <c r="XDP101" s="1"/>
      <c r="XDQ101" s="1"/>
      <c r="XDR101" s="1"/>
      <c r="XDS101" s="1"/>
      <c r="XDT101" s="1"/>
      <c r="XDU101" s="1"/>
      <c r="XDV101" s="1"/>
      <c r="XDW101" s="1"/>
      <c r="XDX101" s="1"/>
      <c r="XDY101" s="1"/>
      <c r="XDZ101" s="1"/>
      <c r="XEA101" s="1"/>
      <c r="XEB101" s="1"/>
      <c r="XEC101" s="1"/>
      <c r="XED101" s="1"/>
      <c r="XEE101" s="1"/>
      <c r="XEF101" s="1"/>
      <c r="XEG101" s="1"/>
      <c r="XEH101" s="1"/>
      <c r="XEI101" s="1"/>
      <c r="XEJ101" s="1"/>
      <c r="XEK101" s="1"/>
      <c r="XEL101" s="1"/>
      <c r="XEM101" s="1"/>
      <c r="XEN101" s="1"/>
      <c r="XEO101" s="1"/>
      <c r="XEP101" s="1"/>
      <c r="XEQ101" s="1"/>
      <c r="XER101" s="1"/>
      <c r="XES101" s="1"/>
      <c r="XET101" s="1"/>
      <c r="XEU101" s="1"/>
      <c r="XEV101" s="1"/>
      <c r="XEW101" s="1"/>
      <c r="XEX101" s="1"/>
      <c r="XEY101" s="1"/>
      <c r="XEZ101" s="1"/>
      <c r="XFA101" s="1"/>
      <c r="XFB101" s="1"/>
      <c r="XFC101" s="1"/>
    </row>
    <row r="102" spans="1:150 16226:16383" s="3" customFormat="1" ht="20.25" customHeight="1" x14ac:dyDescent="0.3">
      <c r="A102" s="81">
        <v>2</v>
      </c>
      <c r="B102" s="81"/>
      <c r="C102" s="50" t="s">
        <v>309</v>
      </c>
      <c r="D102" s="50" t="s">
        <v>310</v>
      </c>
      <c r="E102" s="6">
        <f>(3.175*4.6+2.135*2.125+3.15*3.65+3.225*3.35+2*(2.275*1.375)+0.6*(1.9+1.9)+1.1*2.6+3.6*0.9+1.45*2.125)*(10.764)</f>
        <v>636.80496749999998</v>
      </c>
      <c r="F102" s="6">
        <f>(1.9*0.7)*(10.764)</f>
        <v>14.316119999999998</v>
      </c>
      <c r="G102" s="6">
        <v>0</v>
      </c>
      <c r="H102" s="6">
        <f t="shared" ref="H102:H106" si="3">E102+F102+(IF(G102&lt;101,G102,IF(G102&lt;201,G102/2,IF(G102&lt;=301,G102/3,G102/4))))</f>
        <v>651.12108749999993</v>
      </c>
      <c r="I102" s="1"/>
      <c r="J102" s="1"/>
      <c r="K102" s="1"/>
      <c r="L102" s="1"/>
      <c r="M102" s="1"/>
      <c r="N102" s="1"/>
      <c r="O102" s="1"/>
      <c r="P102" s="1"/>
      <c r="Q102" s="1"/>
      <c r="R102" s="1"/>
      <c r="S102" s="1"/>
      <c r="T102" s="23" t="str">
        <f t="shared" ca="1" si="2"/>
        <v>102,..,102</v>
      </c>
      <c r="U102" s="23">
        <f ca="1">U101+1</f>
        <v>102</v>
      </c>
      <c r="V102" s="23">
        <f ca="1">V101+1</f>
        <v>102</v>
      </c>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WZB102" s="1"/>
      <c r="WZC102" s="1"/>
      <c r="WZD102" s="1"/>
      <c r="WZE102" s="1"/>
      <c r="WZF102" s="1"/>
      <c r="WZG102" s="1"/>
      <c r="WZH102" s="1"/>
      <c r="WZI102" s="1"/>
      <c r="WZJ102" s="1"/>
      <c r="WZK102" s="1"/>
      <c r="WZL102" s="1"/>
      <c r="WZM102" s="1"/>
      <c r="WZN102" s="1"/>
      <c r="WZO102" s="1"/>
      <c r="WZP102" s="1"/>
      <c r="WZQ102" s="1"/>
      <c r="WZR102" s="1"/>
      <c r="WZS102" s="1"/>
      <c r="WZT102" s="1"/>
      <c r="WZU102" s="1"/>
      <c r="WZV102" s="1"/>
      <c r="WZW102" s="1"/>
      <c r="WZX102" s="1"/>
      <c r="WZY102" s="1"/>
      <c r="WZZ102" s="1"/>
      <c r="XAA102" s="1"/>
      <c r="XAB102" s="1"/>
      <c r="XAC102" s="1"/>
      <c r="XAD102" s="1"/>
      <c r="XAE102" s="1"/>
      <c r="XAF102" s="1"/>
      <c r="XAG102" s="1"/>
      <c r="XAH102" s="1"/>
      <c r="XAI102" s="1"/>
      <c r="XAJ102" s="1"/>
      <c r="XAK102" s="1"/>
      <c r="XAL102" s="1"/>
      <c r="XAM102" s="1"/>
      <c r="XAN102" s="1"/>
      <c r="XAO102" s="1"/>
      <c r="XAP102" s="1"/>
      <c r="XAQ102" s="1"/>
      <c r="XAR102" s="1"/>
      <c r="XAS102" s="1"/>
      <c r="XAT102" s="1"/>
      <c r="XAU102" s="1"/>
      <c r="XAV102" s="1"/>
      <c r="XAW102" s="1"/>
      <c r="XAX102" s="1"/>
      <c r="XAY102" s="1"/>
      <c r="XAZ102" s="1"/>
      <c r="XBA102" s="1"/>
      <c r="XBB102" s="1"/>
      <c r="XBC102" s="1"/>
      <c r="XBD102" s="1"/>
      <c r="XBE102" s="1"/>
      <c r="XBF102" s="1"/>
      <c r="XBG102" s="1"/>
      <c r="XBH102" s="1"/>
      <c r="XBI102" s="1"/>
      <c r="XBJ102" s="1"/>
      <c r="XBK102" s="1"/>
      <c r="XBL102" s="1"/>
      <c r="XBM102" s="1"/>
      <c r="XBN102" s="1"/>
      <c r="XBO102" s="1"/>
      <c r="XBP102" s="1"/>
      <c r="XBQ102" s="1"/>
      <c r="XBR102" s="1"/>
      <c r="XBS102" s="1"/>
      <c r="XBT102" s="1"/>
      <c r="XBU102" s="1"/>
      <c r="XBV102" s="1"/>
      <c r="XBW102" s="1"/>
      <c r="XBX102" s="1"/>
      <c r="XBY102" s="1"/>
      <c r="XBZ102" s="1"/>
      <c r="XCA102" s="1"/>
      <c r="XCB102" s="1"/>
      <c r="XCC102" s="1"/>
      <c r="XCD102" s="1"/>
      <c r="XCE102" s="1"/>
      <c r="XCF102" s="1"/>
      <c r="XCG102" s="1"/>
      <c r="XCH102" s="1"/>
      <c r="XCI102" s="1"/>
      <c r="XCJ102" s="1"/>
      <c r="XCK102" s="1"/>
      <c r="XCL102" s="1"/>
      <c r="XCM102" s="1"/>
      <c r="XCN102" s="1"/>
      <c r="XCO102" s="1"/>
      <c r="XCP102" s="1"/>
      <c r="XCQ102" s="1"/>
      <c r="XCR102" s="1"/>
      <c r="XCS102" s="1"/>
      <c r="XCT102" s="1"/>
      <c r="XCU102" s="1"/>
      <c r="XCV102" s="1"/>
      <c r="XCW102" s="1"/>
      <c r="XCX102" s="1"/>
      <c r="XCY102" s="1"/>
      <c r="XCZ102" s="1"/>
      <c r="XDA102" s="1"/>
      <c r="XDB102" s="1"/>
      <c r="XDC102" s="1"/>
      <c r="XDD102" s="1"/>
      <c r="XDE102" s="1"/>
      <c r="XDF102" s="1"/>
      <c r="XDG102" s="1"/>
      <c r="XDH102" s="1"/>
      <c r="XDI102" s="1"/>
      <c r="XDJ102" s="1"/>
      <c r="XDK102" s="1"/>
      <c r="XDL102" s="1"/>
      <c r="XDM102" s="1"/>
      <c r="XDN102" s="1"/>
      <c r="XDO102" s="1"/>
      <c r="XDP102" s="1"/>
      <c r="XDQ102" s="1"/>
      <c r="XDR102" s="1"/>
      <c r="XDS102" s="1"/>
      <c r="XDT102" s="1"/>
      <c r="XDU102" s="1"/>
      <c r="XDV102" s="1"/>
      <c r="XDW102" s="1"/>
      <c r="XDX102" s="1"/>
      <c r="XDY102" s="1"/>
      <c r="XDZ102" s="1"/>
      <c r="XEA102" s="1"/>
      <c r="XEB102" s="1"/>
      <c r="XEC102" s="1"/>
      <c r="XED102" s="1"/>
      <c r="XEE102" s="1"/>
      <c r="XEF102" s="1"/>
      <c r="XEG102" s="1"/>
      <c r="XEH102" s="1"/>
      <c r="XEI102" s="1"/>
      <c r="XEJ102" s="1"/>
      <c r="XEK102" s="1"/>
      <c r="XEL102" s="1"/>
      <c r="XEM102" s="1"/>
      <c r="XEN102" s="1"/>
      <c r="XEO102" s="1"/>
      <c r="XEP102" s="1"/>
      <c r="XEQ102" s="1"/>
      <c r="XER102" s="1"/>
      <c r="XES102" s="1"/>
      <c r="XET102" s="1"/>
      <c r="XEU102" s="1"/>
      <c r="XEV102" s="1"/>
      <c r="XEW102" s="1"/>
      <c r="XEX102" s="1"/>
      <c r="XEY102" s="1"/>
      <c r="XEZ102" s="1"/>
      <c r="XFA102" s="1"/>
      <c r="XFB102" s="1"/>
      <c r="XFC102" s="1"/>
    </row>
    <row r="103" spans="1:150 16226:16383" s="3" customFormat="1" ht="20.25" customHeight="1" x14ac:dyDescent="0.3">
      <c r="A103" s="81">
        <v>3</v>
      </c>
      <c r="B103" s="81"/>
      <c r="C103" s="50" t="s">
        <v>309</v>
      </c>
      <c r="D103" s="50" t="s">
        <v>312</v>
      </c>
      <c r="E103" s="6">
        <f>(4.225*4.15+3.2*3.475+2.45*3.05+3.95*3.2+3.95*3.05+3.05*3.35+2*(2.45*1.5)+1.375*2.275+0.6*2*2+1.7*0.6+1.6*2.9+2.2*1.2)*(10.764)</f>
        <v>992.5417124999999</v>
      </c>
      <c r="F103" s="6">
        <f>(3.63*1.475+2.3*1.325)*(10.764)</f>
        <v>90.436436999999998</v>
      </c>
      <c r="G103" s="6">
        <f>(3.1*0.9+0.45*5.2+2.5*0.65+1.5*0.75+1.4*0.75+2.9*0.8+4.8*0.6+4*0.3+1.4*0.9)*(10.764)</f>
        <v>178.57476</v>
      </c>
      <c r="H103" s="6">
        <f t="shared" si="3"/>
        <v>1172.2655295</v>
      </c>
      <c r="I103" s="1"/>
      <c r="J103" s="1"/>
      <c r="K103" s="1"/>
      <c r="L103" s="1"/>
      <c r="M103" s="1"/>
      <c r="N103" s="1"/>
      <c r="O103" s="1"/>
      <c r="P103" s="1"/>
      <c r="Q103" s="1"/>
      <c r="R103" s="1"/>
      <c r="S103" s="1"/>
      <c r="T103" s="23" t="str">
        <f t="shared" ca="1" si="2"/>
        <v>103,..,103</v>
      </c>
      <c r="U103" s="23">
        <f t="shared" ref="U103:U106" ca="1" si="4">U102+1</f>
        <v>103</v>
      </c>
      <c r="V103" s="23">
        <f t="shared" ref="V103:V106" ca="1" si="5">V102+1</f>
        <v>103</v>
      </c>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WZB103" s="1"/>
      <c r="WZC103" s="1"/>
      <c r="WZD103" s="1"/>
      <c r="WZE103" s="1"/>
      <c r="WZF103" s="1"/>
      <c r="WZG103" s="1"/>
      <c r="WZH103" s="1"/>
      <c r="WZI103" s="1"/>
      <c r="WZJ103" s="1"/>
      <c r="WZK103" s="1"/>
      <c r="WZL103" s="1"/>
      <c r="WZM103" s="1"/>
      <c r="WZN103" s="1"/>
      <c r="WZO103" s="1"/>
      <c r="WZP103" s="1"/>
      <c r="WZQ103" s="1"/>
      <c r="WZR103" s="1"/>
      <c r="WZS103" s="1"/>
      <c r="WZT103" s="1"/>
      <c r="WZU103" s="1"/>
      <c r="WZV103" s="1"/>
      <c r="WZW103" s="1"/>
      <c r="WZX103" s="1"/>
      <c r="WZY103" s="1"/>
      <c r="WZZ103" s="1"/>
      <c r="XAA103" s="1"/>
      <c r="XAB103" s="1"/>
      <c r="XAC103" s="1"/>
      <c r="XAD103" s="1"/>
      <c r="XAE103" s="1"/>
      <c r="XAF103" s="1"/>
      <c r="XAG103" s="1"/>
      <c r="XAH103" s="1"/>
      <c r="XAI103" s="1"/>
      <c r="XAJ103" s="1"/>
      <c r="XAK103" s="1"/>
      <c r="XAL103" s="1"/>
      <c r="XAM103" s="1"/>
      <c r="XAN103" s="1"/>
      <c r="XAO103" s="1"/>
      <c r="XAP103" s="1"/>
      <c r="XAQ103" s="1"/>
      <c r="XAR103" s="1"/>
      <c r="XAS103" s="1"/>
      <c r="XAT103" s="1"/>
      <c r="XAU103" s="1"/>
      <c r="XAV103" s="1"/>
      <c r="XAW103" s="1"/>
      <c r="XAX103" s="1"/>
      <c r="XAY103" s="1"/>
      <c r="XAZ103" s="1"/>
      <c r="XBA103" s="1"/>
      <c r="XBB103" s="1"/>
      <c r="XBC103" s="1"/>
      <c r="XBD103" s="1"/>
      <c r="XBE103" s="1"/>
      <c r="XBF103" s="1"/>
      <c r="XBG103" s="1"/>
      <c r="XBH103" s="1"/>
      <c r="XBI103" s="1"/>
      <c r="XBJ103" s="1"/>
      <c r="XBK103" s="1"/>
      <c r="XBL103" s="1"/>
      <c r="XBM103" s="1"/>
      <c r="XBN103" s="1"/>
      <c r="XBO103" s="1"/>
      <c r="XBP103" s="1"/>
      <c r="XBQ103" s="1"/>
      <c r="XBR103" s="1"/>
      <c r="XBS103" s="1"/>
      <c r="XBT103" s="1"/>
      <c r="XBU103" s="1"/>
      <c r="XBV103" s="1"/>
      <c r="XBW103" s="1"/>
      <c r="XBX103" s="1"/>
      <c r="XBY103" s="1"/>
      <c r="XBZ103" s="1"/>
      <c r="XCA103" s="1"/>
      <c r="XCB103" s="1"/>
      <c r="XCC103" s="1"/>
      <c r="XCD103" s="1"/>
      <c r="XCE103" s="1"/>
      <c r="XCF103" s="1"/>
      <c r="XCG103" s="1"/>
      <c r="XCH103" s="1"/>
      <c r="XCI103" s="1"/>
      <c r="XCJ103" s="1"/>
      <c r="XCK103" s="1"/>
      <c r="XCL103" s="1"/>
      <c r="XCM103" s="1"/>
      <c r="XCN103" s="1"/>
      <c r="XCO103" s="1"/>
      <c r="XCP103" s="1"/>
      <c r="XCQ103" s="1"/>
      <c r="XCR103" s="1"/>
      <c r="XCS103" s="1"/>
      <c r="XCT103" s="1"/>
      <c r="XCU103" s="1"/>
      <c r="XCV103" s="1"/>
      <c r="XCW103" s="1"/>
      <c r="XCX103" s="1"/>
      <c r="XCY103" s="1"/>
      <c r="XCZ103" s="1"/>
      <c r="XDA103" s="1"/>
      <c r="XDB103" s="1"/>
      <c r="XDC103" s="1"/>
      <c r="XDD103" s="1"/>
      <c r="XDE103" s="1"/>
      <c r="XDF103" s="1"/>
      <c r="XDG103" s="1"/>
      <c r="XDH103" s="1"/>
      <c r="XDI103" s="1"/>
      <c r="XDJ103" s="1"/>
      <c r="XDK103" s="1"/>
      <c r="XDL103" s="1"/>
      <c r="XDM103" s="1"/>
      <c r="XDN103" s="1"/>
      <c r="XDO103" s="1"/>
      <c r="XDP103" s="1"/>
      <c r="XDQ103" s="1"/>
      <c r="XDR103" s="1"/>
      <c r="XDS103" s="1"/>
      <c r="XDT103" s="1"/>
      <c r="XDU103" s="1"/>
      <c r="XDV103" s="1"/>
      <c r="XDW103" s="1"/>
      <c r="XDX103" s="1"/>
      <c r="XDY103" s="1"/>
      <c r="XDZ103" s="1"/>
      <c r="XEA103" s="1"/>
      <c r="XEB103" s="1"/>
      <c r="XEC103" s="1"/>
      <c r="XED103" s="1"/>
      <c r="XEE103" s="1"/>
      <c r="XEF103" s="1"/>
      <c r="XEG103" s="1"/>
      <c r="XEH103" s="1"/>
      <c r="XEI103" s="1"/>
      <c r="XEJ103" s="1"/>
      <c r="XEK103" s="1"/>
      <c r="XEL103" s="1"/>
      <c r="XEM103" s="1"/>
      <c r="XEN103" s="1"/>
      <c r="XEO103" s="1"/>
      <c r="XEP103" s="1"/>
      <c r="XEQ103" s="1"/>
      <c r="XER103" s="1"/>
      <c r="XES103" s="1"/>
      <c r="XET103" s="1"/>
      <c r="XEU103" s="1"/>
      <c r="XEV103" s="1"/>
      <c r="XEW103" s="1"/>
      <c r="XEX103" s="1"/>
      <c r="XEY103" s="1"/>
      <c r="XEZ103" s="1"/>
      <c r="XFA103" s="1"/>
      <c r="XFB103" s="1"/>
      <c r="XFC103" s="1"/>
    </row>
    <row r="104" spans="1:150 16226:16383" s="3" customFormat="1" ht="20.25" customHeight="1" x14ac:dyDescent="0.3">
      <c r="A104" s="81">
        <v>4</v>
      </c>
      <c r="B104" s="81"/>
      <c r="C104" s="50" t="s">
        <v>309</v>
      </c>
      <c r="D104" s="50" t="s">
        <v>310</v>
      </c>
      <c r="E104" s="6">
        <f>(3.205*5.475+2.875*2.275+3.2*3.86+2.9*3.65+2.45*1.625+2.45*1.525+0.6*2.31+0.6*1.7+0.9*3.4+2.6*1.105)*(10.764)</f>
        <v>679.00926600000003</v>
      </c>
      <c r="F104" s="6">
        <f>(1.325*3.205+2.28*1.1+1.6*0.7)*(10.764)</f>
        <v>84.762463499999996</v>
      </c>
      <c r="G104" s="6">
        <f>(3.2*0.38+1.9*0.5+0.7*0.6+3.5*0.6+0.6*6)*(10.764)</f>
        <v>89.19050399999999</v>
      </c>
      <c r="H104" s="6">
        <f t="shared" si="3"/>
        <v>852.96223350000002</v>
      </c>
      <c r="I104" s="1"/>
      <c r="J104" s="1"/>
      <c r="K104" s="1"/>
      <c r="L104" s="1"/>
      <c r="M104" s="1"/>
      <c r="N104" s="1"/>
      <c r="O104" s="1"/>
      <c r="P104" s="1"/>
      <c r="Q104" s="1"/>
      <c r="R104" s="1"/>
      <c r="S104" s="1"/>
      <c r="T104" s="23" t="str">
        <f t="shared" ca="1" si="2"/>
        <v>104,..,104</v>
      </c>
      <c r="U104" s="23">
        <f t="shared" ca="1" si="4"/>
        <v>104</v>
      </c>
      <c r="V104" s="23">
        <f t="shared" ca="1" si="5"/>
        <v>104</v>
      </c>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WZB104" s="1"/>
      <c r="WZC104" s="1"/>
      <c r="WZD104" s="1"/>
      <c r="WZE104" s="1"/>
      <c r="WZF104" s="1"/>
      <c r="WZG104" s="1"/>
      <c r="WZH104" s="1"/>
      <c r="WZI104" s="1"/>
      <c r="WZJ104" s="1"/>
      <c r="WZK104" s="1"/>
      <c r="WZL104" s="1"/>
      <c r="WZM104" s="1"/>
      <c r="WZN104" s="1"/>
      <c r="WZO104" s="1"/>
      <c r="WZP104" s="1"/>
      <c r="WZQ104" s="1"/>
      <c r="WZR104" s="1"/>
      <c r="WZS104" s="1"/>
      <c r="WZT104" s="1"/>
      <c r="WZU104" s="1"/>
      <c r="WZV104" s="1"/>
      <c r="WZW104" s="1"/>
      <c r="WZX104" s="1"/>
      <c r="WZY104" s="1"/>
      <c r="WZZ104" s="1"/>
      <c r="XAA104" s="1"/>
      <c r="XAB104" s="1"/>
      <c r="XAC104" s="1"/>
      <c r="XAD104" s="1"/>
      <c r="XAE104" s="1"/>
      <c r="XAF104" s="1"/>
      <c r="XAG104" s="1"/>
      <c r="XAH104" s="1"/>
      <c r="XAI104" s="1"/>
      <c r="XAJ104" s="1"/>
      <c r="XAK104" s="1"/>
      <c r="XAL104" s="1"/>
      <c r="XAM104" s="1"/>
      <c r="XAN104" s="1"/>
      <c r="XAO104" s="1"/>
      <c r="XAP104" s="1"/>
      <c r="XAQ104" s="1"/>
      <c r="XAR104" s="1"/>
      <c r="XAS104" s="1"/>
      <c r="XAT104" s="1"/>
      <c r="XAU104" s="1"/>
      <c r="XAV104" s="1"/>
      <c r="XAW104" s="1"/>
      <c r="XAX104" s="1"/>
      <c r="XAY104" s="1"/>
      <c r="XAZ104" s="1"/>
      <c r="XBA104" s="1"/>
      <c r="XBB104" s="1"/>
      <c r="XBC104" s="1"/>
      <c r="XBD104" s="1"/>
      <c r="XBE104" s="1"/>
      <c r="XBF104" s="1"/>
      <c r="XBG104" s="1"/>
      <c r="XBH104" s="1"/>
      <c r="XBI104" s="1"/>
      <c r="XBJ104" s="1"/>
      <c r="XBK104" s="1"/>
      <c r="XBL104" s="1"/>
      <c r="XBM104" s="1"/>
      <c r="XBN104" s="1"/>
      <c r="XBO104" s="1"/>
      <c r="XBP104" s="1"/>
      <c r="XBQ104" s="1"/>
      <c r="XBR104" s="1"/>
      <c r="XBS104" s="1"/>
      <c r="XBT104" s="1"/>
      <c r="XBU104" s="1"/>
      <c r="XBV104" s="1"/>
      <c r="XBW104" s="1"/>
      <c r="XBX104" s="1"/>
      <c r="XBY104" s="1"/>
      <c r="XBZ104" s="1"/>
      <c r="XCA104" s="1"/>
      <c r="XCB104" s="1"/>
      <c r="XCC104" s="1"/>
      <c r="XCD104" s="1"/>
      <c r="XCE104" s="1"/>
      <c r="XCF104" s="1"/>
      <c r="XCG104" s="1"/>
      <c r="XCH104" s="1"/>
      <c r="XCI104" s="1"/>
      <c r="XCJ104" s="1"/>
      <c r="XCK104" s="1"/>
      <c r="XCL104" s="1"/>
      <c r="XCM104" s="1"/>
      <c r="XCN104" s="1"/>
      <c r="XCO104" s="1"/>
      <c r="XCP104" s="1"/>
      <c r="XCQ104" s="1"/>
      <c r="XCR104" s="1"/>
      <c r="XCS104" s="1"/>
      <c r="XCT104" s="1"/>
      <c r="XCU104" s="1"/>
      <c r="XCV104" s="1"/>
      <c r="XCW104" s="1"/>
      <c r="XCX104" s="1"/>
      <c r="XCY104" s="1"/>
      <c r="XCZ104" s="1"/>
      <c r="XDA104" s="1"/>
      <c r="XDB104" s="1"/>
      <c r="XDC104" s="1"/>
      <c r="XDD104" s="1"/>
      <c r="XDE104" s="1"/>
      <c r="XDF104" s="1"/>
      <c r="XDG104" s="1"/>
      <c r="XDH104" s="1"/>
      <c r="XDI104" s="1"/>
      <c r="XDJ104" s="1"/>
      <c r="XDK104" s="1"/>
      <c r="XDL104" s="1"/>
      <c r="XDM104" s="1"/>
      <c r="XDN104" s="1"/>
      <c r="XDO104" s="1"/>
      <c r="XDP104" s="1"/>
      <c r="XDQ104" s="1"/>
      <c r="XDR104" s="1"/>
      <c r="XDS104" s="1"/>
      <c r="XDT104" s="1"/>
      <c r="XDU104" s="1"/>
      <c r="XDV104" s="1"/>
      <c r="XDW104" s="1"/>
      <c r="XDX104" s="1"/>
      <c r="XDY104" s="1"/>
      <c r="XDZ104" s="1"/>
      <c r="XEA104" s="1"/>
      <c r="XEB104" s="1"/>
      <c r="XEC104" s="1"/>
      <c r="XED104" s="1"/>
      <c r="XEE104" s="1"/>
      <c r="XEF104" s="1"/>
      <c r="XEG104" s="1"/>
      <c r="XEH104" s="1"/>
      <c r="XEI104" s="1"/>
      <c r="XEJ104" s="1"/>
      <c r="XEK104" s="1"/>
      <c r="XEL104" s="1"/>
      <c r="XEM104" s="1"/>
      <c r="XEN104" s="1"/>
      <c r="XEO104" s="1"/>
      <c r="XEP104" s="1"/>
      <c r="XEQ104" s="1"/>
      <c r="XER104" s="1"/>
      <c r="XES104" s="1"/>
      <c r="XET104" s="1"/>
      <c r="XEU104" s="1"/>
      <c r="XEV104" s="1"/>
      <c r="XEW104" s="1"/>
      <c r="XEX104" s="1"/>
      <c r="XEY104" s="1"/>
      <c r="XEZ104" s="1"/>
      <c r="XFA104" s="1"/>
      <c r="XFB104" s="1"/>
      <c r="XFC104" s="1"/>
    </row>
    <row r="105" spans="1:150 16226:16383" s="3" customFormat="1" ht="20.25" customHeight="1" x14ac:dyDescent="0.3">
      <c r="A105" s="81">
        <v>5</v>
      </c>
      <c r="B105" s="81"/>
      <c r="C105" s="50" t="s">
        <v>309</v>
      </c>
      <c r="D105" s="50" t="s">
        <v>310</v>
      </c>
      <c r="E105" s="6">
        <f>(3.205*5.475+2.875*2.275+3.2*3.86+2.9*3.65+2.45*1.625+2.45*1.525+0.6*2.31+0.6*1.7+0.9*3.4+2.6*1.105)*(10.764)</f>
        <v>679.00926600000003</v>
      </c>
      <c r="F105" s="6">
        <f>(1.325*3.205+2.28*1.1+1.6*0.7)*(10.764)</f>
        <v>84.762463499999996</v>
      </c>
      <c r="G105" s="6">
        <f>(3.2*0.38+1.9*0.5+0.7*0.6+3.5*0.6+0.6*6)*(10.764)</f>
        <v>89.19050399999999</v>
      </c>
      <c r="H105" s="6">
        <f t="shared" si="3"/>
        <v>852.96223350000002</v>
      </c>
      <c r="I105" s="1">
        <f>16500000-(16500000*0.12)</f>
        <v>14520000</v>
      </c>
      <c r="J105" s="1">
        <f>I105/H108</f>
        <v>22299.999614127075</v>
      </c>
      <c r="K105" s="1"/>
      <c r="L105" s="1"/>
      <c r="M105" s="1"/>
      <c r="N105" s="1"/>
      <c r="O105" s="1"/>
      <c r="P105" s="1"/>
      <c r="Q105" s="1"/>
      <c r="R105" s="1"/>
      <c r="S105" s="1"/>
      <c r="T105" s="23" t="str">
        <f t="shared" ca="1" si="2"/>
        <v>105,..,105</v>
      </c>
      <c r="U105" s="23">
        <f t="shared" ca="1" si="4"/>
        <v>105</v>
      </c>
      <c r="V105" s="23">
        <f t="shared" ca="1" si="5"/>
        <v>105</v>
      </c>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WZB105" s="1"/>
      <c r="WZC105" s="1"/>
      <c r="WZD105" s="1"/>
      <c r="WZE105" s="1"/>
      <c r="WZF105" s="1"/>
      <c r="WZG105" s="1"/>
      <c r="WZH105" s="1"/>
      <c r="WZI105" s="1"/>
      <c r="WZJ105" s="1"/>
      <c r="WZK105" s="1"/>
      <c r="WZL105" s="1"/>
      <c r="WZM105" s="1"/>
      <c r="WZN105" s="1"/>
      <c r="WZO105" s="1"/>
      <c r="WZP105" s="1"/>
      <c r="WZQ105" s="1"/>
      <c r="WZR105" s="1"/>
      <c r="WZS105" s="1"/>
      <c r="WZT105" s="1"/>
      <c r="WZU105" s="1"/>
      <c r="WZV105" s="1"/>
      <c r="WZW105" s="1"/>
      <c r="WZX105" s="1"/>
      <c r="WZY105" s="1"/>
      <c r="WZZ105" s="1"/>
      <c r="XAA105" s="1"/>
      <c r="XAB105" s="1"/>
      <c r="XAC105" s="1"/>
      <c r="XAD105" s="1"/>
      <c r="XAE105" s="1"/>
      <c r="XAF105" s="1"/>
      <c r="XAG105" s="1"/>
      <c r="XAH105" s="1"/>
      <c r="XAI105" s="1"/>
      <c r="XAJ105" s="1"/>
      <c r="XAK105" s="1"/>
      <c r="XAL105" s="1"/>
      <c r="XAM105" s="1"/>
      <c r="XAN105" s="1"/>
      <c r="XAO105" s="1"/>
      <c r="XAP105" s="1"/>
      <c r="XAQ105" s="1"/>
      <c r="XAR105" s="1"/>
      <c r="XAS105" s="1"/>
      <c r="XAT105" s="1"/>
      <c r="XAU105" s="1"/>
      <c r="XAV105" s="1"/>
      <c r="XAW105" s="1"/>
      <c r="XAX105" s="1"/>
      <c r="XAY105" s="1"/>
      <c r="XAZ105" s="1"/>
      <c r="XBA105" s="1"/>
      <c r="XBB105" s="1"/>
      <c r="XBC105" s="1"/>
      <c r="XBD105" s="1"/>
      <c r="XBE105" s="1"/>
      <c r="XBF105" s="1"/>
      <c r="XBG105" s="1"/>
      <c r="XBH105" s="1"/>
      <c r="XBI105" s="1"/>
      <c r="XBJ105" s="1"/>
      <c r="XBK105" s="1"/>
      <c r="XBL105" s="1"/>
      <c r="XBM105" s="1"/>
      <c r="XBN105" s="1"/>
      <c r="XBO105" s="1"/>
      <c r="XBP105" s="1"/>
      <c r="XBQ105" s="1"/>
      <c r="XBR105" s="1"/>
      <c r="XBS105" s="1"/>
      <c r="XBT105" s="1"/>
      <c r="XBU105" s="1"/>
      <c r="XBV105" s="1"/>
      <c r="XBW105" s="1"/>
      <c r="XBX105" s="1"/>
      <c r="XBY105" s="1"/>
      <c r="XBZ105" s="1"/>
      <c r="XCA105" s="1"/>
      <c r="XCB105" s="1"/>
      <c r="XCC105" s="1"/>
      <c r="XCD105" s="1"/>
      <c r="XCE105" s="1"/>
      <c r="XCF105" s="1"/>
      <c r="XCG105" s="1"/>
      <c r="XCH105" s="1"/>
      <c r="XCI105" s="1"/>
      <c r="XCJ105" s="1"/>
      <c r="XCK105" s="1"/>
      <c r="XCL105" s="1"/>
      <c r="XCM105" s="1"/>
      <c r="XCN105" s="1"/>
      <c r="XCO105" s="1"/>
      <c r="XCP105" s="1"/>
      <c r="XCQ105" s="1"/>
      <c r="XCR105" s="1"/>
      <c r="XCS105" s="1"/>
      <c r="XCT105" s="1"/>
      <c r="XCU105" s="1"/>
      <c r="XCV105" s="1"/>
      <c r="XCW105" s="1"/>
      <c r="XCX105" s="1"/>
      <c r="XCY105" s="1"/>
      <c r="XCZ105" s="1"/>
      <c r="XDA105" s="1"/>
      <c r="XDB105" s="1"/>
      <c r="XDC105" s="1"/>
      <c r="XDD105" s="1"/>
      <c r="XDE105" s="1"/>
      <c r="XDF105" s="1"/>
      <c r="XDG105" s="1"/>
      <c r="XDH105" s="1"/>
      <c r="XDI105" s="1"/>
      <c r="XDJ105" s="1"/>
      <c r="XDK105" s="1"/>
      <c r="XDL105" s="1"/>
      <c r="XDM105" s="1"/>
      <c r="XDN105" s="1"/>
      <c r="XDO105" s="1"/>
      <c r="XDP105" s="1"/>
      <c r="XDQ105" s="1"/>
      <c r="XDR105" s="1"/>
      <c r="XDS105" s="1"/>
      <c r="XDT105" s="1"/>
      <c r="XDU105" s="1"/>
      <c r="XDV105" s="1"/>
      <c r="XDW105" s="1"/>
      <c r="XDX105" s="1"/>
      <c r="XDY105" s="1"/>
      <c r="XDZ105" s="1"/>
      <c r="XEA105" s="1"/>
      <c r="XEB105" s="1"/>
      <c r="XEC105" s="1"/>
      <c r="XED105" s="1"/>
      <c r="XEE105" s="1"/>
      <c r="XEF105" s="1"/>
      <c r="XEG105" s="1"/>
      <c r="XEH105" s="1"/>
      <c r="XEI105" s="1"/>
      <c r="XEJ105" s="1"/>
      <c r="XEK105" s="1"/>
      <c r="XEL105" s="1"/>
      <c r="XEM105" s="1"/>
      <c r="XEN105" s="1"/>
      <c r="XEO105" s="1"/>
      <c r="XEP105" s="1"/>
      <c r="XEQ105" s="1"/>
      <c r="XER105" s="1"/>
      <c r="XES105" s="1"/>
      <c r="XET105" s="1"/>
      <c r="XEU105" s="1"/>
      <c r="XEV105" s="1"/>
      <c r="XEW105" s="1"/>
      <c r="XEX105" s="1"/>
      <c r="XEY105" s="1"/>
      <c r="XEZ105" s="1"/>
      <c r="XFA105" s="1"/>
      <c r="XFB105" s="1"/>
      <c r="XFC105" s="1"/>
    </row>
    <row r="106" spans="1:150 16226:16383" s="3" customFormat="1" ht="20.25" customHeight="1" x14ac:dyDescent="0.3">
      <c r="A106" s="81">
        <v>6</v>
      </c>
      <c r="B106" s="81"/>
      <c r="C106" s="50" t="s">
        <v>309</v>
      </c>
      <c r="D106" s="50" t="s">
        <v>312</v>
      </c>
      <c r="E106" s="6">
        <f>(4.225*4.15+3.2*3.475+2.45*3.05+3.95*3.2+3.95*3.05+3.05*3.35+2*(2.45*1.5)+1.375*2.275+0.6*2*2+1.7*0.6+1.6*2.9+2.2*1.2)*(10.764)</f>
        <v>992.5417124999999</v>
      </c>
      <c r="F106" s="6">
        <f>(3.63*1.475+2.3*1.325)*(10.764)</f>
        <v>90.436436999999998</v>
      </c>
      <c r="G106" s="6">
        <f>(3.1*0.9+0.45*5.2+2.5*0.65+1.5*0.75+1.4*0.75+2.9*0.8+4.8*0.6+4*0.3+1.4*0.9)*(10.764)</f>
        <v>178.57476</v>
      </c>
      <c r="H106" s="6">
        <f t="shared" si="3"/>
        <v>1172.2655295</v>
      </c>
      <c r="I106" s="1"/>
      <c r="J106" s="1"/>
      <c r="K106" s="1"/>
      <c r="L106" s="1"/>
      <c r="M106" s="1"/>
      <c r="N106" s="1"/>
      <c r="O106" s="1"/>
      <c r="P106" s="1"/>
      <c r="Q106" s="1"/>
      <c r="R106" s="1"/>
      <c r="S106" s="1"/>
      <c r="T106" s="23" t="str">
        <f t="shared" ca="1" si="2"/>
        <v>106,..,106</v>
      </c>
      <c r="U106" s="23">
        <f t="shared" ca="1" si="4"/>
        <v>106</v>
      </c>
      <c r="V106" s="23">
        <f t="shared" ca="1" si="5"/>
        <v>106</v>
      </c>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WZB106" s="1"/>
      <c r="WZC106" s="1"/>
      <c r="WZD106" s="1"/>
      <c r="WZE106" s="1"/>
      <c r="WZF106" s="1"/>
      <c r="WZG106" s="1"/>
      <c r="WZH106" s="1"/>
      <c r="WZI106" s="1"/>
      <c r="WZJ106" s="1"/>
      <c r="WZK106" s="1"/>
      <c r="WZL106" s="1"/>
      <c r="WZM106" s="1"/>
      <c r="WZN106" s="1"/>
      <c r="WZO106" s="1"/>
      <c r="WZP106" s="1"/>
      <c r="WZQ106" s="1"/>
      <c r="WZR106" s="1"/>
      <c r="WZS106" s="1"/>
      <c r="WZT106" s="1"/>
      <c r="WZU106" s="1"/>
      <c r="WZV106" s="1"/>
      <c r="WZW106" s="1"/>
      <c r="WZX106" s="1"/>
      <c r="WZY106" s="1"/>
      <c r="WZZ106" s="1"/>
      <c r="XAA106" s="1"/>
      <c r="XAB106" s="1"/>
      <c r="XAC106" s="1"/>
      <c r="XAD106" s="1"/>
      <c r="XAE106" s="1"/>
      <c r="XAF106" s="1"/>
      <c r="XAG106" s="1"/>
      <c r="XAH106" s="1"/>
      <c r="XAI106" s="1"/>
      <c r="XAJ106" s="1"/>
      <c r="XAK106" s="1"/>
      <c r="XAL106" s="1"/>
      <c r="XAM106" s="1"/>
      <c r="XAN106" s="1"/>
      <c r="XAO106" s="1"/>
      <c r="XAP106" s="1"/>
      <c r="XAQ106" s="1"/>
      <c r="XAR106" s="1"/>
      <c r="XAS106" s="1"/>
      <c r="XAT106" s="1"/>
      <c r="XAU106" s="1"/>
      <c r="XAV106" s="1"/>
      <c r="XAW106" s="1"/>
      <c r="XAX106" s="1"/>
      <c r="XAY106" s="1"/>
      <c r="XAZ106" s="1"/>
      <c r="XBA106" s="1"/>
      <c r="XBB106" s="1"/>
      <c r="XBC106" s="1"/>
      <c r="XBD106" s="1"/>
      <c r="XBE106" s="1"/>
      <c r="XBF106" s="1"/>
      <c r="XBG106" s="1"/>
      <c r="XBH106" s="1"/>
      <c r="XBI106" s="1"/>
      <c r="XBJ106" s="1"/>
      <c r="XBK106" s="1"/>
      <c r="XBL106" s="1"/>
      <c r="XBM106" s="1"/>
      <c r="XBN106" s="1"/>
      <c r="XBO106" s="1"/>
      <c r="XBP106" s="1"/>
      <c r="XBQ106" s="1"/>
      <c r="XBR106" s="1"/>
      <c r="XBS106" s="1"/>
      <c r="XBT106" s="1"/>
      <c r="XBU106" s="1"/>
      <c r="XBV106" s="1"/>
      <c r="XBW106" s="1"/>
      <c r="XBX106" s="1"/>
      <c r="XBY106" s="1"/>
      <c r="XBZ106" s="1"/>
      <c r="XCA106" s="1"/>
      <c r="XCB106" s="1"/>
      <c r="XCC106" s="1"/>
      <c r="XCD106" s="1"/>
      <c r="XCE106" s="1"/>
      <c r="XCF106" s="1"/>
      <c r="XCG106" s="1"/>
      <c r="XCH106" s="1"/>
      <c r="XCI106" s="1"/>
      <c r="XCJ106" s="1"/>
      <c r="XCK106" s="1"/>
      <c r="XCL106" s="1"/>
      <c r="XCM106" s="1"/>
      <c r="XCN106" s="1"/>
      <c r="XCO106" s="1"/>
      <c r="XCP106" s="1"/>
      <c r="XCQ106" s="1"/>
      <c r="XCR106" s="1"/>
      <c r="XCS106" s="1"/>
      <c r="XCT106" s="1"/>
      <c r="XCU106" s="1"/>
      <c r="XCV106" s="1"/>
      <c r="XCW106" s="1"/>
      <c r="XCX106" s="1"/>
      <c r="XCY106" s="1"/>
      <c r="XCZ106" s="1"/>
      <c r="XDA106" s="1"/>
      <c r="XDB106" s="1"/>
      <c r="XDC106" s="1"/>
      <c r="XDD106" s="1"/>
      <c r="XDE106" s="1"/>
      <c r="XDF106" s="1"/>
      <c r="XDG106" s="1"/>
      <c r="XDH106" s="1"/>
      <c r="XDI106" s="1"/>
      <c r="XDJ106" s="1"/>
      <c r="XDK106" s="1"/>
      <c r="XDL106" s="1"/>
      <c r="XDM106" s="1"/>
      <c r="XDN106" s="1"/>
      <c r="XDO106" s="1"/>
      <c r="XDP106" s="1"/>
      <c r="XDQ106" s="1"/>
      <c r="XDR106" s="1"/>
      <c r="XDS106" s="1"/>
      <c r="XDT106" s="1"/>
      <c r="XDU106" s="1"/>
      <c r="XDV106" s="1"/>
      <c r="XDW106" s="1"/>
      <c r="XDX106" s="1"/>
      <c r="XDY106" s="1"/>
      <c r="XDZ106" s="1"/>
      <c r="XEA106" s="1"/>
      <c r="XEB106" s="1"/>
      <c r="XEC106" s="1"/>
      <c r="XED106" s="1"/>
      <c r="XEE106" s="1"/>
      <c r="XEF106" s="1"/>
      <c r="XEG106" s="1"/>
      <c r="XEH106" s="1"/>
      <c r="XEI106" s="1"/>
      <c r="XEJ106" s="1"/>
      <c r="XEK106" s="1"/>
      <c r="XEL106" s="1"/>
      <c r="XEM106" s="1"/>
      <c r="XEN106" s="1"/>
      <c r="XEO106" s="1"/>
      <c r="XEP106" s="1"/>
      <c r="XEQ106" s="1"/>
      <c r="XER106" s="1"/>
      <c r="XES106" s="1"/>
      <c r="XET106" s="1"/>
      <c r="XEU106" s="1"/>
      <c r="XEV106" s="1"/>
      <c r="XEW106" s="1"/>
      <c r="XEX106" s="1"/>
      <c r="XEY106" s="1"/>
      <c r="XEZ106" s="1"/>
      <c r="XFA106" s="1"/>
      <c r="XFB106" s="1"/>
      <c r="XFC106" s="1"/>
    </row>
    <row r="107" spans="1:150 16226:16383" s="3" customFormat="1" ht="21" x14ac:dyDescent="0.3">
      <c r="A107" s="122" t="s">
        <v>313</v>
      </c>
      <c r="B107" s="123"/>
      <c r="C107" s="123"/>
      <c r="D107" s="123"/>
      <c r="E107" s="123"/>
      <c r="F107" s="123"/>
      <c r="G107" s="123"/>
      <c r="H107" s="124"/>
      <c r="I107" s="1">
        <f>3+4+3</f>
        <v>10</v>
      </c>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WZB107" s="1"/>
      <c r="WZC107" s="1"/>
      <c r="WZD107" s="1"/>
      <c r="WZE107" s="1"/>
      <c r="WZF107" s="1"/>
      <c r="WZG107" s="1"/>
      <c r="WZH107" s="1"/>
      <c r="WZI107" s="1"/>
      <c r="WZJ107" s="1"/>
      <c r="WZK107" s="1"/>
      <c r="WZL107" s="1"/>
      <c r="WZM107" s="1"/>
      <c r="WZN107" s="1"/>
      <c r="WZO107" s="1"/>
      <c r="WZP107" s="1"/>
      <c r="WZQ107" s="1"/>
      <c r="WZR107" s="1"/>
      <c r="WZS107" s="1"/>
      <c r="WZT107" s="1"/>
      <c r="WZU107" s="1"/>
      <c r="WZV107" s="1"/>
      <c r="WZW107" s="1"/>
      <c r="WZX107" s="1"/>
      <c r="WZY107" s="1"/>
      <c r="WZZ107" s="1"/>
      <c r="XAA107" s="1"/>
      <c r="XAB107" s="1"/>
      <c r="XAC107" s="1"/>
      <c r="XAD107" s="1"/>
      <c r="XAE107" s="1"/>
      <c r="XAF107" s="1"/>
      <c r="XAG107" s="1"/>
      <c r="XAH107" s="1"/>
      <c r="XAI107" s="1"/>
      <c r="XAJ107" s="1"/>
      <c r="XAK107" s="1"/>
      <c r="XAL107" s="1"/>
      <c r="XAM107" s="1"/>
      <c r="XAN107" s="1"/>
      <c r="XAO107" s="1"/>
      <c r="XAP107" s="1"/>
      <c r="XAQ107" s="1"/>
      <c r="XAR107" s="1"/>
      <c r="XAS107" s="1"/>
      <c r="XAT107" s="1"/>
      <c r="XAU107" s="1"/>
      <c r="XAV107" s="1"/>
      <c r="XAW107" s="1"/>
      <c r="XAX107" s="1"/>
      <c r="XAY107" s="1"/>
      <c r="XAZ107" s="1"/>
      <c r="XBA107" s="1"/>
      <c r="XBB107" s="1"/>
      <c r="XBC107" s="1"/>
      <c r="XBD107" s="1"/>
      <c r="XBE107" s="1"/>
      <c r="XBF107" s="1"/>
      <c r="XBG107" s="1"/>
      <c r="XBH107" s="1"/>
      <c r="XBI107" s="1"/>
      <c r="XBJ107" s="1"/>
      <c r="XBK107" s="1"/>
      <c r="XBL107" s="1"/>
      <c r="XBM107" s="1"/>
      <c r="XBN107" s="1"/>
      <c r="XBO107" s="1"/>
      <c r="XBP107" s="1"/>
      <c r="XBQ107" s="1"/>
      <c r="XBR107" s="1"/>
      <c r="XBS107" s="1"/>
      <c r="XBT107" s="1"/>
      <c r="XBU107" s="1"/>
      <c r="XBV107" s="1"/>
      <c r="XBW107" s="1"/>
      <c r="XBX107" s="1"/>
      <c r="XBY107" s="1"/>
      <c r="XBZ107" s="1"/>
      <c r="XCA107" s="1"/>
      <c r="XCB107" s="1"/>
      <c r="XCC107" s="1"/>
      <c r="XCD107" s="1"/>
      <c r="XCE107" s="1"/>
      <c r="XCF107" s="1"/>
      <c r="XCG107" s="1"/>
      <c r="XCH107" s="1"/>
      <c r="XCI107" s="1"/>
      <c r="XCJ107" s="1"/>
      <c r="XCK107" s="1"/>
      <c r="XCL107" s="1"/>
      <c r="XCM107" s="1"/>
      <c r="XCN107" s="1"/>
      <c r="XCO107" s="1"/>
      <c r="XCP107" s="1"/>
      <c r="XCQ107" s="1"/>
      <c r="XCR107" s="1"/>
      <c r="XCS107" s="1"/>
      <c r="XCT107" s="1"/>
      <c r="XCU107" s="1"/>
      <c r="XCV107" s="1"/>
      <c r="XCW107" s="1"/>
      <c r="XCX107" s="1"/>
      <c r="XCY107" s="1"/>
      <c r="XCZ107" s="1"/>
      <c r="XDA107" s="1"/>
      <c r="XDB107" s="1"/>
      <c r="XDC107" s="1"/>
      <c r="XDD107" s="1"/>
      <c r="XDE107" s="1"/>
      <c r="XDF107" s="1"/>
      <c r="XDG107" s="1"/>
      <c r="XDH107" s="1"/>
      <c r="XDI107" s="1"/>
      <c r="XDJ107" s="1"/>
      <c r="XDK107" s="1"/>
      <c r="XDL107" s="1"/>
      <c r="XDM107" s="1"/>
      <c r="XDN107" s="1"/>
      <c r="XDO107" s="1"/>
      <c r="XDP107" s="1"/>
      <c r="XDQ107" s="1"/>
      <c r="XDR107" s="1"/>
      <c r="XDS107" s="1"/>
      <c r="XDT107" s="1"/>
      <c r="XDU107" s="1"/>
      <c r="XDV107" s="1"/>
      <c r="XDW107" s="1"/>
      <c r="XDX107" s="1"/>
      <c r="XDY107" s="1"/>
      <c r="XDZ107" s="1"/>
      <c r="XEA107" s="1"/>
      <c r="XEB107" s="1"/>
      <c r="XEC107" s="1"/>
      <c r="XED107" s="1"/>
      <c r="XEE107" s="1"/>
      <c r="XEF107" s="1"/>
      <c r="XEG107" s="1"/>
      <c r="XEH107" s="1"/>
      <c r="XEI107" s="1"/>
      <c r="XEJ107" s="1"/>
      <c r="XEK107" s="1"/>
      <c r="XEL107" s="1"/>
      <c r="XEM107" s="1"/>
      <c r="XEN107" s="1"/>
      <c r="XEO107" s="1"/>
      <c r="XEP107" s="1"/>
      <c r="XEQ107" s="1"/>
      <c r="XER107" s="1"/>
      <c r="XES107" s="1"/>
      <c r="XET107" s="1"/>
      <c r="XEU107" s="1"/>
      <c r="XEV107" s="1"/>
      <c r="XEW107" s="1"/>
      <c r="XEX107" s="1"/>
      <c r="XEY107" s="1"/>
      <c r="XEZ107" s="1"/>
      <c r="XFA107" s="1"/>
      <c r="XFB107" s="1"/>
      <c r="XFC107" s="1"/>
    </row>
    <row r="108" spans="1:150 16226:16383" s="3" customFormat="1" ht="20.25" customHeight="1" x14ac:dyDescent="0.3">
      <c r="A108" s="81">
        <v>1</v>
      </c>
      <c r="B108" s="81"/>
      <c r="C108" s="50" t="s">
        <v>309</v>
      </c>
      <c r="D108" s="50" t="s">
        <v>310</v>
      </c>
      <c r="E108" s="6">
        <f>(3.175*4.6+2.135*2.125+3.15*3.65+3.225*3.35+2*(2.275*1.375)+0.6*(1.9+1.9)+1.1*2.6+3.6*0.9+1.45*2.125)*(10.764)</f>
        <v>636.80496749999998</v>
      </c>
      <c r="F108" s="6">
        <f>(1.9*0.7)*(10.764)</f>
        <v>14.316119999999998</v>
      </c>
      <c r="G108" s="6">
        <v>0</v>
      </c>
      <c r="H108" s="6">
        <f>E108+F108+(IF(G108&lt;101,G108,IF(G108&lt;201,G108/2,IF(G108&lt;=301,G108/3,G108/4))))</f>
        <v>651.12108749999993</v>
      </c>
      <c r="I108" s="1">
        <f>16500000/H108</f>
        <v>25340.908652417133</v>
      </c>
      <c r="J108" s="1"/>
      <c r="K108" s="1"/>
      <c r="L108" s="1"/>
      <c r="M108" s="1"/>
      <c r="N108" s="1"/>
      <c r="O108" s="1"/>
      <c r="P108" s="1"/>
      <c r="Q108" s="1"/>
      <c r="R108" s="1"/>
      <c r="S108" s="1"/>
      <c r="T108" s="23" t="str">
        <f ca="1">U108&amp;""&amp;" to "&amp;""&amp;V108</f>
        <v>201 to 1301</v>
      </c>
      <c r="U108" s="23">
        <f ca="1">(SUMPRODUCT(MID(0&amp;(LEFT(A107,SUM(LEN(A107)-LEN(SUBSTITUTE(A107,{"0","1","2","3"},""))))), LARGE(INDEX(ISNUMBER(--MID((LEFT(A107,SUM(LEN(A107)-LEN(SUBSTITUTE(A107,{"0","1","2","3"},""))))), ROW(INDIRECT("1:"&amp;LEN((LEFT(A107,SUM(LEN(A107)-LEN(SUBSTITUTE(A107,{"0","1","2","3"},"")))))))), 1)) * ROW(INDIRECT("1:"&amp;LEN((LEFT(A107,SUM(LEN(A107)-LEN(SUBSTITUTE(A107,{"0","1","2","3"},"")))))))), 0), ROW(INDIRECT("1:"&amp;LEN((LEFT(A107,SUM(LEN(A107)-LEN(SUBSTITUTE(A107,{"0","1","2","3"},"")))))))))+1, 1) * 10^ROW(INDIRECT("1:"&amp;LEN((LEFT(A107,SUM(LEN(A107)-LEN(SUBSTITUTE(A107,{"0","1","2","3"},""))))))))/10))*100+1</f>
        <v>201</v>
      </c>
      <c r="V108" s="23">
        <f ca="1">(SUMPRODUCT(MID(0&amp;(--TRIM(RIGHT(SUBSTITUTE(LEFT(A107,_xlfn.AGGREGATE(16,6,FIND({0,1,2,3,4,5,6,7,8,9},A107,ROW(INDIRECT("1:"&amp;LEN(A107)))),1))," ",REPT(" ",LEN(A107))),LEN(A107)))), LARGE(INDEX(ISNUMBER(--MID((--TRIM(RIGHT(SUBSTITUTE(LEFT(A107,_xlfn.AGGREGATE(16,6,FIND({0,1,2,3,4,5,6,7,8,9},A107,ROW(INDIRECT("1:"&amp;LEN(A107)))),1))," ",REPT(" ",LEN(A107))),LEN(A107)))), ROW(INDIRECT("1:"&amp;LEN((--TRIM(RIGHT(SUBSTITUTE(LEFT(A107,_xlfn.AGGREGATE(16,6,FIND({0,1,2,3,4,5,6,7,8,9},A107,ROW(INDIRECT("1:"&amp;LEN(A107)))),1))," ",REPT(" ",LEN(A107))),LEN(A107))))))), 1)) * ROW(INDIRECT("1:"&amp;LEN((--TRIM(RIGHT(SUBSTITUTE(LEFT(A107,_xlfn.AGGREGATE(16,6,FIND({0,1,2,3,4,5,6,7,8,9},A107,ROW(INDIRECT("1:"&amp;LEN(A107)))),1))," ",REPT(" ",LEN(A107))),LEN(A107))))))), 0), ROW(INDIRECT("1:"&amp;LEN((--TRIM(RIGHT(SUBSTITUTE(LEFT(A107,_xlfn.AGGREGATE(16,6,FIND({0,1,2,3,4,5,6,7,8,9},A107,ROW(INDIRECT("1:"&amp;LEN(A107)))),1))," ",REPT(" ",LEN(A107))),LEN(A107))))))))+1, 1) * 10^ROW(INDIRECT("1:"&amp;LEN((--TRIM(RIGHT(SUBSTITUTE(LEFT(A107,_xlfn.AGGREGATE(16,6,FIND({0,1,2,3,4,5,6,7,8,9},A107,ROW(INDIRECT("1:"&amp;LEN(A107)))),1))," ",REPT(" ",LEN(A107))),LEN(A107)))))))/10))*100+1</f>
        <v>1301</v>
      </c>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WZB108" s="1"/>
      <c r="WZC108" s="1"/>
      <c r="WZD108" s="1"/>
      <c r="WZE108" s="1"/>
      <c r="WZF108" s="1"/>
      <c r="WZG108" s="1"/>
      <c r="WZH108" s="1"/>
      <c r="WZI108" s="1"/>
      <c r="WZJ108" s="1"/>
      <c r="WZK108" s="1"/>
      <c r="WZL108" s="1"/>
      <c r="WZM108" s="1"/>
      <c r="WZN108" s="1"/>
      <c r="WZO108" s="1"/>
      <c r="WZP108" s="1"/>
      <c r="WZQ108" s="1"/>
      <c r="WZR108" s="1"/>
      <c r="WZS108" s="1"/>
      <c r="WZT108" s="1"/>
      <c r="WZU108" s="1"/>
      <c r="WZV108" s="1"/>
      <c r="WZW108" s="1"/>
      <c r="WZX108" s="1"/>
      <c r="WZY108" s="1"/>
      <c r="WZZ108" s="1"/>
      <c r="XAA108" s="1"/>
      <c r="XAB108" s="1"/>
      <c r="XAC108" s="1"/>
      <c r="XAD108" s="1"/>
      <c r="XAE108" s="1"/>
      <c r="XAF108" s="1"/>
      <c r="XAG108" s="1"/>
      <c r="XAH108" s="1"/>
      <c r="XAI108" s="1"/>
      <c r="XAJ108" s="1"/>
      <c r="XAK108" s="1"/>
      <c r="XAL108" s="1"/>
      <c r="XAM108" s="1"/>
      <c r="XAN108" s="1"/>
      <c r="XAO108" s="1"/>
      <c r="XAP108" s="1"/>
      <c r="XAQ108" s="1"/>
      <c r="XAR108" s="1"/>
      <c r="XAS108" s="1"/>
      <c r="XAT108" s="1"/>
      <c r="XAU108" s="1"/>
      <c r="XAV108" s="1"/>
      <c r="XAW108" s="1"/>
      <c r="XAX108" s="1"/>
      <c r="XAY108" s="1"/>
      <c r="XAZ108" s="1"/>
      <c r="XBA108" s="1"/>
      <c r="XBB108" s="1"/>
      <c r="XBC108" s="1"/>
      <c r="XBD108" s="1"/>
      <c r="XBE108" s="1"/>
      <c r="XBF108" s="1"/>
      <c r="XBG108" s="1"/>
      <c r="XBH108" s="1"/>
      <c r="XBI108" s="1"/>
      <c r="XBJ108" s="1"/>
      <c r="XBK108" s="1"/>
      <c r="XBL108" s="1"/>
      <c r="XBM108" s="1"/>
      <c r="XBN108" s="1"/>
      <c r="XBO108" s="1"/>
      <c r="XBP108" s="1"/>
      <c r="XBQ108" s="1"/>
      <c r="XBR108" s="1"/>
      <c r="XBS108" s="1"/>
      <c r="XBT108" s="1"/>
      <c r="XBU108" s="1"/>
      <c r="XBV108" s="1"/>
      <c r="XBW108" s="1"/>
      <c r="XBX108" s="1"/>
      <c r="XBY108" s="1"/>
      <c r="XBZ108" s="1"/>
      <c r="XCA108" s="1"/>
      <c r="XCB108" s="1"/>
      <c r="XCC108" s="1"/>
      <c r="XCD108" s="1"/>
      <c r="XCE108" s="1"/>
      <c r="XCF108" s="1"/>
      <c r="XCG108" s="1"/>
      <c r="XCH108" s="1"/>
      <c r="XCI108" s="1"/>
      <c r="XCJ108" s="1"/>
      <c r="XCK108" s="1"/>
      <c r="XCL108" s="1"/>
      <c r="XCM108" s="1"/>
      <c r="XCN108" s="1"/>
      <c r="XCO108" s="1"/>
      <c r="XCP108" s="1"/>
      <c r="XCQ108" s="1"/>
      <c r="XCR108" s="1"/>
      <c r="XCS108" s="1"/>
      <c r="XCT108" s="1"/>
      <c r="XCU108" s="1"/>
      <c r="XCV108" s="1"/>
      <c r="XCW108" s="1"/>
      <c r="XCX108" s="1"/>
      <c r="XCY108" s="1"/>
      <c r="XCZ108" s="1"/>
      <c r="XDA108" s="1"/>
      <c r="XDB108" s="1"/>
      <c r="XDC108" s="1"/>
      <c r="XDD108" s="1"/>
      <c r="XDE108" s="1"/>
      <c r="XDF108" s="1"/>
      <c r="XDG108" s="1"/>
      <c r="XDH108" s="1"/>
      <c r="XDI108" s="1"/>
      <c r="XDJ108" s="1"/>
      <c r="XDK108" s="1"/>
      <c r="XDL108" s="1"/>
      <c r="XDM108" s="1"/>
      <c r="XDN108" s="1"/>
      <c r="XDO108" s="1"/>
      <c r="XDP108" s="1"/>
      <c r="XDQ108" s="1"/>
      <c r="XDR108" s="1"/>
      <c r="XDS108" s="1"/>
      <c r="XDT108" s="1"/>
      <c r="XDU108" s="1"/>
      <c r="XDV108" s="1"/>
      <c r="XDW108" s="1"/>
      <c r="XDX108" s="1"/>
      <c r="XDY108" s="1"/>
      <c r="XDZ108" s="1"/>
      <c r="XEA108" s="1"/>
      <c r="XEB108" s="1"/>
      <c r="XEC108" s="1"/>
      <c r="XED108" s="1"/>
      <c r="XEE108" s="1"/>
      <c r="XEF108" s="1"/>
      <c r="XEG108" s="1"/>
      <c r="XEH108" s="1"/>
      <c r="XEI108" s="1"/>
      <c r="XEJ108" s="1"/>
      <c r="XEK108" s="1"/>
      <c r="XEL108" s="1"/>
      <c r="XEM108" s="1"/>
      <c r="XEN108" s="1"/>
      <c r="XEO108" s="1"/>
      <c r="XEP108" s="1"/>
      <c r="XEQ108" s="1"/>
      <c r="XER108" s="1"/>
      <c r="XES108" s="1"/>
      <c r="XET108" s="1"/>
      <c r="XEU108" s="1"/>
      <c r="XEV108" s="1"/>
      <c r="XEW108" s="1"/>
      <c r="XEX108" s="1"/>
      <c r="XEY108" s="1"/>
      <c r="XEZ108" s="1"/>
      <c r="XFA108" s="1"/>
      <c r="XFB108" s="1"/>
      <c r="XFC108" s="1"/>
    </row>
    <row r="109" spans="1:150 16226:16383" s="3" customFormat="1" ht="20.25" customHeight="1" x14ac:dyDescent="0.3">
      <c r="A109" s="81">
        <v>2</v>
      </c>
      <c r="B109" s="81"/>
      <c r="C109" s="50" t="s">
        <v>309</v>
      </c>
      <c r="D109" s="50" t="s">
        <v>310</v>
      </c>
      <c r="E109" s="6">
        <f>(3.175*4.6+2.135*2.125+3.15*3.65+3.225*3.35+2*(2.275*1.375)+0.6*(1.9+1.9)+1.1*2.6+3.6*0.9+1.45*2.125)*(10.764)</f>
        <v>636.80496749999998</v>
      </c>
      <c r="F109" s="6">
        <f>(1.9*0.7)*(10.764)</f>
        <v>14.316119999999998</v>
      </c>
      <c r="G109" s="6">
        <v>0</v>
      </c>
      <c r="H109" s="6">
        <f t="shared" ref="H109:H113" si="6">E109+F109+(IF(G109&lt;101,G109,IF(G109&lt;201,G109/2,IF(G109&lt;=301,G109/3,G109/4))))</f>
        <v>651.12108749999993</v>
      </c>
      <c r="I109" s="1">
        <f>15700000/H109</f>
        <v>24112.2585359363</v>
      </c>
      <c r="J109" s="1"/>
      <c r="K109" s="1"/>
      <c r="L109" s="1"/>
      <c r="M109" s="1"/>
      <c r="N109" s="1"/>
      <c r="O109" s="1"/>
      <c r="P109" s="1"/>
      <c r="Q109" s="1"/>
      <c r="R109" s="1"/>
      <c r="S109" s="1"/>
      <c r="T109" s="23" t="str">
        <f t="shared" ref="T109:T113" ca="1" si="7">U109&amp;""&amp;" to "&amp;""&amp;V109</f>
        <v>202 to 1302</v>
      </c>
      <c r="U109" s="23">
        <f ca="1">U108+1</f>
        <v>202</v>
      </c>
      <c r="V109" s="23">
        <f ca="1">V108+1</f>
        <v>1302</v>
      </c>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WZB109" s="1"/>
      <c r="WZC109" s="1"/>
      <c r="WZD109" s="1"/>
      <c r="WZE109" s="1"/>
      <c r="WZF109" s="1"/>
      <c r="WZG109" s="1"/>
      <c r="WZH109" s="1"/>
      <c r="WZI109" s="1"/>
      <c r="WZJ109" s="1"/>
      <c r="WZK109" s="1"/>
      <c r="WZL109" s="1"/>
      <c r="WZM109" s="1"/>
      <c r="WZN109" s="1"/>
      <c r="WZO109" s="1"/>
      <c r="WZP109" s="1"/>
      <c r="WZQ109" s="1"/>
      <c r="WZR109" s="1"/>
      <c r="WZS109" s="1"/>
      <c r="WZT109" s="1"/>
      <c r="WZU109" s="1"/>
      <c r="WZV109" s="1"/>
      <c r="WZW109" s="1"/>
      <c r="WZX109" s="1"/>
      <c r="WZY109" s="1"/>
      <c r="WZZ109" s="1"/>
      <c r="XAA109" s="1"/>
      <c r="XAB109" s="1"/>
      <c r="XAC109" s="1"/>
      <c r="XAD109" s="1"/>
      <c r="XAE109" s="1"/>
      <c r="XAF109" s="1"/>
      <c r="XAG109" s="1"/>
      <c r="XAH109" s="1"/>
      <c r="XAI109" s="1"/>
      <c r="XAJ109" s="1"/>
      <c r="XAK109" s="1"/>
      <c r="XAL109" s="1"/>
      <c r="XAM109" s="1"/>
      <c r="XAN109" s="1"/>
      <c r="XAO109" s="1"/>
      <c r="XAP109" s="1"/>
      <c r="XAQ109" s="1"/>
      <c r="XAR109" s="1"/>
      <c r="XAS109" s="1"/>
      <c r="XAT109" s="1"/>
      <c r="XAU109" s="1"/>
      <c r="XAV109" s="1"/>
      <c r="XAW109" s="1"/>
      <c r="XAX109" s="1"/>
      <c r="XAY109" s="1"/>
      <c r="XAZ109" s="1"/>
      <c r="XBA109" s="1"/>
      <c r="XBB109" s="1"/>
      <c r="XBC109" s="1"/>
      <c r="XBD109" s="1"/>
      <c r="XBE109" s="1"/>
      <c r="XBF109" s="1"/>
      <c r="XBG109" s="1"/>
      <c r="XBH109" s="1"/>
      <c r="XBI109" s="1"/>
      <c r="XBJ109" s="1"/>
      <c r="XBK109" s="1"/>
      <c r="XBL109" s="1"/>
      <c r="XBM109" s="1"/>
      <c r="XBN109" s="1"/>
      <c r="XBO109" s="1"/>
      <c r="XBP109" s="1"/>
      <c r="XBQ109" s="1"/>
      <c r="XBR109" s="1"/>
      <c r="XBS109" s="1"/>
      <c r="XBT109" s="1"/>
      <c r="XBU109" s="1"/>
      <c r="XBV109" s="1"/>
      <c r="XBW109" s="1"/>
      <c r="XBX109" s="1"/>
      <c r="XBY109" s="1"/>
      <c r="XBZ109" s="1"/>
      <c r="XCA109" s="1"/>
      <c r="XCB109" s="1"/>
      <c r="XCC109" s="1"/>
      <c r="XCD109" s="1"/>
      <c r="XCE109" s="1"/>
      <c r="XCF109" s="1"/>
      <c r="XCG109" s="1"/>
      <c r="XCH109" s="1"/>
      <c r="XCI109" s="1"/>
      <c r="XCJ109" s="1"/>
      <c r="XCK109" s="1"/>
      <c r="XCL109" s="1"/>
      <c r="XCM109" s="1"/>
      <c r="XCN109" s="1"/>
      <c r="XCO109" s="1"/>
      <c r="XCP109" s="1"/>
      <c r="XCQ109" s="1"/>
      <c r="XCR109" s="1"/>
      <c r="XCS109" s="1"/>
      <c r="XCT109" s="1"/>
      <c r="XCU109" s="1"/>
      <c r="XCV109" s="1"/>
      <c r="XCW109" s="1"/>
      <c r="XCX109" s="1"/>
      <c r="XCY109" s="1"/>
      <c r="XCZ109" s="1"/>
      <c r="XDA109" s="1"/>
      <c r="XDB109" s="1"/>
      <c r="XDC109" s="1"/>
      <c r="XDD109" s="1"/>
      <c r="XDE109" s="1"/>
      <c r="XDF109" s="1"/>
      <c r="XDG109" s="1"/>
      <c r="XDH109" s="1"/>
      <c r="XDI109" s="1"/>
      <c r="XDJ109" s="1"/>
      <c r="XDK109" s="1"/>
      <c r="XDL109" s="1"/>
      <c r="XDM109" s="1"/>
      <c r="XDN109" s="1"/>
      <c r="XDO109" s="1"/>
      <c r="XDP109" s="1"/>
      <c r="XDQ109" s="1"/>
      <c r="XDR109" s="1"/>
      <c r="XDS109" s="1"/>
      <c r="XDT109" s="1"/>
      <c r="XDU109" s="1"/>
      <c r="XDV109" s="1"/>
      <c r="XDW109" s="1"/>
      <c r="XDX109" s="1"/>
      <c r="XDY109" s="1"/>
      <c r="XDZ109" s="1"/>
      <c r="XEA109" s="1"/>
      <c r="XEB109" s="1"/>
      <c r="XEC109" s="1"/>
      <c r="XED109" s="1"/>
      <c r="XEE109" s="1"/>
      <c r="XEF109" s="1"/>
      <c r="XEG109" s="1"/>
      <c r="XEH109" s="1"/>
      <c r="XEI109" s="1"/>
      <c r="XEJ109" s="1"/>
      <c r="XEK109" s="1"/>
      <c r="XEL109" s="1"/>
      <c r="XEM109" s="1"/>
      <c r="XEN109" s="1"/>
      <c r="XEO109" s="1"/>
      <c r="XEP109" s="1"/>
      <c r="XEQ109" s="1"/>
      <c r="XER109" s="1"/>
      <c r="XES109" s="1"/>
      <c r="XET109" s="1"/>
      <c r="XEU109" s="1"/>
      <c r="XEV109" s="1"/>
      <c r="XEW109" s="1"/>
      <c r="XEX109" s="1"/>
      <c r="XEY109" s="1"/>
      <c r="XEZ109" s="1"/>
      <c r="XFA109" s="1"/>
      <c r="XFB109" s="1"/>
      <c r="XFC109" s="1"/>
    </row>
    <row r="110" spans="1:150 16226:16383" s="3" customFormat="1" ht="20.25" customHeight="1" x14ac:dyDescent="0.3">
      <c r="A110" s="81">
        <v>3</v>
      </c>
      <c r="B110" s="81"/>
      <c r="C110" s="50" t="s">
        <v>309</v>
      </c>
      <c r="D110" s="50" t="s">
        <v>312</v>
      </c>
      <c r="E110" s="6">
        <f>(4.225*4.15+3.2*3.475+2.45*3.05+3.95*3.2+3.95*3.05+3.05*3.35+2*(2.45*1.5)+1.375*2.275+0.6*2*2+1.7*0.6+1.6*2.9+2.2*1.2)*(10.764)</f>
        <v>992.5417124999999</v>
      </c>
      <c r="F110" s="6">
        <f>(3.63*1.475+2.3*1.325)*(10.764)</f>
        <v>90.436436999999998</v>
      </c>
      <c r="G110" s="6">
        <v>0</v>
      </c>
      <c r="H110" s="6">
        <f t="shared" si="6"/>
        <v>1082.9781495</v>
      </c>
      <c r="I110" s="1"/>
      <c r="J110" s="1"/>
      <c r="K110" s="1"/>
      <c r="L110" s="1"/>
      <c r="M110" s="1"/>
      <c r="N110" s="1"/>
      <c r="O110" s="1"/>
      <c r="P110" s="1"/>
      <c r="Q110" s="1"/>
      <c r="R110" s="1"/>
      <c r="S110" s="1"/>
      <c r="T110" s="23" t="str">
        <f t="shared" ca="1" si="7"/>
        <v>203 to 1303</v>
      </c>
      <c r="U110" s="23">
        <f t="shared" ref="U110:U113" ca="1" si="8">U109+1</f>
        <v>203</v>
      </c>
      <c r="V110" s="23">
        <f t="shared" ref="V110:V113" ca="1" si="9">V109+1</f>
        <v>1303</v>
      </c>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WZB110" s="1"/>
      <c r="WZC110" s="1"/>
      <c r="WZD110" s="1"/>
      <c r="WZE110" s="1"/>
      <c r="WZF110" s="1"/>
      <c r="WZG110" s="1"/>
      <c r="WZH110" s="1"/>
      <c r="WZI110" s="1"/>
      <c r="WZJ110" s="1"/>
      <c r="WZK110" s="1"/>
      <c r="WZL110" s="1"/>
      <c r="WZM110" s="1"/>
      <c r="WZN110" s="1"/>
      <c r="WZO110" s="1"/>
      <c r="WZP110" s="1"/>
      <c r="WZQ110" s="1"/>
      <c r="WZR110" s="1"/>
      <c r="WZS110" s="1"/>
      <c r="WZT110" s="1"/>
      <c r="WZU110" s="1"/>
      <c r="WZV110" s="1"/>
      <c r="WZW110" s="1"/>
      <c r="WZX110" s="1"/>
      <c r="WZY110" s="1"/>
      <c r="WZZ110" s="1"/>
      <c r="XAA110" s="1"/>
      <c r="XAB110" s="1"/>
      <c r="XAC110" s="1"/>
      <c r="XAD110" s="1"/>
      <c r="XAE110" s="1"/>
      <c r="XAF110" s="1"/>
      <c r="XAG110" s="1"/>
      <c r="XAH110" s="1"/>
      <c r="XAI110" s="1"/>
      <c r="XAJ110" s="1"/>
      <c r="XAK110" s="1"/>
      <c r="XAL110" s="1"/>
      <c r="XAM110" s="1"/>
      <c r="XAN110" s="1"/>
      <c r="XAO110" s="1"/>
      <c r="XAP110" s="1"/>
      <c r="XAQ110" s="1"/>
      <c r="XAR110" s="1"/>
      <c r="XAS110" s="1"/>
      <c r="XAT110" s="1"/>
      <c r="XAU110" s="1"/>
      <c r="XAV110" s="1"/>
      <c r="XAW110" s="1"/>
      <c r="XAX110" s="1"/>
      <c r="XAY110" s="1"/>
      <c r="XAZ110" s="1"/>
      <c r="XBA110" s="1"/>
      <c r="XBB110" s="1"/>
      <c r="XBC110" s="1"/>
      <c r="XBD110" s="1"/>
      <c r="XBE110" s="1"/>
      <c r="XBF110" s="1"/>
      <c r="XBG110" s="1"/>
      <c r="XBH110" s="1"/>
      <c r="XBI110" s="1"/>
      <c r="XBJ110" s="1"/>
      <c r="XBK110" s="1"/>
      <c r="XBL110" s="1"/>
      <c r="XBM110" s="1"/>
      <c r="XBN110" s="1"/>
      <c r="XBO110" s="1"/>
      <c r="XBP110" s="1"/>
      <c r="XBQ110" s="1"/>
      <c r="XBR110" s="1"/>
      <c r="XBS110" s="1"/>
      <c r="XBT110" s="1"/>
      <c r="XBU110" s="1"/>
      <c r="XBV110" s="1"/>
      <c r="XBW110" s="1"/>
      <c r="XBX110" s="1"/>
      <c r="XBY110" s="1"/>
      <c r="XBZ110" s="1"/>
      <c r="XCA110" s="1"/>
      <c r="XCB110" s="1"/>
      <c r="XCC110" s="1"/>
      <c r="XCD110" s="1"/>
      <c r="XCE110" s="1"/>
      <c r="XCF110" s="1"/>
      <c r="XCG110" s="1"/>
      <c r="XCH110" s="1"/>
      <c r="XCI110" s="1"/>
      <c r="XCJ110" s="1"/>
      <c r="XCK110" s="1"/>
      <c r="XCL110" s="1"/>
      <c r="XCM110" s="1"/>
      <c r="XCN110" s="1"/>
      <c r="XCO110" s="1"/>
      <c r="XCP110" s="1"/>
      <c r="XCQ110" s="1"/>
      <c r="XCR110" s="1"/>
      <c r="XCS110" s="1"/>
      <c r="XCT110" s="1"/>
      <c r="XCU110" s="1"/>
      <c r="XCV110" s="1"/>
      <c r="XCW110" s="1"/>
      <c r="XCX110" s="1"/>
      <c r="XCY110" s="1"/>
      <c r="XCZ110" s="1"/>
      <c r="XDA110" s="1"/>
      <c r="XDB110" s="1"/>
      <c r="XDC110" s="1"/>
      <c r="XDD110" s="1"/>
      <c r="XDE110" s="1"/>
      <c r="XDF110" s="1"/>
      <c r="XDG110" s="1"/>
      <c r="XDH110" s="1"/>
      <c r="XDI110" s="1"/>
      <c r="XDJ110" s="1"/>
      <c r="XDK110" s="1"/>
      <c r="XDL110" s="1"/>
      <c r="XDM110" s="1"/>
      <c r="XDN110" s="1"/>
      <c r="XDO110" s="1"/>
      <c r="XDP110" s="1"/>
      <c r="XDQ110" s="1"/>
      <c r="XDR110" s="1"/>
      <c r="XDS110" s="1"/>
      <c r="XDT110" s="1"/>
      <c r="XDU110" s="1"/>
      <c r="XDV110" s="1"/>
      <c r="XDW110" s="1"/>
      <c r="XDX110" s="1"/>
      <c r="XDY110" s="1"/>
      <c r="XDZ110" s="1"/>
      <c r="XEA110" s="1"/>
      <c r="XEB110" s="1"/>
      <c r="XEC110" s="1"/>
      <c r="XED110" s="1"/>
      <c r="XEE110" s="1"/>
      <c r="XEF110" s="1"/>
      <c r="XEG110" s="1"/>
      <c r="XEH110" s="1"/>
      <c r="XEI110" s="1"/>
      <c r="XEJ110" s="1"/>
      <c r="XEK110" s="1"/>
      <c r="XEL110" s="1"/>
      <c r="XEM110" s="1"/>
      <c r="XEN110" s="1"/>
      <c r="XEO110" s="1"/>
      <c r="XEP110" s="1"/>
      <c r="XEQ110" s="1"/>
      <c r="XER110" s="1"/>
      <c r="XES110" s="1"/>
      <c r="XET110" s="1"/>
      <c r="XEU110" s="1"/>
      <c r="XEV110" s="1"/>
      <c r="XEW110" s="1"/>
      <c r="XEX110" s="1"/>
      <c r="XEY110" s="1"/>
      <c r="XEZ110" s="1"/>
      <c r="XFA110" s="1"/>
      <c r="XFB110" s="1"/>
      <c r="XFC110" s="1"/>
    </row>
    <row r="111" spans="1:150 16226:16383" s="3" customFormat="1" ht="20.25" customHeight="1" x14ac:dyDescent="0.3">
      <c r="A111" s="81">
        <v>4</v>
      </c>
      <c r="B111" s="81"/>
      <c r="C111" s="50" t="s">
        <v>309</v>
      </c>
      <c r="D111" s="50" t="s">
        <v>310</v>
      </c>
      <c r="E111" s="6">
        <f>(3.205*5.475+2.875*2.275+3.2*3.86+2.9*3.65+2.45*1.625+2.45*1.525+0.6*2.31+0.6*1.7+0.9*3.4+2.6*1.105)*(10.764)</f>
        <v>679.00926600000003</v>
      </c>
      <c r="F111" s="6">
        <f>(1.325*3.205+2.28*1.1+1.6*0.7)*(10.764)</f>
        <v>84.762463499999996</v>
      </c>
      <c r="G111" s="6">
        <v>0</v>
      </c>
      <c r="H111" s="6">
        <f t="shared" si="6"/>
        <v>763.77172949999999</v>
      </c>
      <c r="I111" s="1"/>
      <c r="J111" s="1"/>
      <c r="K111" s="1"/>
      <c r="L111" s="1"/>
      <c r="M111" s="1"/>
      <c r="N111" s="1"/>
      <c r="O111" s="1"/>
      <c r="P111" s="1"/>
      <c r="Q111" s="1"/>
      <c r="R111" s="1"/>
      <c r="S111" s="1"/>
      <c r="T111" s="23" t="str">
        <f t="shared" ca="1" si="7"/>
        <v>204 to 1304</v>
      </c>
      <c r="U111" s="23">
        <f t="shared" ca="1" si="8"/>
        <v>204</v>
      </c>
      <c r="V111" s="23">
        <f t="shared" ca="1" si="9"/>
        <v>1304</v>
      </c>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WZB111" s="1"/>
      <c r="WZC111" s="1"/>
      <c r="WZD111" s="1"/>
      <c r="WZE111" s="1"/>
      <c r="WZF111" s="1"/>
      <c r="WZG111" s="1"/>
      <c r="WZH111" s="1"/>
      <c r="WZI111" s="1"/>
      <c r="WZJ111" s="1"/>
      <c r="WZK111" s="1"/>
      <c r="WZL111" s="1"/>
      <c r="WZM111" s="1"/>
      <c r="WZN111" s="1"/>
      <c r="WZO111" s="1"/>
      <c r="WZP111" s="1"/>
      <c r="WZQ111" s="1"/>
      <c r="WZR111" s="1"/>
      <c r="WZS111" s="1"/>
      <c r="WZT111" s="1"/>
      <c r="WZU111" s="1"/>
      <c r="WZV111" s="1"/>
      <c r="WZW111" s="1"/>
      <c r="WZX111" s="1"/>
      <c r="WZY111" s="1"/>
      <c r="WZZ111" s="1"/>
      <c r="XAA111" s="1"/>
      <c r="XAB111" s="1"/>
      <c r="XAC111" s="1"/>
      <c r="XAD111" s="1"/>
      <c r="XAE111" s="1"/>
      <c r="XAF111" s="1"/>
      <c r="XAG111" s="1"/>
      <c r="XAH111" s="1"/>
      <c r="XAI111" s="1"/>
      <c r="XAJ111" s="1"/>
      <c r="XAK111" s="1"/>
      <c r="XAL111" s="1"/>
      <c r="XAM111" s="1"/>
      <c r="XAN111" s="1"/>
      <c r="XAO111" s="1"/>
      <c r="XAP111" s="1"/>
      <c r="XAQ111" s="1"/>
      <c r="XAR111" s="1"/>
      <c r="XAS111" s="1"/>
      <c r="XAT111" s="1"/>
      <c r="XAU111" s="1"/>
      <c r="XAV111" s="1"/>
      <c r="XAW111" s="1"/>
      <c r="XAX111" s="1"/>
      <c r="XAY111" s="1"/>
      <c r="XAZ111" s="1"/>
      <c r="XBA111" s="1"/>
      <c r="XBB111" s="1"/>
      <c r="XBC111" s="1"/>
      <c r="XBD111" s="1"/>
      <c r="XBE111" s="1"/>
      <c r="XBF111" s="1"/>
      <c r="XBG111" s="1"/>
      <c r="XBH111" s="1"/>
      <c r="XBI111" s="1"/>
      <c r="XBJ111" s="1"/>
      <c r="XBK111" s="1"/>
      <c r="XBL111" s="1"/>
      <c r="XBM111" s="1"/>
      <c r="XBN111" s="1"/>
      <c r="XBO111" s="1"/>
      <c r="XBP111" s="1"/>
      <c r="XBQ111" s="1"/>
      <c r="XBR111" s="1"/>
      <c r="XBS111" s="1"/>
      <c r="XBT111" s="1"/>
      <c r="XBU111" s="1"/>
      <c r="XBV111" s="1"/>
      <c r="XBW111" s="1"/>
      <c r="XBX111" s="1"/>
      <c r="XBY111" s="1"/>
      <c r="XBZ111" s="1"/>
      <c r="XCA111" s="1"/>
      <c r="XCB111" s="1"/>
      <c r="XCC111" s="1"/>
      <c r="XCD111" s="1"/>
      <c r="XCE111" s="1"/>
      <c r="XCF111" s="1"/>
      <c r="XCG111" s="1"/>
      <c r="XCH111" s="1"/>
      <c r="XCI111" s="1"/>
      <c r="XCJ111" s="1"/>
      <c r="XCK111" s="1"/>
      <c r="XCL111" s="1"/>
      <c r="XCM111" s="1"/>
      <c r="XCN111" s="1"/>
      <c r="XCO111" s="1"/>
      <c r="XCP111" s="1"/>
      <c r="XCQ111" s="1"/>
      <c r="XCR111" s="1"/>
      <c r="XCS111" s="1"/>
      <c r="XCT111" s="1"/>
      <c r="XCU111" s="1"/>
      <c r="XCV111" s="1"/>
      <c r="XCW111" s="1"/>
      <c r="XCX111" s="1"/>
      <c r="XCY111" s="1"/>
      <c r="XCZ111" s="1"/>
      <c r="XDA111" s="1"/>
      <c r="XDB111" s="1"/>
      <c r="XDC111" s="1"/>
      <c r="XDD111" s="1"/>
      <c r="XDE111" s="1"/>
      <c r="XDF111" s="1"/>
      <c r="XDG111" s="1"/>
      <c r="XDH111" s="1"/>
      <c r="XDI111" s="1"/>
      <c r="XDJ111" s="1"/>
      <c r="XDK111" s="1"/>
      <c r="XDL111" s="1"/>
      <c r="XDM111" s="1"/>
      <c r="XDN111" s="1"/>
      <c r="XDO111" s="1"/>
      <c r="XDP111" s="1"/>
      <c r="XDQ111" s="1"/>
      <c r="XDR111" s="1"/>
      <c r="XDS111" s="1"/>
      <c r="XDT111" s="1"/>
      <c r="XDU111" s="1"/>
      <c r="XDV111" s="1"/>
      <c r="XDW111" s="1"/>
      <c r="XDX111" s="1"/>
      <c r="XDY111" s="1"/>
      <c r="XDZ111" s="1"/>
      <c r="XEA111" s="1"/>
      <c r="XEB111" s="1"/>
      <c r="XEC111" s="1"/>
      <c r="XED111" s="1"/>
      <c r="XEE111" s="1"/>
      <c r="XEF111" s="1"/>
      <c r="XEG111" s="1"/>
      <c r="XEH111" s="1"/>
      <c r="XEI111" s="1"/>
      <c r="XEJ111" s="1"/>
      <c r="XEK111" s="1"/>
      <c r="XEL111" s="1"/>
      <c r="XEM111" s="1"/>
      <c r="XEN111" s="1"/>
      <c r="XEO111" s="1"/>
      <c r="XEP111" s="1"/>
      <c r="XEQ111" s="1"/>
      <c r="XER111" s="1"/>
      <c r="XES111" s="1"/>
      <c r="XET111" s="1"/>
      <c r="XEU111" s="1"/>
      <c r="XEV111" s="1"/>
      <c r="XEW111" s="1"/>
      <c r="XEX111" s="1"/>
      <c r="XEY111" s="1"/>
      <c r="XEZ111" s="1"/>
      <c r="XFA111" s="1"/>
      <c r="XFB111" s="1"/>
      <c r="XFC111" s="1"/>
    </row>
    <row r="112" spans="1:150 16226:16383" s="3" customFormat="1" ht="20.25" customHeight="1" x14ac:dyDescent="0.3">
      <c r="A112" s="81">
        <v>5</v>
      </c>
      <c r="B112" s="81"/>
      <c r="C112" s="50" t="s">
        <v>309</v>
      </c>
      <c r="D112" s="50" t="s">
        <v>310</v>
      </c>
      <c r="E112" s="6">
        <f>(3.205*5.475+2.875*2.275+3.2*3.86+2.9*3.65+2.45*1.625+2.45*1.525+0.6*2.31+0.6*1.7+0.9*3.4+2.6*1.105)*(10.764)</f>
        <v>679.00926600000003</v>
      </c>
      <c r="F112" s="6">
        <f>(1.325*3.205+2.28*1.1+1.6*0.7)*(10.764)</f>
        <v>84.762463499999996</v>
      </c>
      <c r="G112" s="6">
        <v>0</v>
      </c>
      <c r="H112" s="6">
        <f t="shared" si="6"/>
        <v>763.77172949999999</v>
      </c>
      <c r="I112" s="1"/>
      <c r="J112" s="1"/>
      <c r="K112" s="1"/>
      <c r="L112" s="1"/>
      <c r="M112" s="1"/>
      <c r="N112" s="1"/>
      <c r="O112" s="1"/>
      <c r="P112" s="1"/>
      <c r="Q112" s="1"/>
      <c r="R112" s="1"/>
      <c r="S112" s="1"/>
      <c r="T112" s="23" t="str">
        <f t="shared" ca="1" si="7"/>
        <v>205 to 1305</v>
      </c>
      <c r="U112" s="23">
        <f t="shared" ca="1" si="8"/>
        <v>205</v>
      </c>
      <c r="V112" s="23">
        <f t="shared" ca="1" si="9"/>
        <v>1305</v>
      </c>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WZB112" s="1"/>
      <c r="WZC112" s="1"/>
      <c r="WZD112" s="1"/>
      <c r="WZE112" s="1"/>
      <c r="WZF112" s="1"/>
      <c r="WZG112" s="1"/>
      <c r="WZH112" s="1"/>
      <c r="WZI112" s="1"/>
      <c r="WZJ112" s="1"/>
      <c r="WZK112" s="1"/>
      <c r="WZL112" s="1"/>
      <c r="WZM112" s="1"/>
      <c r="WZN112" s="1"/>
      <c r="WZO112" s="1"/>
      <c r="WZP112" s="1"/>
      <c r="WZQ112" s="1"/>
      <c r="WZR112" s="1"/>
      <c r="WZS112" s="1"/>
      <c r="WZT112" s="1"/>
      <c r="WZU112" s="1"/>
      <c r="WZV112" s="1"/>
      <c r="WZW112" s="1"/>
      <c r="WZX112" s="1"/>
      <c r="WZY112" s="1"/>
      <c r="WZZ112" s="1"/>
      <c r="XAA112" s="1"/>
      <c r="XAB112" s="1"/>
      <c r="XAC112" s="1"/>
      <c r="XAD112" s="1"/>
      <c r="XAE112" s="1"/>
      <c r="XAF112" s="1"/>
      <c r="XAG112" s="1"/>
      <c r="XAH112" s="1"/>
      <c r="XAI112" s="1"/>
      <c r="XAJ112" s="1"/>
      <c r="XAK112" s="1"/>
      <c r="XAL112" s="1"/>
      <c r="XAM112" s="1"/>
      <c r="XAN112" s="1"/>
      <c r="XAO112" s="1"/>
      <c r="XAP112" s="1"/>
      <c r="XAQ112" s="1"/>
      <c r="XAR112" s="1"/>
      <c r="XAS112" s="1"/>
      <c r="XAT112" s="1"/>
      <c r="XAU112" s="1"/>
      <c r="XAV112" s="1"/>
      <c r="XAW112" s="1"/>
      <c r="XAX112" s="1"/>
      <c r="XAY112" s="1"/>
      <c r="XAZ112" s="1"/>
      <c r="XBA112" s="1"/>
      <c r="XBB112" s="1"/>
      <c r="XBC112" s="1"/>
      <c r="XBD112" s="1"/>
      <c r="XBE112" s="1"/>
      <c r="XBF112" s="1"/>
      <c r="XBG112" s="1"/>
      <c r="XBH112" s="1"/>
      <c r="XBI112" s="1"/>
      <c r="XBJ112" s="1"/>
      <c r="XBK112" s="1"/>
      <c r="XBL112" s="1"/>
      <c r="XBM112" s="1"/>
      <c r="XBN112" s="1"/>
      <c r="XBO112" s="1"/>
      <c r="XBP112" s="1"/>
      <c r="XBQ112" s="1"/>
      <c r="XBR112" s="1"/>
      <c r="XBS112" s="1"/>
      <c r="XBT112" s="1"/>
      <c r="XBU112" s="1"/>
      <c r="XBV112" s="1"/>
      <c r="XBW112" s="1"/>
      <c r="XBX112" s="1"/>
      <c r="XBY112" s="1"/>
      <c r="XBZ112" s="1"/>
      <c r="XCA112" s="1"/>
      <c r="XCB112" s="1"/>
      <c r="XCC112" s="1"/>
      <c r="XCD112" s="1"/>
      <c r="XCE112" s="1"/>
      <c r="XCF112" s="1"/>
      <c r="XCG112" s="1"/>
      <c r="XCH112" s="1"/>
      <c r="XCI112" s="1"/>
      <c r="XCJ112" s="1"/>
      <c r="XCK112" s="1"/>
      <c r="XCL112" s="1"/>
      <c r="XCM112" s="1"/>
      <c r="XCN112" s="1"/>
      <c r="XCO112" s="1"/>
      <c r="XCP112" s="1"/>
      <c r="XCQ112" s="1"/>
      <c r="XCR112" s="1"/>
      <c r="XCS112" s="1"/>
      <c r="XCT112" s="1"/>
      <c r="XCU112" s="1"/>
      <c r="XCV112" s="1"/>
      <c r="XCW112" s="1"/>
      <c r="XCX112" s="1"/>
      <c r="XCY112" s="1"/>
      <c r="XCZ112" s="1"/>
      <c r="XDA112" s="1"/>
      <c r="XDB112" s="1"/>
      <c r="XDC112" s="1"/>
      <c r="XDD112" s="1"/>
      <c r="XDE112" s="1"/>
      <c r="XDF112" s="1"/>
      <c r="XDG112" s="1"/>
      <c r="XDH112" s="1"/>
      <c r="XDI112" s="1"/>
      <c r="XDJ112" s="1"/>
      <c r="XDK112" s="1"/>
      <c r="XDL112" s="1"/>
      <c r="XDM112" s="1"/>
      <c r="XDN112" s="1"/>
      <c r="XDO112" s="1"/>
      <c r="XDP112" s="1"/>
      <c r="XDQ112" s="1"/>
      <c r="XDR112" s="1"/>
      <c r="XDS112" s="1"/>
      <c r="XDT112" s="1"/>
      <c r="XDU112" s="1"/>
      <c r="XDV112" s="1"/>
      <c r="XDW112" s="1"/>
      <c r="XDX112" s="1"/>
      <c r="XDY112" s="1"/>
      <c r="XDZ112" s="1"/>
      <c r="XEA112" s="1"/>
      <c r="XEB112" s="1"/>
      <c r="XEC112" s="1"/>
      <c r="XED112" s="1"/>
      <c r="XEE112" s="1"/>
      <c r="XEF112" s="1"/>
      <c r="XEG112" s="1"/>
      <c r="XEH112" s="1"/>
      <c r="XEI112" s="1"/>
      <c r="XEJ112" s="1"/>
      <c r="XEK112" s="1"/>
      <c r="XEL112" s="1"/>
      <c r="XEM112" s="1"/>
      <c r="XEN112" s="1"/>
      <c r="XEO112" s="1"/>
      <c r="XEP112" s="1"/>
      <c r="XEQ112" s="1"/>
      <c r="XER112" s="1"/>
      <c r="XES112" s="1"/>
      <c r="XET112" s="1"/>
      <c r="XEU112" s="1"/>
      <c r="XEV112" s="1"/>
      <c r="XEW112" s="1"/>
      <c r="XEX112" s="1"/>
      <c r="XEY112" s="1"/>
      <c r="XEZ112" s="1"/>
      <c r="XFA112" s="1"/>
      <c r="XFB112" s="1"/>
      <c r="XFC112" s="1"/>
    </row>
    <row r="113" spans="1:150 16226:16383" s="3" customFormat="1" ht="20.25" customHeight="1" x14ac:dyDescent="0.3">
      <c r="A113" s="81">
        <v>6</v>
      </c>
      <c r="B113" s="81"/>
      <c r="C113" s="50" t="s">
        <v>309</v>
      </c>
      <c r="D113" s="50" t="s">
        <v>312</v>
      </c>
      <c r="E113" s="6">
        <f>(4.225*4.15+3.2*3.475+2.45*3.05+3.95*3.2+3.95*3.05+3.05*3.35+2*(2.45*1.5)+1.375*2.275+0.6*2*2+1.7*0.6+1.6*2.9+2.2*1.2)*(10.764)</f>
        <v>992.5417124999999</v>
      </c>
      <c r="F113" s="6">
        <f>(3.63*1.475+2.3*1.325)*(10.764)</f>
        <v>90.436436999999998</v>
      </c>
      <c r="G113" s="6">
        <v>0</v>
      </c>
      <c r="H113" s="6">
        <f t="shared" si="6"/>
        <v>1082.9781495</v>
      </c>
      <c r="I113" s="1"/>
      <c r="J113" s="1"/>
      <c r="K113" s="1"/>
      <c r="L113" s="1"/>
      <c r="M113" s="1"/>
      <c r="N113" s="1"/>
      <c r="O113" s="1"/>
      <c r="P113" s="1"/>
      <c r="Q113" s="1"/>
      <c r="R113" s="1"/>
      <c r="S113" s="1"/>
      <c r="T113" s="23" t="str">
        <f t="shared" ca="1" si="7"/>
        <v>206 to 1306</v>
      </c>
      <c r="U113" s="23">
        <f t="shared" ca="1" si="8"/>
        <v>206</v>
      </c>
      <c r="V113" s="23">
        <f t="shared" ca="1" si="9"/>
        <v>1306</v>
      </c>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WZB113" s="1"/>
      <c r="WZC113" s="1"/>
      <c r="WZD113" s="1"/>
      <c r="WZE113" s="1"/>
      <c r="WZF113" s="1"/>
      <c r="WZG113" s="1"/>
      <c r="WZH113" s="1"/>
      <c r="WZI113" s="1"/>
      <c r="WZJ113" s="1"/>
      <c r="WZK113" s="1"/>
      <c r="WZL113" s="1"/>
      <c r="WZM113" s="1"/>
      <c r="WZN113" s="1"/>
      <c r="WZO113" s="1"/>
      <c r="WZP113" s="1"/>
      <c r="WZQ113" s="1"/>
      <c r="WZR113" s="1"/>
      <c r="WZS113" s="1"/>
      <c r="WZT113" s="1"/>
      <c r="WZU113" s="1"/>
      <c r="WZV113" s="1"/>
      <c r="WZW113" s="1"/>
      <c r="WZX113" s="1"/>
      <c r="WZY113" s="1"/>
      <c r="WZZ113" s="1"/>
      <c r="XAA113" s="1"/>
      <c r="XAB113" s="1"/>
      <c r="XAC113" s="1"/>
      <c r="XAD113" s="1"/>
      <c r="XAE113" s="1"/>
      <c r="XAF113" s="1"/>
      <c r="XAG113" s="1"/>
      <c r="XAH113" s="1"/>
      <c r="XAI113" s="1"/>
      <c r="XAJ113" s="1"/>
      <c r="XAK113" s="1"/>
      <c r="XAL113" s="1"/>
      <c r="XAM113" s="1"/>
      <c r="XAN113" s="1"/>
      <c r="XAO113" s="1"/>
      <c r="XAP113" s="1"/>
      <c r="XAQ113" s="1"/>
      <c r="XAR113" s="1"/>
      <c r="XAS113" s="1"/>
      <c r="XAT113" s="1"/>
      <c r="XAU113" s="1"/>
      <c r="XAV113" s="1"/>
      <c r="XAW113" s="1"/>
      <c r="XAX113" s="1"/>
      <c r="XAY113" s="1"/>
      <c r="XAZ113" s="1"/>
      <c r="XBA113" s="1"/>
      <c r="XBB113" s="1"/>
      <c r="XBC113" s="1"/>
      <c r="XBD113" s="1"/>
      <c r="XBE113" s="1"/>
      <c r="XBF113" s="1"/>
      <c r="XBG113" s="1"/>
      <c r="XBH113" s="1"/>
      <c r="XBI113" s="1"/>
      <c r="XBJ113" s="1"/>
      <c r="XBK113" s="1"/>
      <c r="XBL113" s="1"/>
      <c r="XBM113" s="1"/>
      <c r="XBN113" s="1"/>
      <c r="XBO113" s="1"/>
      <c r="XBP113" s="1"/>
      <c r="XBQ113" s="1"/>
      <c r="XBR113" s="1"/>
      <c r="XBS113" s="1"/>
      <c r="XBT113" s="1"/>
      <c r="XBU113" s="1"/>
      <c r="XBV113" s="1"/>
      <c r="XBW113" s="1"/>
      <c r="XBX113" s="1"/>
      <c r="XBY113" s="1"/>
      <c r="XBZ113" s="1"/>
      <c r="XCA113" s="1"/>
      <c r="XCB113" s="1"/>
      <c r="XCC113" s="1"/>
      <c r="XCD113" s="1"/>
      <c r="XCE113" s="1"/>
      <c r="XCF113" s="1"/>
      <c r="XCG113" s="1"/>
      <c r="XCH113" s="1"/>
      <c r="XCI113" s="1"/>
      <c r="XCJ113" s="1"/>
      <c r="XCK113" s="1"/>
      <c r="XCL113" s="1"/>
      <c r="XCM113" s="1"/>
      <c r="XCN113" s="1"/>
      <c r="XCO113" s="1"/>
      <c r="XCP113" s="1"/>
      <c r="XCQ113" s="1"/>
      <c r="XCR113" s="1"/>
      <c r="XCS113" s="1"/>
      <c r="XCT113" s="1"/>
      <c r="XCU113" s="1"/>
      <c r="XCV113" s="1"/>
      <c r="XCW113" s="1"/>
      <c r="XCX113" s="1"/>
      <c r="XCY113" s="1"/>
      <c r="XCZ113" s="1"/>
      <c r="XDA113" s="1"/>
      <c r="XDB113" s="1"/>
      <c r="XDC113" s="1"/>
      <c r="XDD113" s="1"/>
      <c r="XDE113" s="1"/>
      <c r="XDF113" s="1"/>
      <c r="XDG113" s="1"/>
      <c r="XDH113" s="1"/>
      <c r="XDI113" s="1"/>
      <c r="XDJ113" s="1"/>
      <c r="XDK113" s="1"/>
      <c r="XDL113" s="1"/>
      <c r="XDM113" s="1"/>
      <c r="XDN113" s="1"/>
      <c r="XDO113" s="1"/>
      <c r="XDP113" s="1"/>
      <c r="XDQ113" s="1"/>
      <c r="XDR113" s="1"/>
      <c r="XDS113" s="1"/>
      <c r="XDT113" s="1"/>
      <c r="XDU113" s="1"/>
      <c r="XDV113" s="1"/>
      <c r="XDW113" s="1"/>
      <c r="XDX113" s="1"/>
      <c r="XDY113" s="1"/>
      <c r="XDZ113" s="1"/>
      <c r="XEA113" s="1"/>
      <c r="XEB113" s="1"/>
      <c r="XEC113" s="1"/>
      <c r="XED113" s="1"/>
      <c r="XEE113" s="1"/>
      <c r="XEF113" s="1"/>
      <c r="XEG113" s="1"/>
      <c r="XEH113" s="1"/>
      <c r="XEI113" s="1"/>
      <c r="XEJ113" s="1"/>
      <c r="XEK113" s="1"/>
      <c r="XEL113" s="1"/>
      <c r="XEM113" s="1"/>
      <c r="XEN113" s="1"/>
      <c r="XEO113" s="1"/>
      <c r="XEP113" s="1"/>
      <c r="XEQ113" s="1"/>
      <c r="XER113" s="1"/>
      <c r="XES113" s="1"/>
      <c r="XET113" s="1"/>
      <c r="XEU113" s="1"/>
      <c r="XEV113" s="1"/>
      <c r="XEW113" s="1"/>
      <c r="XEX113" s="1"/>
      <c r="XEY113" s="1"/>
      <c r="XEZ113" s="1"/>
      <c r="XFA113" s="1"/>
      <c r="XFB113" s="1"/>
      <c r="XFC113" s="1"/>
    </row>
    <row r="114" spans="1:150 16226:16383" s="3" customFormat="1" ht="21" x14ac:dyDescent="0.3">
      <c r="A114" s="122" t="s">
        <v>314</v>
      </c>
      <c r="B114" s="123"/>
      <c r="C114" s="123"/>
      <c r="D114" s="123"/>
      <c r="E114" s="123"/>
      <c r="F114" s="123"/>
      <c r="G114" s="123"/>
      <c r="H114" s="124"/>
      <c r="I114" s="1">
        <f>2</f>
        <v>2</v>
      </c>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WZB114" s="1"/>
      <c r="WZC114" s="1"/>
      <c r="WZD114" s="1"/>
      <c r="WZE114" s="1"/>
      <c r="WZF114" s="1"/>
      <c r="WZG114" s="1"/>
      <c r="WZH114" s="1"/>
      <c r="WZI114" s="1"/>
      <c r="WZJ114" s="1"/>
      <c r="WZK114" s="1"/>
      <c r="WZL114" s="1"/>
      <c r="WZM114" s="1"/>
      <c r="WZN114" s="1"/>
      <c r="WZO114" s="1"/>
      <c r="WZP114" s="1"/>
      <c r="WZQ114" s="1"/>
      <c r="WZR114" s="1"/>
      <c r="WZS114" s="1"/>
      <c r="WZT114" s="1"/>
      <c r="WZU114" s="1"/>
      <c r="WZV114" s="1"/>
      <c r="WZW114" s="1"/>
      <c r="WZX114" s="1"/>
      <c r="WZY114" s="1"/>
      <c r="WZZ114" s="1"/>
      <c r="XAA114" s="1"/>
      <c r="XAB114" s="1"/>
      <c r="XAC114" s="1"/>
      <c r="XAD114" s="1"/>
      <c r="XAE114" s="1"/>
      <c r="XAF114" s="1"/>
      <c r="XAG114" s="1"/>
      <c r="XAH114" s="1"/>
      <c r="XAI114" s="1"/>
      <c r="XAJ114" s="1"/>
      <c r="XAK114" s="1"/>
      <c r="XAL114" s="1"/>
      <c r="XAM114" s="1"/>
      <c r="XAN114" s="1"/>
      <c r="XAO114" s="1"/>
      <c r="XAP114" s="1"/>
      <c r="XAQ114" s="1"/>
      <c r="XAR114" s="1"/>
      <c r="XAS114" s="1"/>
      <c r="XAT114" s="1"/>
      <c r="XAU114" s="1"/>
      <c r="XAV114" s="1"/>
      <c r="XAW114" s="1"/>
      <c r="XAX114" s="1"/>
      <c r="XAY114" s="1"/>
      <c r="XAZ114" s="1"/>
      <c r="XBA114" s="1"/>
      <c r="XBB114" s="1"/>
      <c r="XBC114" s="1"/>
      <c r="XBD114" s="1"/>
      <c r="XBE114" s="1"/>
      <c r="XBF114" s="1"/>
      <c r="XBG114" s="1"/>
      <c r="XBH114" s="1"/>
      <c r="XBI114" s="1"/>
      <c r="XBJ114" s="1"/>
      <c r="XBK114" s="1"/>
      <c r="XBL114" s="1"/>
      <c r="XBM114" s="1"/>
      <c r="XBN114" s="1"/>
      <c r="XBO114" s="1"/>
      <c r="XBP114" s="1"/>
      <c r="XBQ114" s="1"/>
      <c r="XBR114" s="1"/>
      <c r="XBS114" s="1"/>
      <c r="XBT114" s="1"/>
      <c r="XBU114" s="1"/>
      <c r="XBV114" s="1"/>
      <c r="XBW114" s="1"/>
      <c r="XBX114" s="1"/>
      <c r="XBY114" s="1"/>
      <c r="XBZ114" s="1"/>
      <c r="XCA114" s="1"/>
      <c r="XCB114" s="1"/>
      <c r="XCC114" s="1"/>
      <c r="XCD114" s="1"/>
      <c r="XCE114" s="1"/>
      <c r="XCF114" s="1"/>
      <c r="XCG114" s="1"/>
      <c r="XCH114" s="1"/>
      <c r="XCI114" s="1"/>
      <c r="XCJ114" s="1"/>
      <c r="XCK114" s="1"/>
      <c r="XCL114" s="1"/>
      <c r="XCM114" s="1"/>
      <c r="XCN114" s="1"/>
      <c r="XCO114" s="1"/>
      <c r="XCP114" s="1"/>
      <c r="XCQ114" s="1"/>
      <c r="XCR114" s="1"/>
      <c r="XCS114" s="1"/>
      <c r="XCT114" s="1"/>
      <c r="XCU114" s="1"/>
      <c r="XCV114" s="1"/>
      <c r="XCW114" s="1"/>
      <c r="XCX114" s="1"/>
      <c r="XCY114" s="1"/>
      <c r="XCZ114" s="1"/>
      <c r="XDA114" s="1"/>
      <c r="XDB114" s="1"/>
      <c r="XDC114" s="1"/>
      <c r="XDD114" s="1"/>
      <c r="XDE114" s="1"/>
      <c r="XDF114" s="1"/>
      <c r="XDG114" s="1"/>
      <c r="XDH114" s="1"/>
      <c r="XDI114" s="1"/>
      <c r="XDJ114" s="1"/>
      <c r="XDK114" s="1"/>
      <c r="XDL114" s="1"/>
      <c r="XDM114" s="1"/>
      <c r="XDN114" s="1"/>
      <c r="XDO114" s="1"/>
      <c r="XDP114" s="1"/>
      <c r="XDQ114" s="1"/>
      <c r="XDR114" s="1"/>
      <c r="XDS114" s="1"/>
      <c r="XDT114" s="1"/>
      <c r="XDU114" s="1"/>
      <c r="XDV114" s="1"/>
      <c r="XDW114" s="1"/>
      <c r="XDX114" s="1"/>
      <c r="XDY114" s="1"/>
      <c r="XDZ114" s="1"/>
      <c r="XEA114" s="1"/>
      <c r="XEB114" s="1"/>
      <c r="XEC114" s="1"/>
      <c r="XED114" s="1"/>
      <c r="XEE114" s="1"/>
      <c r="XEF114" s="1"/>
      <c r="XEG114" s="1"/>
      <c r="XEH114" s="1"/>
      <c r="XEI114" s="1"/>
      <c r="XEJ114" s="1"/>
      <c r="XEK114" s="1"/>
      <c r="XEL114" s="1"/>
      <c r="XEM114" s="1"/>
      <c r="XEN114" s="1"/>
      <c r="XEO114" s="1"/>
      <c r="XEP114" s="1"/>
      <c r="XEQ114" s="1"/>
      <c r="XER114" s="1"/>
      <c r="XES114" s="1"/>
      <c r="XET114" s="1"/>
      <c r="XEU114" s="1"/>
      <c r="XEV114" s="1"/>
      <c r="XEW114" s="1"/>
      <c r="XEX114" s="1"/>
      <c r="XEY114" s="1"/>
      <c r="XEZ114" s="1"/>
      <c r="XFA114" s="1"/>
      <c r="XFB114" s="1"/>
      <c r="XFC114" s="1"/>
    </row>
    <row r="115" spans="1:150 16226:16383" s="3" customFormat="1" ht="20.25" customHeight="1" x14ac:dyDescent="0.3">
      <c r="A115" s="81">
        <v>1</v>
      </c>
      <c r="B115" s="81"/>
      <c r="C115" s="50" t="s">
        <v>309</v>
      </c>
      <c r="D115" s="50" t="s">
        <v>310</v>
      </c>
      <c r="E115" s="6">
        <f>(3.175*4.6+2.135*2.125+3.15*3.65+3.225*3.35+2*(2.275*1.375)+0.6*(1.9+1.9)+1.1*2.6+3.6*0.9+1.45*2.125)*(10.764)</f>
        <v>636.80496749999998</v>
      </c>
      <c r="F115" s="6">
        <f>(1.9*0.7)*(10.764)</f>
        <v>14.316119999999998</v>
      </c>
      <c r="G115" s="6">
        <v>0</v>
      </c>
      <c r="H115" s="6">
        <f>E115+F115+(IF(G115&lt;101,G115,IF(G115&lt;201,G115/2,IF(G115&lt;=301,G115/3,G115/4))))</f>
        <v>651.12108749999993</v>
      </c>
      <c r="I115" s="1">
        <f>16100000/H115</f>
        <v>24726.583594176715</v>
      </c>
      <c r="J115" s="1"/>
      <c r="K115" s="1"/>
      <c r="L115" s="1"/>
      <c r="M115" s="1"/>
      <c r="N115" s="1"/>
      <c r="O115" s="1"/>
      <c r="P115" s="1"/>
      <c r="Q115" s="1"/>
      <c r="R115" s="1"/>
      <c r="S115" s="1"/>
      <c r="T115" s="23" t="str">
        <f ca="1">U115&amp;""&amp;" &amp; "&amp;""&amp;V115</f>
        <v>501 &amp; 1001</v>
      </c>
      <c r="U115" s="23">
        <f ca="1">(SUMPRODUCT(MID(0&amp;(LEFT(A114,SUM(LEN(A114)-LEN(SUBSTITUTE(A114,{"0","1","2","3"},""))))), LARGE(INDEX(ISNUMBER(--MID((LEFT(A114,SUM(LEN(A114)-LEN(SUBSTITUTE(A114,{"0","1","2","3"},""))))), ROW(INDIRECT("1:"&amp;LEN((LEFT(A114,SUM(LEN(A114)-LEN(SUBSTITUTE(A114,{"0","1","2","3"},"")))))))), 1)) * ROW(INDIRECT("1:"&amp;LEN((LEFT(A114,SUM(LEN(A114)-LEN(SUBSTITUTE(A114,{"0","1","2","3"},"")))))))), 0), ROW(INDIRECT("1:"&amp;LEN((LEFT(A114,SUM(LEN(A114)-LEN(SUBSTITUTE(A114,{"0","1","2","3"},"")))))))))+1, 1) * 10^ROW(INDIRECT("1:"&amp;LEN((LEFT(A114,SUM(LEN(A114)-LEN(SUBSTITUTE(A114,{"0","1","2","3"},""))))))))/10))*100+1</f>
        <v>501</v>
      </c>
      <c r="V115" s="23">
        <f ca="1">(SUMPRODUCT(MID(0&amp;(--TRIM(RIGHT(SUBSTITUTE(LEFT(A114,_xlfn.AGGREGATE(16,6,FIND({0,1,2,3,4,5,6,7,8,9},A114,ROW(INDIRECT("1:"&amp;LEN(A114)))),1))," ",REPT(" ",LEN(A114))),LEN(A114)))), LARGE(INDEX(ISNUMBER(--MID((--TRIM(RIGHT(SUBSTITUTE(LEFT(A114,_xlfn.AGGREGATE(16,6,FIND({0,1,2,3,4,5,6,7,8,9},A114,ROW(INDIRECT("1:"&amp;LEN(A114)))),1))," ",REPT(" ",LEN(A114))),LEN(A114)))), ROW(INDIRECT("1:"&amp;LEN((--TRIM(RIGHT(SUBSTITUTE(LEFT(A114,_xlfn.AGGREGATE(16,6,FIND({0,1,2,3,4,5,6,7,8,9},A114,ROW(INDIRECT("1:"&amp;LEN(A114)))),1))," ",REPT(" ",LEN(A114))),LEN(A114))))))), 1)) * ROW(INDIRECT("1:"&amp;LEN((--TRIM(RIGHT(SUBSTITUTE(LEFT(A114,_xlfn.AGGREGATE(16,6,FIND({0,1,2,3,4,5,6,7,8,9},A114,ROW(INDIRECT("1:"&amp;LEN(A114)))),1))," ",REPT(" ",LEN(A114))),LEN(A114))))))), 0), ROW(INDIRECT("1:"&amp;LEN((--TRIM(RIGHT(SUBSTITUTE(LEFT(A114,_xlfn.AGGREGATE(16,6,FIND({0,1,2,3,4,5,6,7,8,9},A114,ROW(INDIRECT("1:"&amp;LEN(A114)))),1))," ",REPT(" ",LEN(A114))),LEN(A114))))))))+1, 1) * 10^ROW(INDIRECT("1:"&amp;LEN((--TRIM(RIGHT(SUBSTITUTE(LEFT(A114,_xlfn.AGGREGATE(16,6,FIND({0,1,2,3,4,5,6,7,8,9},A114,ROW(INDIRECT("1:"&amp;LEN(A114)))),1))," ",REPT(" ",LEN(A114))),LEN(A114)))))))/10))*100+1</f>
        <v>1001</v>
      </c>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WZB115" s="1"/>
      <c r="WZC115" s="1"/>
      <c r="WZD115" s="1"/>
      <c r="WZE115" s="1"/>
      <c r="WZF115" s="1"/>
      <c r="WZG115" s="1"/>
      <c r="WZH115" s="1"/>
      <c r="WZI115" s="1"/>
      <c r="WZJ115" s="1"/>
      <c r="WZK115" s="1"/>
      <c r="WZL115" s="1"/>
      <c r="WZM115" s="1"/>
      <c r="WZN115" s="1"/>
      <c r="WZO115" s="1"/>
      <c r="WZP115" s="1"/>
      <c r="WZQ115" s="1"/>
      <c r="WZR115" s="1"/>
      <c r="WZS115" s="1"/>
      <c r="WZT115" s="1"/>
      <c r="WZU115" s="1"/>
      <c r="WZV115" s="1"/>
      <c r="WZW115" s="1"/>
      <c r="WZX115" s="1"/>
      <c r="WZY115" s="1"/>
      <c r="WZZ115" s="1"/>
      <c r="XAA115" s="1"/>
      <c r="XAB115" s="1"/>
      <c r="XAC115" s="1"/>
      <c r="XAD115" s="1"/>
      <c r="XAE115" s="1"/>
      <c r="XAF115" s="1"/>
      <c r="XAG115" s="1"/>
      <c r="XAH115" s="1"/>
      <c r="XAI115" s="1"/>
      <c r="XAJ115" s="1"/>
      <c r="XAK115" s="1"/>
      <c r="XAL115" s="1"/>
      <c r="XAM115" s="1"/>
      <c r="XAN115" s="1"/>
      <c r="XAO115" s="1"/>
      <c r="XAP115" s="1"/>
      <c r="XAQ115" s="1"/>
      <c r="XAR115" s="1"/>
      <c r="XAS115" s="1"/>
      <c r="XAT115" s="1"/>
      <c r="XAU115" s="1"/>
      <c r="XAV115" s="1"/>
      <c r="XAW115" s="1"/>
      <c r="XAX115" s="1"/>
      <c r="XAY115" s="1"/>
      <c r="XAZ115" s="1"/>
      <c r="XBA115" s="1"/>
      <c r="XBB115" s="1"/>
      <c r="XBC115" s="1"/>
      <c r="XBD115" s="1"/>
      <c r="XBE115" s="1"/>
      <c r="XBF115" s="1"/>
      <c r="XBG115" s="1"/>
      <c r="XBH115" s="1"/>
      <c r="XBI115" s="1"/>
      <c r="XBJ115" s="1"/>
      <c r="XBK115" s="1"/>
      <c r="XBL115" s="1"/>
      <c r="XBM115" s="1"/>
      <c r="XBN115" s="1"/>
      <c r="XBO115" s="1"/>
      <c r="XBP115" s="1"/>
      <c r="XBQ115" s="1"/>
      <c r="XBR115" s="1"/>
      <c r="XBS115" s="1"/>
      <c r="XBT115" s="1"/>
      <c r="XBU115" s="1"/>
      <c r="XBV115" s="1"/>
      <c r="XBW115" s="1"/>
      <c r="XBX115" s="1"/>
      <c r="XBY115" s="1"/>
      <c r="XBZ115" s="1"/>
      <c r="XCA115" s="1"/>
      <c r="XCB115" s="1"/>
      <c r="XCC115" s="1"/>
      <c r="XCD115" s="1"/>
      <c r="XCE115" s="1"/>
      <c r="XCF115" s="1"/>
      <c r="XCG115" s="1"/>
      <c r="XCH115" s="1"/>
      <c r="XCI115" s="1"/>
      <c r="XCJ115" s="1"/>
      <c r="XCK115" s="1"/>
      <c r="XCL115" s="1"/>
      <c r="XCM115" s="1"/>
      <c r="XCN115" s="1"/>
      <c r="XCO115" s="1"/>
      <c r="XCP115" s="1"/>
      <c r="XCQ115" s="1"/>
      <c r="XCR115" s="1"/>
      <c r="XCS115" s="1"/>
      <c r="XCT115" s="1"/>
      <c r="XCU115" s="1"/>
      <c r="XCV115" s="1"/>
      <c r="XCW115" s="1"/>
      <c r="XCX115" s="1"/>
      <c r="XCY115" s="1"/>
      <c r="XCZ115" s="1"/>
      <c r="XDA115" s="1"/>
      <c r="XDB115" s="1"/>
      <c r="XDC115" s="1"/>
      <c r="XDD115" s="1"/>
      <c r="XDE115" s="1"/>
      <c r="XDF115" s="1"/>
      <c r="XDG115" s="1"/>
      <c r="XDH115" s="1"/>
      <c r="XDI115" s="1"/>
      <c r="XDJ115" s="1"/>
      <c r="XDK115" s="1"/>
      <c r="XDL115" s="1"/>
      <c r="XDM115" s="1"/>
      <c r="XDN115" s="1"/>
      <c r="XDO115" s="1"/>
      <c r="XDP115" s="1"/>
      <c r="XDQ115" s="1"/>
      <c r="XDR115" s="1"/>
      <c r="XDS115" s="1"/>
      <c r="XDT115" s="1"/>
      <c r="XDU115" s="1"/>
      <c r="XDV115" s="1"/>
      <c r="XDW115" s="1"/>
      <c r="XDX115" s="1"/>
      <c r="XDY115" s="1"/>
      <c r="XDZ115" s="1"/>
      <c r="XEA115" s="1"/>
      <c r="XEB115" s="1"/>
      <c r="XEC115" s="1"/>
      <c r="XED115" s="1"/>
      <c r="XEE115" s="1"/>
      <c r="XEF115" s="1"/>
      <c r="XEG115" s="1"/>
      <c r="XEH115" s="1"/>
      <c r="XEI115" s="1"/>
      <c r="XEJ115" s="1"/>
      <c r="XEK115" s="1"/>
      <c r="XEL115" s="1"/>
      <c r="XEM115" s="1"/>
      <c r="XEN115" s="1"/>
      <c r="XEO115" s="1"/>
      <c r="XEP115" s="1"/>
      <c r="XEQ115" s="1"/>
      <c r="XER115" s="1"/>
      <c r="XES115" s="1"/>
      <c r="XET115" s="1"/>
      <c r="XEU115" s="1"/>
      <c r="XEV115" s="1"/>
      <c r="XEW115" s="1"/>
      <c r="XEX115" s="1"/>
      <c r="XEY115" s="1"/>
      <c r="XEZ115" s="1"/>
      <c r="XFA115" s="1"/>
      <c r="XFB115" s="1"/>
      <c r="XFC115" s="1"/>
    </row>
    <row r="116" spans="1:150 16226:16383" s="3" customFormat="1" ht="20.25" customHeight="1" x14ac:dyDescent="0.3">
      <c r="A116" s="81">
        <v>2</v>
      </c>
      <c r="B116" s="81"/>
      <c r="C116" s="50" t="s">
        <v>309</v>
      </c>
      <c r="D116" s="50" t="s">
        <v>310</v>
      </c>
      <c r="E116" s="6">
        <f>(3.175*4.6+2.135*2.125+3.15*3.65+3.225*3.35+2*(2.275*1.375)+0.6*(1.9+1.9)+1.1*2.6+3.6*0.9+1.45*2.125)*(10.764)</f>
        <v>636.80496749999998</v>
      </c>
      <c r="F116" s="6">
        <f>(1.9*0.7)*(10.764)</f>
        <v>14.316119999999998</v>
      </c>
      <c r="G116" s="6">
        <v>0</v>
      </c>
      <c r="H116" s="6">
        <f t="shared" ref="H116:H119" si="10">E116+F116+(IF(G116&lt;101,G116,IF(G116&lt;201,G116/2,IF(G116&lt;=301,G116/3,G116/4))))</f>
        <v>651.12108749999993</v>
      </c>
      <c r="I116" s="1"/>
      <c r="J116" s="1"/>
      <c r="K116" s="1"/>
      <c r="L116" s="1"/>
      <c r="M116" s="1"/>
      <c r="N116" s="1"/>
      <c r="O116" s="1"/>
      <c r="P116" s="1"/>
      <c r="Q116" s="1"/>
      <c r="R116" s="1"/>
      <c r="S116" s="1"/>
      <c r="T116" s="23" t="str">
        <f t="shared" ref="T116:T120" ca="1" si="11">U116&amp;""&amp;" &amp; "&amp;""&amp;V116</f>
        <v>502 &amp; 1002</v>
      </c>
      <c r="U116" s="23">
        <f ca="1">U115+1</f>
        <v>502</v>
      </c>
      <c r="V116" s="23">
        <f ca="1">V115+1</f>
        <v>1002</v>
      </c>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25" customHeight="1" x14ac:dyDescent="0.3">
      <c r="A117" s="81">
        <v>3</v>
      </c>
      <c r="B117" s="81"/>
      <c r="C117" s="50" t="s">
        <v>309</v>
      </c>
      <c r="D117" s="50" t="s">
        <v>312</v>
      </c>
      <c r="E117" s="6">
        <f>(4.225*4.15+3.2*3.475+2.45*3.05+3.95*3.2+3.95*3.05+3.05*3.35+2*(2.45*1.5)+1.375*2.275+0.6*2*2+1.7*0.6+1.6*2.9+2.2*1.2)*(10.764)</f>
        <v>992.5417124999999</v>
      </c>
      <c r="F117" s="6">
        <f>(3.63*1.475+2.3*1.325)*(10.764)</f>
        <v>90.436436999999998</v>
      </c>
      <c r="G117" s="6">
        <v>0</v>
      </c>
      <c r="H117" s="6">
        <f t="shared" si="10"/>
        <v>1082.9781495</v>
      </c>
      <c r="I117" s="1"/>
      <c r="J117" s="1"/>
      <c r="K117" s="1"/>
      <c r="L117" s="1"/>
      <c r="M117" s="1"/>
      <c r="N117" s="1"/>
      <c r="O117" s="1"/>
      <c r="P117" s="1"/>
      <c r="Q117" s="1"/>
      <c r="R117" s="1"/>
      <c r="S117" s="1"/>
      <c r="T117" s="23" t="str">
        <f t="shared" ca="1" si="11"/>
        <v>503 &amp; 1003</v>
      </c>
      <c r="U117" s="23">
        <f t="shared" ref="U117:U120" ca="1" si="12">U116+1</f>
        <v>503</v>
      </c>
      <c r="V117" s="23">
        <f t="shared" ref="V117:V120" ca="1" si="13">V116+1</f>
        <v>1003</v>
      </c>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25" customHeight="1" x14ac:dyDescent="0.3">
      <c r="A118" s="81">
        <v>4</v>
      </c>
      <c r="B118" s="81"/>
      <c r="C118" s="50" t="s">
        <v>309</v>
      </c>
      <c r="D118" s="50" t="s">
        <v>310</v>
      </c>
      <c r="E118" s="6">
        <f>(3.205*5.475+2.875*2.275+3.2*3.86+2.9*3.65+2.45*1.625+2.45*1.525+0.6*2.31+0.6*1.7+0.9*3.4+2.6*1.105)*(10.764)</f>
        <v>679.00926600000003</v>
      </c>
      <c r="F118" s="6">
        <f>(1.325*3.205+2.28*1.1+1.6*0.7)*(10.764)</f>
        <v>84.762463499999996</v>
      </c>
      <c r="G118" s="6">
        <v>0</v>
      </c>
      <c r="H118" s="6">
        <f t="shared" si="10"/>
        <v>763.77172949999999</v>
      </c>
      <c r="I118" s="1"/>
      <c r="J118" s="1"/>
      <c r="K118" s="1"/>
      <c r="L118" s="1"/>
      <c r="M118" s="1"/>
      <c r="N118" s="1"/>
      <c r="O118" s="1"/>
      <c r="P118" s="1"/>
      <c r="Q118" s="1"/>
      <c r="R118" s="1"/>
      <c r="S118" s="1"/>
      <c r="T118" s="23" t="str">
        <f t="shared" ca="1" si="11"/>
        <v>504 &amp; 1004</v>
      </c>
      <c r="U118" s="23">
        <f t="shared" ca="1" si="12"/>
        <v>504</v>
      </c>
      <c r="V118" s="23">
        <f t="shared" ca="1" si="13"/>
        <v>1004</v>
      </c>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s="3" customFormat="1" ht="20.25" customHeight="1" x14ac:dyDescent="0.3">
      <c r="A119" s="81">
        <v>5</v>
      </c>
      <c r="B119" s="81"/>
      <c r="C119" s="50" t="s">
        <v>309</v>
      </c>
      <c r="D119" s="50" t="s">
        <v>310</v>
      </c>
      <c r="E119" s="6">
        <f>(3.205*5.475+2.875*2.275+3.2*3.86+2.9*3.65+2.45*1.625+2.45*1.525+0.6*2.31+0.6*1.7+0.9*3.4+2.6*1.105)*(10.764)</f>
        <v>679.00926600000003</v>
      </c>
      <c r="F119" s="6">
        <f>(1.325*3.205+2.28*1.1+1.6*0.7)*(10.764)</f>
        <v>84.762463499999996</v>
      </c>
      <c r="G119" s="6">
        <v>0</v>
      </c>
      <c r="H119" s="6">
        <f t="shared" si="10"/>
        <v>763.77172949999999</v>
      </c>
      <c r="I119" s="1"/>
      <c r="J119" s="1"/>
      <c r="K119" s="1"/>
      <c r="L119" s="1"/>
      <c r="M119" s="1"/>
      <c r="N119" s="1"/>
      <c r="O119" s="1"/>
      <c r="P119" s="1"/>
      <c r="Q119" s="1"/>
      <c r="R119" s="1"/>
      <c r="S119" s="1"/>
      <c r="T119" s="23" t="str">
        <f t="shared" ca="1" si="11"/>
        <v>505 &amp; 1005</v>
      </c>
      <c r="U119" s="23">
        <f t="shared" ca="1" si="12"/>
        <v>505</v>
      </c>
      <c r="V119" s="23">
        <f t="shared" ca="1" si="13"/>
        <v>1005</v>
      </c>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customHeight="1" x14ac:dyDescent="0.3">
      <c r="A120" s="81">
        <v>6</v>
      </c>
      <c r="B120" s="81"/>
      <c r="C120" s="50" t="s">
        <v>309</v>
      </c>
      <c r="D120" s="82" t="s">
        <v>315</v>
      </c>
      <c r="E120" s="83"/>
      <c r="F120" s="83"/>
      <c r="G120" s="83"/>
      <c r="H120" s="84"/>
      <c r="I120" s="1"/>
      <c r="J120" s="1"/>
      <c r="K120" s="1"/>
      <c r="L120" s="1"/>
      <c r="M120" s="1"/>
      <c r="N120" s="1"/>
      <c r="O120" s="1"/>
      <c r="P120" s="1"/>
      <c r="Q120" s="1"/>
      <c r="R120" s="1"/>
      <c r="S120" s="1"/>
      <c r="T120" s="23" t="str">
        <f t="shared" ca="1" si="11"/>
        <v>506 &amp; 1006</v>
      </c>
      <c r="U120" s="23">
        <f t="shared" ca="1" si="12"/>
        <v>506</v>
      </c>
      <c r="V120" s="23">
        <f t="shared" ca="1" si="13"/>
        <v>1006</v>
      </c>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1" x14ac:dyDescent="0.3">
      <c r="A121" s="122" t="s">
        <v>347</v>
      </c>
      <c r="B121" s="123"/>
      <c r="C121" s="123"/>
      <c r="D121" s="123"/>
      <c r="E121" s="123"/>
      <c r="F121" s="123"/>
      <c r="G121" s="123"/>
      <c r="H121" s="124"/>
      <c r="I121" s="1">
        <f>1+4+4+1</f>
        <v>10</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customHeight="1" x14ac:dyDescent="0.3">
      <c r="A122" s="81">
        <v>1</v>
      </c>
      <c r="B122" s="81"/>
      <c r="C122" s="50" t="s">
        <v>309</v>
      </c>
      <c r="D122" s="50" t="s">
        <v>310</v>
      </c>
      <c r="E122" s="6">
        <f>(3.175*4.6+2.135*2.125+3.15*3.65+3.225*3.35+2*(2.275*1.375)+0.6*(1.9+1.9)+1.1*2.6+3.6*0.9+1.45*2.125)*(10.764)</f>
        <v>636.80496749999998</v>
      </c>
      <c r="F122" s="6">
        <f>(1.9*0.7+3.175*1.325)*(10.764)</f>
        <v>59.598922499999986</v>
      </c>
      <c r="G122" s="6">
        <v>0</v>
      </c>
      <c r="H122" s="6">
        <f>E122+F122+(IF(G122&lt;101,G122,IF(G122&lt;201,G122/2,IF(G122&lt;=301,G122/3,G122/4))))</f>
        <v>696.40388999999993</v>
      </c>
      <c r="I122" s="1">
        <f>14079440/H122</f>
        <v>20217.348297695466</v>
      </c>
      <c r="J122" s="1"/>
      <c r="K122" s="1"/>
      <c r="L122" s="1"/>
      <c r="M122" s="1"/>
      <c r="N122" s="1"/>
      <c r="O122" s="1"/>
      <c r="P122" s="1"/>
      <c r="Q122" s="1"/>
      <c r="R122" s="1"/>
      <c r="S122" s="1"/>
      <c r="T122" s="23" t="str">
        <f ca="1">U122&amp;""&amp;" to "&amp;""&amp;V122</f>
        <v>14101 to 2601</v>
      </c>
      <c r="U122" s="23">
        <f ca="1">(SUMPRODUCT(MID(0&amp;(LEFT(A121,SUM(LEN(A121)-LEN(SUBSTITUTE(A121,{"0","1","2","3"},""))))), LARGE(INDEX(ISNUMBER(--MID((LEFT(A121,SUM(LEN(A121)-LEN(SUBSTITUTE(A121,{"0","1","2","3"},""))))), ROW(INDIRECT("1:"&amp;LEN((LEFT(A121,SUM(LEN(A121)-LEN(SUBSTITUTE(A121,{"0","1","2","3"},"")))))))), 1)) * ROW(INDIRECT("1:"&amp;LEN((LEFT(A121,SUM(LEN(A121)-LEN(SUBSTITUTE(A121,{"0","1","2","3"},"")))))))), 0), ROW(INDIRECT("1:"&amp;LEN((LEFT(A121,SUM(LEN(A121)-LEN(SUBSTITUTE(A121,{"0","1","2","3"},"")))))))))+1, 1) * 10^ROW(INDIRECT("1:"&amp;LEN((LEFT(A121,SUM(LEN(A121)-LEN(SUBSTITUTE(A121,{"0","1","2","3"},""))))))))/10))*100+1</f>
        <v>14101</v>
      </c>
      <c r="V122" s="23">
        <f ca="1">(SUMPRODUCT(MID(0&amp;(--TRIM(RIGHT(SUBSTITUTE(LEFT(A121,_xlfn.AGGREGATE(16,6,FIND({0,1,2,3,4,5,6,7,8,9},A121,ROW(INDIRECT("1:"&amp;LEN(A121)))),1))," ",REPT(" ",LEN(A121))),LEN(A121)))), LARGE(INDEX(ISNUMBER(--MID((--TRIM(RIGHT(SUBSTITUTE(LEFT(A121,_xlfn.AGGREGATE(16,6,FIND({0,1,2,3,4,5,6,7,8,9},A121,ROW(INDIRECT("1:"&amp;LEN(A121)))),1))," ",REPT(" ",LEN(A121))),LEN(A121)))), ROW(INDIRECT("1:"&amp;LEN((--TRIM(RIGHT(SUBSTITUTE(LEFT(A121,_xlfn.AGGREGATE(16,6,FIND({0,1,2,3,4,5,6,7,8,9},A121,ROW(INDIRECT("1:"&amp;LEN(A121)))),1))," ",REPT(" ",LEN(A121))),LEN(A121))))))), 1)) * ROW(INDIRECT("1:"&amp;LEN((--TRIM(RIGHT(SUBSTITUTE(LEFT(A121,_xlfn.AGGREGATE(16,6,FIND({0,1,2,3,4,5,6,7,8,9},A121,ROW(INDIRECT("1:"&amp;LEN(A121)))),1))," ",REPT(" ",LEN(A121))),LEN(A121))))))), 0), ROW(INDIRECT("1:"&amp;LEN((--TRIM(RIGHT(SUBSTITUTE(LEFT(A121,_xlfn.AGGREGATE(16,6,FIND({0,1,2,3,4,5,6,7,8,9},A121,ROW(INDIRECT("1:"&amp;LEN(A121)))),1))," ",REPT(" ",LEN(A121))),LEN(A121))))))))+1, 1) * 10^ROW(INDIRECT("1:"&amp;LEN((--TRIM(RIGHT(SUBSTITUTE(LEFT(A121,_xlfn.AGGREGATE(16,6,FIND({0,1,2,3,4,5,6,7,8,9},A121,ROW(INDIRECT("1:"&amp;LEN(A121)))),1))," ",REPT(" ",LEN(A121))),LEN(A121)))))))/10))*100+1</f>
        <v>2601</v>
      </c>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25" customHeight="1" x14ac:dyDescent="0.3">
      <c r="A123" s="81">
        <v>2</v>
      </c>
      <c r="B123" s="81"/>
      <c r="C123" s="50" t="s">
        <v>309</v>
      </c>
      <c r="D123" s="50" t="s">
        <v>310</v>
      </c>
      <c r="E123" s="6">
        <f>(3.175*4.6+2.135*2.125+3.15*3.65+3.225*3.35+2*(2.275*1.375)+0.6*(1.9+1.9)+1.1*2.6+3.6*0.9+1.45*2.125)*(10.764)</f>
        <v>636.80496749999998</v>
      </c>
      <c r="F123" s="6">
        <f>(1.9*0.7+3.175*1.325)*(10.764)</f>
        <v>59.598922499999986</v>
      </c>
      <c r="G123" s="6">
        <v>0</v>
      </c>
      <c r="H123" s="6">
        <f t="shared" ref="H123:H127" si="14">E123+F123+(IF(G123&lt;101,G123,IF(G123&lt;201,G123/2,IF(G123&lt;=301,G123/3,G123/4))))</f>
        <v>696.40388999999993</v>
      </c>
      <c r="I123" s="1"/>
      <c r="J123" s="1"/>
      <c r="K123" s="1"/>
      <c r="L123" s="1"/>
      <c r="M123" s="1"/>
      <c r="N123" s="1"/>
      <c r="O123" s="1"/>
      <c r="P123" s="1"/>
      <c r="Q123" s="1"/>
      <c r="R123" s="1"/>
      <c r="S123" s="1"/>
      <c r="T123" s="23" t="str">
        <f t="shared" ref="T123:T127" ca="1" si="15">U123&amp;""&amp;" to "&amp;""&amp;V123</f>
        <v>14102 to 2602</v>
      </c>
      <c r="U123" s="23">
        <f ca="1">U122+1</f>
        <v>14102</v>
      </c>
      <c r="V123" s="23">
        <f ca="1">V122+1</f>
        <v>2602</v>
      </c>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s="3" customFormat="1" ht="20.25" customHeight="1" x14ac:dyDescent="0.3">
      <c r="A124" s="81">
        <v>3</v>
      </c>
      <c r="B124" s="81"/>
      <c r="C124" s="50" t="s">
        <v>309</v>
      </c>
      <c r="D124" s="50" t="s">
        <v>312</v>
      </c>
      <c r="E124" s="6">
        <f>(4.225*4.15+3.2*3.475+2.45*3.05+3.95*3.2+3.95*3.05+3.05*3.35+2*(2.45*1.5)+1.375*2.275+0.6*2*2+1.7*0.6+1.6*2.9+2.2*1.2)*(10.764)</f>
        <v>992.5417124999999</v>
      </c>
      <c r="F124" s="6">
        <f>(3.63*1.475+2.3*1.325)*(10.764)</f>
        <v>90.436436999999998</v>
      </c>
      <c r="G124" s="6">
        <v>0</v>
      </c>
      <c r="H124" s="6">
        <f t="shared" si="14"/>
        <v>1082.9781495</v>
      </c>
      <c r="I124" s="1"/>
      <c r="J124" s="1"/>
      <c r="K124" s="1"/>
      <c r="L124" s="1"/>
      <c r="M124" s="1"/>
      <c r="N124" s="1"/>
      <c r="O124" s="1"/>
      <c r="P124" s="1"/>
      <c r="Q124" s="1"/>
      <c r="R124" s="1"/>
      <c r="S124" s="1"/>
      <c r="T124" s="23" t="str">
        <f t="shared" ca="1" si="15"/>
        <v>14103 to 2603</v>
      </c>
      <c r="U124" s="23">
        <f t="shared" ref="U124:V127" ca="1" si="16">U123+1</f>
        <v>14103</v>
      </c>
      <c r="V124" s="23">
        <f t="shared" ca="1" si="16"/>
        <v>2603</v>
      </c>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0.25" customHeight="1" x14ac:dyDescent="0.3">
      <c r="A125" s="81">
        <v>4</v>
      </c>
      <c r="B125" s="81"/>
      <c r="C125" s="50" t="s">
        <v>309</v>
      </c>
      <c r="D125" s="50" t="s">
        <v>310</v>
      </c>
      <c r="E125" s="6">
        <f>(3.205*5.475+2.875*2.275+3.2*3.86+2.9*3.65+2.45*1.625+2.45*1.525+0.6*2.31+0.6*1.7+0.9*3.4+2.6*1.105)*(10.764)</f>
        <v>679.00926600000003</v>
      </c>
      <c r="F125" s="6">
        <f>(1.325*3.205+2.28*1.1+1.6*0.7)*(10.764)</f>
        <v>84.762463499999996</v>
      </c>
      <c r="G125" s="6">
        <v>0</v>
      </c>
      <c r="H125" s="6">
        <f t="shared" si="14"/>
        <v>763.77172949999999</v>
      </c>
      <c r="I125" s="1"/>
      <c r="J125" s="1"/>
      <c r="K125" s="1"/>
      <c r="L125" s="1"/>
      <c r="M125" s="1"/>
      <c r="N125" s="1"/>
      <c r="O125" s="1"/>
      <c r="P125" s="1"/>
      <c r="Q125" s="1"/>
      <c r="R125" s="1"/>
      <c r="S125" s="1"/>
      <c r="T125" s="23" t="str">
        <f t="shared" ca="1" si="15"/>
        <v>14104 to 2604</v>
      </c>
      <c r="U125" s="23">
        <f t="shared" ca="1" si="16"/>
        <v>14104</v>
      </c>
      <c r="V125" s="23">
        <f t="shared" ca="1" si="16"/>
        <v>2604</v>
      </c>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customHeight="1" x14ac:dyDescent="0.3">
      <c r="A126" s="81">
        <v>5</v>
      </c>
      <c r="B126" s="81"/>
      <c r="C126" s="50" t="s">
        <v>309</v>
      </c>
      <c r="D126" s="50" t="s">
        <v>310</v>
      </c>
      <c r="E126" s="6">
        <f>(3.205*5.475+2.875*2.275+3.2*3.86+2.9*3.65+2.45*1.625+2.45*1.525+0.6*2.31+0.6*1.7+0.9*3.4+2.6*1.105)*(10.764)</f>
        <v>679.00926600000003</v>
      </c>
      <c r="F126" s="6">
        <f>(1.325*3.205+2.28*1.1+1.6*0.7)*(10.764)</f>
        <v>84.762463499999996</v>
      </c>
      <c r="G126" s="6">
        <v>0</v>
      </c>
      <c r="H126" s="6">
        <f t="shared" si="14"/>
        <v>763.77172949999999</v>
      </c>
      <c r="I126" s="1"/>
      <c r="J126" s="1"/>
      <c r="K126" s="1"/>
      <c r="L126" s="1"/>
      <c r="M126" s="1"/>
      <c r="N126" s="1"/>
      <c r="O126" s="1"/>
      <c r="P126" s="1"/>
      <c r="Q126" s="1"/>
      <c r="R126" s="1"/>
      <c r="S126" s="1"/>
      <c r="T126" s="23" t="str">
        <f t="shared" ca="1" si="15"/>
        <v>14105 to 2605</v>
      </c>
      <c r="U126" s="23">
        <f t="shared" ca="1" si="16"/>
        <v>14105</v>
      </c>
      <c r="V126" s="23">
        <f t="shared" ca="1" si="16"/>
        <v>2605</v>
      </c>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25" customHeight="1" x14ac:dyDescent="0.3">
      <c r="A127" s="81">
        <v>6</v>
      </c>
      <c r="B127" s="81"/>
      <c r="C127" s="50" t="s">
        <v>309</v>
      </c>
      <c r="D127" s="50" t="s">
        <v>312</v>
      </c>
      <c r="E127" s="6">
        <f>(4.225*4.15+3.2*3.475+2.45*3.05+3.95*3.2+3.95*3.05+3.05*3.35+2*(2.45*1.5)+1.375*2.275+0.6*2*2+1.7*0.6+1.6*2.9+2.2*1.2)*(10.764)</f>
        <v>992.5417124999999</v>
      </c>
      <c r="F127" s="6">
        <f>(3.63*1.475+2.3*1.325)*(10.764)</f>
        <v>90.436436999999998</v>
      </c>
      <c r="G127" s="6">
        <v>0</v>
      </c>
      <c r="H127" s="6">
        <f t="shared" si="14"/>
        <v>1082.9781495</v>
      </c>
      <c r="I127" s="1"/>
      <c r="J127" s="1"/>
      <c r="K127" s="1"/>
      <c r="L127" s="1"/>
      <c r="M127" s="1"/>
      <c r="N127" s="1"/>
      <c r="O127" s="1"/>
      <c r="P127" s="1"/>
      <c r="Q127" s="1"/>
      <c r="R127" s="1"/>
      <c r="S127" s="1"/>
      <c r="T127" s="23" t="str">
        <f t="shared" ca="1" si="15"/>
        <v>14106 to 2606</v>
      </c>
      <c r="U127" s="23">
        <f t="shared" ca="1" si="16"/>
        <v>14106</v>
      </c>
      <c r="V127" s="23">
        <f t="shared" ca="1" si="16"/>
        <v>2606</v>
      </c>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1" x14ac:dyDescent="0.3">
      <c r="A128" s="122" t="s">
        <v>316</v>
      </c>
      <c r="B128" s="123"/>
      <c r="C128" s="123"/>
      <c r="D128" s="123"/>
      <c r="E128" s="123"/>
      <c r="F128" s="123"/>
      <c r="G128" s="123"/>
      <c r="H128" s="124"/>
      <c r="I128" s="1">
        <f>3</f>
        <v>3</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25" customHeight="1" x14ac:dyDescent="0.3">
      <c r="A129" s="81">
        <v>1</v>
      </c>
      <c r="B129" s="81"/>
      <c r="C129" s="50" t="s">
        <v>309</v>
      </c>
      <c r="D129" s="50" t="s">
        <v>310</v>
      </c>
      <c r="E129" s="6">
        <f>(3.175*4.6+2.135*2.125+3.15*3.65+3.225*3.35+2*(2.275*1.375)+0.6*(1.9+1.9)+1.1*2.6+3.6*0.9+1.45*2.125)*(10.764)</f>
        <v>636.80496749999998</v>
      </c>
      <c r="F129" s="6">
        <f>(1.9*0.7+3.175*1.325)*(10.764)</f>
        <v>59.598922499999986</v>
      </c>
      <c r="G129" s="6">
        <v>0</v>
      </c>
      <c r="H129" s="6">
        <f>E129+F129+(IF(G129&lt;101,G129,IF(G129&lt;201,G129/2,IF(G129&lt;=301,G129/3,G129/4))))</f>
        <v>696.40388999999993</v>
      </c>
      <c r="I129" s="1"/>
      <c r="J129" s="1"/>
      <c r="K129" s="1"/>
      <c r="L129" s="1"/>
      <c r="M129" s="1"/>
      <c r="N129" s="1"/>
      <c r="O129" s="1"/>
      <c r="P129" s="1"/>
      <c r="Q129" s="1"/>
      <c r="R129" s="1"/>
      <c r="S129" s="1"/>
      <c r="T129" s="23" t="str">
        <f ca="1">U129&amp;""&amp;" to "&amp;""&amp;V129</f>
        <v>1501 to 2501</v>
      </c>
      <c r="U129" s="23">
        <f ca="1">(SUMPRODUCT(MID(0&amp;(LEFT(A128,SUM(LEN(A128)-LEN(SUBSTITUTE(A128,{"0","1","2","3"},""))))), LARGE(INDEX(ISNUMBER(--MID((LEFT(A128,SUM(LEN(A128)-LEN(SUBSTITUTE(A128,{"0","1","2","3"},""))))), ROW(INDIRECT("1:"&amp;LEN((LEFT(A128,SUM(LEN(A128)-LEN(SUBSTITUTE(A128,{"0","1","2","3"},"")))))))), 1)) * ROW(INDIRECT("1:"&amp;LEN((LEFT(A128,SUM(LEN(A128)-LEN(SUBSTITUTE(A128,{"0","1","2","3"},"")))))))), 0), ROW(INDIRECT("1:"&amp;LEN((LEFT(A128,SUM(LEN(A128)-LEN(SUBSTITUTE(A128,{"0","1","2","3"},"")))))))))+1, 1) * 10^ROW(INDIRECT("1:"&amp;LEN((LEFT(A128,SUM(LEN(A128)-LEN(SUBSTITUTE(A128,{"0","1","2","3"},""))))))))/10))*100+1</f>
        <v>1501</v>
      </c>
      <c r="V129" s="23">
        <f ca="1">(SUMPRODUCT(MID(0&amp;(--TRIM(RIGHT(SUBSTITUTE(LEFT(A128,_xlfn.AGGREGATE(16,6,FIND({0,1,2,3,4,5,6,7,8,9},A128,ROW(INDIRECT("1:"&amp;LEN(A128)))),1))," ",REPT(" ",LEN(A128))),LEN(A128)))), LARGE(INDEX(ISNUMBER(--MID((--TRIM(RIGHT(SUBSTITUTE(LEFT(A128,_xlfn.AGGREGATE(16,6,FIND({0,1,2,3,4,5,6,7,8,9},A128,ROW(INDIRECT("1:"&amp;LEN(A128)))),1))," ",REPT(" ",LEN(A128))),LEN(A128)))), ROW(INDIRECT("1:"&amp;LEN((--TRIM(RIGHT(SUBSTITUTE(LEFT(A128,_xlfn.AGGREGATE(16,6,FIND({0,1,2,3,4,5,6,7,8,9},A128,ROW(INDIRECT("1:"&amp;LEN(A128)))),1))," ",REPT(" ",LEN(A128))),LEN(A128))))))), 1)) * ROW(INDIRECT("1:"&amp;LEN((--TRIM(RIGHT(SUBSTITUTE(LEFT(A128,_xlfn.AGGREGATE(16,6,FIND({0,1,2,3,4,5,6,7,8,9},A128,ROW(INDIRECT("1:"&amp;LEN(A128)))),1))," ",REPT(" ",LEN(A128))),LEN(A128))))))), 0), ROW(INDIRECT("1:"&amp;LEN((--TRIM(RIGHT(SUBSTITUTE(LEFT(A128,_xlfn.AGGREGATE(16,6,FIND({0,1,2,3,4,5,6,7,8,9},A128,ROW(INDIRECT("1:"&amp;LEN(A128)))),1))," ",REPT(" ",LEN(A128))),LEN(A128))))))))+1, 1) * 10^ROW(INDIRECT("1:"&amp;LEN((--TRIM(RIGHT(SUBSTITUTE(LEFT(A128,_xlfn.AGGREGATE(16,6,FIND({0,1,2,3,4,5,6,7,8,9},A128,ROW(INDIRECT("1:"&amp;LEN(A128)))),1))," ",REPT(" ",LEN(A128))),LEN(A128)))))))/10))*100+1</f>
        <v>2501</v>
      </c>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25" customHeight="1" x14ac:dyDescent="0.3">
      <c r="A130" s="81">
        <v>2</v>
      </c>
      <c r="B130" s="81"/>
      <c r="C130" s="50" t="s">
        <v>309</v>
      </c>
      <c r="D130" s="50" t="s">
        <v>310</v>
      </c>
      <c r="E130" s="6">
        <f>(3.175*4.6+2.135*2.125+3.15*3.65+3.225*3.35+2*(2.275*1.375)+0.6*(1.9+1.9)+1.1*2.6+3.6*0.9+1.45*2.125)*(10.764)</f>
        <v>636.80496749999998</v>
      </c>
      <c r="F130" s="6">
        <f>(1.9*0.7+3.175*1.325)*(10.764)</f>
        <v>59.598922499999986</v>
      </c>
      <c r="G130" s="6">
        <v>0</v>
      </c>
      <c r="H130" s="6">
        <f t="shared" ref="H130:H133" si="17">E130+F130+(IF(G130&lt;101,G130,IF(G130&lt;201,G130/2,IF(G130&lt;=301,G130/3,G130/4))))</f>
        <v>696.40388999999993</v>
      </c>
      <c r="I130" s="1"/>
      <c r="J130" s="1"/>
      <c r="K130" s="1"/>
      <c r="L130" s="1"/>
      <c r="M130" s="1"/>
      <c r="N130" s="1"/>
      <c r="O130" s="1"/>
      <c r="P130" s="1"/>
      <c r="Q130" s="1"/>
      <c r="R130" s="1"/>
      <c r="S130" s="1"/>
      <c r="T130" s="23" t="str">
        <f t="shared" ref="T130:T134" ca="1" si="18">U130&amp;""&amp;" to "&amp;""&amp;V130</f>
        <v>1502 to 2502</v>
      </c>
      <c r="U130" s="23">
        <f ca="1">U129+1</f>
        <v>1502</v>
      </c>
      <c r="V130" s="23">
        <f ca="1">V129+1</f>
        <v>2502</v>
      </c>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customHeight="1" x14ac:dyDescent="0.3">
      <c r="A131" s="81">
        <v>3</v>
      </c>
      <c r="B131" s="81"/>
      <c r="C131" s="50" t="s">
        <v>309</v>
      </c>
      <c r="D131" s="50" t="s">
        <v>312</v>
      </c>
      <c r="E131" s="6">
        <f>(4.225*4.15+3.2*3.475+2.45*3.05+3.95*3.2+3.95*3.05+3.05*3.35+2*(2.45*1.5)+1.375*2.275+0.6*2*2+1.7*0.6+1.6*2.9+2.2*1.2)*(10.764)</f>
        <v>992.5417124999999</v>
      </c>
      <c r="F131" s="6">
        <f>(3.63*1.475+2.3*1.325)*(10.764)</f>
        <v>90.436436999999998</v>
      </c>
      <c r="G131" s="6">
        <v>0</v>
      </c>
      <c r="H131" s="6">
        <f t="shared" si="17"/>
        <v>1082.9781495</v>
      </c>
      <c r="I131" s="1"/>
      <c r="J131" s="1"/>
      <c r="K131" s="1"/>
      <c r="L131" s="1"/>
      <c r="M131" s="1"/>
      <c r="N131" s="1"/>
      <c r="O131" s="1"/>
      <c r="P131" s="1"/>
      <c r="Q131" s="1"/>
      <c r="R131" s="1"/>
      <c r="S131" s="1"/>
      <c r="T131" s="23" t="str">
        <f t="shared" ca="1" si="18"/>
        <v>1503 to 2503</v>
      </c>
      <c r="U131" s="23">
        <f t="shared" ref="U131:V131" ca="1" si="19">U130+1</f>
        <v>1503</v>
      </c>
      <c r="V131" s="23">
        <f t="shared" ca="1" si="19"/>
        <v>2503</v>
      </c>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customHeight="1" x14ac:dyDescent="0.3">
      <c r="A132" s="81">
        <v>4</v>
      </c>
      <c r="B132" s="81"/>
      <c r="C132" s="50" t="s">
        <v>309</v>
      </c>
      <c r="D132" s="50" t="s">
        <v>310</v>
      </c>
      <c r="E132" s="6">
        <f>(3.205*5.475+2.875*2.275+3.2*3.86+2.9*3.65+2.45*1.625+2.45*1.525+0.6*2.31+0.6*1.7+0.9*3.4+2.6*1.105)*(10.764)</f>
        <v>679.00926600000003</v>
      </c>
      <c r="F132" s="6">
        <f>(1.325*3.205+2.28*1.1+1.6*0.7)*(10.764)</f>
        <v>84.762463499999996</v>
      </c>
      <c r="G132" s="6">
        <v>0</v>
      </c>
      <c r="H132" s="6">
        <f t="shared" si="17"/>
        <v>763.77172949999999</v>
      </c>
      <c r="I132" s="1"/>
      <c r="J132" s="1"/>
      <c r="K132" s="1"/>
      <c r="L132" s="1"/>
      <c r="M132" s="1"/>
      <c r="N132" s="1"/>
      <c r="O132" s="1"/>
      <c r="P132" s="1"/>
      <c r="Q132" s="1"/>
      <c r="R132" s="1"/>
      <c r="S132" s="1"/>
      <c r="T132" s="23" t="str">
        <f t="shared" ca="1" si="18"/>
        <v>1504 to 2504</v>
      </c>
      <c r="U132" s="23">
        <f t="shared" ref="U132:V132" ca="1" si="20">U131+1</f>
        <v>1504</v>
      </c>
      <c r="V132" s="23">
        <f t="shared" ca="1" si="20"/>
        <v>2504</v>
      </c>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3">
      <c r="A133" s="81">
        <v>5</v>
      </c>
      <c r="B133" s="81"/>
      <c r="C133" s="50" t="s">
        <v>309</v>
      </c>
      <c r="D133" s="50" t="s">
        <v>310</v>
      </c>
      <c r="E133" s="6">
        <f>(3.205*5.475+2.875*2.275+3.2*3.86+2.9*3.65+2.45*1.625+2.45*1.525+0.6*2.31+0.6*1.7+0.9*3.4+2.6*1.105)*(10.764)</f>
        <v>679.00926600000003</v>
      </c>
      <c r="F133" s="6">
        <f>(1.325*3.205+2.28*1.1+1.6*0.7)*(10.764)</f>
        <v>84.762463499999996</v>
      </c>
      <c r="G133" s="6">
        <v>0</v>
      </c>
      <c r="H133" s="6">
        <f t="shared" si="17"/>
        <v>763.77172949999999</v>
      </c>
      <c r="I133" s="1"/>
      <c r="J133" s="1"/>
      <c r="K133" s="1"/>
      <c r="L133" s="1"/>
      <c r="M133" s="1"/>
      <c r="N133" s="1"/>
      <c r="O133" s="1"/>
      <c r="P133" s="1"/>
      <c r="Q133" s="1"/>
      <c r="R133" s="1"/>
      <c r="S133" s="1"/>
      <c r="T133" s="23" t="str">
        <f t="shared" ca="1" si="18"/>
        <v>1505 to 2505</v>
      </c>
      <c r="U133" s="23">
        <f t="shared" ref="U133:V133" ca="1" si="21">U132+1</f>
        <v>1505</v>
      </c>
      <c r="V133" s="23">
        <f t="shared" ca="1" si="21"/>
        <v>2505</v>
      </c>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3">
      <c r="A134" s="81">
        <v>6</v>
      </c>
      <c r="B134" s="81"/>
      <c r="C134" s="50" t="s">
        <v>309</v>
      </c>
      <c r="D134" s="82" t="s">
        <v>315</v>
      </c>
      <c r="E134" s="83"/>
      <c r="F134" s="83"/>
      <c r="G134" s="83"/>
      <c r="H134" s="84"/>
      <c r="I134" s="1"/>
      <c r="J134" s="1"/>
      <c r="K134" s="1"/>
      <c r="L134" s="1"/>
      <c r="M134" s="1"/>
      <c r="N134" s="1"/>
      <c r="O134" s="1"/>
      <c r="P134" s="1"/>
      <c r="Q134" s="1"/>
      <c r="R134" s="1"/>
      <c r="S134" s="1"/>
      <c r="T134" s="23" t="str">
        <f t="shared" ca="1" si="18"/>
        <v>1506 to 2506</v>
      </c>
      <c r="U134" s="23">
        <f t="shared" ref="U134:V134" ca="1" si="22">U133+1</f>
        <v>1506</v>
      </c>
      <c r="V134" s="23">
        <f t="shared" ca="1" si="22"/>
        <v>2506</v>
      </c>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ht="21" x14ac:dyDescent="0.3">
      <c r="A135" s="125" t="s">
        <v>65</v>
      </c>
      <c r="B135" s="125"/>
      <c r="C135" s="125"/>
      <c r="D135" s="125"/>
      <c r="E135" s="125"/>
      <c r="F135" s="125"/>
      <c r="G135" s="125"/>
      <c r="H135" s="125"/>
    </row>
    <row r="136" spans="1:150 16226:16383" ht="21" x14ac:dyDescent="0.3">
      <c r="A136" s="2" t="s">
        <v>229</v>
      </c>
      <c r="B136" s="89" t="s">
        <v>340</v>
      </c>
      <c r="C136" s="105"/>
      <c r="D136" s="105"/>
      <c r="E136" s="105"/>
      <c r="F136" s="105"/>
      <c r="G136" s="105"/>
      <c r="H136" s="90"/>
    </row>
    <row r="137" spans="1:150 16226:16383" ht="21" x14ac:dyDescent="0.3">
      <c r="A137" s="2" t="s">
        <v>229</v>
      </c>
      <c r="B137" s="89" t="s">
        <v>230</v>
      </c>
      <c r="C137" s="105"/>
      <c r="D137" s="105"/>
      <c r="E137" s="105"/>
      <c r="F137" s="105"/>
      <c r="G137" s="105"/>
      <c r="H137" s="90"/>
    </row>
    <row r="138" spans="1:150 16226:16383" ht="21" x14ac:dyDescent="0.3">
      <c r="A138" s="2" t="s">
        <v>229</v>
      </c>
      <c r="B138" s="89" t="s">
        <v>318</v>
      </c>
      <c r="C138" s="105"/>
      <c r="D138" s="105"/>
      <c r="E138" s="105"/>
      <c r="F138" s="105"/>
      <c r="G138" s="105"/>
      <c r="H138" s="90"/>
    </row>
    <row r="139" spans="1:150 16226:16383" ht="21" x14ac:dyDescent="0.3">
      <c r="A139" s="2" t="s">
        <v>229</v>
      </c>
      <c r="B139" s="89" t="s">
        <v>231</v>
      </c>
      <c r="C139" s="105"/>
      <c r="D139" s="105"/>
      <c r="E139" s="105"/>
      <c r="F139" s="105"/>
      <c r="G139" s="105"/>
      <c r="H139" s="90"/>
    </row>
    <row r="140" spans="1:150 16226:16383" ht="21" x14ac:dyDescent="0.3">
      <c r="A140" s="2" t="s">
        <v>229</v>
      </c>
      <c r="B140" s="89" t="s">
        <v>232</v>
      </c>
      <c r="C140" s="105"/>
      <c r="D140" s="105"/>
      <c r="E140" s="105"/>
      <c r="F140" s="105"/>
      <c r="G140" s="105"/>
      <c r="H140" s="90"/>
    </row>
    <row r="141" spans="1:150 16226:16383" ht="21.75" customHeight="1" x14ac:dyDescent="0.3">
      <c r="A141" s="2" t="s">
        <v>229</v>
      </c>
      <c r="B141" s="89" t="s">
        <v>362</v>
      </c>
      <c r="C141" s="105"/>
      <c r="D141" s="105"/>
      <c r="E141" s="105"/>
      <c r="F141" s="105"/>
      <c r="G141" s="105"/>
      <c r="H141" s="90"/>
    </row>
    <row r="142" spans="1:150 16226:16383" ht="21" x14ac:dyDescent="0.3">
      <c r="A142" s="131" t="s">
        <v>71</v>
      </c>
      <c r="B142" s="131"/>
      <c r="C142" s="131"/>
      <c r="D142" s="131"/>
      <c r="E142" s="131"/>
      <c r="F142" s="131"/>
      <c r="G142" s="131"/>
      <c r="H142" s="131"/>
    </row>
    <row r="143" spans="1:150 16226:16383" ht="21" x14ac:dyDescent="0.3">
      <c r="A143" s="104" t="s">
        <v>66</v>
      </c>
      <c r="B143" s="104"/>
      <c r="C143" s="104"/>
      <c r="D143" s="89" t="str">
        <f>C3</f>
        <v>T11 Raheja Jade City</v>
      </c>
      <c r="E143" s="105"/>
      <c r="F143" s="105"/>
      <c r="G143" s="105"/>
      <c r="H143" s="90"/>
    </row>
    <row r="144" spans="1:150 16226:16383" ht="40.5" customHeight="1" x14ac:dyDescent="0.3">
      <c r="A144" s="104" t="s">
        <v>100</v>
      </c>
      <c r="B144" s="104"/>
      <c r="C144" s="104"/>
      <c r="D144" s="89" t="str">
        <f>C9</f>
        <v>Plot No Gen 2/1/F, next to Mindspace Business Park, TTC Industrial Area, Shiravane, Juinagar, Navi Mumbai - 400706</v>
      </c>
      <c r="E144" s="105"/>
      <c r="F144" s="105"/>
      <c r="G144" s="105"/>
      <c r="H144" s="90"/>
    </row>
    <row r="145" spans="1:8" ht="20.25" customHeight="1" x14ac:dyDescent="0.3">
      <c r="A145" s="137" t="s">
        <v>106</v>
      </c>
      <c r="B145" s="137"/>
      <c r="C145" s="137"/>
      <c r="D145" s="138" t="str">
        <f>G3</f>
        <v>15/09/2025 @ 11:30AM</v>
      </c>
      <c r="E145" s="105"/>
      <c r="F145" s="105"/>
      <c r="G145" s="105"/>
      <c r="H145" s="90"/>
    </row>
    <row r="146" spans="1:8" ht="21" x14ac:dyDescent="0.3">
      <c r="A146" s="10"/>
      <c r="B146" s="11"/>
      <c r="C146" s="11"/>
      <c r="D146" s="11"/>
      <c r="E146" s="11"/>
      <c r="F146" s="11"/>
      <c r="G146" s="11"/>
      <c r="H146" s="7"/>
    </row>
    <row r="147" spans="1:8" ht="21" x14ac:dyDescent="0.3">
      <c r="A147" s="12"/>
      <c r="B147" s="13"/>
      <c r="C147" s="13"/>
      <c r="D147" s="13"/>
      <c r="E147" s="13"/>
      <c r="F147" s="13"/>
      <c r="G147" s="13"/>
      <c r="H147" s="8"/>
    </row>
    <row r="148" spans="1:8" ht="21" x14ac:dyDescent="0.3">
      <c r="A148" s="12"/>
      <c r="B148" s="13"/>
      <c r="C148" s="13"/>
      <c r="D148" s="13"/>
      <c r="E148" s="13"/>
      <c r="F148" s="13"/>
      <c r="G148" s="13"/>
      <c r="H148" s="8"/>
    </row>
    <row r="149" spans="1:8" ht="21" x14ac:dyDescent="0.3">
      <c r="A149" s="12"/>
      <c r="B149" s="13"/>
      <c r="C149" s="13"/>
      <c r="D149" s="13"/>
      <c r="E149" s="13"/>
      <c r="F149" s="13"/>
      <c r="G149" s="13"/>
      <c r="H149" s="8"/>
    </row>
    <row r="150" spans="1:8" ht="21" x14ac:dyDescent="0.3">
      <c r="A150" s="12"/>
      <c r="B150" s="13"/>
      <c r="C150" s="13"/>
      <c r="D150" s="13"/>
      <c r="E150" s="13"/>
      <c r="F150" s="13"/>
      <c r="G150" s="13"/>
      <c r="H150" s="8"/>
    </row>
    <row r="151" spans="1:8" ht="21" x14ac:dyDescent="0.3">
      <c r="A151" s="12"/>
      <c r="B151" s="13"/>
      <c r="C151" s="13"/>
      <c r="D151" s="13"/>
      <c r="E151" s="13"/>
      <c r="F151" s="13"/>
      <c r="G151" s="13"/>
      <c r="H151" s="8"/>
    </row>
    <row r="152" spans="1:8" ht="21" x14ac:dyDescent="0.3">
      <c r="A152" s="12"/>
      <c r="B152" s="13"/>
      <c r="C152" s="13"/>
      <c r="D152" s="13"/>
      <c r="E152" s="13"/>
      <c r="F152" s="13"/>
      <c r="G152" s="13"/>
      <c r="H152" s="8"/>
    </row>
    <row r="153" spans="1:8" ht="21" x14ac:dyDescent="0.3">
      <c r="A153" s="12"/>
      <c r="B153" s="13"/>
      <c r="C153" s="13"/>
      <c r="D153" s="13"/>
      <c r="E153" s="13"/>
      <c r="F153" s="13"/>
      <c r="G153" s="13"/>
      <c r="H153" s="8"/>
    </row>
    <row r="154" spans="1:8" ht="21" x14ac:dyDescent="0.3">
      <c r="A154" s="12"/>
      <c r="B154" s="13"/>
      <c r="C154" s="13"/>
      <c r="D154" s="13"/>
      <c r="E154" s="13"/>
      <c r="F154" s="13"/>
      <c r="G154" s="13"/>
      <c r="H154" s="8"/>
    </row>
    <row r="155" spans="1:8" ht="21" x14ac:dyDescent="0.3">
      <c r="A155" s="12"/>
      <c r="B155" s="13"/>
      <c r="C155" s="13"/>
      <c r="D155" s="13"/>
      <c r="E155" s="13"/>
      <c r="F155" s="13"/>
      <c r="G155" s="13"/>
      <c r="H155" s="8"/>
    </row>
    <row r="156" spans="1:8" ht="21" x14ac:dyDescent="0.3">
      <c r="A156" s="12"/>
      <c r="B156" s="13"/>
      <c r="C156" s="13"/>
      <c r="D156" s="13"/>
      <c r="E156" s="13"/>
      <c r="F156" s="13"/>
      <c r="G156" s="13"/>
      <c r="H156" s="8"/>
    </row>
    <row r="157" spans="1:8" ht="21" x14ac:dyDescent="0.3">
      <c r="A157" s="12"/>
      <c r="B157" s="13"/>
      <c r="C157" s="13"/>
      <c r="D157" s="13"/>
      <c r="E157" s="13"/>
      <c r="F157" s="13"/>
      <c r="G157" s="13"/>
      <c r="H157" s="8"/>
    </row>
    <row r="158" spans="1:8" ht="21" x14ac:dyDescent="0.3">
      <c r="A158" s="12"/>
      <c r="B158" s="13"/>
      <c r="C158" s="13"/>
      <c r="D158" s="13"/>
      <c r="E158" s="13"/>
      <c r="F158" s="13"/>
      <c r="G158" s="13"/>
      <c r="H158" s="8"/>
    </row>
    <row r="159" spans="1:8" ht="21" x14ac:dyDescent="0.3">
      <c r="A159" s="12"/>
      <c r="B159" s="13"/>
      <c r="C159" s="13"/>
      <c r="D159" s="13"/>
      <c r="E159" s="13"/>
      <c r="F159" s="13"/>
      <c r="G159" s="13"/>
      <c r="H159" s="8"/>
    </row>
    <row r="160" spans="1:8" ht="21" x14ac:dyDescent="0.3">
      <c r="A160" s="12"/>
      <c r="B160" s="13"/>
      <c r="C160" s="13"/>
      <c r="D160" s="13"/>
      <c r="E160" s="13"/>
      <c r="F160" s="13"/>
      <c r="G160" s="13"/>
      <c r="H160" s="8"/>
    </row>
    <row r="161" spans="1:8" ht="21" x14ac:dyDescent="0.3">
      <c r="A161" s="12"/>
      <c r="B161" s="13"/>
      <c r="C161" s="13"/>
      <c r="D161" s="13"/>
      <c r="E161" s="13"/>
      <c r="F161" s="13"/>
      <c r="G161" s="13"/>
      <c r="H161" s="8"/>
    </row>
    <row r="162" spans="1:8" ht="21" x14ac:dyDescent="0.3">
      <c r="A162" s="12"/>
      <c r="B162" s="13"/>
      <c r="C162" s="13"/>
      <c r="D162" s="13"/>
      <c r="E162" s="13"/>
      <c r="F162" s="13"/>
      <c r="G162" s="13"/>
      <c r="H162" s="8"/>
    </row>
    <row r="163" spans="1:8" ht="21" x14ac:dyDescent="0.3">
      <c r="A163" s="12"/>
      <c r="B163" s="13"/>
      <c r="C163" s="13"/>
      <c r="D163" s="13"/>
      <c r="E163" s="13"/>
      <c r="F163" s="13"/>
      <c r="G163" s="13"/>
      <c r="H163" s="8"/>
    </row>
    <row r="164" spans="1:8" ht="21" x14ac:dyDescent="0.3">
      <c r="A164" s="12"/>
      <c r="B164" s="13"/>
      <c r="C164" s="13"/>
      <c r="D164" s="13"/>
      <c r="E164" s="13"/>
      <c r="F164" s="13"/>
      <c r="G164" s="13"/>
      <c r="H164" s="8"/>
    </row>
    <row r="165" spans="1:8" ht="21" x14ac:dyDescent="0.3">
      <c r="A165" s="12"/>
      <c r="B165" s="13"/>
      <c r="C165" s="13"/>
      <c r="D165" s="13"/>
      <c r="E165" s="13"/>
      <c r="F165" s="13"/>
      <c r="G165" s="13"/>
      <c r="H165" s="8"/>
    </row>
    <row r="166" spans="1:8" ht="21" x14ac:dyDescent="0.3">
      <c r="A166" s="12"/>
      <c r="B166" s="13"/>
      <c r="C166" s="13"/>
      <c r="D166" s="13"/>
      <c r="E166" s="13"/>
      <c r="F166" s="13"/>
      <c r="G166" s="13"/>
      <c r="H166" s="8"/>
    </row>
    <row r="167" spans="1:8" ht="21" x14ac:dyDescent="0.3">
      <c r="A167" s="12"/>
      <c r="B167" s="13"/>
      <c r="C167" s="13"/>
      <c r="D167" s="13"/>
      <c r="E167" s="13"/>
      <c r="F167" s="13"/>
      <c r="G167" s="13"/>
      <c r="H167" s="8"/>
    </row>
    <row r="168" spans="1:8" ht="21" x14ac:dyDescent="0.3">
      <c r="A168" s="12"/>
      <c r="B168" s="13"/>
      <c r="C168" s="13"/>
      <c r="D168" s="13"/>
      <c r="E168" s="13"/>
      <c r="F168" s="13"/>
      <c r="G168" s="13"/>
      <c r="H168" s="8"/>
    </row>
    <row r="169" spans="1:8" ht="21" x14ac:dyDescent="0.3">
      <c r="A169" s="12"/>
      <c r="B169" s="13"/>
      <c r="C169" s="13"/>
      <c r="D169" s="13"/>
      <c r="E169" s="13"/>
      <c r="F169" s="13"/>
      <c r="G169" s="13"/>
      <c r="H169" s="8"/>
    </row>
    <row r="170" spans="1:8" ht="21" x14ac:dyDescent="0.3">
      <c r="A170" s="12"/>
      <c r="B170" s="13"/>
      <c r="C170" s="13"/>
      <c r="D170" s="13"/>
      <c r="E170" s="13"/>
      <c r="F170" s="13"/>
      <c r="G170" s="13"/>
      <c r="H170" s="8"/>
    </row>
    <row r="171" spans="1:8" ht="21" x14ac:dyDescent="0.3">
      <c r="A171" s="12"/>
      <c r="B171" s="13"/>
      <c r="C171" s="13"/>
      <c r="D171" s="13"/>
      <c r="E171" s="13"/>
      <c r="F171" s="13"/>
      <c r="G171" s="13"/>
      <c r="H171" s="8"/>
    </row>
    <row r="172" spans="1:8" ht="21" x14ac:dyDescent="0.3">
      <c r="A172" s="12"/>
      <c r="B172" s="13"/>
      <c r="C172" s="13"/>
      <c r="D172" s="13"/>
      <c r="E172" s="13"/>
      <c r="F172" s="13"/>
      <c r="G172" s="13"/>
      <c r="H172" s="8"/>
    </row>
    <row r="173" spans="1:8" ht="21" x14ac:dyDescent="0.3">
      <c r="A173" s="12"/>
      <c r="B173" s="13"/>
      <c r="C173" s="13"/>
      <c r="D173" s="13"/>
      <c r="E173" s="13"/>
      <c r="F173" s="13"/>
      <c r="G173" s="13"/>
      <c r="H173" s="8"/>
    </row>
    <row r="174" spans="1:8" ht="21" x14ac:dyDescent="0.3">
      <c r="A174" s="12"/>
      <c r="B174" s="13"/>
      <c r="C174" s="13"/>
      <c r="D174" s="13"/>
      <c r="E174" s="13"/>
      <c r="F174" s="13"/>
      <c r="G174" s="13"/>
      <c r="H174" s="8"/>
    </row>
    <row r="175" spans="1:8" ht="21" x14ac:dyDescent="0.3">
      <c r="A175" s="12"/>
      <c r="B175" s="13"/>
      <c r="C175" s="13"/>
      <c r="D175" s="13"/>
      <c r="E175" s="13"/>
      <c r="F175" s="13"/>
      <c r="G175" s="13"/>
      <c r="H175" s="8"/>
    </row>
    <row r="176" spans="1:8" ht="21" x14ac:dyDescent="0.3">
      <c r="A176" s="12"/>
      <c r="B176" s="13"/>
      <c r="C176" s="13"/>
      <c r="D176" s="13"/>
      <c r="E176" s="13"/>
      <c r="F176" s="13"/>
      <c r="G176" s="13"/>
      <c r="H176" s="8"/>
    </row>
    <row r="177" spans="1:8" ht="21" x14ac:dyDescent="0.3">
      <c r="A177" s="12"/>
      <c r="B177" s="13"/>
      <c r="C177" s="13"/>
      <c r="D177" s="13"/>
      <c r="E177" s="13"/>
      <c r="F177" s="13"/>
      <c r="G177" s="13"/>
      <c r="H177" s="8"/>
    </row>
    <row r="178" spans="1:8" ht="21" x14ac:dyDescent="0.3">
      <c r="A178" s="12"/>
      <c r="B178" s="13"/>
      <c r="C178" s="13"/>
      <c r="D178" s="13"/>
      <c r="E178" s="13"/>
      <c r="F178" s="13"/>
      <c r="G178" s="13"/>
      <c r="H178" s="8"/>
    </row>
    <row r="179" spans="1:8" ht="21" x14ac:dyDescent="0.3">
      <c r="A179" s="12"/>
      <c r="B179" s="13"/>
      <c r="C179" s="13"/>
      <c r="D179" s="13"/>
      <c r="E179" s="13"/>
      <c r="F179" s="13"/>
      <c r="G179" s="13"/>
      <c r="H179" s="8"/>
    </row>
    <row r="180" spans="1:8" ht="21" x14ac:dyDescent="0.3">
      <c r="A180" s="12"/>
      <c r="B180" s="13"/>
      <c r="C180" s="13"/>
      <c r="D180" s="13"/>
      <c r="E180" s="13"/>
      <c r="F180" s="13"/>
      <c r="G180" s="13"/>
      <c r="H180" s="8"/>
    </row>
    <row r="181" spans="1:8" ht="21" x14ac:dyDescent="0.3">
      <c r="A181" s="12"/>
      <c r="B181" s="13"/>
      <c r="C181" s="13"/>
      <c r="D181" s="13"/>
      <c r="E181" s="13"/>
      <c r="F181" s="13"/>
      <c r="G181" s="13"/>
      <c r="H181" s="8"/>
    </row>
    <row r="182" spans="1:8" ht="21" x14ac:dyDescent="0.3">
      <c r="A182" s="12"/>
      <c r="B182" s="13"/>
      <c r="C182" s="13"/>
      <c r="D182" s="13"/>
      <c r="E182" s="13"/>
      <c r="F182" s="13"/>
      <c r="G182" s="13"/>
      <c r="H182" s="8"/>
    </row>
    <row r="183" spans="1:8" ht="21" x14ac:dyDescent="0.3">
      <c r="A183" s="12"/>
      <c r="B183" s="13"/>
      <c r="C183" s="13"/>
      <c r="D183" s="13"/>
      <c r="E183" s="13"/>
      <c r="F183" s="13"/>
      <c r="G183" s="13"/>
      <c r="H183" s="8"/>
    </row>
    <row r="184" spans="1:8" ht="21" x14ac:dyDescent="0.3">
      <c r="A184" s="14"/>
      <c r="B184" s="15"/>
      <c r="C184" s="15"/>
      <c r="D184" s="15"/>
      <c r="E184" s="15"/>
      <c r="F184" s="15"/>
      <c r="G184" s="15"/>
      <c r="H184" s="9"/>
    </row>
    <row r="185" spans="1:8" ht="21" x14ac:dyDescent="0.3">
      <c r="A185" s="125" t="s">
        <v>154</v>
      </c>
      <c r="B185" s="125"/>
      <c r="C185" s="125"/>
      <c r="D185" s="125"/>
      <c r="E185" s="125"/>
      <c r="F185" s="125"/>
      <c r="G185" s="125"/>
      <c r="H185" s="125"/>
    </row>
    <row r="186" spans="1:8" ht="21" x14ac:dyDescent="0.3">
      <c r="A186" s="10"/>
      <c r="B186" s="11"/>
      <c r="C186" s="11"/>
      <c r="D186" s="11"/>
      <c r="E186" s="11"/>
      <c r="F186" s="11"/>
      <c r="G186" s="11"/>
      <c r="H186" s="7"/>
    </row>
    <row r="187" spans="1:8" ht="21" x14ac:dyDescent="0.3">
      <c r="A187" s="12"/>
      <c r="B187" s="13"/>
      <c r="C187" s="13"/>
      <c r="D187" s="13"/>
      <c r="E187" s="13"/>
      <c r="F187" s="13"/>
      <c r="G187" s="13"/>
      <c r="H187" s="8"/>
    </row>
    <row r="188" spans="1:8" ht="21" x14ac:dyDescent="0.3">
      <c r="A188" s="12"/>
      <c r="B188" s="13"/>
      <c r="C188" s="13"/>
      <c r="D188" s="13"/>
      <c r="E188" s="13"/>
      <c r="F188" s="13"/>
      <c r="G188" s="13"/>
      <c r="H188" s="8"/>
    </row>
    <row r="189" spans="1:8" ht="21" x14ac:dyDescent="0.3">
      <c r="A189" s="12"/>
      <c r="B189" s="13"/>
      <c r="C189" s="13"/>
      <c r="D189" s="13"/>
      <c r="E189" s="13"/>
      <c r="F189" s="13"/>
      <c r="G189" s="13"/>
      <c r="H189" s="8"/>
    </row>
    <row r="190" spans="1:8" ht="21" x14ac:dyDescent="0.3">
      <c r="A190" s="12"/>
      <c r="B190" s="13"/>
      <c r="C190" s="13"/>
      <c r="D190" s="13"/>
      <c r="E190" s="13"/>
      <c r="F190" s="13"/>
      <c r="G190" s="13"/>
      <c r="H190" s="8"/>
    </row>
    <row r="191" spans="1:8" ht="21" x14ac:dyDescent="0.3">
      <c r="A191" s="12"/>
      <c r="B191" s="13"/>
      <c r="C191" s="13"/>
      <c r="D191" s="13"/>
      <c r="E191" s="13"/>
      <c r="F191" s="13"/>
      <c r="G191" s="13"/>
      <c r="H191" s="8"/>
    </row>
    <row r="192" spans="1:8" ht="21" x14ac:dyDescent="0.3">
      <c r="A192" s="12"/>
      <c r="B192" s="13"/>
      <c r="C192" s="13"/>
      <c r="D192" s="13"/>
      <c r="E192" s="13"/>
      <c r="F192" s="13"/>
      <c r="G192" s="13"/>
      <c r="H192" s="8"/>
    </row>
    <row r="193" spans="1:8" ht="21" x14ac:dyDescent="0.3">
      <c r="A193" s="12"/>
      <c r="B193" s="13"/>
      <c r="C193" s="13"/>
      <c r="D193" s="13"/>
      <c r="E193" s="13"/>
      <c r="F193" s="13"/>
      <c r="G193" s="13"/>
      <c r="H193" s="8"/>
    </row>
    <row r="194" spans="1:8" ht="21" x14ac:dyDescent="0.3">
      <c r="A194" s="12"/>
      <c r="B194" s="13"/>
      <c r="C194" s="13"/>
      <c r="D194" s="13"/>
      <c r="E194" s="13"/>
      <c r="F194" s="13"/>
      <c r="G194" s="13"/>
      <c r="H194" s="8"/>
    </row>
    <row r="195" spans="1:8" ht="21" x14ac:dyDescent="0.3">
      <c r="A195" s="12"/>
      <c r="B195" s="13"/>
      <c r="C195" s="13"/>
      <c r="D195" s="13"/>
      <c r="E195" s="13"/>
      <c r="F195" s="13"/>
      <c r="G195" s="13"/>
      <c r="H195" s="8"/>
    </row>
    <row r="196" spans="1:8" ht="21" x14ac:dyDescent="0.3">
      <c r="A196" s="12"/>
      <c r="B196" s="13"/>
      <c r="C196" s="13"/>
      <c r="D196" s="13"/>
      <c r="E196" s="13"/>
      <c r="F196" s="13"/>
      <c r="G196" s="13"/>
      <c r="H196" s="8"/>
    </row>
    <row r="197" spans="1:8" ht="21" x14ac:dyDescent="0.3">
      <c r="A197" s="12"/>
      <c r="B197" s="13"/>
      <c r="C197" s="13"/>
      <c r="D197" s="13"/>
      <c r="E197" s="13"/>
      <c r="F197" s="13"/>
      <c r="G197" s="13"/>
      <c r="H197" s="8"/>
    </row>
    <row r="198" spans="1:8" ht="21" x14ac:dyDescent="0.3">
      <c r="A198" s="12"/>
      <c r="B198" s="13"/>
      <c r="C198" s="13"/>
      <c r="D198" s="13"/>
      <c r="E198" s="13"/>
      <c r="F198" s="13"/>
      <c r="G198" s="13"/>
      <c r="H198" s="8"/>
    </row>
    <row r="199" spans="1:8" ht="21" x14ac:dyDescent="0.3">
      <c r="A199" s="12"/>
      <c r="B199" s="13"/>
      <c r="C199" s="13"/>
      <c r="D199" s="13"/>
      <c r="E199" s="13"/>
      <c r="F199" s="13"/>
      <c r="G199" s="13"/>
      <c r="H199" s="8"/>
    </row>
    <row r="200" spans="1:8" ht="21" x14ac:dyDescent="0.3">
      <c r="A200" s="12"/>
      <c r="B200" s="13"/>
      <c r="C200" s="13"/>
      <c r="D200" s="13"/>
      <c r="E200" s="13"/>
      <c r="F200" s="13"/>
      <c r="G200" s="13"/>
      <c r="H200" s="8"/>
    </row>
    <row r="201" spans="1:8" ht="21" x14ac:dyDescent="0.3">
      <c r="A201" s="12"/>
      <c r="B201" s="13"/>
      <c r="C201" s="13"/>
      <c r="D201" s="13"/>
      <c r="E201" s="13"/>
      <c r="F201" s="13"/>
      <c r="G201" s="13"/>
      <c r="H201" s="8"/>
    </row>
    <row r="202" spans="1:8" ht="21" x14ac:dyDescent="0.3">
      <c r="A202" s="12"/>
      <c r="B202" s="13"/>
      <c r="C202" s="13"/>
      <c r="D202" s="13"/>
      <c r="E202" s="13"/>
      <c r="F202" s="13"/>
      <c r="G202" s="13"/>
      <c r="H202" s="8"/>
    </row>
    <row r="203" spans="1:8" ht="21" x14ac:dyDescent="0.3">
      <c r="A203" s="12"/>
      <c r="B203" s="13"/>
      <c r="C203" s="13"/>
      <c r="D203" s="13"/>
      <c r="E203" s="13"/>
      <c r="F203" s="13"/>
      <c r="G203" s="13"/>
      <c r="H203" s="8"/>
    </row>
    <row r="204" spans="1:8" ht="21" x14ac:dyDescent="0.3">
      <c r="A204" s="12"/>
      <c r="B204" s="13"/>
      <c r="C204" s="13"/>
      <c r="D204" s="13"/>
      <c r="E204" s="13"/>
      <c r="F204" s="13"/>
      <c r="G204" s="13"/>
      <c r="H204" s="8"/>
    </row>
    <row r="205" spans="1:8" ht="21" x14ac:dyDescent="0.3">
      <c r="A205" s="12"/>
      <c r="B205" s="13"/>
      <c r="C205" s="13"/>
      <c r="D205" s="13"/>
      <c r="E205" s="13"/>
      <c r="F205" s="13"/>
      <c r="G205" s="13"/>
      <c r="H205" s="8"/>
    </row>
    <row r="206" spans="1:8" ht="21" x14ac:dyDescent="0.3">
      <c r="A206" s="12"/>
      <c r="B206" s="13"/>
      <c r="C206" s="13"/>
      <c r="D206" s="13"/>
      <c r="E206" s="13"/>
      <c r="F206" s="13"/>
      <c r="G206" s="13"/>
      <c r="H206" s="8"/>
    </row>
    <row r="207" spans="1:8" ht="21" x14ac:dyDescent="0.3">
      <c r="A207" s="12"/>
      <c r="B207" s="13"/>
      <c r="C207" s="13"/>
      <c r="D207" s="13"/>
      <c r="E207" s="13"/>
      <c r="F207" s="13"/>
      <c r="G207" s="13"/>
      <c r="H207" s="8"/>
    </row>
    <row r="208" spans="1:8" ht="21" x14ac:dyDescent="0.3">
      <c r="A208" s="12"/>
      <c r="B208" s="13"/>
      <c r="C208" s="13"/>
      <c r="D208" s="13"/>
      <c r="E208" s="13"/>
      <c r="F208" s="13"/>
      <c r="G208" s="13"/>
      <c r="H208" s="8"/>
    </row>
    <row r="209" spans="1:8" ht="21" x14ac:dyDescent="0.3">
      <c r="A209" s="12"/>
      <c r="B209" s="13"/>
      <c r="C209" s="13"/>
      <c r="D209" s="13"/>
      <c r="E209" s="13"/>
      <c r="F209" s="13"/>
      <c r="G209" s="13"/>
      <c r="H209" s="8"/>
    </row>
    <row r="210" spans="1:8" ht="21" x14ac:dyDescent="0.3">
      <c r="A210" s="12"/>
      <c r="B210" s="13"/>
      <c r="C210" s="13"/>
      <c r="D210" s="13"/>
      <c r="E210" s="13"/>
      <c r="F210" s="13"/>
      <c r="G210" s="13"/>
      <c r="H210" s="8"/>
    </row>
    <row r="211" spans="1:8" ht="21" x14ac:dyDescent="0.3">
      <c r="A211" s="12"/>
      <c r="B211" s="13"/>
      <c r="C211" s="13"/>
      <c r="D211" s="13"/>
      <c r="E211" s="13"/>
      <c r="F211" s="13"/>
      <c r="G211" s="13"/>
      <c r="H211" s="8"/>
    </row>
    <row r="212" spans="1:8" ht="21" x14ac:dyDescent="0.3">
      <c r="A212" s="12"/>
      <c r="B212" s="13"/>
      <c r="C212" s="13"/>
      <c r="D212" s="13"/>
      <c r="E212" s="13"/>
      <c r="F212" s="13"/>
      <c r="G212" s="13"/>
      <c r="H212" s="8"/>
    </row>
    <row r="213" spans="1:8" ht="21" x14ac:dyDescent="0.3">
      <c r="A213" s="12"/>
      <c r="B213" s="13"/>
      <c r="C213" s="13"/>
      <c r="D213" s="13"/>
      <c r="E213" s="13"/>
      <c r="F213" s="13"/>
      <c r="G213" s="13"/>
      <c r="H213" s="8"/>
    </row>
    <row r="214" spans="1:8" ht="21" x14ac:dyDescent="0.3">
      <c r="A214" s="12"/>
      <c r="B214" s="13"/>
      <c r="C214" s="13"/>
      <c r="D214" s="13"/>
      <c r="E214" s="13"/>
      <c r="F214" s="13"/>
      <c r="G214" s="13"/>
      <c r="H214" s="8"/>
    </row>
    <row r="215" spans="1:8" ht="21" x14ac:dyDescent="0.3">
      <c r="A215" s="12"/>
      <c r="B215" s="13"/>
      <c r="C215" s="13"/>
      <c r="D215" s="13"/>
      <c r="E215" s="13"/>
      <c r="F215" s="13"/>
      <c r="G215" s="13"/>
      <c r="H215" s="8"/>
    </row>
    <row r="216" spans="1:8" ht="21" x14ac:dyDescent="0.3">
      <c r="A216" s="12"/>
      <c r="B216" s="13"/>
      <c r="C216" s="13"/>
      <c r="D216" s="13"/>
      <c r="E216" s="13"/>
      <c r="F216" s="13"/>
      <c r="G216" s="13"/>
      <c r="H216" s="8"/>
    </row>
    <row r="217" spans="1:8" ht="21" x14ac:dyDescent="0.3">
      <c r="A217" s="12"/>
      <c r="B217" s="13"/>
      <c r="C217" s="13"/>
      <c r="D217" s="13"/>
      <c r="E217" s="13"/>
      <c r="F217" s="13"/>
      <c r="G217" s="13"/>
      <c r="H217" s="8"/>
    </row>
    <row r="218" spans="1:8" ht="21" x14ac:dyDescent="0.3">
      <c r="A218" s="12"/>
      <c r="B218" s="13"/>
      <c r="C218" s="13"/>
      <c r="D218" s="13"/>
      <c r="E218" s="13"/>
      <c r="F218" s="13"/>
      <c r="G218" s="13"/>
      <c r="H218" s="8"/>
    </row>
    <row r="219" spans="1:8" ht="21" x14ac:dyDescent="0.3">
      <c r="A219" s="12"/>
      <c r="B219" s="13"/>
      <c r="C219" s="13"/>
      <c r="D219" s="13"/>
      <c r="E219" s="13"/>
      <c r="F219" s="13"/>
      <c r="G219" s="13"/>
      <c r="H219" s="8"/>
    </row>
    <row r="220" spans="1:8" ht="21" x14ac:dyDescent="0.3">
      <c r="A220" s="12"/>
      <c r="B220" s="13"/>
      <c r="C220" s="13"/>
      <c r="D220" s="13"/>
      <c r="E220" s="13"/>
      <c r="F220" s="13"/>
      <c r="G220" s="13"/>
      <c r="H220" s="8"/>
    </row>
    <row r="221" spans="1:8" ht="21" x14ac:dyDescent="0.3">
      <c r="A221" s="12"/>
      <c r="B221" s="13"/>
      <c r="C221" s="13"/>
      <c r="D221" s="13"/>
      <c r="E221" s="13"/>
      <c r="F221" s="13"/>
      <c r="G221" s="13"/>
      <c r="H221" s="8"/>
    </row>
    <row r="222" spans="1:8" ht="21" x14ac:dyDescent="0.3">
      <c r="A222" s="12"/>
      <c r="B222" s="13"/>
      <c r="C222" s="13"/>
      <c r="D222" s="13"/>
      <c r="E222" s="13"/>
      <c r="F222" s="13"/>
      <c r="G222" s="13"/>
      <c r="H222" s="8"/>
    </row>
    <row r="223" spans="1:8" ht="21" x14ac:dyDescent="0.3">
      <c r="A223" s="12"/>
      <c r="B223" s="13"/>
      <c r="C223" s="13"/>
      <c r="D223" s="13"/>
      <c r="E223" s="13"/>
      <c r="F223" s="13"/>
      <c r="G223" s="13"/>
      <c r="H223" s="8"/>
    </row>
    <row r="224" spans="1:8" ht="21" x14ac:dyDescent="0.3">
      <c r="A224" s="12"/>
      <c r="B224" s="13"/>
      <c r="C224" s="13"/>
      <c r="D224" s="13"/>
      <c r="E224" s="13"/>
      <c r="F224" s="13"/>
      <c r="G224" s="13"/>
      <c r="H224" s="8"/>
    </row>
    <row r="225" spans="1:8" ht="21" x14ac:dyDescent="0.3">
      <c r="A225" s="12"/>
      <c r="B225" s="13"/>
      <c r="C225" s="13"/>
      <c r="D225" s="13"/>
      <c r="E225" s="13"/>
      <c r="F225" s="13"/>
      <c r="G225" s="13"/>
      <c r="H225" s="8"/>
    </row>
    <row r="226" spans="1:8" ht="21" x14ac:dyDescent="0.3">
      <c r="A226" s="12"/>
      <c r="B226" s="13"/>
      <c r="C226" s="13"/>
      <c r="D226" s="13"/>
      <c r="E226" s="13"/>
      <c r="F226" s="13"/>
      <c r="G226" s="13"/>
      <c r="H226" s="8"/>
    </row>
    <row r="227" spans="1:8" ht="21" x14ac:dyDescent="0.3">
      <c r="A227" s="14"/>
      <c r="B227" s="15"/>
      <c r="C227" s="15"/>
      <c r="D227" s="15"/>
      <c r="E227" s="15"/>
      <c r="F227" s="15"/>
      <c r="G227" s="15"/>
      <c r="H227" s="9"/>
    </row>
    <row r="228" spans="1:8" ht="21" x14ac:dyDescent="0.3">
      <c r="A228" s="92" t="s">
        <v>72</v>
      </c>
      <c r="B228" s="93"/>
      <c r="C228" s="93"/>
      <c r="D228" s="93"/>
      <c r="E228" s="93"/>
      <c r="F228" s="93"/>
      <c r="G228" s="93"/>
      <c r="H228" s="94"/>
    </row>
    <row r="229" spans="1:8" ht="21" x14ac:dyDescent="0.3">
      <c r="A229" s="10"/>
      <c r="B229" s="11"/>
      <c r="C229" s="11"/>
      <c r="D229" s="11"/>
      <c r="E229" s="11"/>
      <c r="F229" s="11"/>
      <c r="G229" s="11"/>
      <c r="H229" s="7"/>
    </row>
    <row r="230" spans="1:8" ht="21" x14ac:dyDescent="0.3">
      <c r="A230" s="12"/>
      <c r="B230" s="13"/>
      <c r="C230" s="13"/>
      <c r="D230" s="13"/>
      <c r="E230" s="13"/>
      <c r="F230" s="13"/>
      <c r="G230" s="13"/>
      <c r="H230" s="8"/>
    </row>
    <row r="231" spans="1:8" ht="21" x14ac:dyDescent="0.3">
      <c r="A231" s="12"/>
      <c r="B231" s="13"/>
      <c r="C231" s="13"/>
      <c r="D231" s="13"/>
      <c r="E231" s="13"/>
      <c r="F231" s="13"/>
      <c r="G231" s="13"/>
      <c r="H231" s="8"/>
    </row>
    <row r="232" spans="1:8" ht="21" x14ac:dyDescent="0.3">
      <c r="A232" s="12"/>
      <c r="B232" s="13"/>
      <c r="C232" s="13"/>
      <c r="D232" s="13"/>
      <c r="E232" s="13"/>
      <c r="F232" s="13"/>
      <c r="G232" s="13"/>
      <c r="H232" s="8"/>
    </row>
    <row r="233" spans="1:8" ht="21" x14ac:dyDescent="0.3">
      <c r="A233" s="12"/>
      <c r="B233" s="13"/>
      <c r="C233" s="13"/>
      <c r="D233" s="13"/>
      <c r="E233" s="13"/>
      <c r="F233" s="13"/>
      <c r="G233" s="13"/>
      <c r="H233" s="8"/>
    </row>
    <row r="234" spans="1:8" ht="21" x14ac:dyDescent="0.3">
      <c r="A234" s="12"/>
      <c r="B234" s="13"/>
      <c r="C234" s="13"/>
      <c r="D234" s="13"/>
      <c r="E234" s="13"/>
      <c r="F234" s="13"/>
      <c r="G234" s="13"/>
      <c r="H234" s="8"/>
    </row>
    <row r="235" spans="1:8" ht="21" x14ac:dyDescent="0.3">
      <c r="A235" s="12"/>
      <c r="B235" s="13"/>
      <c r="C235" s="13"/>
      <c r="D235" s="13"/>
      <c r="E235" s="13"/>
      <c r="F235" s="13"/>
      <c r="G235" s="13"/>
      <c r="H235" s="8"/>
    </row>
    <row r="236" spans="1:8" ht="21" x14ac:dyDescent="0.3">
      <c r="A236" s="12"/>
      <c r="B236" s="13"/>
      <c r="C236" s="13"/>
      <c r="D236" s="13"/>
      <c r="E236" s="13"/>
      <c r="F236" s="13"/>
      <c r="G236" s="13"/>
      <c r="H236" s="8"/>
    </row>
    <row r="237" spans="1:8" ht="21" x14ac:dyDescent="0.3">
      <c r="A237" s="12"/>
      <c r="B237" s="13"/>
      <c r="C237" s="13"/>
      <c r="D237" s="13"/>
      <c r="E237" s="13"/>
      <c r="F237" s="13"/>
      <c r="G237" s="13"/>
      <c r="H237" s="8"/>
    </row>
    <row r="238" spans="1:8" ht="21" x14ac:dyDescent="0.3">
      <c r="A238" s="12"/>
      <c r="B238" s="13"/>
      <c r="C238" s="13"/>
      <c r="D238" s="13"/>
      <c r="E238" s="13"/>
      <c r="F238" s="13"/>
      <c r="G238" s="13"/>
      <c r="H238" s="8"/>
    </row>
    <row r="239" spans="1:8" ht="21" x14ac:dyDescent="0.3">
      <c r="A239" s="12"/>
      <c r="B239" s="13"/>
      <c r="C239" s="13"/>
      <c r="D239" s="13"/>
      <c r="E239" s="13"/>
      <c r="F239" s="13"/>
      <c r="G239" s="13"/>
      <c r="H239" s="8"/>
    </row>
    <row r="240" spans="1:8" ht="21" x14ac:dyDescent="0.3">
      <c r="A240" s="12"/>
      <c r="B240" s="13"/>
      <c r="C240" s="13"/>
      <c r="D240" s="13"/>
      <c r="E240" s="13"/>
      <c r="F240" s="13"/>
      <c r="G240" s="13"/>
      <c r="H240" s="8"/>
    </row>
    <row r="241" spans="1:8" ht="21" x14ac:dyDescent="0.3">
      <c r="A241" s="12"/>
      <c r="B241" s="13"/>
      <c r="C241" s="13"/>
      <c r="D241" s="13"/>
      <c r="E241" s="13"/>
      <c r="F241" s="13"/>
      <c r="G241" s="13"/>
      <c r="H241" s="8"/>
    </row>
    <row r="242" spans="1:8" ht="21" x14ac:dyDescent="0.3">
      <c r="A242" s="12"/>
      <c r="B242" s="13"/>
      <c r="C242" s="13"/>
      <c r="D242" s="13"/>
      <c r="E242" s="13"/>
      <c r="F242" s="13"/>
      <c r="G242" s="13"/>
      <c r="H242" s="8"/>
    </row>
    <row r="243" spans="1:8" ht="21" x14ac:dyDescent="0.3">
      <c r="A243" s="12"/>
      <c r="B243" s="13"/>
      <c r="C243" s="13"/>
      <c r="D243" s="13"/>
      <c r="E243" s="13"/>
      <c r="F243" s="13"/>
      <c r="G243" s="13"/>
      <c r="H243" s="8"/>
    </row>
    <row r="244" spans="1:8" ht="21" x14ac:dyDescent="0.3">
      <c r="A244" s="12"/>
      <c r="B244" s="13"/>
      <c r="C244" s="13"/>
      <c r="D244" s="13"/>
      <c r="E244" s="13"/>
      <c r="F244" s="13"/>
      <c r="G244" s="13"/>
      <c r="H244" s="8"/>
    </row>
    <row r="245" spans="1:8" ht="21" x14ac:dyDescent="0.3">
      <c r="A245" s="12"/>
      <c r="B245" s="13"/>
      <c r="C245" s="13"/>
      <c r="D245" s="13"/>
      <c r="E245" s="13"/>
      <c r="F245" s="13"/>
      <c r="G245" s="13"/>
      <c r="H245" s="8"/>
    </row>
    <row r="246" spans="1:8" ht="21" x14ac:dyDescent="0.3">
      <c r="A246" s="12"/>
      <c r="B246" s="13"/>
      <c r="C246" s="13"/>
      <c r="D246" s="13"/>
      <c r="E246" s="13"/>
      <c r="F246" s="13"/>
      <c r="G246" s="13"/>
      <c r="H246" s="8"/>
    </row>
    <row r="247" spans="1:8" ht="21" x14ac:dyDescent="0.3">
      <c r="A247" s="12"/>
      <c r="B247" s="13"/>
      <c r="C247" s="13"/>
      <c r="D247" s="13"/>
      <c r="E247" s="13"/>
      <c r="F247" s="13"/>
      <c r="G247" s="13"/>
      <c r="H247" s="8"/>
    </row>
    <row r="248" spans="1:8" ht="21" x14ac:dyDescent="0.3">
      <c r="A248" s="12"/>
      <c r="B248" s="13"/>
      <c r="C248" s="13"/>
      <c r="D248" s="13"/>
      <c r="E248" s="13"/>
      <c r="F248" s="13"/>
      <c r="G248" s="13"/>
      <c r="H248" s="8"/>
    </row>
    <row r="249" spans="1:8" ht="21" x14ac:dyDescent="0.3">
      <c r="A249" s="12"/>
      <c r="B249" s="13"/>
      <c r="C249" s="13"/>
      <c r="D249" s="13"/>
      <c r="E249" s="13"/>
      <c r="F249" s="13"/>
      <c r="G249" s="13"/>
      <c r="H249" s="8"/>
    </row>
    <row r="250" spans="1:8" ht="21" x14ac:dyDescent="0.3">
      <c r="A250" s="12"/>
      <c r="B250" s="13"/>
      <c r="C250" s="13"/>
      <c r="D250" s="13"/>
      <c r="E250" s="13"/>
      <c r="F250" s="13"/>
      <c r="G250" s="13"/>
      <c r="H250" s="8"/>
    </row>
    <row r="251" spans="1:8" ht="21" x14ac:dyDescent="0.3">
      <c r="A251" s="12"/>
      <c r="B251" s="13"/>
      <c r="C251" s="13"/>
      <c r="D251" s="13"/>
      <c r="E251" s="13"/>
      <c r="F251" s="13"/>
      <c r="G251" s="13"/>
      <c r="H251" s="8"/>
    </row>
    <row r="252" spans="1:8" ht="21" x14ac:dyDescent="0.3">
      <c r="A252" s="12"/>
      <c r="B252" s="13"/>
      <c r="C252" s="13"/>
      <c r="D252" s="13"/>
      <c r="E252" s="13"/>
      <c r="F252" s="13"/>
      <c r="G252" s="13"/>
      <c r="H252" s="8"/>
    </row>
    <row r="253" spans="1:8" ht="21" x14ac:dyDescent="0.3">
      <c r="A253" s="12"/>
      <c r="B253" s="13"/>
      <c r="C253" s="13"/>
      <c r="D253" s="13"/>
      <c r="E253" s="13"/>
      <c r="F253" s="13"/>
      <c r="G253" s="13"/>
      <c r="H253" s="8"/>
    </row>
    <row r="254" spans="1:8" ht="21" x14ac:dyDescent="0.3">
      <c r="A254" s="12"/>
      <c r="B254" s="13"/>
      <c r="C254" s="13"/>
      <c r="D254" s="13"/>
      <c r="E254" s="13"/>
      <c r="F254" s="13"/>
      <c r="G254" s="13"/>
      <c r="H254" s="8"/>
    </row>
    <row r="255" spans="1:8" ht="21" x14ac:dyDescent="0.3">
      <c r="A255" s="12"/>
      <c r="B255" s="13"/>
      <c r="C255" s="13"/>
      <c r="D255" s="13"/>
      <c r="E255" s="13"/>
      <c r="F255" s="13"/>
      <c r="G255" s="13"/>
      <c r="H255" s="8"/>
    </row>
    <row r="256" spans="1:8" ht="21" x14ac:dyDescent="0.3">
      <c r="A256" s="125" t="s">
        <v>24</v>
      </c>
      <c r="B256" s="125"/>
      <c r="C256" s="125"/>
      <c r="D256" s="125"/>
      <c r="E256" s="125"/>
      <c r="F256" s="125"/>
      <c r="G256" s="125"/>
      <c r="H256" s="125"/>
    </row>
    <row r="257" spans="1:8" ht="21" x14ac:dyDescent="0.3">
      <c r="A257" s="77" t="s">
        <v>73</v>
      </c>
      <c r="B257" s="132"/>
      <c r="C257" s="132"/>
      <c r="D257" s="132"/>
      <c r="E257" s="132"/>
      <c r="F257" s="132"/>
      <c r="G257" s="132"/>
      <c r="H257" s="78"/>
    </row>
    <row r="258" spans="1:8" ht="21" x14ac:dyDescent="0.3">
      <c r="A258" s="133" t="s">
        <v>74</v>
      </c>
      <c r="B258" s="134"/>
      <c r="C258" s="134"/>
      <c r="D258" s="134"/>
      <c r="E258" s="134"/>
      <c r="F258" s="134"/>
      <c r="G258" s="134"/>
      <c r="H258" s="135"/>
    </row>
    <row r="259" spans="1:8" ht="45" customHeight="1" x14ac:dyDescent="0.3">
      <c r="A259" s="133" t="s">
        <v>75</v>
      </c>
      <c r="B259" s="134"/>
      <c r="C259" s="134"/>
      <c r="D259" s="134"/>
      <c r="E259" s="134"/>
      <c r="F259" s="134"/>
      <c r="G259" s="134"/>
      <c r="H259" s="135"/>
    </row>
    <row r="260" spans="1:8" ht="42.75" customHeight="1" x14ac:dyDescent="0.3">
      <c r="A260" s="133" t="s">
        <v>76</v>
      </c>
      <c r="B260" s="134"/>
      <c r="C260" s="134"/>
      <c r="D260" s="134"/>
      <c r="E260" s="134"/>
      <c r="F260" s="134"/>
      <c r="G260" s="134"/>
      <c r="H260" s="135"/>
    </row>
    <row r="261" spans="1:8" ht="21" x14ac:dyDescent="0.3">
      <c r="A261" s="133" t="s">
        <v>77</v>
      </c>
      <c r="B261" s="134"/>
      <c r="C261" s="134"/>
      <c r="D261" s="134"/>
      <c r="E261" s="134"/>
      <c r="F261" s="134"/>
      <c r="G261" s="134"/>
      <c r="H261" s="135"/>
    </row>
    <row r="262" spans="1:8" ht="21" x14ac:dyDescent="0.3">
      <c r="A262" s="133" t="s">
        <v>78</v>
      </c>
      <c r="B262" s="134"/>
      <c r="C262" s="134"/>
      <c r="D262" s="134"/>
      <c r="E262" s="134"/>
      <c r="F262" s="134"/>
      <c r="G262" s="134"/>
      <c r="H262" s="135"/>
    </row>
    <row r="263" spans="1:8" ht="45" customHeight="1" x14ac:dyDescent="0.3">
      <c r="A263" s="133" t="s">
        <v>79</v>
      </c>
      <c r="B263" s="134"/>
      <c r="C263" s="134"/>
      <c r="D263" s="134"/>
      <c r="E263" s="134"/>
      <c r="F263" s="134"/>
      <c r="G263" s="134"/>
      <c r="H263" s="135"/>
    </row>
    <row r="264" spans="1:8" ht="45" customHeight="1" x14ac:dyDescent="0.3">
      <c r="A264" s="133" t="s">
        <v>80</v>
      </c>
      <c r="B264" s="134"/>
      <c r="C264" s="134"/>
      <c r="D264" s="134"/>
      <c r="E264" s="134"/>
      <c r="F264" s="134"/>
      <c r="G264" s="134"/>
      <c r="H264" s="135"/>
    </row>
    <row r="265" spans="1:8" ht="21" x14ac:dyDescent="0.3">
      <c r="A265" s="79" t="s">
        <v>81</v>
      </c>
      <c r="B265" s="136"/>
      <c r="C265" s="136"/>
      <c r="D265" s="136"/>
      <c r="E265" s="136"/>
      <c r="F265" s="136"/>
      <c r="G265" s="136"/>
      <c r="H265" s="80"/>
    </row>
    <row r="266" spans="1:8" ht="71.25" customHeight="1" x14ac:dyDescent="0.3">
      <c r="A266" s="139" t="s">
        <v>30</v>
      </c>
      <c r="B266" s="140"/>
      <c r="C266" s="141" t="s">
        <v>326</v>
      </c>
      <c r="D266" s="142"/>
      <c r="E266" s="139" t="s">
        <v>9</v>
      </c>
      <c r="F266" s="140"/>
      <c r="G266" s="130"/>
      <c r="H266" s="130"/>
    </row>
  </sheetData>
  <mergeCells count="292">
    <mergeCell ref="A65:B65"/>
    <mergeCell ref="B141:H141"/>
    <mergeCell ref="A68:B68"/>
    <mergeCell ref="A45:B45"/>
    <mergeCell ref="A46:B46"/>
    <mergeCell ref="D46:F46"/>
    <mergeCell ref="D45:F45"/>
    <mergeCell ref="A73:F73"/>
    <mergeCell ref="A86:H86"/>
    <mergeCell ref="G83:H83"/>
    <mergeCell ref="A84:B84"/>
    <mergeCell ref="G84:H84"/>
    <mergeCell ref="A85:B85"/>
    <mergeCell ref="G85:H85"/>
    <mergeCell ref="A67:B67"/>
    <mergeCell ref="A107:H107"/>
    <mergeCell ref="A108:B108"/>
    <mergeCell ref="A60:B60"/>
    <mergeCell ref="A61:B61"/>
    <mergeCell ref="E60:F60"/>
    <mergeCell ref="E58:F58"/>
    <mergeCell ref="E59:F59"/>
    <mergeCell ref="A58:C59"/>
    <mergeCell ref="A89:H89"/>
    <mergeCell ref="A14:B14"/>
    <mergeCell ref="A15:B15"/>
    <mergeCell ref="A105:B105"/>
    <mergeCell ref="A103:B103"/>
    <mergeCell ref="A102:B102"/>
    <mergeCell ref="A100:H100"/>
    <mergeCell ref="C53:F53"/>
    <mergeCell ref="C54:F54"/>
    <mergeCell ref="C55:F55"/>
    <mergeCell ref="C56:F56"/>
    <mergeCell ref="A93:B93"/>
    <mergeCell ref="A94:B94"/>
    <mergeCell ref="A95:B95"/>
    <mergeCell ref="A96:B96"/>
    <mergeCell ref="G73:H73"/>
    <mergeCell ref="G61:H72"/>
    <mergeCell ref="A57:H57"/>
    <mergeCell ref="A91:H91"/>
    <mergeCell ref="C94:H99"/>
    <mergeCell ref="A88:H88"/>
    <mergeCell ref="A90:H90"/>
    <mergeCell ref="E83:F83"/>
    <mergeCell ref="A97:B97"/>
    <mergeCell ref="A98:B98"/>
    <mergeCell ref="E21:F21"/>
    <mergeCell ref="E22:F22"/>
    <mergeCell ref="A1:H1"/>
    <mergeCell ref="G6:H6"/>
    <mergeCell ref="A5:H5"/>
    <mergeCell ref="G29:H29"/>
    <mergeCell ref="A13:H13"/>
    <mergeCell ref="C26:D26"/>
    <mergeCell ref="G14:H14"/>
    <mergeCell ref="G16:H16"/>
    <mergeCell ref="G17:H17"/>
    <mergeCell ref="G15:H15"/>
    <mergeCell ref="G18:H18"/>
    <mergeCell ref="G19:H19"/>
    <mergeCell ref="G22:H22"/>
    <mergeCell ref="G7:H7"/>
    <mergeCell ref="A9:A11"/>
    <mergeCell ref="G2:H2"/>
    <mergeCell ref="G3:H3"/>
    <mergeCell ref="G4:H4"/>
    <mergeCell ref="C14:D14"/>
    <mergeCell ref="C15:D15"/>
    <mergeCell ref="C16:D16"/>
    <mergeCell ref="C17:D17"/>
    <mergeCell ref="G46:H46"/>
    <mergeCell ref="G31:H31"/>
    <mergeCell ref="G36:H36"/>
    <mergeCell ref="G27:H27"/>
    <mergeCell ref="G28:H28"/>
    <mergeCell ref="A37:H37"/>
    <mergeCell ref="A44:H44"/>
    <mergeCell ref="A47:H47"/>
    <mergeCell ref="G80:H80"/>
    <mergeCell ref="G45:H45"/>
    <mergeCell ref="G79:H79"/>
    <mergeCell ref="A43:B43"/>
    <mergeCell ref="A38:B38"/>
    <mergeCell ref="A42:B42"/>
    <mergeCell ref="C42:E42"/>
    <mergeCell ref="F42:H42"/>
    <mergeCell ref="C43:H43"/>
    <mergeCell ref="A41:B41"/>
    <mergeCell ref="C41:E41"/>
    <mergeCell ref="F41:H41"/>
    <mergeCell ref="A39:B39"/>
    <mergeCell ref="A40:B40"/>
    <mergeCell ref="A36:B36"/>
    <mergeCell ref="C34:D34"/>
    <mergeCell ref="G266:H266"/>
    <mergeCell ref="A142:H142"/>
    <mergeCell ref="D144:H144"/>
    <mergeCell ref="A257:H257"/>
    <mergeCell ref="A263:H263"/>
    <mergeCell ref="A264:H264"/>
    <mergeCell ref="A265:H265"/>
    <mergeCell ref="A258:H258"/>
    <mergeCell ref="A259:H259"/>
    <mergeCell ref="A260:H260"/>
    <mergeCell ref="A261:H261"/>
    <mergeCell ref="A144:C144"/>
    <mergeCell ref="A256:H256"/>
    <mergeCell ref="A262:H262"/>
    <mergeCell ref="A228:H228"/>
    <mergeCell ref="D143:H143"/>
    <mergeCell ref="A145:C145"/>
    <mergeCell ref="D145:H145"/>
    <mergeCell ref="A185:H185"/>
    <mergeCell ref="E266:F266"/>
    <mergeCell ref="A266:B266"/>
    <mergeCell ref="C266:D266"/>
    <mergeCell ref="A143:C143"/>
    <mergeCell ref="A135:H135"/>
    <mergeCell ref="E3:F3"/>
    <mergeCell ref="E4:F4"/>
    <mergeCell ref="A62:B62"/>
    <mergeCell ref="C27:D27"/>
    <mergeCell ref="A69:B69"/>
    <mergeCell ref="A70:B70"/>
    <mergeCell ref="A71:B71"/>
    <mergeCell ref="A72:B72"/>
    <mergeCell ref="A101:B101"/>
    <mergeCell ref="C85:D85"/>
    <mergeCell ref="A74:H74"/>
    <mergeCell ref="G75:H75"/>
    <mergeCell ref="A63:B63"/>
    <mergeCell ref="A64:B64"/>
    <mergeCell ref="A66:B66"/>
    <mergeCell ref="E14:F14"/>
    <mergeCell ref="E15:F15"/>
    <mergeCell ref="E16:F16"/>
    <mergeCell ref="E17:F17"/>
    <mergeCell ref="E18:F18"/>
    <mergeCell ref="E19:F19"/>
    <mergeCell ref="A23:B23"/>
    <mergeCell ref="G35:H35"/>
    <mergeCell ref="B137:H137"/>
    <mergeCell ref="B136:H136"/>
    <mergeCell ref="B140:H140"/>
    <mergeCell ref="B139:H139"/>
    <mergeCell ref="B138:H138"/>
    <mergeCell ref="A112:B112"/>
    <mergeCell ref="A113:B113"/>
    <mergeCell ref="A122:B122"/>
    <mergeCell ref="A118:B118"/>
    <mergeCell ref="A119:B119"/>
    <mergeCell ref="D120:H120"/>
    <mergeCell ref="A121:H121"/>
    <mergeCell ref="A123:B123"/>
    <mergeCell ref="A124:B124"/>
    <mergeCell ref="A125:B125"/>
    <mergeCell ref="A126:B126"/>
    <mergeCell ref="A117:B117"/>
    <mergeCell ref="A120:B120"/>
    <mergeCell ref="A114:H114"/>
    <mergeCell ref="A115:B115"/>
    <mergeCell ref="A116:B116"/>
    <mergeCell ref="A127:B127"/>
    <mergeCell ref="A128:H128"/>
    <mergeCell ref="A132:B132"/>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A16:B16"/>
    <mergeCell ref="A17:B17"/>
    <mergeCell ref="A18:B18"/>
    <mergeCell ref="A19:B19"/>
    <mergeCell ref="A20:B20"/>
    <mergeCell ref="A21:B21"/>
    <mergeCell ref="A22:B22"/>
    <mergeCell ref="A34:B34"/>
    <mergeCell ref="A35:B35"/>
    <mergeCell ref="A33:H33"/>
    <mergeCell ref="G30:H30"/>
    <mergeCell ref="C18:D18"/>
    <mergeCell ref="C19:D19"/>
    <mergeCell ref="C20:D20"/>
    <mergeCell ref="C21:D21"/>
    <mergeCell ref="C22:D22"/>
    <mergeCell ref="C24:H24"/>
    <mergeCell ref="C23:H23"/>
    <mergeCell ref="A25:H25"/>
    <mergeCell ref="G26:H26"/>
    <mergeCell ref="G20:H20"/>
    <mergeCell ref="G21:H21"/>
    <mergeCell ref="A24:B24"/>
    <mergeCell ref="E20:F20"/>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J38:K38"/>
    <mergeCell ref="M38:N38"/>
    <mergeCell ref="C38:E38"/>
    <mergeCell ref="F38:H38"/>
    <mergeCell ref="C39:E39"/>
    <mergeCell ref="F39:H39"/>
    <mergeCell ref="F40:H40"/>
    <mergeCell ref="C40:E40"/>
    <mergeCell ref="E34:F34"/>
    <mergeCell ref="E35:F35"/>
    <mergeCell ref="E36:F36"/>
    <mergeCell ref="C35:D35"/>
    <mergeCell ref="C36:D36"/>
    <mergeCell ref="G34:H34"/>
    <mergeCell ref="A49:B49"/>
    <mergeCell ref="C48:H48"/>
    <mergeCell ref="C49:F49"/>
    <mergeCell ref="C50:F50"/>
    <mergeCell ref="C51:F51"/>
    <mergeCell ref="A51:B52"/>
    <mergeCell ref="C52:H52"/>
    <mergeCell ref="A130:B130"/>
    <mergeCell ref="A131:B131"/>
    <mergeCell ref="A129:B129"/>
    <mergeCell ref="E61:F72"/>
    <mergeCell ref="A111:B111"/>
    <mergeCell ref="A106:B106"/>
    <mergeCell ref="A104:B104"/>
    <mergeCell ref="E85:F85"/>
    <mergeCell ref="E84:F84"/>
    <mergeCell ref="C83:D83"/>
    <mergeCell ref="G77:H77"/>
    <mergeCell ref="A48:B48"/>
    <mergeCell ref="A50:B50"/>
    <mergeCell ref="A53:B53"/>
    <mergeCell ref="A54:B54"/>
    <mergeCell ref="A109:B109"/>
    <mergeCell ref="A110:B110"/>
    <mergeCell ref="A55:B56"/>
    <mergeCell ref="A133:B133"/>
    <mergeCell ref="A134:B134"/>
    <mergeCell ref="D134:H134"/>
    <mergeCell ref="A75:B75"/>
    <mergeCell ref="C75:D75"/>
    <mergeCell ref="C76:D76"/>
    <mergeCell ref="C77:D77"/>
    <mergeCell ref="E77:F77"/>
    <mergeCell ref="A79:F79"/>
    <mergeCell ref="A80:F80"/>
    <mergeCell ref="A81:F81"/>
    <mergeCell ref="A76:B76"/>
    <mergeCell ref="A78:H78"/>
    <mergeCell ref="E75:F75"/>
    <mergeCell ref="A77:B77"/>
    <mergeCell ref="E76:F76"/>
    <mergeCell ref="G76:H76"/>
    <mergeCell ref="A99:B99"/>
    <mergeCell ref="A92:B92"/>
    <mergeCell ref="C84:D84"/>
    <mergeCell ref="G81:H81"/>
    <mergeCell ref="A82:H82"/>
    <mergeCell ref="A83:B83"/>
  </mergeCells>
  <dataValidations disablePrompts="1" count="7">
    <dataValidation type="list" allowBlank="1" showInputMessage="1" showErrorMessage="1" sqref="G6:H6" xr:uid="{00000000-0002-0000-0000-000000000000}">
      <formula1>"Mr. Suraj Khare,Miss Rupali, Miss Vinaya"</formula1>
    </dataValidation>
    <dataValidation type="list" allowBlank="1" showInputMessage="1" showErrorMessage="1" sqref="G26:H26" xr:uid="{00000000-0002-0000-0000-000001000000}">
      <formula1>"Middle,Upper"</formula1>
    </dataValidation>
    <dataValidation type="list" allowBlank="1" showInputMessage="1" showErrorMessage="1" sqref="C77" xr:uid="{00000000-0002-0000-0000-000002000000}">
      <formula1>"300000,350000,400000,500000,600000,700000,800000,900000,1000000,1200000,1400000,1500000,1600000"</formula1>
    </dataValidation>
    <dataValidation type="list" allowBlank="1" showInputMessage="1" showErrorMessage="1" sqref="F87" xr:uid="{00000000-0002-0000-0000-000003000000}">
      <formula1>"Balcony, Balcony + AC Ledge + Utility Area, 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48:H48 G35:H35" xr:uid="{00000000-0002-0000-0000-000005000000}">
      <formula1>"Yes,No"</formula1>
    </dataValidation>
    <dataValidation type="list" allowBlank="1" showInputMessage="1" showErrorMessage="1" sqref="C87" xr:uid="{00000000-0002-0000-0000-000006000000}">
      <formula1>"Sale /         Rehab /           PAP,Sale / Mhada,Sale / Landowner"</formula1>
    </dataValidation>
  </dataValidations>
  <hyperlinks>
    <hyperlink ref="I24" display="https://www.krahejajadecityjuinagar.com/?utm_source=Google-Ads&amp;utm_adgroup=exact&amp;utm_medium=search&amp;utm_campaign=jade-city-juinagar&amp;Keyword=raheja%20jade%20city&amp;Device=c&amp;gad_source=1&amp;gad_campaignid=22709801488&amp;gbraid=0AAAABAKIb3stBiyU-N7aFfIqpNYjTK5AS&amp;gcli" xr:uid="{00000000-0004-0000-0000-000000000000}"/>
    <hyperlink ref="C23" r:id="rId1" xr:uid="{00000000-0004-0000-0000-000001000000}"/>
    <hyperlink ref="I23" display="https://newlaunchjuinagar.in/krahejajadecity/?utm_source=Google&amp;utm_medium=Google-Search&amp;utm_campaign=K-Raheja-Juinagar-PPC&amp;Keyword=raheja%20project%20in%20juinagar&amp;Device=c&amp;ads_group_id=178392712923&amp;ads_set_name=Raheja-Juinagar-Phrase-Match&amp;campaign_id=2" xr:uid="{00000000-0004-0000-0000-000002000000}"/>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3" manualBreakCount="3">
    <brk id="141" max="8" man="1"/>
    <brk id="184" max="16383" man="1"/>
    <brk id="22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25" t="s">
        <v>64</v>
      </c>
      <c r="B3" s="125"/>
      <c r="C3" s="125"/>
      <c r="D3" s="125"/>
      <c r="E3" s="125"/>
      <c r="F3" s="125"/>
      <c r="G3" s="125"/>
      <c r="H3" s="125"/>
      <c r="I3" s="125"/>
    </row>
    <row r="4" spans="1:11" s="1" customFormat="1" ht="20.25" customHeight="1" x14ac:dyDescent="0.4">
      <c r="A4" s="175">
        <v>1</v>
      </c>
      <c r="B4" s="175"/>
      <c r="C4" s="175"/>
      <c r="D4" s="176" t="s">
        <v>4</v>
      </c>
      <c r="E4" s="30" t="s">
        <v>111</v>
      </c>
      <c r="F4" s="173" t="s">
        <v>98</v>
      </c>
      <c r="G4" s="173"/>
      <c r="H4" s="30" t="s">
        <v>112</v>
      </c>
      <c r="I4" s="30" t="s">
        <v>113</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75"/>
      <c r="B5" s="175"/>
      <c r="C5" s="175"/>
      <c r="D5" s="176"/>
      <c r="E5" s="30">
        <v>3</v>
      </c>
      <c r="F5" s="173">
        <v>1</v>
      </c>
      <c r="G5" s="173"/>
      <c r="H5" s="30">
        <v>0</v>
      </c>
      <c r="I5" s="30">
        <f ca="1">--TRIM(RIGHT(SUBSTITUTE(LEFT(A4,_xlfn.AGGREGATE(16,6,FIND({0,1,2,3,4,5,6,7,8,9},A4,ROW(INDIRECT("1:"&amp;LEN(A4)))),1))," ",REPT(" ",LEN(A4))),LEN(A4)))</f>
        <v>1</v>
      </c>
      <c r="J5" s="17" t="s">
        <v>117</v>
      </c>
      <c r="K5" s="18"/>
    </row>
    <row r="6" spans="1:11" s="1" customFormat="1" ht="20.25" customHeight="1" x14ac:dyDescent="0.4">
      <c r="A6" s="172" t="s">
        <v>115</v>
      </c>
      <c r="B6" s="172"/>
      <c r="C6" s="172" t="s">
        <v>125</v>
      </c>
      <c r="D6" s="172"/>
      <c r="E6" s="28" t="s">
        <v>126</v>
      </c>
      <c r="F6" s="172" t="s">
        <v>116</v>
      </c>
      <c r="G6" s="172"/>
      <c r="H6" s="29" t="s">
        <v>114</v>
      </c>
      <c r="I6" s="29"/>
      <c r="J6" s="20" t="s">
        <v>127</v>
      </c>
      <c r="K6" s="19">
        <f ca="1">I5*25%</f>
        <v>0.25</v>
      </c>
    </row>
    <row r="7" spans="1:11" s="1" customFormat="1" ht="20.25" customHeight="1" x14ac:dyDescent="0.4">
      <c r="A7" s="126" t="s">
        <v>128</v>
      </c>
      <c r="B7" s="126"/>
      <c r="C7" s="173">
        <f ca="1">K8</f>
        <v>1</v>
      </c>
      <c r="D7" s="173"/>
      <c r="E7" s="5">
        <f ca="1">((100/I5)*C7)/100</f>
        <v>1</v>
      </c>
      <c r="F7" s="126">
        <f ca="1">(((C7/I5*5)+(C8/I5*20)+(25/(F5+H5+I5)*C9)+(5/(I5)*C10)+(2.5/(I5)*C11)+(2.5/(I5)*C12)+(5/I5*C13)+(10/I5*C14)+(2.5/I5*C15)+(2.5/I5*C16)+(10/I5*C17)+(10/I5*C18))/100)</f>
        <v>0.25</v>
      </c>
      <c r="G7" s="126"/>
      <c r="H7" s="126" t="str">
        <f ca="1">J4</f>
        <v>Excavation work Completed. Plinth work completed</v>
      </c>
      <c r="I7" s="126"/>
      <c r="J7" s="20" t="s">
        <v>118</v>
      </c>
      <c r="K7" s="24">
        <f ca="1">I5*50%</f>
        <v>0.5</v>
      </c>
    </row>
    <row r="8" spans="1:11" s="1" customFormat="1" ht="21" x14ac:dyDescent="0.4">
      <c r="A8" s="126" t="s">
        <v>99</v>
      </c>
      <c r="B8" s="126"/>
      <c r="C8" s="177">
        <f ca="1">K16</f>
        <v>1</v>
      </c>
      <c r="D8" s="173"/>
      <c r="E8" s="5">
        <f ca="1">((100/I5)*C8)/100</f>
        <v>1</v>
      </c>
      <c r="F8" s="126"/>
      <c r="G8" s="126"/>
      <c r="H8" s="126"/>
      <c r="I8" s="126"/>
      <c r="J8" s="20" t="s">
        <v>119</v>
      </c>
      <c r="K8" s="24">
        <f ca="1">I5</f>
        <v>1</v>
      </c>
    </row>
    <row r="9" spans="1:11" s="1" customFormat="1" ht="21" customHeight="1" x14ac:dyDescent="0.4">
      <c r="A9" s="126" t="s">
        <v>129</v>
      </c>
      <c r="B9" s="126"/>
      <c r="C9" s="173">
        <v>0</v>
      </c>
      <c r="D9" s="173"/>
      <c r="E9" s="5">
        <f ca="1">((100/(F5+H5+I5))*C9)/100</f>
        <v>0</v>
      </c>
      <c r="F9" s="126"/>
      <c r="G9" s="126"/>
      <c r="H9" s="126"/>
      <c r="I9" s="126"/>
      <c r="J9" s="20" t="s">
        <v>120</v>
      </c>
      <c r="K9" s="25">
        <f ca="1">(IF(E5&gt;1,(I5/(E5+2)),I5*0.2))</f>
        <v>0.2</v>
      </c>
    </row>
    <row r="10" spans="1:11" s="1" customFormat="1" ht="21" customHeight="1" x14ac:dyDescent="0.4">
      <c r="A10" s="126" t="s">
        <v>130</v>
      </c>
      <c r="B10" s="126"/>
      <c r="C10" s="173">
        <v>0</v>
      </c>
      <c r="D10" s="173"/>
      <c r="E10" s="5">
        <f ca="1">((100/I5)*C10)/100</f>
        <v>0</v>
      </c>
      <c r="F10" s="126"/>
      <c r="G10" s="126"/>
      <c r="H10" s="126"/>
      <c r="I10" s="126"/>
      <c r="J10" s="20" t="s">
        <v>121</v>
      </c>
      <c r="K10" s="25">
        <f ca="1">(IF(E5&gt;1,(I5/(E5+2)+K9),I5*0.2+K9))</f>
        <v>0.4</v>
      </c>
    </row>
    <row r="11" spans="1:11" s="1" customFormat="1" ht="21" customHeight="1" x14ac:dyDescent="0.4">
      <c r="A11" s="128" t="s">
        <v>131</v>
      </c>
      <c r="B11" s="129"/>
      <c r="C11" s="173">
        <v>0</v>
      </c>
      <c r="D11" s="173"/>
      <c r="E11" s="5">
        <f ca="1">((100/I5)*C11)/100</f>
        <v>0</v>
      </c>
      <c r="F11" s="126"/>
      <c r="G11" s="126"/>
      <c r="H11" s="126"/>
      <c r="I11" s="126"/>
      <c r="J11" s="20" t="s">
        <v>132</v>
      </c>
      <c r="K11" s="25">
        <f ca="1">(IF(E5&gt;1,(I5/(E5+2)+K10),0))</f>
        <v>0.60000000000000009</v>
      </c>
    </row>
    <row r="12" spans="1:11" s="1" customFormat="1" ht="21" customHeight="1" x14ac:dyDescent="0.4">
      <c r="A12" s="128" t="s">
        <v>162</v>
      </c>
      <c r="B12" s="129"/>
      <c r="C12" s="173">
        <v>0</v>
      </c>
      <c r="D12" s="173"/>
      <c r="E12" s="5">
        <f ca="1">((100/I5)*C12)/100</f>
        <v>0</v>
      </c>
      <c r="F12" s="126"/>
      <c r="G12" s="126"/>
      <c r="H12" s="126"/>
      <c r="I12" s="126"/>
      <c r="J12" s="20" t="s">
        <v>133</v>
      </c>
      <c r="K12" s="25">
        <f ca="1">(IF(E5&gt;2,(I5/(E5+2)+K11),0))</f>
        <v>0.8</v>
      </c>
    </row>
    <row r="13" spans="1:11" s="1" customFormat="1" ht="57.75" customHeight="1" x14ac:dyDescent="0.4">
      <c r="A13" s="128" t="s">
        <v>159</v>
      </c>
      <c r="B13" s="129"/>
      <c r="C13" s="173">
        <v>0</v>
      </c>
      <c r="D13" s="173"/>
      <c r="E13" s="5">
        <f ca="1">((100/(I5))*C13)/100</f>
        <v>0</v>
      </c>
      <c r="F13" s="126"/>
      <c r="G13" s="126"/>
      <c r="H13" s="126"/>
      <c r="I13" s="126"/>
      <c r="J13" s="20" t="s">
        <v>135</v>
      </c>
      <c r="K13" s="26">
        <f>(IF(E5&gt;3,(I5/(E5+2)+K12),0))</f>
        <v>0</v>
      </c>
    </row>
    <row r="14" spans="1:11" s="1" customFormat="1" ht="21" x14ac:dyDescent="0.4">
      <c r="A14" s="126" t="s">
        <v>134</v>
      </c>
      <c r="B14" s="126"/>
      <c r="C14" s="173">
        <v>0</v>
      </c>
      <c r="D14" s="173"/>
      <c r="E14" s="5">
        <f ca="1">((100/(I5))*C14)/100</f>
        <v>0</v>
      </c>
      <c r="F14" s="126"/>
      <c r="G14" s="126"/>
      <c r="H14" s="126"/>
      <c r="I14" s="126"/>
      <c r="J14" s="20" t="s">
        <v>136</v>
      </c>
      <c r="K14" s="25">
        <f>(IF(E5&gt;4,(I5/(E5+2)+K13),0))</f>
        <v>0</v>
      </c>
    </row>
    <row r="15" spans="1:11" s="1" customFormat="1" ht="21" customHeight="1" x14ac:dyDescent="0.4">
      <c r="A15" s="126" t="s">
        <v>161</v>
      </c>
      <c r="B15" s="126"/>
      <c r="C15" s="173">
        <v>0</v>
      </c>
      <c r="D15" s="173"/>
      <c r="E15" s="5">
        <f ca="1">((100/I5)*C15)/100</f>
        <v>0</v>
      </c>
      <c r="F15" s="126"/>
      <c r="G15" s="126"/>
      <c r="H15" s="126"/>
      <c r="I15" s="126"/>
      <c r="J15" s="20" t="s">
        <v>122</v>
      </c>
      <c r="K15" s="25">
        <f>(IF(E5=1,(I5/(E5+3)+K10),IF(E5=0,(I5*0.3+K10),IF(E5&gt;1,0))))</f>
        <v>0</v>
      </c>
    </row>
    <row r="16" spans="1:11" s="1" customFormat="1" ht="21.6" thickBot="1" x14ac:dyDescent="0.45">
      <c r="A16" s="126" t="s">
        <v>160</v>
      </c>
      <c r="B16" s="126"/>
      <c r="C16" s="173">
        <v>0</v>
      </c>
      <c r="D16" s="173"/>
      <c r="E16" s="5">
        <f ca="1">((100/I5)*C16)/100</f>
        <v>0</v>
      </c>
      <c r="F16" s="126"/>
      <c r="G16" s="126"/>
      <c r="H16" s="126"/>
      <c r="I16" s="126"/>
      <c r="J16" s="22" t="s">
        <v>123</v>
      </c>
      <c r="K16" s="27">
        <f ca="1">(IF(E5&gt;1.5,(I5/(E5+2)+K10+MAX(0,K11-K10)+MAX(0,K12-K11)+MAX(0,K13-K12)+MAX(0,K14-K13)+MAX(0,K15-K14)),IF(E5=1,(I5/(E5+3)+K15),IF(E5=0,I5*0.3+K15))))</f>
        <v>1</v>
      </c>
    </row>
    <row r="17" spans="1:9" s="1" customFormat="1" ht="21" x14ac:dyDescent="0.3">
      <c r="A17" s="126" t="s">
        <v>137</v>
      </c>
      <c r="B17" s="126"/>
      <c r="C17" s="173">
        <v>0</v>
      </c>
      <c r="D17" s="173"/>
      <c r="E17" s="5">
        <f ca="1">((100/(I5))*C17)/100</f>
        <v>0</v>
      </c>
      <c r="F17" s="126"/>
      <c r="G17" s="126"/>
      <c r="H17" s="126"/>
      <c r="I17" s="126"/>
    </row>
    <row r="18" spans="1:9" s="1" customFormat="1" ht="21" x14ac:dyDescent="0.3">
      <c r="A18" s="126" t="s">
        <v>138</v>
      </c>
      <c r="B18" s="126"/>
      <c r="C18" s="173">
        <v>0</v>
      </c>
      <c r="D18" s="173"/>
      <c r="E18" s="5">
        <f ca="1">((100/(I5))*C18)/100</f>
        <v>0</v>
      </c>
      <c r="F18" s="126"/>
      <c r="G18" s="126"/>
      <c r="H18" s="126"/>
      <c r="I18" s="126"/>
    </row>
    <row r="23" spans="1:9" x14ac:dyDescent="0.3">
      <c r="B23" s="178" t="s">
        <v>163</v>
      </c>
      <c r="C23" s="178"/>
      <c r="D23" s="178"/>
      <c r="E23" s="178"/>
      <c r="F23" s="178"/>
      <c r="G23" s="178"/>
    </row>
    <row r="24" spans="1:9" ht="14.4" customHeight="1" x14ac:dyDescent="0.3">
      <c r="B24" s="181" t="s">
        <v>164</v>
      </c>
      <c r="C24" s="181" t="s">
        <v>165</v>
      </c>
      <c r="D24" s="184" t="s">
        <v>166</v>
      </c>
      <c r="E24" s="185" t="s">
        <v>167</v>
      </c>
      <c r="F24" s="182" t="s">
        <v>168</v>
      </c>
      <c r="G24" s="181" t="s">
        <v>169</v>
      </c>
    </row>
    <row r="25" spans="1:9" x14ac:dyDescent="0.3">
      <c r="B25" s="181"/>
      <c r="C25" s="181"/>
      <c r="D25" s="184"/>
      <c r="E25" s="185"/>
      <c r="F25" s="182"/>
      <c r="G25" s="181"/>
    </row>
    <row r="26" spans="1:9" x14ac:dyDescent="0.3">
      <c r="B26" s="34" t="s">
        <v>170</v>
      </c>
      <c r="C26" s="35">
        <v>10</v>
      </c>
      <c r="D26" s="35">
        <v>1</v>
      </c>
      <c r="E26" s="36"/>
      <c r="F26" s="37">
        <f>((E26/D26)*0.05)*100</f>
        <v>0</v>
      </c>
      <c r="G26" s="37">
        <f t="shared" ref="G26:G37" si="0">((E26/D26)*(C26/100))*100</f>
        <v>0</v>
      </c>
    </row>
    <row r="27" spans="1:9" x14ac:dyDescent="0.3">
      <c r="B27" s="34" t="s">
        <v>171</v>
      </c>
      <c r="C27" s="36">
        <v>10</v>
      </c>
      <c r="D27" s="36">
        <v>1</v>
      </c>
      <c r="E27" s="36"/>
      <c r="F27" s="37">
        <f>((E27/D27)*0.05)*100</f>
        <v>0</v>
      </c>
      <c r="G27" s="37">
        <f t="shared" si="0"/>
        <v>0</v>
      </c>
    </row>
    <row r="28" spans="1:9" x14ac:dyDescent="0.3">
      <c r="B28" s="34" t="s">
        <v>172</v>
      </c>
      <c r="C28" s="36">
        <v>15</v>
      </c>
      <c r="D28" s="36">
        <v>1</v>
      </c>
      <c r="E28" s="36"/>
      <c r="F28" s="37">
        <f>((E28/D28)*0.15)*100</f>
        <v>0</v>
      </c>
      <c r="G28" s="37">
        <f t="shared" si="0"/>
        <v>0</v>
      </c>
    </row>
    <row r="29" spans="1:9" x14ac:dyDescent="0.3">
      <c r="B29" s="38" t="s">
        <v>173</v>
      </c>
      <c r="C29" s="36">
        <v>25</v>
      </c>
      <c r="D29" s="36">
        <v>40</v>
      </c>
      <c r="E29" s="36"/>
      <c r="F29" s="37">
        <f>((E29/D29)*0.25)*100</f>
        <v>0</v>
      </c>
      <c r="G29" s="37">
        <f t="shared" si="0"/>
        <v>0</v>
      </c>
    </row>
    <row r="30" spans="1:9" x14ac:dyDescent="0.3">
      <c r="B30" s="38" t="s">
        <v>174</v>
      </c>
      <c r="C30" s="36">
        <v>5</v>
      </c>
      <c r="D30" s="36">
        <v>39</v>
      </c>
      <c r="E30" s="36"/>
      <c r="F30" s="37">
        <f>((E30/D30)*0.05)*100</f>
        <v>0</v>
      </c>
      <c r="G30" s="37">
        <f t="shared" si="0"/>
        <v>0</v>
      </c>
    </row>
    <row r="31" spans="1:9" ht="28.8" x14ac:dyDescent="0.3">
      <c r="B31" s="38" t="s">
        <v>175</v>
      </c>
      <c r="C31" s="36">
        <v>2.5</v>
      </c>
      <c r="D31" s="36">
        <v>39</v>
      </c>
      <c r="E31" s="36"/>
      <c r="F31" s="37">
        <f>((E31/D31)*0.025)*100</f>
        <v>0</v>
      </c>
      <c r="G31" s="37">
        <f t="shared" si="0"/>
        <v>0</v>
      </c>
    </row>
    <row r="32" spans="1:9" ht="28.8" x14ac:dyDescent="0.3">
      <c r="B32" s="38" t="s">
        <v>176</v>
      </c>
      <c r="C32" s="36">
        <v>2.5</v>
      </c>
      <c r="D32" s="36">
        <v>39</v>
      </c>
      <c r="E32" s="36"/>
      <c r="F32" s="37">
        <f>((E32/D32)*0.025)*100</f>
        <v>0</v>
      </c>
      <c r="G32" s="37">
        <f t="shared" si="0"/>
        <v>0</v>
      </c>
    </row>
    <row r="33" spans="1:7" ht="43.2" x14ac:dyDescent="0.3">
      <c r="B33" s="39" t="s">
        <v>177</v>
      </c>
      <c r="C33" s="36">
        <v>5</v>
      </c>
      <c r="D33" s="36">
        <v>39</v>
      </c>
      <c r="E33" s="36"/>
      <c r="F33" s="37">
        <f>((E33/D33)*0.05)*100</f>
        <v>0</v>
      </c>
      <c r="G33" s="37">
        <f t="shared" si="0"/>
        <v>0</v>
      </c>
    </row>
    <row r="34" spans="1:7" ht="28.8" x14ac:dyDescent="0.3">
      <c r="B34" s="39" t="s">
        <v>178</v>
      </c>
      <c r="C34" s="36">
        <v>5</v>
      </c>
      <c r="D34" s="36">
        <v>39</v>
      </c>
      <c r="E34" s="36"/>
      <c r="F34" s="37">
        <f>((E34/D34)*0.1)*100</f>
        <v>0</v>
      </c>
      <c r="G34" s="37">
        <f t="shared" si="0"/>
        <v>0</v>
      </c>
    </row>
    <row r="35" spans="1:7" ht="28.8" x14ac:dyDescent="0.3">
      <c r="B35" s="39" t="s">
        <v>179</v>
      </c>
      <c r="C35" s="36">
        <v>5</v>
      </c>
      <c r="D35" s="36">
        <v>39</v>
      </c>
      <c r="E35" s="36"/>
      <c r="F35" s="37">
        <f>((E35/D35)*0.05)*100</f>
        <v>0</v>
      </c>
      <c r="G35" s="37">
        <f t="shared" si="0"/>
        <v>0</v>
      </c>
    </row>
    <row r="36" spans="1:7" ht="43.2" x14ac:dyDescent="0.3">
      <c r="B36" s="39" t="s">
        <v>180</v>
      </c>
      <c r="C36" s="36">
        <v>10</v>
      </c>
      <c r="D36" s="36">
        <v>39</v>
      </c>
      <c r="E36" s="36"/>
      <c r="F36" s="37">
        <f>((E36/D36)*0.1)*100</f>
        <v>0</v>
      </c>
      <c r="G36" s="37">
        <f t="shared" si="0"/>
        <v>0</v>
      </c>
    </row>
    <row r="37" spans="1:7" ht="43.2" x14ac:dyDescent="0.3">
      <c r="B37" s="39" t="s">
        <v>181</v>
      </c>
      <c r="C37" s="36">
        <v>5</v>
      </c>
      <c r="D37" s="36">
        <v>39</v>
      </c>
      <c r="E37" s="36"/>
      <c r="F37" s="37">
        <f>((E37/D37)*0.1)*100</f>
        <v>0</v>
      </c>
      <c r="G37" s="37">
        <f t="shared" si="0"/>
        <v>0</v>
      </c>
    </row>
    <row r="38" spans="1:7" ht="15.6" x14ac:dyDescent="0.3">
      <c r="B38" s="40" t="s">
        <v>182</v>
      </c>
      <c r="C38" s="41">
        <f>SUM(C26:C37)</f>
        <v>100</v>
      </c>
      <c r="D38" s="40"/>
      <c r="E38" s="40"/>
      <c r="F38" s="41">
        <f>SUM(F26:F37)</f>
        <v>0</v>
      </c>
      <c r="G38" s="41">
        <f>SUM(G26:G37)</f>
        <v>0</v>
      </c>
    </row>
    <row r="39" spans="1:7" x14ac:dyDescent="0.3">
      <c r="B39" s="182" t="s">
        <v>183</v>
      </c>
      <c r="C39" s="182"/>
      <c r="D39" s="182"/>
      <c r="E39" s="182"/>
      <c r="F39" s="182"/>
      <c r="G39" s="182"/>
    </row>
    <row r="40" spans="1:7" x14ac:dyDescent="0.3">
      <c r="B40" s="183" t="s">
        <v>184</v>
      </c>
      <c r="C40" s="183"/>
      <c r="D40" s="183"/>
      <c r="E40" s="183" t="s">
        <v>185</v>
      </c>
      <c r="F40" s="183"/>
      <c r="G40" s="183"/>
    </row>
    <row r="41" spans="1:7" x14ac:dyDescent="0.3">
      <c r="B41" s="179" t="s">
        <v>186</v>
      </c>
      <c r="C41" s="179"/>
      <c r="D41" s="179"/>
      <c r="E41" s="179" t="s">
        <v>187</v>
      </c>
      <c r="F41" s="179"/>
      <c r="G41" s="179"/>
    </row>
    <row r="42" spans="1:7" x14ac:dyDescent="0.3">
      <c r="B42" s="179" t="s">
        <v>188</v>
      </c>
      <c r="C42" s="179"/>
      <c r="D42" s="179"/>
      <c r="E42" s="179" t="s">
        <v>189</v>
      </c>
      <c r="F42" s="179"/>
      <c r="G42" s="179"/>
    </row>
    <row r="43" spans="1:7" x14ac:dyDescent="0.3">
      <c r="B43" s="180" t="s">
        <v>190</v>
      </c>
      <c r="C43" s="180"/>
      <c r="D43" s="180"/>
      <c r="E43" s="180" t="s">
        <v>191</v>
      </c>
      <c r="F43" s="180"/>
      <c r="G43" s="180"/>
    </row>
    <row r="45" spans="1:7" ht="15" thickBot="1" x14ac:dyDescent="0.35"/>
    <row r="46" spans="1:7" ht="16.8" thickTop="1" thickBot="1" x14ac:dyDescent="0.35">
      <c r="A46" s="42" t="s">
        <v>192</v>
      </c>
      <c r="B46" s="42" t="s">
        <v>164</v>
      </c>
      <c r="C46" s="43" t="s">
        <v>193</v>
      </c>
      <c r="D46" s="43" t="s">
        <v>194</v>
      </c>
      <c r="E46" s="43" t="s">
        <v>195</v>
      </c>
    </row>
    <row r="47" spans="1:7" ht="30" thickTop="1" thickBot="1" x14ac:dyDescent="0.35">
      <c r="A47" s="44">
        <v>1</v>
      </c>
      <c r="B47" s="45" t="s">
        <v>196</v>
      </c>
      <c r="C47" s="46">
        <v>0</v>
      </c>
      <c r="D47" s="47">
        <v>0.1</v>
      </c>
      <c r="E47" s="46">
        <v>0.1</v>
      </c>
    </row>
    <row r="48" spans="1:7" ht="15.6" thickTop="1" thickBot="1" x14ac:dyDescent="0.35">
      <c r="A48" s="44">
        <v>2</v>
      </c>
      <c r="B48" s="45" t="s">
        <v>197</v>
      </c>
      <c r="C48" s="46" t="s">
        <v>198</v>
      </c>
      <c r="D48" s="47" t="s">
        <v>199</v>
      </c>
      <c r="E48" s="46">
        <v>0.3</v>
      </c>
    </row>
    <row r="49" spans="1:5" ht="58.8" thickTop="1" thickBot="1" x14ac:dyDescent="0.35">
      <c r="A49" s="44">
        <v>3</v>
      </c>
      <c r="B49" s="45" t="s">
        <v>200</v>
      </c>
      <c r="C49" s="46" t="s">
        <v>201</v>
      </c>
      <c r="D49" s="47" t="s">
        <v>202</v>
      </c>
      <c r="E49" s="46">
        <v>0.45</v>
      </c>
    </row>
    <row r="50" spans="1:5" ht="73.2" thickTop="1" thickBot="1" x14ac:dyDescent="0.35">
      <c r="A50" s="44">
        <v>4</v>
      </c>
      <c r="B50" s="45" t="s">
        <v>203</v>
      </c>
      <c r="C50" s="46" t="s">
        <v>204</v>
      </c>
      <c r="D50" s="47" t="s">
        <v>205</v>
      </c>
      <c r="E50" s="46">
        <v>0.7</v>
      </c>
    </row>
    <row r="51" spans="1:5" ht="58.8" thickTop="1" thickBot="1" x14ac:dyDescent="0.35">
      <c r="A51" s="44">
        <v>5</v>
      </c>
      <c r="B51" s="45" t="s">
        <v>206</v>
      </c>
      <c r="C51" s="46" t="s">
        <v>207</v>
      </c>
      <c r="D51" s="47" t="s">
        <v>208</v>
      </c>
      <c r="E51" s="46">
        <v>0.75</v>
      </c>
    </row>
    <row r="52" spans="1:5" ht="73.2" thickTop="1" thickBot="1" x14ac:dyDescent="0.35">
      <c r="A52" s="44">
        <v>6</v>
      </c>
      <c r="B52" s="45" t="s">
        <v>209</v>
      </c>
      <c r="C52" s="46" t="s">
        <v>210</v>
      </c>
      <c r="D52" s="47" t="s">
        <v>211</v>
      </c>
      <c r="E52" s="46">
        <v>0.8</v>
      </c>
    </row>
    <row r="53" spans="1:5" ht="102" thickTop="1" thickBot="1" x14ac:dyDescent="0.35">
      <c r="A53" s="44">
        <v>7</v>
      </c>
      <c r="B53" s="45" t="s">
        <v>212</v>
      </c>
      <c r="C53" s="46" t="s">
        <v>213</v>
      </c>
      <c r="D53" s="47" t="s">
        <v>214</v>
      </c>
      <c r="E53" s="46">
        <v>0.85</v>
      </c>
    </row>
    <row r="54" spans="1:5" ht="174" thickTop="1" thickBot="1" x14ac:dyDescent="0.35">
      <c r="A54" s="44">
        <v>8</v>
      </c>
      <c r="B54" s="45" t="s">
        <v>215</v>
      </c>
      <c r="C54" s="46" t="s">
        <v>216</v>
      </c>
      <c r="D54" s="47" t="s">
        <v>217</v>
      </c>
      <c r="E54" s="46">
        <v>0.95</v>
      </c>
    </row>
    <row r="55" spans="1:5" ht="87.6" thickTop="1" thickBot="1" x14ac:dyDescent="0.35">
      <c r="A55" s="44">
        <v>9</v>
      </c>
      <c r="B55" s="45" t="s">
        <v>218</v>
      </c>
      <c r="C55" s="46" t="s">
        <v>219</v>
      </c>
      <c r="D55" s="47" t="s">
        <v>220</v>
      </c>
      <c r="E55" s="46">
        <v>1</v>
      </c>
    </row>
    <row r="56" spans="1:5" ht="15" thickTop="1" x14ac:dyDescent="0.3"/>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36">
        <v>1</v>
      </c>
      <c r="C2" s="53" t="s">
        <v>235</v>
      </c>
    </row>
    <row r="3" spans="2:3" x14ac:dyDescent="0.3">
      <c r="B3" s="36">
        <v>2</v>
      </c>
      <c r="C3" s="54" t="s">
        <v>236</v>
      </c>
    </row>
    <row r="4" spans="2:3" x14ac:dyDescent="0.3">
      <c r="B4" s="36">
        <v>3</v>
      </c>
      <c r="C4" s="36" t="s">
        <v>237</v>
      </c>
    </row>
    <row r="5" spans="2:3" x14ac:dyDescent="0.3">
      <c r="B5" s="36">
        <v>4</v>
      </c>
      <c r="C5" s="54" t="s">
        <v>238</v>
      </c>
    </row>
    <row r="6" spans="2:3" x14ac:dyDescent="0.3">
      <c r="B6" s="36">
        <v>5</v>
      </c>
      <c r="C6" s="36" t="s">
        <v>239</v>
      </c>
    </row>
    <row r="7" spans="2:3" x14ac:dyDescent="0.3">
      <c r="B7" s="36">
        <v>6</v>
      </c>
      <c r="C7" s="54" t="s">
        <v>240</v>
      </c>
    </row>
    <row r="8" spans="2:3" ht="72" x14ac:dyDescent="0.3">
      <c r="B8" s="36">
        <v>7</v>
      </c>
      <c r="C8" s="54" t="s">
        <v>241</v>
      </c>
    </row>
    <row r="9" spans="2:3" x14ac:dyDescent="0.3">
      <c r="B9" s="36">
        <v>8</v>
      </c>
      <c r="C9" s="36" t="s">
        <v>242</v>
      </c>
    </row>
    <row r="10" spans="2:3" x14ac:dyDescent="0.3">
      <c r="B10" s="36">
        <v>9</v>
      </c>
      <c r="C10" s="36" t="s">
        <v>243</v>
      </c>
    </row>
    <row r="11" spans="2:3" x14ac:dyDescent="0.3">
      <c r="B11" s="36">
        <v>10</v>
      </c>
      <c r="C11" s="36" t="s">
        <v>244</v>
      </c>
    </row>
    <row r="12" spans="2:3" x14ac:dyDescent="0.3">
      <c r="B12" s="36">
        <v>11</v>
      </c>
      <c r="C12" s="36" t="s">
        <v>245</v>
      </c>
    </row>
    <row r="13" spans="2:3" x14ac:dyDescent="0.3">
      <c r="B13" s="36">
        <v>12</v>
      </c>
      <c r="C13" s="36" t="s">
        <v>246</v>
      </c>
    </row>
    <row r="14" spans="2:3" x14ac:dyDescent="0.3">
      <c r="B14" s="36">
        <v>13</v>
      </c>
      <c r="C14" s="36" t="s">
        <v>247</v>
      </c>
    </row>
    <row r="15" spans="2:3" x14ac:dyDescent="0.3">
      <c r="B15" s="36">
        <v>14</v>
      </c>
      <c r="C15" s="36" t="s">
        <v>237</v>
      </c>
    </row>
    <row r="16" spans="2:3" x14ac:dyDescent="0.3">
      <c r="B16" s="36">
        <v>15</v>
      </c>
      <c r="C16" s="36" t="s">
        <v>233</v>
      </c>
    </row>
    <row r="17" spans="2:3" x14ac:dyDescent="0.3">
      <c r="B17" s="55">
        <v>16</v>
      </c>
      <c r="C17" s="56" t="s">
        <v>248</v>
      </c>
    </row>
    <row r="18" spans="2:3" x14ac:dyDescent="0.3">
      <c r="B18" s="57">
        <v>17</v>
      </c>
      <c r="C18" s="56" t="s">
        <v>249</v>
      </c>
    </row>
    <row r="19" spans="2:3" x14ac:dyDescent="0.3">
      <c r="B19" s="58">
        <v>18</v>
      </c>
      <c r="C19" s="36" t="s">
        <v>250</v>
      </c>
    </row>
    <row r="20" spans="2:3" x14ac:dyDescent="0.3">
      <c r="B20" s="57">
        <v>19</v>
      </c>
      <c r="C20" s="36" t="s">
        <v>251</v>
      </c>
    </row>
    <row r="21" spans="2:3" x14ac:dyDescent="0.3">
      <c r="B21" s="36">
        <v>20</v>
      </c>
      <c r="C21" s="36" t="s">
        <v>252</v>
      </c>
    </row>
    <row r="22" spans="2:3" x14ac:dyDescent="0.3">
      <c r="B22" s="57">
        <v>21</v>
      </c>
      <c r="C22" s="36" t="s">
        <v>250</v>
      </c>
    </row>
    <row r="23" spans="2:3" s="60" customFormat="1" ht="28.8" x14ac:dyDescent="0.3">
      <c r="B23" s="59">
        <v>22</v>
      </c>
      <c r="C23" s="53" t="s">
        <v>253</v>
      </c>
    </row>
    <row r="24" spans="2:3" s="60" customFormat="1" ht="28.8" x14ac:dyDescent="0.3">
      <c r="B24" s="61">
        <v>23</v>
      </c>
      <c r="C24" s="53" t="s">
        <v>254</v>
      </c>
    </row>
    <row r="25" spans="2:3" x14ac:dyDescent="0.3">
      <c r="B25" s="36">
        <v>24</v>
      </c>
      <c r="C25" s="36" t="s">
        <v>255</v>
      </c>
    </row>
    <row r="26" spans="2:3" x14ac:dyDescent="0.3">
      <c r="B26" s="57">
        <v>25</v>
      </c>
      <c r="C26" s="36" t="s">
        <v>256</v>
      </c>
    </row>
    <row r="27" spans="2:3" x14ac:dyDescent="0.3">
      <c r="B27" s="61">
        <v>26</v>
      </c>
      <c r="C27" s="36" t="s">
        <v>257</v>
      </c>
    </row>
    <row r="28" spans="2:3" x14ac:dyDescent="0.3">
      <c r="B28" s="57">
        <v>27</v>
      </c>
      <c r="C28" s="36" t="s">
        <v>258</v>
      </c>
    </row>
    <row r="29" spans="2:3" ht="43.2" x14ac:dyDescent="0.3">
      <c r="B29" s="62">
        <v>28</v>
      </c>
      <c r="C29" s="54" t="s">
        <v>259</v>
      </c>
    </row>
    <row r="30" spans="2:3" x14ac:dyDescent="0.3">
      <c r="B30" s="61">
        <v>29</v>
      </c>
      <c r="C30" s="36" t="s">
        <v>260</v>
      </c>
    </row>
    <row r="31" spans="2:3" ht="28.8" x14ac:dyDescent="0.3">
      <c r="B31" s="61">
        <v>30</v>
      </c>
      <c r="C31" s="54" t="s">
        <v>288</v>
      </c>
    </row>
    <row r="32" spans="2:3" x14ac:dyDescent="0.3">
      <c r="B32" s="61">
        <v>31</v>
      </c>
      <c r="C32" s="36" t="s">
        <v>289</v>
      </c>
    </row>
    <row r="33" spans="2:3" x14ac:dyDescent="0.3">
      <c r="B33" s="61">
        <v>32</v>
      </c>
      <c r="C33" s="36" t="s">
        <v>290</v>
      </c>
    </row>
    <row r="34" spans="2:3" ht="28.8" x14ac:dyDescent="0.3">
      <c r="B34" s="61">
        <v>33</v>
      </c>
      <c r="C34" s="56" t="s">
        <v>291</v>
      </c>
    </row>
    <row r="35" spans="2:3" x14ac:dyDescent="0.3">
      <c r="B35" s="61">
        <v>34</v>
      </c>
      <c r="C35" s="36"/>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3"/>
    <col min="2" max="2" width="12.33203125" style="63" customWidth="1"/>
    <col min="3" max="16384" width="9.109375" style="63"/>
  </cols>
  <sheetData>
    <row r="2" spans="1:12" x14ac:dyDescent="0.3">
      <c r="B2" s="64" t="s">
        <v>261</v>
      </c>
      <c r="C2" s="186"/>
      <c r="D2" s="186"/>
    </row>
    <row r="3" spans="1:12" x14ac:dyDescent="0.3">
      <c r="D3" s="65"/>
      <c r="E3" s="65"/>
      <c r="F3" s="65"/>
      <c r="G3" s="65"/>
      <c r="H3" s="65"/>
      <c r="I3" s="65"/>
    </row>
    <row r="4" spans="1:12" x14ac:dyDescent="0.3">
      <c r="A4" s="64" t="s">
        <v>262</v>
      </c>
      <c r="B4" s="52" t="s">
        <v>263</v>
      </c>
      <c r="C4" s="187" t="s">
        <v>264</v>
      </c>
      <c r="D4" s="187"/>
      <c r="E4" s="187"/>
      <c r="F4" s="52"/>
      <c r="G4" s="188" t="s">
        <v>265</v>
      </c>
      <c r="H4" s="188"/>
      <c r="I4" s="188"/>
      <c r="J4" s="189" t="s">
        <v>266</v>
      </c>
      <c r="K4" s="189"/>
      <c r="L4" s="189"/>
    </row>
    <row r="5" spans="1:12" x14ac:dyDescent="0.3">
      <c r="A5" s="64"/>
      <c r="B5" s="52"/>
      <c r="C5" s="52" t="s">
        <v>267</v>
      </c>
      <c r="D5" s="52" t="s">
        <v>268</v>
      </c>
      <c r="E5" s="52" t="s">
        <v>269</v>
      </c>
      <c r="F5" s="52"/>
      <c r="G5" s="52" t="s">
        <v>267</v>
      </c>
      <c r="H5" s="52" t="s">
        <v>268</v>
      </c>
      <c r="I5" s="52" t="s">
        <v>269</v>
      </c>
      <c r="J5" s="52" t="s">
        <v>267</v>
      </c>
      <c r="K5" s="52" t="s">
        <v>268</v>
      </c>
      <c r="L5" s="52" t="s">
        <v>269</v>
      </c>
    </row>
    <row r="6" spans="1:12" x14ac:dyDescent="0.3">
      <c r="B6" s="51" t="s">
        <v>270</v>
      </c>
      <c r="C6" s="51"/>
      <c r="D6" s="51"/>
      <c r="E6" s="51">
        <f>C6*D6</f>
        <v>0</v>
      </c>
      <c r="F6" s="51" t="s">
        <v>271</v>
      </c>
      <c r="G6" s="51"/>
      <c r="H6" s="51"/>
      <c r="I6" s="51">
        <f>G6*H6</f>
        <v>0</v>
      </c>
      <c r="J6" s="51"/>
      <c r="K6" s="51"/>
      <c r="L6" s="51">
        <f>J6*K6</f>
        <v>0</v>
      </c>
    </row>
    <row r="7" spans="1:12" x14ac:dyDescent="0.3">
      <c r="B7" s="51"/>
      <c r="C7" s="51"/>
      <c r="D7" s="51"/>
      <c r="E7" s="51">
        <f t="shared" ref="E7:E41" si="0">C7*D7</f>
        <v>0</v>
      </c>
      <c r="F7" s="51" t="s">
        <v>271</v>
      </c>
      <c r="G7" s="51"/>
      <c r="H7" s="51"/>
      <c r="I7" s="51">
        <f t="shared" ref="I7:I35" si="1">G7*H7</f>
        <v>0</v>
      </c>
      <c r="J7" s="51"/>
      <c r="K7" s="51"/>
      <c r="L7" s="51">
        <f t="shared" ref="L7:L35" si="2">J7*K7</f>
        <v>0</v>
      </c>
    </row>
    <row r="8" spans="1:12" x14ac:dyDescent="0.3">
      <c r="B8" s="51"/>
      <c r="C8" s="51"/>
      <c r="D8" s="51"/>
      <c r="E8" s="51">
        <f t="shared" si="0"/>
        <v>0</v>
      </c>
      <c r="F8" s="51"/>
      <c r="G8" s="51"/>
      <c r="H8" s="51"/>
      <c r="I8" s="51">
        <f t="shared" si="1"/>
        <v>0</v>
      </c>
      <c r="J8" s="51"/>
      <c r="K8" s="51"/>
      <c r="L8" s="51">
        <f t="shared" si="2"/>
        <v>0</v>
      </c>
    </row>
    <row r="9" spans="1:12" x14ac:dyDescent="0.3">
      <c r="B9" s="51"/>
      <c r="C9" s="51"/>
      <c r="D9" s="51"/>
      <c r="E9" s="51">
        <f t="shared" si="0"/>
        <v>0</v>
      </c>
      <c r="F9" s="51" t="s">
        <v>272</v>
      </c>
      <c r="G9" s="51"/>
      <c r="H9" s="51"/>
      <c r="I9" s="51">
        <f t="shared" si="1"/>
        <v>0</v>
      </c>
      <c r="J9" s="51"/>
      <c r="K9" s="51"/>
      <c r="L9" s="51">
        <f t="shared" si="2"/>
        <v>0</v>
      </c>
    </row>
    <row r="10" spans="1:12" x14ac:dyDescent="0.3">
      <c r="B10" s="51" t="s">
        <v>273</v>
      </c>
      <c r="C10" s="51"/>
      <c r="D10" s="51"/>
      <c r="E10" s="51">
        <f t="shared" si="0"/>
        <v>0</v>
      </c>
      <c r="F10" s="51" t="s">
        <v>272</v>
      </c>
      <c r="G10" s="51"/>
      <c r="H10" s="51"/>
      <c r="I10" s="51">
        <f t="shared" si="1"/>
        <v>0</v>
      </c>
      <c r="J10" s="51"/>
      <c r="K10" s="51"/>
      <c r="L10" s="51">
        <f t="shared" si="2"/>
        <v>0</v>
      </c>
    </row>
    <row r="11" spans="1:12" x14ac:dyDescent="0.3">
      <c r="B11" s="51"/>
      <c r="C11" s="51"/>
      <c r="D11" s="51"/>
      <c r="E11" s="51">
        <f t="shared" si="0"/>
        <v>0</v>
      </c>
      <c r="F11" s="51" t="s">
        <v>274</v>
      </c>
      <c r="G11" s="51"/>
      <c r="H11" s="51"/>
      <c r="I11" s="51">
        <f t="shared" si="1"/>
        <v>0</v>
      </c>
      <c r="J11" s="51"/>
      <c r="K11" s="51"/>
      <c r="L11" s="51">
        <f t="shared" si="2"/>
        <v>0</v>
      </c>
    </row>
    <row r="12" spans="1:12" x14ac:dyDescent="0.3">
      <c r="B12" s="51"/>
      <c r="C12" s="51"/>
      <c r="D12" s="51"/>
      <c r="E12" s="51">
        <f t="shared" si="0"/>
        <v>0</v>
      </c>
      <c r="F12" s="51"/>
      <c r="G12" s="51"/>
      <c r="H12" s="51"/>
      <c r="I12" s="51">
        <f t="shared" si="1"/>
        <v>0</v>
      </c>
      <c r="J12" s="51"/>
      <c r="K12" s="51"/>
      <c r="L12" s="51">
        <f t="shared" si="2"/>
        <v>0</v>
      </c>
    </row>
    <row r="13" spans="1:12" x14ac:dyDescent="0.3">
      <c r="B13" s="51"/>
      <c r="C13" s="51"/>
      <c r="D13" s="51"/>
      <c r="E13" s="51">
        <f t="shared" si="0"/>
        <v>0</v>
      </c>
      <c r="F13" s="51"/>
      <c r="G13" s="51"/>
      <c r="H13" s="51"/>
      <c r="I13" s="51">
        <f t="shared" si="1"/>
        <v>0</v>
      </c>
      <c r="J13" s="51"/>
      <c r="K13" s="51"/>
      <c r="L13" s="51">
        <f t="shared" si="2"/>
        <v>0</v>
      </c>
    </row>
    <row r="14" spans="1:12" x14ac:dyDescent="0.3">
      <c r="B14" s="51" t="s">
        <v>275</v>
      </c>
      <c r="C14" s="51"/>
      <c r="D14" s="51"/>
      <c r="E14" s="51">
        <f t="shared" si="0"/>
        <v>0</v>
      </c>
      <c r="F14" s="51" t="s">
        <v>272</v>
      </c>
      <c r="G14" s="51"/>
      <c r="H14" s="51"/>
      <c r="I14" s="51">
        <f t="shared" si="1"/>
        <v>0</v>
      </c>
      <c r="J14" s="51"/>
      <c r="K14" s="51"/>
      <c r="L14" s="51">
        <f t="shared" si="2"/>
        <v>0</v>
      </c>
    </row>
    <row r="15" spans="1:12" x14ac:dyDescent="0.3">
      <c r="B15" s="51"/>
      <c r="C15" s="51"/>
      <c r="D15" s="51"/>
      <c r="E15" s="51">
        <f t="shared" si="0"/>
        <v>0</v>
      </c>
      <c r="F15" s="51" t="s">
        <v>274</v>
      </c>
      <c r="G15" s="51"/>
      <c r="H15" s="51"/>
      <c r="I15" s="51">
        <f t="shared" si="1"/>
        <v>0</v>
      </c>
      <c r="J15" s="51"/>
      <c r="K15" s="51"/>
      <c r="L15" s="51">
        <f t="shared" si="2"/>
        <v>0</v>
      </c>
    </row>
    <row r="16" spans="1:12" x14ac:dyDescent="0.3">
      <c r="B16" s="51"/>
      <c r="C16" s="51"/>
      <c r="D16" s="51"/>
      <c r="E16" s="51">
        <f t="shared" si="0"/>
        <v>0</v>
      </c>
      <c r="F16" s="51"/>
      <c r="G16" s="51"/>
      <c r="H16" s="51"/>
      <c r="I16" s="51">
        <f t="shared" si="1"/>
        <v>0</v>
      </c>
      <c r="J16" s="51"/>
      <c r="K16" s="51"/>
      <c r="L16" s="51">
        <f t="shared" si="2"/>
        <v>0</v>
      </c>
    </row>
    <row r="17" spans="2:12" x14ac:dyDescent="0.3">
      <c r="B17" s="51"/>
      <c r="C17" s="51"/>
      <c r="D17" s="51"/>
      <c r="E17" s="51">
        <f t="shared" si="0"/>
        <v>0</v>
      </c>
      <c r="F17" s="51"/>
      <c r="G17" s="51"/>
      <c r="H17" s="51"/>
      <c r="I17" s="51">
        <f t="shared" si="1"/>
        <v>0</v>
      </c>
      <c r="J17" s="51"/>
      <c r="K17" s="51"/>
      <c r="L17" s="51">
        <f t="shared" si="2"/>
        <v>0</v>
      </c>
    </row>
    <row r="18" spans="2:12" x14ac:dyDescent="0.3">
      <c r="B18" s="51" t="s">
        <v>276</v>
      </c>
      <c r="C18" s="51"/>
      <c r="D18" s="51"/>
      <c r="E18" s="51">
        <f t="shared" si="0"/>
        <v>0</v>
      </c>
      <c r="F18" s="51" t="s">
        <v>272</v>
      </c>
      <c r="G18" s="51"/>
      <c r="H18" s="51"/>
      <c r="I18" s="51">
        <f t="shared" si="1"/>
        <v>0</v>
      </c>
      <c r="J18" s="51"/>
      <c r="K18" s="51"/>
      <c r="L18" s="51">
        <f t="shared" si="2"/>
        <v>0</v>
      </c>
    </row>
    <row r="19" spans="2:12" x14ac:dyDescent="0.3">
      <c r="B19" s="51"/>
      <c r="C19" s="51"/>
      <c r="D19" s="51"/>
      <c r="E19" s="51">
        <f t="shared" si="0"/>
        <v>0</v>
      </c>
      <c r="F19" s="51" t="s">
        <v>274</v>
      </c>
      <c r="G19" s="51"/>
      <c r="H19" s="51"/>
      <c r="I19" s="51">
        <f t="shared" si="1"/>
        <v>0</v>
      </c>
      <c r="J19" s="51"/>
      <c r="K19" s="51"/>
      <c r="L19" s="51">
        <f t="shared" si="2"/>
        <v>0</v>
      </c>
    </row>
    <row r="20" spans="2:12" x14ac:dyDescent="0.3">
      <c r="B20" s="51"/>
      <c r="C20" s="51"/>
      <c r="D20" s="51"/>
      <c r="E20" s="51">
        <f t="shared" si="0"/>
        <v>0</v>
      </c>
      <c r="F20" s="51"/>
      <c r="G20" s="51"/>
      <c r="H20" s="51"/>
      <c r="I20" s="51">
        <f t="shared" si="1"/>
        <v>0</v>
      </c>
      <c r="J20" s="51"/>
      <c r="K20" s="51"/>
      <c r="L20" s="51">
        <f t="shared" si="2"/>
        <v>0</v>
      </c>
    </row>
    <row r="21" spans="2:12" x14ac:dyDescent="0.3">
      <c r="B21" s="51" t="s">
        <v>277</v>
      </c>
      <c r="C21" s="51"/>
      <c r="D21" s="51"/>
      <c r="E21" s="51">
        <f t="shared" si="0"/>
        <v>0</v>
      </c>
      <c r="F21" s="51" t="s">
        <v>272</v>
      </c>
      <c r="G21" s="51"/>
      <c r="H21" s="51"/>
      <c r="I21" s="51">
        <f t="shared" si="1"/>
        <v>0</v>
      </c>
      <c r="J21" s="51"/>
      <c r="K21" s="51"/>
      <c r="L21" s="51">
        <f t="shared" si="2"/>
        <v>0</v>
      </c>
    </row>
    <row r="22" spans="2:12" x14ac:dyDescent="0.3">
      <c r="B22" s="51"/>
      <c r="C22" s="51"/>
      <c r="D22" s="51"/>
      <c r="E22" s="51">
        <f t="shared" si="0"/>
        <v>0</v>
      </c>
      <c r="F22" s="51" t="s">
        <v>274</v>
      </c>
      <c r="G22" s="51"/>
      <c r="H22" s="51"/>
      <c r="I22" s="51">
        <f t="shared" si="1"/>
        <v>0</v>
      </c>
      <c r="J22" s="51"/>
      <c r="K22" s="51"/>
      <c r="L22" s="51">
        <f t="shared" si="2"/>
        <v>0</v>
      </c>
    </row>
    <row r="23" spans="2:12" x14ac:dyDescent="0.3">
      <c r="B23" s="51"/>
      <c r="C23" s="51"/>
      <c r="D23" s="51"/>
      <c r="E23" s="51">
        <f t="shared" si="0"/>
        <v>0</v>
      </c>
      <c r="F23" s="51"/>
      <c r="G23" s="51"/>
      <c r="H23" s="51"/>
      <c r="I23" s="51">
        <f t="shared" si="1"/>
        <v>0</v>
      </c>
      <c r="J23" s="51"/>
      <c r="K23" s="51"/>
      <c r="L23" s="51">
        <f t="shared" si="2"/>
        <v>0</v>
      </c>
    </row>
    <row r="24" spans="2:12" x14ac:dyDescent="0.3">
      <c r="B24" s="51" t="s">
        <v>278</v>
      </c>
      <c r="C24" s="51"/>
      <c r="D24" s="51"/>
      <c r="E24" s="51">
        <f t="shared" si="0"/>
        <v>0</v>
      </c>
      <c r="F24" s="51" t="s">
        <v>279</v>
      </c>
      <c r="G24" s="51"/>
      <c r="H24" s="51"/>
      <c r="I24" s="51">
        <f t="shared" si="1"/>
        <v>0</v>
      </c>
      <c r="J24" s="51"/>
      <c r="K24" s="51"/>
      <c r="L24" s="51">
        <f t="shared" si="2"/>
        <v>0</v>
      </c>
    </row>
    <row r="25" spans="2:12" x14ac:dyDescent="0.3">
      <c r="B25" s="51"/>
      <c r="C25" s="51"/>
      <c r="D25" s="51"/>
      <c r="E25" s="51">
        <f t="shared" si="0"/>
        <v>0</v>
      </c>
      <c r="F25" s="51" t="s">
        <v>279</v>
      </c>
      <c r="G25" s="51"/>
      <c r="H25" s="51"/>
      <c r="I25" s="51">
        <f t="shared" si="1"/>
        <v>0</v>
      </c>
      <c r="J25" s="51"/>
      <c r="K25" s="51"/>
      <c r="L25" s="51">
        <f t="shared" si="2"/>
        <v>0</v>
      </c>
    </row>
    <row r="26" spans="2:12" x14ac:dyDescent="0.3">
      <c r="B26" s="51"/>
      <c r="C26" s="51"/>
      <c r="D26" s="51"/>
      <c r="E26" s="51">
        <f t="shared" si="0"/>
        <v>0</v>
      </c>
      <c r="F26" s="51" t="s">
        <v>279</v>
      </c>
      <c r="G26" s="51"/>
      <c r="H26" s="51"/>
      <c r="I26" s="51">
        <f t="shared" si="1"/>
        <v>0</v>
      </c>
      <c r="J26" s="51"/>
      <c r="K26" s="51"/>
      <c r="L26" s="51">
        <f t="shared" si="2"/>
        <v>0</v>
      </c>
    </row>
    <row r="27" spans="2:12" x14ac:dyDescent="0.3">
      <c r="B27" s="51"/>
      <c r="C27" s="51"/>
      <c r="D27" s="51"/>
      <c r="E27" s="51">
        <f t="shared" si="0"/>
        <v>0</v>
      </c>
      <c r="F27" s="51" t="s">
        <v>279</v>
      </c>
      <c r="G27" s="51"/>
      <c r="H27" s="51"/>
      <c r="I27" s="51">
        <f t="shared" si="1"/>
        <v>0</v>
      </c>
      <c r="J27" s="51"/>
      <c r="K27" s="51"/>
      <c r="L27" s="51">
        <f t="shared" si="2"/>
        <v>0</v>
      </c>
    </row>
    <row r="28" spans="2:12" x14ac:dyDescent="0.3">
      <c r="B28" s="51" t="s">
        <v>280</v>
      </c>
      <c r="C28" s="51"/>
      <c r="D28" s="51"/>
      <c r="E28" s="51">
        <f t="shared" si="0"/>
        <v>0</v>
      </c>
      <c r="F28" s="51" t="s">
        <v>279</v>
      </c>
      <c r="G28" s="51"/>
      <c r="H28" s="51"/>
      <c r="I28" s="51">
        <f t="shared" si="1"/>
        <v>0</v>
      </c>
      <c r="J28" s="51"/>
      <c r="K28" s="51"/>
      <c r="L28" s="51">
        <f t="shared" si="2"/>
        <v>0</v>
      </c>
    </row>
    <row r="29" spans="2:12" x14ac:dyDescent="0.3">
      <c r="B29" s="51" t="s">
        <v>281</v>
      </c>
      <c r="C29" s="51"/>
      <c r="D29" s="51"/>
      <c r="E29" s="51">
        <f t="shared" si="0"/>
        <v>0</v>
      </c>
      <c r="F29" s="51" t="s">
        <v>279</v>
      </c>
      <c r="G29" s="51"/>
      <c r="H29" s="51"/>
      <c r="I29" s="51">
        <f t="shared" si="1"/>
        <v>0</v>
      </c>
      <c r="J29" s="51"/>
      <c r="K29" s="51"/>
      <c r="L29" s="51">
        <f t="shared" si="2"/>
        <v>0</v>
      </c>
    </row>
    <row r="30" spans="2:12" x14ac:dyDescent="0.3">
      <c r="B30" s="51" t="s">
        <v>282</v>
      </c>
      <c r="C30" s="51"/>
      <c r="D30" s="51"/>
      <c r="E30" s="51">
        <f t="shared" si="0"/>
        <v>0</v>
      </c>
      <c r="F30" s="51"/>
      <c r="G30" s="51"/>
      <c r="H30" s="51"/>
      <c r="I30" s="51">
        <f t="shared" si="1"/>
        <v>0</v>
      </c>
      <c r="J30" s="51"/>
      <c r="K30" s="51"/>
      <c r="L30" s="51">
        <f t="shared" si="2"/>
        <v>0</v>
      </c>
    </row>
    <row r="31" spans="2:12" x14ac:dyDescent="0.3">
      <c r="B31" s="51"/>
      <c r="C31" s="51"/>
      <c r="D31" s="51"/>
      <c r="E31" s="51">
        <f t="shared" si="0"/>
        <v>0</v>
      </c>
      <c r="F31" s="51"/>
      <c r="G31" s="51"/>
      <c r="H31" s="51"/>
      <c r="I31" s="51">
        <f t="shared" si="1"/>
        <v>0</v>
      </c>
      <c r="J31" s="51"/>
      <c r="K31" s="51"/>
      <c r="L31" s="51">
        <f t="shared" si="2"/>
        <v>0</v>
      </c>
    </row>
    <row r="32" spans="2:12" x14ac:dyDescent="0.3">
      <c r="B32" s="51"/>
      <c r="C32" s="51"/>
      <c r="D32" s="51"/>
      <c r="E32" s="51">
        <f t="shared" si="0"/>
        <v>0</v>
      </c>
      <c r="F32" s="51"/>
      <c r="G32" s="51"/>
      <c r="H32" s="51"/>
      <c r="I32" s="51">
        <f t="shared" si="1"/>
        <v>0</v>
      </c>
      <c r="J32" s="51"/>
      <c r="K32" s="51"/>
      <c r="L32" s="51">
        <f t="shared" si="2"/>
        <v>0</v>
      </c>
    </row>
    <row r="33" spans="2:12" x14ac:dyDescent="0.3">
      <c r="B33" s="51" t="s">
        <v>283</v>
      </c>
      <c r="C33" s="51"/>
      <c r="D33" s="51"/>
      <c r="E33" s="51">
        <f t="shared" si="0"/>
        <v>0</v>
      </c>
      <c r="F33" s="51"/>
      <c r="G33" s="51"/>
      <c r="H33" s="51"/>
      <c r="I33" s="51">
        <f t="shared" si="1"/>
        <v>0</v>
      </c>
      <c r="J33" s="51"/>
      <c r="K33" s="51"/>
      <c r="L33" s="51">
        <f t="shared" si="2"/>
        <v>0</v>
      </c>
    </row>
    <row r="34" spans="2:12" x14ac:dyDescent="0.3">
      <c r="B34" s="51" t="s">
        <v>284</v>
      </c>
      <c r="C34" s="51"/>
      <c r="D34" s="51"/>
      <c r="E34" s="51">
        <f t="shared" si="0"/>
        <v>0</v>
      </c>
      <c r="F34" s="51"/>
      <c r="G34" s="51"/>
      <c r="H34" s="51"/>
      <c r="I34" s="51">
        <f t="shared" si="1"/>
        <v>0</v>
      </c>
      <c r="J34" s="51"/>
      <c r="K34" s="51"/>
      <c r="L34" s="51">
        <f t="shared" si="2"/>
        <v>0</v>
      </c>
    </row>
    <row r="35" spans="2:12" x14ac:dyDescent="0.3">
      <c r="B35" s="51" t="s">
        <v>285</v>
      </c>
      <c r="C35" s="51"/>
      <c r="D35" s="51"/>
      <c r="E35" s="51">
        <f t="shared" si="0"/>
        <v>0</v>
      </c>
      <c r="F35" s="51"/>
      <c r="G35" s="51"/>
      <c r="H35" s="51"/>
      <c r="I35" s="51">
        <f t="shared" si="1"/>
        <v>0</v>
      </c>
      <c r="J35" s="51"/>
      <c r="K35" s="51"/>
      <c r="L35" s="51">
        <f t="shared" si="2"/>
        <v>0</v>
      </c>
    </row>
    <row r="36" spans="2:12" x14ac:dyDescent="0.3">
      <c r="B36" s="51" t="s">
        <v>286</v>
      </c>
      <c r="C36" s="51"/>
      <c r="D36" s="51"/>
      <c r="E36" s="51">
        <f t="shared" si="0"/>
        <v>0</v>
      </c>
      <c r="F36" s="51"/>
      <c r="G36" s="51"/>
      <c r="H36" s="51"/>
      <c r="I36" s="51">
        <f>G36*H36</f>
        <v>0</v>
      </c>
      <c r="J36" s="51"/>
      <c r="K36" s="51"/>
      <c r="L36" s="51">
        <f>J36*K36</f>
        <v>0</v>
      </c>
    </row>
    <row r="37" spans="2:12" x14ac:dyDescent="0.3">
      <c r="B37" s="51"/>
      <c r="C37" s="51"/>
      <c r="D37" s="51"/>
      <c r="E37" s="51">
        <f t="shared" si="0"/>
        <v>0</v>
      </c>
      <c r="F37" s="51"/>
      <c r="G37" s="51"/>
      <c r="H37" s="51"/>
      <c r="I37" s="51">
        <f t="shared" ref="I37:I38" si="3">G37*H37</f>
        <v>0</v>
      </c>
      <c r="J37" s="51"/>
      <c r="K37" s="51"/>
      <c r="L37" s="51">
        <f t="shared" ref="L37:L38" si="4">J37*K37</f>
        <v>0</v>
      </c>
    </row>
    <row r="38" spans="2:12" x14ac:dyDescent="0.3">
      <c r="B38" s="51" t="s">
        <v>287</v>
      </c>
      <c r="C38" s="51"/>
      <c r="D38" s="51"/>
      <c r="E38" s="51">
        <f t="shared" si="0"/>
        <v>0</v>
      </c>
      <c r="F38" s="51"/>
      <c r="G38" s="51"/>
      <c r="H38" s="51"/>
      <c r="I38" s="51">
        <f t="shared" si="3"/>
        <v>0</v>
      </c>
      <c r="J38" s="51"/>
      <c r="K38" s="51"/>
      <c r="L38" s="51">
        <f t="shared" si="4"/>
        <v>0</v>
      </c>
    </row>
    <row r="39" spans="2:12" x14ac:dyDescent="0.3">
      <c r="B39" s="51"/>
      <c r="C39" s="51"/>
      <c r="D39" s="51"/>
      <c r="E39" s="51">
        <f t="shared" si="0"/>
        <v>0</v>
      </c>
      <c r="F39" s="51"/>
      <c r="G39" s="51"/>
      <c r="H39" s="51"/>
      <c r="I39" s="51">
        <f>G39*H39</f>
        <v>0</v>
      </c>
      <c r="J39" s="51"/>
      <c r="K39" s="51"/>
      <c r="L39" s="51">
        <f>J39*K39</f>
        <v>0</v>
      </c>
    </row>
    <row r="40" spans="2:12" x14ac:dyDescent="0.3">
      <c r="B40" s="51"/>
      <c r="C40" s="51"/>
      <c r="D40" s="51"/>
      <c r="E40" s="51">
        <f t="shared" si="0"/>
        <v>0</v>
      </c>
      <c r="F40" s="51"/>
      <c r="G40" s="51"/>
      <c r="H40" s="51"/>
      <c r="I40" s="51">
        <f>G40*H40</f>
        <v>0</v>
      </c>
      <c r="J40" s="51"/>
      <c r="K40" s="51"/>
      <c r="L40" s="51">
        <f>J40*K40</f>
        <v>0</v>
      </c>
    </row>
    <row r="41" spans="2:12" x14ac:dyDescent="0.3">
      <c r="B41" s="51"/>
      <c r="C41" s="51"/>
      <c r="D41" s="51"/>
      <c r="E41" s="51">
        <f t="shared" si="0"/>
        <v>0</v>
      </c>
      <c r="F41" s="51"/>
      <c r="G41" s="51"/>
      <c r="H41" s="51"/>
      <c r="I41" s="51">
        <f>G41*H41</f>
        <v>0</v>
      </c>
      <c r="J41" s="51"/>
      <c r="K41" s="51"/>
      <c r="L41" s="51">
        <f>J41*K41</f>
        <v>0</v>
      </c>
    </row>
    <row r="42" spans="2:12" x14ac:dyDescent="0.3">
      <c r="B42" s="51" t="s">
        <v>148</v>
      </c>
      <c r="C42" s="51"/>
      <c r="D42" s="51">
        <f>E42*10.764</f>
        <v>0</v>
      </c>
      <c r="E42" s="66">
        <f>SUM(E6:E41)</f>
        <v>0</v>
      </c>
      <c r="F42" s="51"/>
      <c r="G42" s="51"/>
      <c r="H42" s="51">
        <f>I42*10.764</f>
        <v>0</v>
      </c>
      <c r="I42" s="67">
        <f>SUM(I6:I41)</f>
        <v>0</v>
      </c>
      <c r="J42" s="51"/>
      <c r="K42" s="51">
        <f>L42*10.764</f>
        <v>0</v>
      </c>
      <c r="L42" s="68">
        <f>SUM(L6:L41)</f>
        <v>0</v>
      </c>
    </row>
    <row r="44" spans="2:12" x14ac:dyDescent="0.3">
      <c r="D44" s="63">
        <f>D42+H42</f>
        <v>0</v>
      </c>
      <c r="E44" s="63">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2025-09-18T06:36:58Z</cp:lastPrinted>
  <dcterms:created xsi:type="dcterms:W3CDTF">2010-11-23T11:42:48Z</dcterms:created>
  <dcterms:modified xsi:type="dcterms:W3CDTF">2025-09-18T06:38:19Z</dcterms:modified>
</cp:coreProperties>
</file>