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23BB624C-66DC-4DF0-B1ED-5EDA8E4D2871}"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3" l="1"/>
  <c r="J3" i="3"/>
  <c r="C74" i="3" l="1"/>
  <c r="C58" i="3"/>
  <c r="M80" i="3"/>
  <c r="K78" i="3"/>
  <c r="K77" i="3"/>
  <c r="M64" i="3"/>
  <c r="K62" i="3"/>
  <c r="K61" i="3"/>
  <c r="I69" i="3"/>
  <c r="I53" i="3"/>
  <c r="K71" i="3" l="1"/>
  <c r="E78" i="3"/>
  <c r="E81" i="3"/>
  <c r="E73" i="3"/>
  <c r="E80" i="3"/>
  <c r="E76" i="3"/>
  <c r="E79" i="3"/>
  <c r="E75" i="3"/>
  <c r="E82" i="3"/>
  <c r="E74" i="3"/>
  <c r="K73" i="3"/>
  <c r="K74" i="3" s="1"/>
  <c r="K79" i="3" s="1"/>
  <c r="E77" i="3"/>
  <c r="K70" i="3"/>
  <c r="K72" i="3"/>
  <c r="E66" i="3"/>
  <c r="E62" i="3"/>
  <c r="E58" i="3"/>
  <c r="K57" i="3"/>
  <c r="K58" i="3" s="1"/>
  <c r="K63" i="3" s="1"/>
  <c r="E61" i="3"/>
  <c r="E57" i="3"/>
  <c r="K54" i="3"/>
  <c r="K56" i="3"/>
  <c r="E65" i="3"/>
  <c r="K55" i="3"/>
  <c r="E64" i="3"/>
  <c r="E60" i="3"/>
  <c r="E63" i="3"/>
  <c r="E59" i="3"/>
  <c r="C106" i="3"/>
  <c r="C107" i="3" s="1"/>
  <c r="C108" i="3" s="1"/>
  <c r="C90" i="3"/>
  <c r="C91" i="3" s="1"/>
  <c r="C92" i="3" s="1"/>
  <c r="K111" i="3"/>
  <c r="K110" i="3"/>
  <c r="K109" i="3"/>
  <c r="K95" i="3"/>
  <c r="K94" i="3"/>
  <c r="K93" i="3"/>
  <c r="I101" i="3"/>
  <c r="I85" i="3"/>
  <c r="C71" i="3" l="1"/>
  <c r="E71" i="3" s="1"/>
  <c r="C55" i="3"/>
  <c r="E55" i="3" s="1"/>
  <c r="K75" i="3"/>
  <c r="K76" i="3" s="1"/>
  <c r="K59" i="3"/>
  <c r="K60" i="3" s="1"/>
  <c r="K88" i="3"/>
  <c r="C87" i="3" s="1"/>
  <c r="E87" i="3" s="1"/>
  <c r="K86" i="3"/>
  <c r="E96" i="3"/>
  <c r="E94" i="3"/>
  <c r="E92" i="3"/>
  <c r="E90" i="3"/>
  <c r="E93" i="3"/>
  <c r="E89" i="3"/>
  <c r="E98" i="3"/>
  <c r="K89" i="3"/>
  <c r="K90" i="3" s="1"/>
  <c r="E97" i="3"/>
  <c r="E95" i="3"/>
  <c r="E91" i="3"/>
  <c r="K87" i="3"/>
  <c r="E114" i="3"/>
  <c r="K105" i="3"/>
  <c r="K106" i="3" s="1"/>
  <c r="E113" i="3"/>
  <c r="E111" i="3"/>
  <c r="E109" i="3"/>
  <c r="E107" i="3"/>
  <c r="E105" i="3"/>
  <c r="K103" i="3"/>
  <c r="K104" i="3"/>
  <c r="C103" i="3" s="1"/>
  <c r="E103" i="3" s="1"/>
  <c r="K102" i="3"/>
  <c r="E112" i="3"/>
  <c r="E110" i="3"/>
  <c r="E108" i="3"/>
  <c r="E106" i="3"/>
  <c r="K64" i="3" l="1"/>
  <c r="C56" i="3" s="1"/>
  <c r="K80" i="3"/>
  <c r="C72" i="3" s="1"/>
  <c r="K91" i="3"/>
  <c r="K92" i="3" s="1"/>
  <c r="K107" i="3"/>
  <c r="K108" i="3" s="1"/>
  <c r="E72" i="3" l="1"/>
  <c r="F71" i="3"/>
  <c r="J68" i="3" s="1"/>
  <c r="H71" i="3" s="1"/>
  <c r="E56" i="3"/>
  <c r="F55" i="3"/>
  <c r="K112" i="3"/>
  <c r="C104" i="3" s="1"/>
  <c r="K96" i="3"/>
  <c r="C88" i="3" s="1"/>
  <c r="H115" i="3" l="1"/>
  <c r="J52" i="3"/>
  <c r="H55" i="3" s="1"/>
  <c r="E88" i="3"/>
  <c r="F87" i="3"/>
  <c r="J84" i="3" s="1"/>
  <c r="H87" i="3" s="1"/>
  <c r="E104" i="3"/>
  <c r="F103" i="3"/>
  <c r="J100" i="3" l="1"/>
  <c r="H103" i="3" s="1"/>
  <c r="F181" i="3" l="1"/>
  <c r="F180" i="3"/>
  <c r="F179" i="3"/>
  <c r="F178" i="3"/>
  <c r="F177" i="3"/>
  <c r="F175" i="3"/>
  <c r="F174" i="3"/>
  <c r="F172" i="3"/>
  <c r="F171" i="3"/>
  <c r="F170" i="3"/>
  <c r="F169" i="3"/>
  <c r="F168" i="3"/>
  <c r="F167" i="3"/>
  <c r="F166" i="3"/>
  <c r="F165" i="3"/>
  <c r="F158" i="3"/>
  <c r="F157" i="3"/>
  <c r="F156" i="3"/>
  <c r="F155" i="3"/>
  <c r="F154" i="3"/>
  <c r="F152" i="3"/>
  <c r="F151" i="3"/>
  <c r="F149" i="3"/>
  <c r="F148" i="3"/>
  <c r="F147" i="3"/>
  <c r="J147" i="3" s="1"/>
  <c r="F146" i="3"/>
  <c r="F145" i="3"/>
  <c r="F144" i="3"/>
  <c r="F143" i="3"/>
  <c r="F142" i="3"/>
  <c r="J142" i="3"/>
  <c r="A151" i="3"/>
  <c r="A142" i="3"/>
  <c r="A174" i="3"/>
  <c r="J143" i="3" l="1"/>
  <c r="H128" i="3"/>
  <c r="H127" i="3"/>
  <c r="I172" i="3" l="1"/>
  <c r="J166" i="3"/>
  <c r="I168" i="3"/>
  <c r="I166" i="3"/>
  <c r="F133" i="3"/>
  <c r="K163" i="3"/>
  <c r="J165" i="3"/>
  <c r="I181" i="3"/>
  <c r="I180" i="3"/>
  <c r="I179" i="3"/>
  <c r="I178" i="3"/>
  <c r="I177" i="3"/>
  <c r="I175" i="3"/>
  <c r="C175" i="3"/>
  <c r="C176" i="3" s="1"/>
  <c r="C177" i="3" s="1"/>
  <c r="C178" i="3" s="1"/>
  <c r="C179" i="3" s="1"/>
  <c r="C180" i="3" s="1"/>
  <c r="C181" i="3" s="1"/>
  <c r="J174" i="3"/>
  <c r="I174" i="3"/>
  <c r="I171" i="3"/>
  <c r="I170" i="3"/>
  <c r="I169" i="3"/>
  <c r="I167" i="3"/>
  <c r="C166" i="3"/>
  <c r="C167" i="3" s="1"/>
  <c r="C168" i="3" s="1"/>
  <c r="C169" i="3" s="1"/>
  <c r="C170" i="3" s="1"/>
  <c r="C171" i="3" s="1"/>
  <c r="C172" i="3" s="1"/>
  <c r="I165" i="3"/>
  <c r="A165" i="3"/>
  <c r="I133" i="3" l="1"/>
  <c r="H133" i="3"/>
  <c r="I158" i="3"/>
  <c r="I157" i="3"/>
  <c r="I156" i="3"/>
  <c r="I155" i="3"/>
  <c r="I154" i="3"/>
  <c r="I152" i="3"/>
  <c r="C152" i="3"/>
  <c r="C153" i="3" s="1"/>
  <c r="C154" i="3" s="1"/>
  <c r="C155" i="3" s="1"/>
  <c r="C156" i="3" s="1"/>
  <c r="C157" i="3" s="1"/>
  <c r="C158" i="3" s="1"/>
  <c r="J151" i="3"/>
  <c r="I151" i="3"/>
  <c r="H132" i="3" l="1"/>
  <c r="F132" i="3"/>
  <c r="C143" i="3" l="1"/>
  <c r="C144" i="3" s="1"/>
  <c r="C145" i="3" s="1"/>
  <c r="C146" i="3" s="1"/>
  <c r="C147" i="3" s="1"/>
  <c r="C148" i="3" s="1"/>
  <c r="C149" i="3" s="1"/>
  <c r="H134" i="3" l="1"/>
  <c r="F134" i="3"/>
  <c r="E188" i="3" l="1"/>
  <c r="E187" i="3"/>
  <c r="H129" i="3"/>
  <c r="I143" i="3" l="1"/>
  <c r="I144" i="3"/>
  <c r="I145" i="3"/>
  <c r="I146" i="3"/>
  <c r="I147" i="3"/>
  <c r="I148" i="3"/>
  <c r="I149" i="3"/>
  <c r="I142" i="3"/>
  <c r="I132" i="3" l="1"/>
  <c r="I134" i="3" s="1"/>
  <c r="E189" i="3"/>
</calcChain>
</file>

<file path=xl/sharedStrings.xml><?xml version="1.0" encoding="utf-8"?>
<sst xmlns="http://schemas.openxmlformats.org/spreadsheetml/2006/main" count="521" uniqueCount="257">
  <si>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</si>
  <si>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</si>
  <si>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</si>
  <si>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</si>
  <si>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</si>
  <si>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</si>
  <si>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</si>
  <si>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</si>
  <si>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</si>
  <si>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</si>
  <si>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</si>
  <si>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</si>
  <si>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</si>
  <si>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</si>
  <si>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</si>
  <si>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</si>
  <si>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</si>
  <si>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</si>
  <si>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</si>
  <si>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</si>
  <si>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</si>
  <si>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</si>
  <si>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</si>
  <si>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</si>
  <si>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</si>
  <si>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</si>
  <si>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</si>
  <si>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</si>
  <si>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</si>
  <si>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</si>
  <si>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</si>
  <si>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</si>
  <si>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</si>
  <si>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</si>
  <si>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</si>
  <si>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</si>
  <si>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</si>
  <si>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</si>
  <si>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</si>
  <si>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</si>
  <si>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</si>
  <si>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</si>
  <si>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</si>
  <si>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</si>
  <si>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</si>
  <si>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</si>
  <si>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</si>
  <si>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</si>
  <si>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</si>
  <si>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</si>
  <si>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</si>
  <si>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</si>
  <si>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</si>
  <si>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</si>
  <si>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</si>
  <si>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</si>
  <si>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</si>
  <si>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</si>
  <si>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</si>
  <si>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</si>
  <si>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</si>
  <si>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</si>
  <si>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</si>
  <si>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</si>
  <si>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</si>
  <si>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</si>
  <si>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</si>
  <si>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</si>
  <si>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</si>
  <si>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</si>
  <si>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</si>
  <si>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</si>
  <si>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</si>
  <si>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</si>
  <si>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</si>
  <si>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</si>
  <si>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</si>
  <si>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</si>
  <si>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</si>
  <si>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</si>
  <si>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</si>
  <si>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</si>
  <si>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</si>
  <si>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</si>
  <si>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</si>
  <si>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</si>
  <si>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</si>
  <si>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</si>
  <si>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</si>
  <si>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</si>
  <si>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</si>
  <si>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</si>
  <si>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</si>
  <si>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</si>
  <si>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</si>
  <si>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</si>
  <si>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</si>
  <si>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</si>
  <si>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</si>
  <si>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</si>
  <si>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</si>
  <si>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</si>
  <si>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</si>
  <si>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</si>
  <si>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</si>
  <si>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</si>
  <si>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</si>
  <si>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</si>
  <si>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</si>
  <si>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</si>
  <si>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</si>
  <si>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</si>
  <si>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</si>
  <si>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</si>
  <si>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</si>
  <si>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</si>
  <si>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</si>
  <si>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</si>
  <si>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</si>
  <si>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</si>
  <si>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</si>
  <si>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</si>
  <si>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</si>
  <si>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</si>
  <si>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</si>
  <si>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</si>
  <si>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</si>
  <si>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</si>
  <si>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</si>
  <si>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</si>
  <si>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</si>
  <si>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</si>
  <si>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</si>
  <si>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</si>
  <si>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</si>
  <si>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</si>
  <si>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</si>
  <si>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</si>
  <si>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</si>
  <si>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</si>
  <si>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</si>
  <si>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</si>
  <si>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</si>
  <si>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</si>
  <si>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</si>
  <si>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</si>
  <si>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</si>
  <si>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</si>
  <si>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</si>
  <si>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</si>
  <si>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</si>
  <si>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</si>
  <si>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</si>
  <si>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</si>
  <si>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</si>
  <si>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</si>
  <si>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</si>
  <si>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</si>
  <si>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</si>
  <si>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</si>
  <si>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</si>
  <si>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</si>
  <si>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</si>
  <si>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</si>
  <si>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</si>
  <si>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</si>
  <si>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</si>
  <si>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</si>
  <si>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</si>
  <si>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</si>
  <si>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</si>
  <si>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</si>
  <si>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</si>
  <si>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</si>
  <si>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</si>
  <si>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</si>
  <si>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</si>
  <si>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</si>
  <si>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</si>
  <si>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</si>
  <si>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</si>
  <si>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</si>
  <si>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</si>
  <si>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</si>
  <si>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</si>
  <si>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</si>
  <si>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</si>
  <si>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</si>
  <si>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</si>
  <si>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</si>
  <si>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</si>
  <si>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</si>
  <si>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</si>
  <si>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</si>
  <si>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Mr.Santosh Shetty - 9820995007.</t>
  </si>
  <si>
    <t>Runwal Group</t>
  </si>
  <si>
    <t>Kapstone Constructions Private Limited</t>
  </si>
  <si>
    <t>Rustomjee Urbania, Eastern Express Hwy, Majiwada, Junction, Thane West, Mumbai, Maharashtra 400601</t>
  </si>
  <si>
    <t>Runwal &amp; Omkar Esquare, 5th Floor,  Eastern Express Highway, Sion (East),
Mumbai – 400022</t>
  </si>
  <si>
    <t>Middle</t>
  </si>
  <si>
    <t>Thane Municipal Corporation (TMC)</t>
  </si>
  <si>
    <t>Residential</t>
  </si>
  <si>
    <t>Rustomjee Urbania, Prop.Bldg. No Property Bearing S.No. 12, 13, 14pt, 15, 16pt, 17pt, 18pt, 19pt, 20, 21pt, 30pt, 35 to 38, 41, 42, 43, 44, 45pt, 46pt, 48, 50, 51, 53pt 54, 55, 84pt, 327, 328, 329, 345, 383, 386pt, 423, 424 &amp; Others At Village Majiwada, Thane (West).</t>
  </si>
  <si>
    <t>Wing A &amp; B</t>
  </si>
  <si>
    <t>About 3.2K form Sapphire Hospital.</t>
  </si>
  <si>
    <t xml:space="preserve">Standard Chartered Bank Ltd
IFSC Code - SCBL0036085
</t>
  </si>
  <si>
    <t>Approved Layout &amp; Floor Plans, CC</t>
  </si>
  <si>
    <t>Lodha Quality Homes</t>
  </si>
  <si>
    <t>Open Plot</t>
  </si>
  <si>
    <t>Road</t>
  </si>
  <si>
    <t xml:space="preserve">Lodha Codename Crown Jewel
</t>
  </si>
  <si>
    <t>Rustomjee Urbania, Road - Saket - Kalwa  Road, Near - Lodha Codename Crown Jewel, Village - Majiwada, Thane West, Mumbai, Maharashtra 400601</t>
  </si>
  <si>
    <t>4.8KM from Thane Railway Station
3.7KM from Kalwa Railway Station</t>
  </si>
  <si>
    <t>2.9 KM from Thane Central Bus Stand(CBS).</t>
  </si>
  <si>
    <t>About 1.4 KM from Lodha World School</t>
  </si>
  <si>
    <t>1. Approx. 3.4 KM from DMart Kolshet.
2. Approx. 1.5KM fromKuldeep super Market.</t>
  </si>
  <si>
    <t>1st to 3rd Basement Floor For Parking</t>
  </si>
  <si>
    <t>Ground Floor For Parking</t>
  </si>
  <si>
    <t>1st to 6th, 8th to 11th, 13th to 16th, 18th to 21st, 23rd to 25th, 27th to 30th, 32nd to 35th, 37th to 40th &amp; 42nd to 45th Floor</t>
  </si>
  <si>
    <t>2BHK</t>
  </si>
  <si>
    <t>1BHK</t>
  </si>
  <si>
    <t>3BHK</t>
  </si>
  <si>
    <t>7th, 12th, 17th, 22nd, 26th, 31st, 36th &amp; 41th Floor (Part Refuge Area)</t>
  </si>
  <si>
    <t>Refuge Area</t>
  </si>
  <si>
    <t>A Wing</t>
  </si>
  <si>
    <t>Service Floor (Above 22nd Floor)</t>
  </si>
  <si>
    <t>Recreational Floor</t>
  </si>
  <si>
    <t>B Wing</t>
  </si>
  <si>
    <t>Flats</t>
  </si>
  <si>
    <t>Flats = 704</t>
  </si>
  <si>
    <t>Shop = NA</t>
  </si>
  <si>
    <t>6,00,000/-</t>
  </si>
  <si>
    <t>Mr.Ajay Songare</t>
  </si>
  <si>
    <t xml:space="preserve">Rustomjee La Familia  
A Wing - P51700032262 
B Wing - P51700032205
</t>
  </si>
  <si>
    <t>As per Rera Flats = 782</t>
  </si>
  <si>
    <t>On Carpet area</t>
  </si>
  <si>
    <t xml:space="preserve">                                                                                                                                                                                                                                                                                                                                                                                                                                                                                                                                                                                                                                                                                                                                                                                                                                                                                                                                                                                                                                                                                                                                                                                                                                                                                                                                                                                                                           </t>
  </si>
  <si>
    <t>17000/-</t>
  </si>
  <si>
    <t>Rustomjee La Familia A &amp; B Wing 
(Rustomjee Urbania)</t>
  </si>
  <si>
    <t>External Plaster</t>
  </si>
  <si>
    <t>External Plumbing, Elevation and Waterproofing</t>
  </si>
  <si>
    <t>Wooden Work</t>
  </si>
  <si>
    <t>Electrical &amp; Sanitary fittings</t>
  </si>
  <si>
    <t>Wing A = 3B + G/St + 1st to 22nd Floor + Service Floor + 23rd to 50th Floor + Recreational Floor.</t>
  </si>
  <si>
    <t>Wing B = 3B + G/St + 1st to 22nd Floor + Service Floor + 23rd to 50th Floor + Recreational Floor.</t>
  </si>
  <si>
    <t xml:space="preserve">Date: </t>
  </si>
  <si>
    <t>S05/0022/10/TMC/TD-DP/TPS/3784/21</t>
  </si>
  <si>
    <t>S05/0022/10/TMC/TDD3784/21
Valid Up to: Bldg. no. Wing A &amp; B = 3B + G/St + 1st to 22nd Floor + Service Floor + 23rd to 45th Floor + Recreational Floor.</t>
  </si>
  <si>
    <t>Mr. Suraj Khare</t>
  </si>
  <si>
    <t>3B + G/St + 1st to 22nd Floor + Service Floor + 23rd to 45th Floor + Recreational Floor</t>
  </si>
  <si>
    <t>https://www.youtube.com/watch?v=2yEJGhaD0Eo</t>
  </si>
  <si>
    <t>Wing B  = 3B + G/St + 1st to 22nd Floor + Service Floor + 23rd to 47th Floor.</t>
  </si>
  <si>
    <t>A Wing = 3B + G/St + 1st to 22nd Floor + Service Floor + 23rd to 47th Floor</t>
  </si>
  <si>
    <t>3B + G/St + 1st to 22nd Floor + Service Floor + 23rd to 47th Floor.</t>
  </si>
  <si>
    <t>Proposed structure changed on 01/07/2025</t>
  </si>
  <si>
    <t>1. Construction work is in process at the time of Visit. Internal Visit was not allowed. 
2. We considered  Saleable area as per our calculation.
3. We considered Carpet area as per Approved Plan.
4. We considered Gross carpet area = Net carpet + Balcony + Utility Area + C.B Area.
5. We have considered rate by verifying it from market inquire.
6. Car parking is subjected to authentic documentation.
7. Please check for Fire Noc &amp; EC.
8. Please provide revised approved plans &amp; CC.</t>
  </si>
  <si>
    <t>15/09/2025 @ 
02:00PM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</si>
</sst>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sz val="16"/>
      <color rgb="FFFF0000"/>
      <name val="Times New Roman"/>
      <family val="1"/>
    </font>
    <font>
      <u/>
      <sz val="11"/>
      <color theme="10"/>
      <name val="Calibri"/>
      <family val="2"/>
    </font>
    <font>
      <u/>
      <sz val="16"/>
      <color theme="10"/>
      <name val="Calibri"/>
      <family val="2"/>
    </font>
    <font>
      <b/>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6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6"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14" fontId="3" fillId="0" borderId="0" xfId="0" applyNumberFormat="1" applyFont="1" applyAlignment="1">
      <alignment vertical="top"/>
    </xf>
    <xf numFmtId="14" fontId="10" fillId="4" borderId="1" xfId="0" applyNumberFormat="1" applyFont="1" applyFill="1" applyBorder="1" applyAlignment="1">
      <alignment horizontal="left" vertical="top" wrapText="1"/>
    </xf>
    <xf numFmtId="14" fontId="3" fillId="4" borderId="1" xfId="0" applyNumberFormat="1" applyFont="1" applyFill="1" applyBorder="1" applyAlignment="1">
      <alignment horizontal="left" vertical="top" wrapText="1"/>
    </xf>
    <xf numFmtId="0" fontId="12" fillId="0" borderId="0" xfId="2" applyFont="1" applyAlignment="1">
      <alignment vertical="top"/>
    </xf>
    <xf numFmtId="0" fontId="13" fillId="0" borderId="0" xfId="0" applyFont="1" applyAlignment="1">
      <alignment vertical="top"/>
    </xf>
    <xf numFmtId="14"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4" fontId="4" fillId="4" borderId="7" xfId="0" applyNumberFormat="1" applyFont="1" applyFill="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 fontId="5" fillId="0" borderId="1" xfId="1" applyNumberFormat="1" applyFont="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16</xdr:col>
      <xdr:colOff>563332</xdr:colOff>
      <xdr:row>119</xdr:row>
      <xdr:rowOff>0</xdr:rowOff>
    </xdr:from>
    <xdr:to>
      <xdr:col>26</xdr:col>
      <xdr:colOff>473521</xdr:colOff>
      <xdr:row>133</xdr:row>
      <xdr:rowOff>193179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58653" y="35609893"/>
          <a:ext cx="4482188" cy="2520000"/>
        </a:xfrm>
        <a:prstGeom prst="rect">
          <a:avLst/>
        </a:prstGeom>
      </xdr:spPr>
    </xdr:pic>
    <xdr:clientData/>
  </xdr:twoCellAnchor>
  <xdr:twoCellAnchor editAs="oneCell">
    <xdr:from>
      <xdr:col>10</xdr:col>
      <xdr:colOff>0</xdr:colOff>
      <xdr:row>119</xdr:row>
      <xdr:rowOff>0</xdr:rowOff>
    </xdr:from>
    <xdr:to>
      <xdr:col>16</xdr:col>
      <xdr:colOff>115096</xdr:colOff>
      <xdr:row>133</xdr:row>
      <xdr:rowOff>193179</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076464" y="35609893"/>
          <a:ext cx="4482189" cy="2520000"/>
        </a:xfrm>
        <a:prstGeom prst="rect">
          <a:avLst/>
        </a:prstGeom>
      </xdr:spPr>
    </xdr:pic>
    <xdr:clientData/>
  </xdr:twoCellAnchor>
  <xdr:twoCellAnchor>
    <xdr:from>
      <xdr:col>9</xdr:col>
      <xdr:colOff>268940</xdr:colOff>
      <xdr:row>189</xdr:row>
      <xdr:rowOff>246527</xdr:rowOff>
    </xdr:from>
    <xdr:to>
      <xdr:col>25</xdr:col>
      <xdr:colOff>246019</xdr:colOff>
      <xdr:row>228</xdr:row>
      <xdr:rowOff>49917</xdr:rowOff>
    </xdr:to>
    <xdr:grpSp>
      <xdr:nvGrpSpPr>
        <xdr:cNvPr id="54" name="Group 53">
          <a:extLst>
            <a:ext uri="{FF2B5EF4-FFF2-40B4-BE49-F238E27FC236}">
              <a16:creationId xmlns:a16="http://schemas.microsoft.com/office/drawing/2014/main" id="{D2EF6463-F4A3-4E27-8A62-9D5DB0D7F07A}"/>
            </a:ext>
          </a:extLst>
        </xdr:cNvPr>
        <xdr:cNvGrpSpPr/>
      </xdr:nvGrpSpPr>
      <xdr:grpSpPr>
        <a:xfrm>
          <a:off x="10945905" y="57593751"/>
          <a:ext cx="9748608" cy="10292095"/>
          <a:chOff x="-245622" y="521783"/>
          <a:chExt cx="7349244" cy="6940709"/>
        </a:xfrm>
      </xdr:grpSpPr>
      <xdr:grpSp>
        <xdr:nvGrpSpPr>
          <xdr:cNvPr id="55" name="Group 54">
            <a:extLst>
              <a:ext uri="{FF2B5EF4-FFF2-40B4-BE49-F238E27FC236}">
                <a16:creationId xmlns:a16="http://schemas.microsoft.com/office/drawing/2014/main" id="{895922B8-7DFA-461D-BB7E-236136C43527}"/>
              </a:ext>
            </a:extLst>
          </xdr:cNvPr>
          <xdr:cNvGrpSpPr/>
        </xdr:nvGrpSpPr>
        <xdr:grpSpPr>
          <a:xfrm>
            <a:off x="-245622" y="521783"/>
            <a:ext cx="7349244" cy="6940709"/>
            <a:chOff x="70092" y="398691"/>
            <a:chExt cx="7349244" cy="6940709"/>
          </a:xfrm>
        </xdr:grpSpPr>
        <xdr:pic>
          <xdr:nvPicPr>
            <xdr:cNvPr id="62" name="Picture 61">
              <a:extLst>
                <a:ext uri="{FF2B5EF4-FFF2-40B4-BE49-F238E27FC236}">
                  <a16:creationId xmlns:a16="http://schemas.microsoft.com/office/drawing/2014/main" id="{3938CDB7-B666-46A7-AB5B-B77A6475E94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0092" y="398692"/>
              <a:ext cx="3600000" cy="4805005"/>
            </a:xfrm>
            <a:prstGeom prst="rect">
              <a:avLst/>
            </a:prstGeom>
            <a:ln>
              <a:solidFill>
                <a:schemeClr val="tx1"/>
              </a:solidFill>
            </a:ln>
          </xdr:spPr>
        </xdr:pic>
        <xdr:pic>
          <xdr:nvPicPr>
            <xdr:cNvPr id="63" name="Picture 62">
              <a:extLst>
                <a:ext uri="{FF2B5EF4-FFF2-40B4-BE49-F238E27FC236}">
                  <a16:creationId xmlns:a16="http://schemas.microsoft.com/office/drawing/2014/main" id="{20BAD48C-9A25-457B-953C-836D0BB05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43801" y="5359400"/>
              <a:ext cx="1483453" cy="1980000"/>
            </a:xfrm>
            <a:prstGeom prst="rect">
              <a:avLst/>
            </a:prstGeom>
            <a:ln>
              <a:solidFill>
                <a:schemeClr val="tx1"/>
              </a:solidFill>
            </a:ln>
          </xdr:spPr>
        </xdr:pic>
        <xdr:pic>
          <xdr:nvPicPr>
            <xdr:cNvPr id="64" name="Picture 63">
              <a:extLst>
                <a:ext uri="{FF2B5EF4-FFF2-40B4-BE49-F238E27FC236}">
                  <a16:creationId xmlns:a16="http://schemas.microsoft.com/office/drawing/2014/main" id="{F87B377E-1BFE-4A8C-A61C-3FD61F2E8D0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51314" y="5359400"/>
              <a:ext cx="2637556" cy="1980000"/>
            </a:xfrm>
            <a:prstGeom prst="rect">
              <a:avLst/>
            </a:prstGeom>
            <a:ln>
              <a:solidFill>
                <a:schemeClr val="tx1"/>
              </a:solidFill>
            </a:ln>
          </xdr:spPr>
        </xdr:pic>
        <xdr:pic>
          <xdr:nvPicPr>
            <xdr:cNvPr id="65" name="Picture 64">
              <a:extLst>
                <a:ext uri="{FF2B5EF4-FFF2-40B4-BE49-F238E27FC236}">
                  <a16:creationId xmlns:a16="http://schemas.microsoft.com/office/drawing/2014/main" id="{A323CE14-FBDB-429D-A3BA-0DE4F9B13232}"/>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12930" y="5359400"/>
              <a:ext cx="1483453" cy="1980000"/>
            </a:xfrm>
            <a:prstGeom prst="rect">
              <a:avLst/>
            </a:prstGeom>
            <a:ln>
              <a:solidFill>
                <a:schemeClr val="tx1"/>
              </a:solidFill>
            </a:ln>
          </xdr:spPr>
        </xdr:pic>
        <xdr:pic>
          <xdr:nvPicPr>
            <xdr:cNvPr id="66" name="Picture 65">
              <a:extLst>
                <a:ext uri="{FF2B5EF4-FFF2-40B4-BE49-F238E27FC236}">
                  <a16:creationId xmlns:a16="http://schemas.microsoft.com/office/drawing/2014/main" id="{129F22D2-540B-415E-BB26-A4BD3126951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819336" y="398691"/>
              <a:ext cx="3600000" cy="4805005"/>
            </a:xfrm>
            <a:prstGeom prst="rect">
              <a:avLst/>
            </a:prstGeom>
            <a:ln>
              <a:solidFill>
                <a:schemeClr val="tx1"/>
              </a:solidFill>
            </a:ln>
          </xdr:spPr>
        </xdr:pic>
      </xdr:grpSp>
      <xdr:sp macro="" textlink="">
        <xdr:nvSpPr>
          <xdr:cNvPr id="59" name="TextBox 42">
            <a:extLst>
              <a:ext uri="{FF2B5EF4-FFF2-40B4-BE49-F238E27FC236}">
                <a16:creationId xmlns:a16="http://schemas.microsoft.com/office/drawing/2014/main" id="{273D3136-8074-40DB-AF6B-FE512D296BD1}"/>
              </a:ext>
            </a:extLst>
          </xdr:cNvPr>
          <xdr:cNvSpPr txBox="1"/>
        </xdr:nvSpPr>
        <xdr:spPr>
          <a:xfrm>
            <a:off x="5395978" y="982579"/>
            <a:ext cx="37542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C</a:t>
            </a:r>
            <a:endParaRPr lang="en-IN" sz="2800" b="1"/>
          </a:p>
        </xdr:txBody>
      </xdr:sp>
      <xdr:sp macro="" textlink="">
        <xdr:nvSpPr>
          <xdr:cNvPr id="60" name="TextBox 44">
            <a:extLst>
              <a:ext uri="{FF2B5EF4-FFF2-40B4-BE49-F238E27FC236}">
                <a16:creationId xmlns:a16="http://schemas.microsoft.com/office/drawing/2014/main" id="{25AE7F9A-7617-4DF2-B713-BAA27EBC078B}"/>
              </a:ext>
            </a:extLst>
          </xdr:cNvPr>
          <xdr:cNvSpPr txBox="1"/>
        </xdr:nvSpPr>
        <xdr:spPr>
          <a:xfrm>
            <a:off x="4857730" y="1244189"/>
            <a:ext cx="38664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B</a:t>
            </a:r>
            <a:endParaRPr lang="en-IN" sz="2800" b="1"/>
          </a:p>
        </xdr:txBody>
      </xdr:sp>
      <xdr:sp macro="" textlink="">
        <xdr:nvSpPr>
          <xdr:cNvPr id="61" name="TextBox 46">
            <a:extLst>
              <a:ext uri="{FF2B5EF4-FFF2-40B4-BE49-F238E27FC236}">
                <a16:creationId xmlns:a16="http://schemas.microsoft.com/office/drawing/2014/main" id="{F213D368-3BAD-4963-8925-5B44DE42B65D}"/>
              </a:ext>
            </a:extLst>
          </xdr:cNvPr>
          <xdr:cNvSpPr txBox="1"/>
        </xdr:nvSpPr>
        <xdr:spPr>
          <a:xfrm>
            <a:off x="4287466" y="1419898"/>
            <a:ext cx="402674"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A</a:t>
            </a:r>
            <a:endParaRPr lang="en-IN" sz="2800" b="1"/>
          </a:p>
        </xdr:txBody>
      </xdr:sp>
    </xdr:grpSp>
    <xdr:clientData/>
  </xdr:twoCellAnchor>
  <xdr:twoCellAnchor>
    <xdr:from>
      <xdr:col>9</xdr:col>
      <xdr:colOff>414616</xdr:colOff>
      <xdr:row>191</xdr:row>
      <xdr:rowOff>227068</xdr:rowOff>
    </xdr:from>
    <xdr:to>
      <xdr:col>9</xdr:col>
      <xdr:colOff>1373651</xdr:colOff>
      <xdr:row>193</xdr:row>
      <xdr:rowOff>143329</xdr:rowOff>
    </xdr:to>
    <xdr:sp macro="" textlink="">
      <xdr:nvSpPr>
        <xdr:cNvPr id="68" name="TextBox 118">
          <a:extLst>
            <a:ext uri="{FF2B5EF4-FFF2-40B4-BE49-F238E27FC236}">
              <a16:creationId xmlns:a16="http://schemas.microsoft.com/office/drawing/2014/main" id="{D8A18ECA-05C5-4C71-97C2-1BADE6CEC1DD}"/>
            </a:ext>
          </a:extLst>
        </xdr:cNvPr>
        <xdr:cNvSpPr txBox="1"/>
      </xdr:nvSpPr>
      <xdr:spPr>
        <a:xfrm>
          <a:off x="10824881" y="56984862"/>
          <a:ext cx="959035" cy="4317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clientData/>
  </xdr:twoCellAnchor>
  <xdr:twoCellAnchor>
    <xdr:from>
      <xdr:col>9</xdr:col>
      <xdr:colOff>1518760</xdr:colOff>
      <xdr:row>190</xdr:row>
      <xdr:rowOff>190496</xdr:rowOff>
    </xdr:from>
    <xdr:to>
      <xdr:col>10</xdr:col>
      <xdr:colOff>719143</xdr:colOff>
      <xdr:row>192</xdr:row>
      <xdr:rowOff>106759</xdr:rowOff>
    </xdr:to>
    <xdr:sp macro="" textlink="">
      <xdr:nvSpPr>
        <xdr:cNvPr id="69" name="TextBox 119">
          <a:extLst>
            <a:ext uri="{FF2B5EF4-FFF2-40B4-BE49-F238E27FC236}">
              <a16:creationId xmlns:a16="http://schemas.microsoft.com/office/drawing/2014/main" id="{D565DCB3-08A0-4D0A-BB90-5B65DCD335F5}"/>
            </a:ext>
          </a:extLst>
        </xdr:cNvPr>
        <xdr:cNvSpPr txBox="1"/>
      </xdr:nvSpPr>
      <xdr:spPr>
        <a:xfrm>
          <a:off x="11929025" y="56690555"/>
          <a:ext cx="948500" cy="43173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clientData/>
  </xdr:twoCellAnchor>
  <xdr:twoCellAnchor>
    <xdr:from>
      <xdr:col>13</xdr:col>
      <xdr:colOff>17786</xdr:colOff>
      <xdr:row>190</xdr:row>
      <xdr:rowOff>13561</xdr:rowOff>
    </xdr:from>
    <xdr:to>
      <xdr:col>14</xdr:col>
      <xdr:colOff>189097</xdr:colOff>
      <xdr:row>191</xdr:row>
      <xdr:rowOff>115603</xdr:rowOff>
    </xdr:to>
    <xdr:sp macro="" textlink="">
      <xdr:nvSpPr>
        <xdr:cNvPr id="70" name="TextBox 120">
          <a:extLst>
            <a:ext uri="{FF2B5EF4-FFF2-40B4-BE49-F238E27FC236}">
              <a16:creationId xmlns:a16="http://schemas.microsoft.com/office/drawing/2014/main" id="{A181F9DE-E677-48B5-AD69-51422C8C64A3}"/>
            </a:ext>
          </a:extLst>
        </xdr:cNvPr>
        <xdr:cNvSpPr txBox="1"/>
      </xdr:nvSpPr>
      <xdr:spPr>
        <a:xfrm>
          <a:off x="14439757" y="56513620"/>
          <a:ext cx="776428" cy="35977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C</a:t>
          </a:r>
          <a:endParaRPr lang="en-IN" sz="1400" b="1">
            <a:solidFill>
              <a:srgbClr val="FF0000"/>
            </a:solidFill>
          </a:endParaRPr>
        </a:p>
      </xdr:txBody>
    </xdr:sp>
    <xdr:clientData/>
  </xdr:twoCellAnchor>
  <xdr:twoCellAnchor>
    <xdr:from>
      <xdr:col>9</xdr:col>
      <xdr:colOff>894134</xdr:colOff>
      <xdr:row>193</xdr:row>
      <xdr:rowOff>143329</xdr:rowOff>
    </xdr:from>
    <xdr:to>
      <xdr:col>9</xdr:col>
      <xdr:colOff>1089445</xdr:colOff>
      <xdr:row>194</xdr:row>
      <xdr:rowOff>49500</xdr:rowOff>
    </xdr:to>
    <xdr:cxnSp macro="">
      <xdr:nvCxnSpPr>
        <xdr:cNvPr id="71" name="Straight Arrow Connector 70">
          <a:extLst>
            <a:ext uri="{FF2B5EF4-FFF2-40B4-BE49-F238E27FC236}">
              <a16:creationId xmlns:a16="http://schemas.microsoft.com/office/drawing/2014/main" id="{30068A74-E97C-48FE-AE53-4E571BB59659}"/>
            </a:ext>
          </a:extLst>
        </xdr:cNvPr>
        <xdr:cNvCxnSpPr>
          <a:cxnSpLocks/>
          <a:stCxn id="68" idx="2"/>
        </xdr:cNvCxnSpPr>
      </xdr:nvCxnSpPr>
      <xdr:spPr>
        <a:xfrm>
          <a:off x="11304399" y="57416594"/>
          <a:ext cx="195311" cy="16390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244892</xdr:colOff>
      <xdr:row>192</xdr:row>
      <xdr:rowOff>70251</xdr:rowOff>
    </xdr:from>
    <xdr:to>
      <xdr:col>10</xdr:col>
      <xdr:colOff>425151</xdr:colOff>
      <xdr:row>193</xdr:row>
      <xdr:rowOff>228793</xdr:rowOff>
    </xdr:to>
    <xdr:cxnSp macro="">
      <xdr:nvCxnSpPr>
        <xdr:cNvPr id="72" name="Straight Arrow Connector 71">
          <a:extLst>
            <a:ext uri="{FF2B5EF4-FFF2-40B4-BE49-F238E27FC236}">
              <a16:creationId xmlns:a16="http://schemas.microsoft.com/office/drawing/2014/main" id="{DC013C42-123C-4A5E-94B5-E42CB9138BB0}"/>
            </a:ext>
          </a:extLst>
        </xdr:cNvPr>
        <xdr:cNvCxnSpPr>
          <a:cxnSpLocks/>
        </xdr:cNvCxnSpPr>
      </xdr:nvCxnSpPr>
      <xdr:spPr>
        <a:xfrm>
          <a:off x="12403274" y="57085780"/>
          <a:ext cx="180259" cy="41627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123264</xdr:colOff>
      <xdr:row>191</xdr:row>
      <xdr:rowOff>100852</xdr:rowOff>
    </xdr:from>
    <xdr:to>
      <xdr:col>13</xdr:col>
      <xdr:colOff>257736</xdr:colOff>
      <xdr:row>191</xdr:row>
      <xdr:rowOff>212911</xdr:rowOff>
    </xdr:to>
    <xdr:cxnSp macro="">
      <xdr:nvCxnSpPr>
        <xdr:cNvPr id="73" name="Straight Arrow Connector 72">
          <a:extLst>
            <a:ext uri="{FF2B5EF4-FFF2-40B4-BE49-F238E27FC236}">
              <a16:creationId xmlns:a16="http://schemas.microsoft.com/office/drawing/2014/main" id="{7A595992-0DB3-46C1-A846-E4D9C002BBB8}"/>
            </a:ext>
          </a:extLst>
        </xdr:cNvPr>
        <xdr:cNvCxnSpPr>
          <a:cxnSpLocks/>
        </xdr:cNvCxnSpPr>
      </xdr:nvCxnSpPr>
      <xdr:spPr>
        <a:xfrm flipH="1">
          <a:off x="14545235" y="56858646"/>
          <a:ext cx="134472" cy="11205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369795</xdr:colOff>
      <xdr:row>236</xdr:row>
      <xdr:rowOff>170329</xdr:rowOff>
    </xdr:from>
    <xdr:to>
      <xdr:col>7</xdr:col>
      <xdr:colOff>1066800</xdr:colOff>
      <xdr:row>262</xdr:row>
      <xdr:rowOff>233544</xdr:rowOff>
    </xdr:to>
    <xdr:grpSp>
      <xdr:nvGrpSpPr>
        <xdr:cNvPr id="37" name="Group 36">
          <a:extLst>
            <a:ext uri="{FF2B5EF4-FFF2-40B4-BE49-F238E27FC236}">
              <a16:creationId xmlns:a16="http://schemas.microsoft.com/office/drawing/2014/main" id="{B832092C-B044-9A8E-076C-236EEB166750}"/>
            </a:ext>
          </a:extLst>
        </xdr:cNvPr>
        <xdr:cNvGrpSpPr/>
      </xdr:nvGrpSpPr>
      <xdr:grpSpPr>
        <a:xfrm>
          <a:off x="2593042" y="70157788"/>
          <a:ext cx="5797923" cy="7055685"/>
          <a:chOff x="2028264" y="69866435"/>
          <a:chExt cx="7005919" cy="8817251"/>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2910803" y="74345780"/>
            <a:ext cx="5466715" cy="4337906"/>
          </a:xfrm>
          <a:prstGeom prst="rect">
            <a:avLst/>
          </a:prstGeom>
          <a:ln>
            <a:solidFill>
              <a:schemeClr val="tx1"/>
            </a:solidFill>
          </a:ln>
        </xdr:spPr>
      </xdr:pic>
      <xdr:grpSp>
        <xdr:nvGrpSpPr>
          <xdr:cNvPr id="74" name="Group 73">
            <a:extLst>
              <a:ext uri="{FF2B5EF4-FFF2-40B4-BE49-F238E27FC236}">
                <a16:creationId xmlns:a16="http://schemas.microsoft.com/office/drawing/2014/main" id="{4D9C23B9-8A8C-498C-9FBE-A7EF39D80C8B}"/>
              </a:ext>
            </a:extLst>
          </xdr:cNvPr>
          <xdr:cNvGrpSpPr/>
        </xdr:nvGrpSpPr>
        <xdr:grpSpPr>
          <a:xfrm>
            <a:off x="2028264" y="69866435"/>
            <a:ext cx="7005919" cy="4266383"/>
            <a:chOff x="896815" y="1064783"/>
            <a:chExt cx="5400000" cy="3507217"/>
          </a:xfrm>
        </xdr:grpSpPr>
        <xdr:pic>
          <xdr:nvPicPr>
            <xdr:cNvPr id="75" name="Picture 74">
              <a:extLst>
                <a:ext uri="{FF2B5EF4-FFF2-40B4-BE49-F238E27FC236}">
                  <a16:creationId xmlns:a16="http://schemas.microsoft.com/office/drawing/2014/main" id="{9FC926E3-B944-402C-83F4-700BCFB678CC}"/>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896815" y="1064783"/>
              <a:ext cx="5400000" cy="3507217"/>
            </a:xfrm>
            <a:prstGeom prst="rect">
              <a:avLst/>
            </a:prstGeom>
            <a:ln>
              <a:solidFill>
                <a:schemeClr val="tx1"/>
              </a:solidFill>
            </a:ln>
          </xdr:spPr>
        </xdr:pic>
        <xdr:sp macro="" textlink="">
          <xdr:nvSpPr>
            <xdr:cNvPr id="76" name="Rectangle 75">
              <a:extLst>
                <a:ext uri="{FF2B5EF4-FFF2-40B4-BE49-F238E27FC236}">
                  <a16:creationId xmlns:a16="http://schemas.microsoft.com/office/drawing/2014/main" id="{DEF00916-0C3D-4B7A-9D40-7D45603F25E6}"/>
                </a:ext>
              </a:extLst>
            </xdr:cNvPr>
            <xdr:cNvSpPr/>
          </xdr:nvSpPr>
          <xdr:spPr>
            <a:xfrm>
              <a:off x="3217985" y="2074985"/>
              <a:ext cx="1230923" cy="1385244"/>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7" name="TextBox 51">
              <a:extLst>
                <a:ext uri="{FF2B5EF4-FFF2-40B4-BE49-F238E27FC236}">
                  <a16:creationId xmlns:a16="http://schemas.microsoft.com/office/drawing/2014/main" id="{AEC89DE6-407D-4595-944E-5DCD92B8D4AA}"/>
                </a:ext>
              </a:extLst>
            </xdr:cNvPr>
            <xdr:cNvSpPr txBox="1"/>
          </xdr:nvSpPr>
          <xdr:spPr>
            <a:xfrm>
              <a:off x="2751964" y="3462116"/>
              <a:ext cx="21629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FF00"/>
                  </a:solidFill>
                </a:rPr>
                <a:t>Rustomjee La Familia</a:t>
              </a:r>
              <a:endParaRPr lang="en-IN">
                <a:solidFill>
                  <a:srgbClr val="FFFF00"/>
                </a:solidFill>
              </a:endParaRPr>
            </a:p>
          </xdr:txBody>
        </xdr:sp>
      </xdr:grpSp>
    </xdr:grpSp>
    <xdr:clientData/>
  </xdr:twoCellAnchor>
  <xdr:twoCellAnchor>
    <xdr:from>
      <xdr:col>9</xdr:col>
      <xdr:colOff>326572</xdr:colOff>
      <xdr:row>38</xdr:row>
      <xdr:rowOff>381000</xdr:rowOff>
    </xdr:from>
    <xdr:to>
      <xdr:col>23</xdr:col>
      <xdr:colOff>110678</xdr:colOff>
      <xdr:row>51</xdr:row>
      <xdr:rowOff>81643</xdr:rowOff>
    </xdr:to>
    <xdr:grpSp>
      <xdr:nvGrpSpPr>
        <xdr:cNvPr id="8" name="Group 7">
          <a:extLst>
            <a:ext uri="{FF2B5EF4-FFF2-40B4-BE49-F238E27FC236}">
              <a16:creationId xmlns:a16="http://schemas.microsoft.com/office/drawing/2014/main" id="{74264B1A-3F2A-4EC4-9859-B535750F168E}"/>
            </a:ext>
          </a:extLst>
        </xdr:cNvPr>
        <xdr:cNvGrpSpPr/>
      </xdr:nvGrpSpPr>
      <xdr:grpSpPr>
        <a:xfrm>
          <a:off x="11003537" y="20300576"/>
          <a:ext cx="8300576" cy="4434008"/>
          <a:chOff x="10899321" y="19784787"/>
          <a:chExt cx="7200000" cy="3480199"/>
        </a:xfrm>
      </xdr:grpSpPr>
      <xdr:pic>
        <xdr:nvPicPr>
          <xdr:cNvPr id="2" name="Picture 1">
            <a:extLst>
              <a:ext uri="{FF2B5EF4-FFF2-40B4-BE49-F238E27FC236}">
                <a16:creationId xmlns:a16="http://schemas.microsoft.com/office/drawing/2014/main" id="{3B4FB764-2AC5-4823-BE79-40417CFB5F03}"/>
              </a:ext>
            </a:extLst>
          </xdr:cNvPr>
          <xdr:cNvPicPr>
            <a:picLocks noChangeAspect="1"/>
          </xdr:cNvPicPr>
        </xdr:nvPicPr>
        <xdr:blipFill>
          <a:blip xmlns:r="http://schemas.openxmlformats.org/officeDocument/2006/relationships" r:embed="rId9"/>
          <a:stretch>
            <a:fillRect/>
          </a:stretch>
        </xdr:blipFill>
        <xdr:spPr>
          <a:xfrm>
            <a:off x="10899321" y="19784787"/>
            <a:ext cx="7200000" cy="3480199"/>
          </a:xfrm>
          <a:prstGeom prst="rect">
            <a:avLst/>
          </a:prstGeom>
          <a:ln>
            <a:solidFill>
              <a:schemeClr val="tx1"/>
            </a:solidFill>
          </a:ln>
        </xdr:spPr>
      </xdr:pic>
      <xdr:cxnSp macro="">
        <xdr:nvCxnSpPr>
          <xdr:cNvPr id="4" name="Straight Connector 3">
            <a:extLst>
              <a:ext uri="{FF2B5EF4-FFF2-40B4-BE49-F238E27FC236}">
                <a16:creationId xmlns:a16="http://schemas.microsoft.com/office/drawing/2014/main" id="{6D3A49B9-8075-46B6-8EFB-E7CB56048058}"/>
              </a:ext>
            </a:extLst>
          </xdr:cNvPr>
          <xdr:cNvCxnSpPr/>
        </xdr:nvCxnSpPr>
        <xdr:spPr>
          <a:xfrm>
            <a:off x="11443607" y="21431250"/>
            <a:ext cx="5755822" cy="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9</xdr:col>
      <xdr:colOff>95250</xdr:colOff>
      <xdr:row>52</xdr:row>
      <xdr:rowOff>95250</xdr:rowOff>
    </xdr:from>
    <xdr:to>
      <xdr:col>16</xdr:col>
      <xdr:colOff>350555</xdr:colOff>
      <xdr:row>61</xdr:row>
      <xdr:rowOff>120187</xdr:rowOff>
    </xdr:to>
    <xdr:pic>
      <xdr:nvPicPr>
        <xdr:cNvPr id="3" name="Picture 2">
          <a:extLst>
            <a:ext uri="{FF2B5EF4-FFF2-40B4-BE49-F238E27FC236}">
              <a16:creationId xmlns:a16="http://schemas.microsoft.com/office/drawing/2014/main" id="{42F1BA55-6AD0-464B-A1C7-B9B7E5CFDAFC}"/>
            </a:ext>
          </a:extLst>
        </xdr:cNvPr>
        <xdr:cNvPicPr>
          <a:picLocks noChangeAspect="1"/>
        </xdr:cNvPicPr>
      </xdr:nvPicPr>
      <xdr:blipFill>
        <a:blip xmlns:r="http://schemas.openxmlformats.org/officeDocument/2006/relationships" r:embed="rId10"/>
        <a:stretch>
          <a:fillRect/>
        </a:stretch>
      </xdr:blipFill>
      <xdr:spPr>
        <a:xfrm>
          <a:off x="10491107" y="24384000"/>
          <a:ext cx="6106377" cy="3181794"/>
        </a:xfrm>
        <a:prstGeom prst="rect">
          <a:avLst/>
        </a:prstGeom>
      </xdr:spPr>
    </xdr:pic>
    <xdr:clientData/>
  </xdr:twoCellAnchor>
  <xdr:twoCellAnchor editAs="oneCell">
    <xdr:from>
      <xdr:col>9</xdr:col>
      <xdr:colOff>81643</xdr:colOff>
      <xdr:row>66</xdr:row>
      <xdr:rowOff>204107</xdr:rowOff>
    </xdr:from>
    <xdr:to>
      <xdr:col>16</xdr:col>
      <xdr:colOff>413159</xdr:colOff>
      <xdr:row>76</xdr:row>
      <xdr:rowOff>389600</xdr:rowOff>
    </xdr:to>
    <xdr:pic>
      <xdr:nvPicPr>
        <xdr:cNvPr id="5" name="Picture 4">
          <a:extLst>
            <a:ext uri="{FF2B5EF4-FFF2-40B4-BE49-F238E27FC236}">
              <a16:creationId xmlns:a16="http://schemas.microsoft.com/office/drawing/2014/main" id="{1B61C55F-50CD-40F4-9115-E9EA3F6B095D}"/>
            </a:ext>
          </a:extLst>
        </xdr:cNvPr>
        <xdr:cNvPicPr>
          <a:picLocks noChangeAspect="1"/>
        </xdr:cNvPicPr>
      </xdr:nvPicPr>
      <xdr:blipFill>
        <a:blip xmlns:r="http://schemas.openxmlformats.org/officeDocument/2006/relationships" r:embed="rId11"/>
        <a:stretch>
          <a:fillRect/>
        </a:stretch>
      </xdr:blipFill>
      <xdr:spPr>
        <a:xfrm>
          <a:off x="10477500" y="29241750"/>
          <a:ext cx="6182588" cy="3124636"/>
        </a:xfrm>
        <a:prstGeom prst="rect">
          <a:avLst/>
        </a:prstGeom>
      </xdr:spPr>
    </xdr:pic>
    <xdr:clientData/>
  </xdr:twoCellAnchor>
  <xdr:twoCellAnchor>
    <xdr:from>
      <xdr:col>0</xdr:col>
      <xdr:colOff>457201</xdr:colOff>
      <xdr:row>189</xdr:row>
      <xdr:rowOff>233082</xdr:rowOff>
    </xdr:from>
    <xdr:to>
      <xdr:col>8</xdr:col>
      <xdr:colOff>1183341</xdr:colOff>
      <xdr:row>227</xdr:row>
      <xdr:rowOff>197224</xdr:rowOff>
    </xdr:to>
    <xdr:grpSp>
      <xdr:nvGrpSpPr>
        <xdr:cNvPr id="6" name="Group 5">
          <a:extLst>
            <a:ext uri="{FF2B5EF4-FFF2-40B4-BE49-F238E27FC236}">
              <a16:creationId xmlns:a16="http://schemas.microsoft.com/office/drawing/2014/main" id="{98339714-A416-6A6A-9A8E-FB260C6C5663}"/>
            </a:ext>
          </a:extLst>
        </xdr:cNvPr>
        <xdr:cNvGrpSpPr/>
      </xdr:nvGrpSpPr>
      <xdr:grpSpPr>
        <a:xfrm>
          <a:off x="457201" y="57580306"/>
          <a:ext cx="9726705" cy="10183906"/>
          <a:chOff x="43874" y="702000"/>
          <a:chExt cx="6535477" cy="7560000"/>
        </a:xfrm>
      </xdr:grpSpPr>
      <xdr:grpSp>
        <xdr:nvGrpSpPr>
          <xdr:cNvPr id="7" name="Group 6">
            <a:extLst>
              <a:ext uri="{FF2B5EF4-FFF2-40B4-BE49-F238E27FC236}">
                <a16:creationId xmlns:a16="http://schemas.microsoft.com/office/drawing/2014/main" id="{80AF54A5-57E0-B189-6B9D-FBC4A31CC7B1}"/>
              </a:ext>
            </a:extLst>
          </xdr:cNvPr>
          <xdr:cNvGrpSpPr/>
        </xdr:nvGrpSpPr>
        <xdr:grpSpPr>
          <a:xfrm>
            <a:off x="1504756" y="6102000"/>
            <a:ext cx="3613713" cy="2160000"/>
            <a:chOff x="2603107" y="6101499"/>
            <a:chExt cx="3613713" cy="2160000"/>
          </a:xfrm>
        </xdr:grpSpPr>
        <xdr:pic>
          <xdr:nvPicPr>
            <xdr:cNvPr id="24" name="Picture 23">
              <a:extLst>
                <a:ext uri="{FF2B5EF4-FFF2-40B4-BE49-F238E27FC236}">
                  <a16:creationId xmlns:a16="http://schemas.microsoft.com/office/drawing/2014/main" id="{15BB55F2-3A00-AD8D-86DF-3896897CE7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03107" y="6101499"/>
              <a:ext cx="1743188" cy="2160000"/>
            </a:xfrm>
            <a:prstGeom prst="rect">
              <a:avLst/>
            </a:prstGeom>
            <a:ln>
              <a:solidFill>
                <a:schemeClr val="tx1"/>
              </a:solidFill>
            </a:ln>
          </xdr:spPr>
        </xdr:pic>
        <xdr:pic>
          <xdr:nvPicPr>
            <xdr:cNvPr id="36" name="Picture 35">
              <a:extLst>
                <a:ext uri="{FF2B5EF4-FFF2-40B4-BE49-F238E27FC236}">
                  <a16:creationId xmlns:a16="http://schemas.microsoft.com/office/drawing/2014/main" id="{629F129F-AD3E-9EBA-24AA-29B95A3DF0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02320" y="6101499"/>
              <a:ext cx="1714500" cy="2160000"/>
            </a:xfrm>
            <a:prstGeom prst="rect">
              <a:avLst/>
            </a:prstGeom>
            <a:ln>
              <a:solidFill>
                <a:schemeClr val="tx1"/>
              </a:solidFill>
            </a:ln>
          </xdr:spPr>
        </xdr:pic>
      </xdr:grpSp>
      <xdr:grpSp>
        <xdr:nvGrpSpPr>
          <xdr:cNvPr id="9" name="Group 8">
            <a:extLst>
              <a:ext uri="{FF2B5EF4-FFF2-40B4-BE49-F238E27FC236}">
                <a16:creationId xmlns:a16="http://schemas.microsoft.com/office/drawing/2014/main" id="{9CC23B12-A8A3-769B-D1C4-5F8BB4879590}"/>
              </a:ext>
            </a:extLst>
          </xdr:cNvPr>
          <xdr:cNvGrpSpPr/>
        </xdr:nvGrpSpPr>
        <xdr:grpSpPr>
          <a:xfrm>
            <a:off x="43874" y="702000"/>
            <a:ext cx="6535477" cy="5220000"/>
            <a:chOff x="43874" y="702000"/>
            <a:chExt cx="6535477" cy="5220000"/>
          </a:xfrm>
        </xdr:grpSpPr>
        <xdr:pic>
          <xdr:nvPicPr>
            <xdr:cNvPr id="10" name="Picture 9">
              <a:extLst>
                <a:ext uri="{FF2B5EF4-FFF2-40B4-BE49-F238E27FC236}">
                  <a16:creationId xmlns:a16="http://schemas.microsoft.com/office/drawing/2014/main" id="{F77B5311-1572-F031-C705-CDD0D819A7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502320" y="702000"/>
              <a:ext cx="2051437"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44C09C65-9948-B3FC-5024-A357CE458CC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2320" y="3402000"/>
              <a:ext cx="2077031"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23B86F7C-A6AD-4798-C13E-335D08EBB55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3874" y="702000"/>
              <a:ext cx="4302421" cy="5220000"/>
            </a:xfrm>
            <a:prstGeom prst="rect">
              <a:avLst/>
            </a:prstGeom>
            <a:ln>
              <a:solidFill>
                <a:schemeClr val="tx1"/>
              </a:solidFill>
            </a:ln>
          </xdr:spPr>
        </xdr:pic>
        <xdr:sp macro="" textlink="">
          <xdr:nvSpPr>
            <xdr:cNvPr id="14" name="TextBox 12">
              <a:extLst>
                <a:ext uri="{FF2B5EF4-FFF2-40B4-BE49-F238E27FC236}">
                  <a16:creationId xmlns:a16="http://schemas.microsoft.com/office/drawing/2014/main" id="{46FF4B07-FC66-2860-C8C5-D4DE5DAE9395}"/>
                </a:ext>
              </a:extLst>
            </xdr:cNvPr>
            <xdr:cNvSpPr txBox="1"/>
          </xdr:nvSpPr>
          <xdr:spPr>
            <a:xfrm>
              <a:off x="5694744" y="3402000"/>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sp macro="" textlink="">
          <xdr:nvSpPr>
            <xdr:cNvPr id="17" name="TextBox 13">
              <a:extLst>
                <a:ext uri="{FF2B5EF4-FFF2-40B4-BE49-F238E27FC236}">
                  <a16:creationId xmlns:a16="http://schemas.microsoft.com/office/drawing/2014/main" id="{BD1F32A9-433E-2D7E-EABD-4B323426863A}"/>
                </a:ext>
              </a:extLst>
            </xdr:cNvPr>
            <xdr:cNvSpPr txBox="1"/>
          </xdr:nvSpPr>
          <xdr:spPr>
            <a:xfrm>
              <a:off x="2861201" y="1141321"/>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sp macro="" textlink="">
          <xdr:nvSpPr>
            <xdr:cNvPr id="18" name="TextBox 14">
              <a:extLst>
                <a:ext uri="{FF2B5EF4-FFF2-40B4-BE49-F238E27FC236}">
                  <a16:creationId xmlns:a16="http://schemas.microsoft.com/office/drawing/2014/main" id="{FC7FFCB9-DFB7-CD44-C01B-999B967128BF}"/>
                </a:ext>
              </a:extLst>
            </xdr:cNvPr>
            <xdr:cNvSpPr txBox="1"/>
          </xdr:nvSpPr>
          <xdr:spPr>
            <a:xfrm>
              <a:off x="1453411" y="1449098"/>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B</a:t>
              </a:r>
              <a:endParaRPr lang="en-IN" sz="1400" b="1"/>
            </a:p>
          </xdr:txBody>
        </xdr:sp>
        <xdr:sp macro="" textlink="">
          <xdr:nvSpPr>
            <xdr:cNvPr id="19" name="TextBox 15">
              <a:extLst>
                <a:ext uri="{FF2B5EF4-FFF2-40B4-BE49-F238E27FC236}">
                  <a16:creationId xmlns:a16="http://schemas.microsoft.com/office/drawing/2014/main" id="{A56DD1AA-B720-1671-C414-B0DEEBD2AEE3}"/>
                </a:ext>
              </a:extLst>
            </xdr:cNvPr>
            <xdr:cNvSpPr txBox="1"/>
          </xdr:nvSpPr>
          <xdr:spPr>
            <a:xfrm>
              <a:off x="468775" y="1654223"/>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sp macro="" textlink="">
          <xdr:nvSpPr>
            <xdr:cNvPr id="20" name="TextBox 16">
              <a:extLst>
                <a:ext uri="{FF2B5EF4-FFF2-40B4-BE49-F238E27FC236}">
                  <a16:creationId xmlns:a16="http://schemas.microsoft.com/office/drawing/2014/main" id="{88E1F9DF-0BB7-238D-1511-D41B8A68F028}"/>
                </a:ext>
              </a:extLst>
            </xdr:cNvPr>
            <xdr:cNvSpPr txBox="1"/>
          </xdr:nvSpPr>
          <xdr:spPr>
            <a:xfrm>
              <a:off x="4502320" y="728111"/>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cxnSp macro="">
          <xdr:nvCxnSpPr>
            <xdr:cNvPr id="21" name="Straight Arrow Connector 20">
              <a:extLst>
                <a:ext uri="{FF2B5EF4-FFF2-40B4-BE49-F238E27FC236}">
                  <a16:creationId xmlns:a16="http://schemas.microsoft.com/office/drawing/2014/main" id="{19BCD1F5-E65C-15D5-A356-40726D918A90}"/>
                </a:ext>
              </a:extLst>
            </xdr:cNvPr>
            <xdr:cNvCxnSpPr/>
          </xdr:nvCxnSpPr>
          <xdr:spPr>
            <a:xfrm flipH="1">
              <a:off x="3084655" y="1449098"/>
              <a:ext cx="156025" cy="6690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C70C472A-DD86-B9E1-01FD-93C4C23BE857}"/>
                </a:ext>
              </a:extLst>
            </xdr:cNvPr>
            <xdr:cNvCxnSpPr>
              <a:cxnSpLocks/>
            </xdr:cNvCxnSpPr>
          </xdr:nvCxnSpPr>
          <xdr:spPr>
            <a:xfrm>
              <a:off x="1814218" y="1756875"/>
              <a:ext cx="164822" cy="65065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Straight Arrow Connector 22">
              <a:extLst>
                <a:ext uri="{FF2B5EF4-FFF2-40B4-BE49-F238E27FC236}">
                  <a16:creationId xmlns:a16="http://schemas.microsoft.com/office/drawing/2014/main" id="{31BF066A-4BA3-A5B0-68EE-77596E6D1000}"/>
                </a:ext>
              </a:extLst>
            </xdr:cNvPr>
            <xdr:cNvCxnSpPr>
              <a:cxnSpLocks/>
            </xdr:cNvCxnSpPr>
          </xdr:nvCxnSpPr>
          <xdr:spPr>
            <a:xfrm>
              <a:off x="830412" y="1962000"/>
              <a:ext cx="211310" cy="65387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2yEJGhaD0Eo"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82"/>
  <sheetViews>
    <sheetView tabSelected="1" view="pageBreakPreview" zoomScale="85" zoomScaleNormal="85" zoomScaleSheetLayoutView="85" zoomScalePageLayoutView="70" workbookViewId="0">
      <selection activeCell="J6" sqref="J6"/>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26.109375" style="1" customWidth="1"/>
    <col min="11" max="11" width="15.6640625" style="1" bestFit="1" customWidth="1"/>
    <col min="12" max="20" width="9.109375" style="1"/>
    <col min="21" max="23" width="0" style="1" hidden="1" customWidth="1"/>
    <col min="24" max="26" width="9.109375" style="1"/>
    <col min="27" max="27" width="7.88671875" style="1" customWidth="1"/>
    <col min="28" max="16384" width="9.109375" style="1"/>
  </cols>
  <sheetData>
    <row r="1" spans="1:14" ht="21" x14ac:dyDescent="0.3">
      <c r="A1" s="91" t="s">
        <v>43</v>
      </c>
      <c r="B1" s="92"/>
      <c r="C1" s="92"/>
      <c r="D1" s="92"/>
      <c r="E1" s="92"/>
      <c r="F1" s="92"/>
      <c r="G1" s="92"/>
      <c r="H1" s="92"/>
      <c r="I1" s="93"/>
    </row>
    <row r="2" spans="1:14" ht="42" customHeight="1" x14ac:dyDescent="0.3">
      <c r="A2" s="130" t="s">
        <v>11</v>
      </c>
      <c r="B2" s="130"/>
      <c r="C2" s="130"/>
      <c r="D2" s="4" t="s">
        <v>4</v>
      </c>
      <c r="E2" s="131" t="s">
        <v>97</v>
      </c>
      <c r="F2" s="131"/>
      <c r="G2" s="94" t="s">
        <v>15</v>
      </c>
      <c r="H2" s="94"/>
      <c r="I2" s="61">
        <v>45895</v>
      </c>
      <c r="J2" s="60">
        <v>45741</v>
      </c>
      <c r="K2" s="59">
        <v>45831</v>
      </c>
    </row>
    <row r="3" spans="1:14" ht="42.75" customHeight="1" x14ac:dyDescent="0.3">
      <c r="A3" s="84" t="s">
        <v>44</v>
      </c>
      <c r="B3" s="85"/>
      <c r="C3" s="86"/>
      <c r="D3" s="21" t="s">
        <v>4</v>
      </c>
      <c r="E3" s="135" t="s">
        <v>238</v>
      </c>
      <c r="F3" s="107"/>
      <c r="G3" s="94" t="s">
        <v>193</v>
      </c>
      <c r="H3" s="94"/>
      <c r="I3" s="51" t="s">
        <v>256</v>
      </c>
      <c r="J3" s="1">
        <f>K2-J2</f>
        <v>90</v>
      </c>
    </row>
    <row r="4" spans="1:14" ht="43.5" customHeight="1" x14ac:dyDescent="0.3">
      <c r="A4" s="84" t="s">
        <v>41</v>
      </c>
      <c r="B4" s="85"/>
      <c r="C4" s="86"/>
      <c r="D4" s="28" t="s">
        <v>4</v>
      </c>
      <c r="E4" s="65" t="s">
        <v>178</v>
      </c>
      <c r="F4" s="66"/>
      <c r="G4" s="94" t="s">
        <v>38</v>
      </c>
      <c r="H4" s="94"/>
      <c r="I4" s="51">
        <v>45915</v>
      </c>
      <c r="K4" s="65" t="s">
        <v>194</v>
      </c>
      <c r="L4" s="66"/>
      <c r="N4" s="1" t="str">
        <f ca="1">TEXT(TODAY(),"DD/MM/YYYY")</f>
        <v>15/09/2025</v>
      </c>
    </row>
    <row r="5" spans="1:14" ht="21" x14ac:dyDescent="0.3">
      <c r="A5" s="120" t="s">
        <v>45</v>
      </c>
      <c r="B5" s="120"/>
      <c r="C5" s="120"/>
      <c r="D5" s="120"/>
      <c r="E5" s="120"/>
      <c r="F5" s="120"/>
      <c r="G5" s="120"/>
      <c r="H5" s="120"/>
      <c r="I5" s="136"/>
    </row>
    <row r="6" spans="1:14" ht="43.5" customHeight="1" x14ac:dyDescent="0.3">
      <c r="A6" s="132" t="s">
        <v>34</v>
      </c>
      <c r="B6" s="132"/>
      <c r="C6" s="132"/>
      <c r="D6" s="2" t="s">
        <v>4</v>
      </c>
      <c r="E6" s="22" t="s">
        <v>110</v>
      </c>
      <c r="F6" s="21" t="s">
        <v>40</v>
      </c>
      <c r="G6" s="2" t="s">
        <v>4</v>
      </c>
      <c r="H6" s="125" t="s">
        <v>248</v>
      </c>
      <c r="I6" s="125"/>
    </row>
    <row r="7" spans="1:14" ht="64.5" customHeight="1" x14ac:dyDescent="0.3">
      <c r="A7" s="132" t="s">
        <v>47</v>
      </c>
      <c r="B7" s="132"/>
      <c r="C7" s="132"/>
      <c r="D7" s="2" t="s">
        <v>4</v>
      </c>
      <c r="E7" s="5" t="s">
        <v>196</v>
      </c>
      <c r="F7" s="21" t="s">
        <v>48</v>
      </c>
      <c r="G7" s="2" t="s">
        <v>4</v>
      </c>
      <c r="H7" s="65" t="s">
        <v>195</v>
      </c>
      <c r="I7" s="66"/>
    </row>
    <row r="8" spans="1:14" ht="45" customHeight="1" x14ac:dyDescent="0.3">
      <c r="A8" s="132" t="s">
        <v>49</v>
      </c>
      <c r="B8" s="132"/>
      <c r="C8" s="132"/>
      <c r="D8" s="2" t="s">
        <v>4</v>
      </c>
      <c r="E8" s="133" t="s">
        <v>198</v>
      </c>
      <c r="F8" s="133"/>
      <c r="G8" s="133"/>
      <c r="H8" s="133"/>
      <c r="I8" s="133"/>
    </row>
    <row r="9" spans="1:14" ht="45" customHeight="1" x14ac:dyDescent="0.3">
      <c r="A9" s="94" t="s">
        <v>181</v>
      </c>
      <c r="B9" s="21" t="s">
        <v>4</v>
      </c>
      <c r="C9" s="21" t="s">
        <v>46</v>
      </c>
      <c r="D9" s="2" t="s">
        <v>4</v>
      </c>
      <c r="E9" s="65" t="s">
        <v>197</v>
      </c>
      <c r="F9" s="107"/>
      <c r="G9" s="107"/>
      <c r="H9" s="107"/>
      <c r="I9" s="66"/>
    </row>
    <row r="10" spans="1:14" ht="63" customHeight="1" x14ac:dyDescent="0.3">
      <c r="A10" s="94"/>
      <c r="B10" s="21" t="s">
        <v>4</v>
      </c>
      <c r="C10" s="21" t="s">
        <v>14</v>
      </c>
      <c r="D10" s="2" t="s">
        <v>4</v>
      </c>
      <c r="E10" s="65" t="s">
        <v>202</v>
      </c>
      <c r="F10" s="107"/>
      <c r="G10" s="107"/>
      <c r="H10" s="107"/>
      <c r="I10" s="66"/>
    </row>
    <row r="11" spans="1:14" ht="42" customHeight="1" x14ac:dyDescent="0.3">
      <c r="A11" s="94"/>
      <c r="B11" s="21" t="s">
        <v>4</v>
      </c>
      <c r="C11" s="21" t="s">
        <v>5</v>
      </c>
      <c r="D11" s="2" t="s">
        <v>4</v>
      </c>
      <c r="E11" s="65" t="s">
        <v>211</v>
      </c>
      <c r="F11" s="107"/>
      <c r="G11" s="107"/>
      <c r="H11" s="107"/>
      <c r="I11" s="66"/>
    </row>
    <row r="12" spans="1:14" ht="21" x14ac:dyDescent="0.3">
      <c r="A12" s="94" t="s">
        <v>39</v>
      </c>
      <c r="B12" s="94"/>
      <c r="C12" s="94"/>
      <c r="D12" s="2" t="s">
        <v>4</v>
      </c>
      <c r="E12" s="83" t="s">
        <v>206</v>
      </c>
      <c r="F12" s="83"/>
      <c r="G12" s="83"/>
      <c r="H12" s="83"/>
      <c r="I12" s="83"/>
    </row>
    <row r="13" spans="1:14" ht="20.100000000000001" customHeight="1" x14ac:dyDescent="0.3">
      <c r="A13" s="120" t="s">
        <v>50</v>
      </c>
      <c r="B13" s="120"/>
      <c r="C13" s="120"/>
      <c r="D13" s="120"/>
      <c r="E13" s="120"/>
      <c r="F13" s="120"/>
      <c r="G13" s="120"/>
      <c r="H13" s="120"/>
      <c r="I13" s="120"/>
    </row>
    <row r="14" spans="1:14" ht="63" x14ac:dyDescent="0.3">
      <c r="A14" s="21" t="s">
        <v>32</v>
      </c>
      <c r="B14" s="2" t="s">
        <v>4</v>
      </c>
      <c r="C14" s="97" t="s">
        <v>98</v>
      </c>
      <c r="D14" s="98"/>
      <c r="E14" s="99"/>
      <c r="F14" s="17" t="s">
        <v>51</v>
      </c>
      <c r="G14" s="2" t="s">
        <v>4</v>
      </c>
      <c r="H14" s="83" t="s">
        <v>200</v>
      </c>
      <c r="I14" s="83"/>
    </row>
    <row r="15" spans="1:14" ht="63.75" customHeight="1" x14ac:dyDescent="0.3">
      <c r="A15" s="21" t="s">
        <v>52</v>
      </c>
      <c r="B15" s="2" t="s">
        <v>4</v>
      </c>
      <c r="C15" s="97" t="s">
        <v>233</v>
      </c>
      <c r="D15" s="98"/>
      <c r="E15" s="99"/>
      <c r="F15" s="21" t="s">
        <v>53</v>
      </c>
      <c r="G15" s="2" t="s">
        <v>4</v>
      </c>
      <c r="H15" s="103">
        <v>46387</v>
      </c>
      <c r="I15" s="83"/>
    </row>
    <row r="16" spans="1:14" ht="42" x14ac:dyDescent="0.3">
      <c r="A16" s="46" t="s">
        <v>54</v>
      </c>
      <c r="B16" s="2" t="s">
        <v>4</v>
      </c>
      <c r="C16" s="100">
        <v>44530</v>
      </c>
      <c r="D16" s="98"/>
      <c r="E16" s="99"/>
      <c r="F16" s="21" t="s">
        <v>55</v>
      </c>
      <c r="G16" s="2" t="s">
        <v>4</v>
      </c>
      <c r="H16" s="102">
        <v>44550</v>
      </c>
      <c r="I16" s="66"/>
    </row>
    <row r="17" spans="1:9" ht="63" x14ac:dyDescent="0.3">
      <c r="A17" s="46" t="s">
        <v>56</v>
      </c>
      <c r="B17" s="2" t="s">
        <v>4</v>
      </c>
      <c r="C17" s="100">
        <v>46387</v>
      </c>
      <c r="D17" s="98"/>
      <c r="E17" s="99"/>
      <c r="F17" s="21" t="s">
        <v>57</v>
      </c>
      <c r="G17" s="2" t="s">
        <v>4</v>
      </c>
      <c r="H17" s="65" t="s">
        <v>205</v>
      </c>
      <c r="I17" s="66"/>
    </row>
    <row r="18" spans="1:9" ht="42" x14ac:dyDescent="0.3">
      <c r="A18" s="46" t="s">
        <v>58</v>
      </c>
      <c r="B18" s="2" t="s">
        <v>4</v>
      </c>
      <c r="C18" s="97" t="s">
        <v>201</v>
      </c>
      <c r="D18" s="98"/>
      <c r="E18" s="99"/>
      <c r="F18" s="21" t="s">
        <v>113</v>
      </c>
      <c r="G18" s="2" t="s">
        <v>4</v>
      </c>
      <c r="H18" s="104">
        <v>463538.45</v>
      </c>
      <c r="I18" s="83"/>
    </row>
    <row r="19" spans="1:9" ht="42" x14ac:dyDescent="0.3">
      <c r="A19" s="21" t="s">
        <v>59</v>
      </c>
      <c r="B19" s="2" t="s">
        <v>4</v>
      </c>
      <c r="C19" s="97">
        <v>1</v>
      </c>
      <c r="D19" s="98"/>
      <c r="E19" s="99"/>
      <c r="F19" s="21" t="s">
        <v>112</v>
      </c>
      <c r="G19" s="2" t="s">
        <v>4</v>
      </c>
      <c r="H19" s="104">
        <v>346925.68</v>
      </c>
      <c r="I19" s="83"/>
    </row>
    <row r="20" spans="1:9" ht="42" x14ac:dyDescent="0.3">
      <c r="A20" s="21" t="s">
        <v>111</v>
      </c>
      <c r="B20" s="2" t="s">
        <v>4</v>
      </c>
      <c r="C20" s="101">
        <v>414407.43</v>
      </c>
      <c r="D20" s="98"/>
      <c r="E20" s="99"/>
      <c r="F20" s="6" t="s">
        <v>60</v>
      </c>
      <c r="G20" s="2" t="s">
        <v>4</v>
      </c>
      <c r="H20" s="65" t="s">
        <v>234</v>
      </c>
      <c r="I20" s="66"/>
    </row>
    <row r="21" spans="1:9" ht="42" x14ac:dyDescent="0.3">
      <c r="A21" s="21" t="s">
        <v>61</v>
      </c>
      <c r="B21" s="2" t="s">
        <v>4</v>
      </c>
      <c r="C21" s="97" t="s">
        <v>229</v>
      </c>
      <c r="D21" s="98"/>
      <c r="E21" s="99"/>
      <c r="F21" s="21" t="s">
        <v>62</v>
      </c>
      <c r="G21" s="2" t="s">
        <v>4</v>
      </c>
      <c r="H21" s="83" t="s">
        <v>230</v>
      </c>
      <c r="I21" s="83"/>
    </row>
    <row r="22" spans="1:9" ht="21" x14ac:dyDescent="0.3">
      <c r="A22" s="46" t="s">
        <v>27</v>
      </c>
      <c r="B22" s="2" t="s">
        <v>4</v>
      </c>
      <c r="C22" s="97">
        <v>19.211456999999999</v>
      </c>
      <c r="D22" s="98"/>
      <c r="E22" s="99"/>
      <c r="F22" s="29" t="s">
        <v>28</v>
      </c>
      <c r="G22" s="29" t="s">
        <v>4</v>
      </c>
      <c r="H22" s="97">
        <v>72.990266000000005</v>
      </c>
      <c r="I22" s="99"/>
    </row>
    <row r="23" spans="1:9" ht="120.75" customHeight="1" x14ac:dyDescent="0.3">
      <c r="A23" s="46" t="s">
        <v>30</v>
      </c>
      <c r="B23" s="2" t="s">
        <v>4</v>
      </c>
      <c r="C23" s="83" t="s">
        <v>114</v>
      </c>
      <c r="D23" s="83"/>
      <c r="E23" s="83"/>
      <c r="F23" s="83"/>
      <c r="G23" s="83"/>
      <c r="H23" s="83"/>
      <c r="I23" s="83"/>
    </row>
    <row r="24" spans="1:9" ht="24" customHeight="1" x14ac:dyDescent="0.3">
      <c r="A24" s="91" t="s">
        <v>23</v>
      </c>
      <c r="B24" s="92"/>
      <c r="C24" s="92"/>
      <c r="D24" s="92"/>
      <c r="E24" s="92"/>
      <c r="F24" s="92"/>
      <c r="G24" s="92"/>
      <c r="H24" s="92"/>
      <c r="I24" s="93"/>
    </row>
    <row r="25" spans="1:9" ht="42" x14ac:dyDescent="0.3">
      <c r="A25" s="21" t="s">
        <v>31</v>
      </c>
      <c r="B25" s="2" t="s">
        <v>4</v>
      </c>
      <c r="C25" s="125" t="s">
        <v>99</v>
      </c>
      <c r="D25" s="125"/>
      <c r="E25" s="125"/>
      <c r="F25" s="21" t="s">
        <v>16</v>
      </c>
      <c r="G25" s="2" t="s">
        <v>4</v>
      </c>
      <c r="H25" s="125" t="s">
        <v>199</v>
      </c>
      <c r="I25" s="125"/>
    </row>
    <row r="26" spans="1:9" ht="21" x14ac:dyDescent="0.3">
      <c r="A26" s="21" t="s">
        <v>17</v>
      </c>
      <c r="B26" s="2" t="s">
        <v>4</v>
      </c>
      <c r="C26" s="125" t="s">
        <v>117</v>
      </c>
      <c r="D26" s="125"/>
      <c r="E26" s="125"/>
      <c r="F26" s="21" t="s">
        <v>182</v>
      </c>
      <c r="G26" s="2" t="s">
        <v>4</v>
      </c>
      <c r="H26" s="125" t="s">
        <v>180</v>
      </c>
      <c r="I26" s="125"/>
    </row>
    <row r="27" spans="1:9" ht="42" x14ac:dyDescent="0.3">
      <c r="A27" s="21" t="s">
        <v>26</v>
      </c>
      <c r="B27" s="2" t="s">
        <v>4</v>
      </c>
      <c r="C27" s="83" t="s">
        <v>116</v>
      </c>
      <c r="D27" s="83"/>
      <c r="E27" s="83"/>
      <c r="F27" s="21" t="s">
        <v>19</v>
      </c>
      <c r="G27" s="2" t="s">
        <v>4</v>
      </c>
      <c r="H27" s="83" t="s">
        <v>213</v>
      </c>
      <c r="I27" s="83"/>
    </row>
    <row r="28" spans="1:9" ht="42" x14ac:dyDescent="0.3">
      <c r="A28" s="46" t="s">
        <v>138</v>
      </c>
      <c r="B28" s="2" t="s">
        <v>4</v>
      </c>
      <c r="C28" s="83" t="s">
        <v>214</v>
      </c>
      <c r="D28" s="83"/>
      <c r="E28" s="83"/>
      <c r="F28" s="21" t="s">
        <v>139</v>
      </c>
      <c r="G28" s="2" t="s">
        <v>4</v>
      </c>
      <c r="H28" s="65" t="s">
        <v>204</v>
      </c>
      <c r="I28" s="66"/>
    </row>
    <row r="29" spans="1:9" ht="84" customHeight="1" x14ac:dyDescent="0.3">
      <c r="A29" s="21" t="s">
        <v>20</v>
      </c>
      <c r="B29" s="2" t="s">
        <v>4</v>
      </c>
      <c r="C29" s="83" t="s">
        <v>215</v>
      </c>
      <c r="D29" s="83"/>
      <c r="E29" s="83"/>
      <c r="F29" s="21" t="s">
        <v>18</v>
      </c>
      <c r="G29" s="2" t="s">
        <v>4</v>
      </c>
      <c r="H29" s="83" t="s">
        <v>212</v>
      </c>
      <c r="I29" s="83"/>
    </row>
    <row r="30" spans="1:9" ht="21.75" customHeight="1" x14ac:dyDescent="0.3">
      <c r="A30" s="46" t="s">
        <v>144</v>
      </c>
      <c r="B30" s="2" t="s">
        <v>4</v>
      </c>
      <c r="C30" s="83" t="s">
        <v>145</v>
      </c>
      <c r="D30" s="83"/>
      <c r="E30" s="83"/>
      <c r="F30" s="21" t="s">
        <v>146</v>
      </c>
      <c r="G30" s="2" t="s">
        <v>4</v>
      </c>
      <c r="H30" s="65" t="s">
        <v>145</v>
      </c>
      <c r="I30" s="66"/>
    </row>
    <row r="31" spans="1:9" ht="21.75" customHeight="1" x14ac:dyDescent="0.3">
      <c r="A31" s="46" t="s">
        <v>147</v>
      </c>
      <c r="B31" s="2" t="s">
        <v>4</v>
      </c>
      <c r="C31" s="65" t="s">
        <v>145</v>
      </c>
      <c r="D31" s="107"/>
      <c r="E31" s="107"/>
      <c r="F31" s="107"/>
      <c r="G31" s="107"/>
      <c r="H31" s="107"/>
      <c r="I31" s="66"/>
    </row>
    <row r="32" spans="1:9" ht="21" x14ac:dyDescent="0.3">
      <c r="A32" s="137" t="s">
        <v>42</v>
      </c>
      <c r="B32" s="138"/>
      <c r="C32" s="138"/>
      <c r="D32" s="138"/>
      <c r="E32" s="138"/>
      <c r="F32" s="138"/>
      <c r="G32" s="138"/>
      <c r="H32" s="138"/>
      <c r="I32" s="139"/>
    </row>
    <row r="33" spans="1:10" ht="42" x14ac:dyDescent="0.3">
      <c r="A33" s="84" t="s">
        <v>21</v>
      </c>
      <c r="B33" s="85"/>
      <c r="C33" s="86"/>
      <c r="D33" s="2" t="s">
        <v>4</v>
      </c>
      <c r="E33" s="22" t="s">
        <v>118</v>
      </c>
      <c r="F33" s="21" t="s">
        <v>22</v>
      </c>
      <c r="G33" s="7" t="s">
        <v>4</v>
      </c>
      <c r="H33" s="65" t="s">
        <v>119</v>
      </c>
      <c r="I33" s="66"/>
    </row>
    <row r="34" spans="1:10" ht="42" x14ac:dyDescent="0.3">
      <c r="A34" s="84" t="s">
        <v>25</v>
      </c>
      <c r="B34" s="85"/>
      <c r="C34" s="86"/>
      <c r="D34" s="2" t="s">
        <v>4</v>
      </c>
      <c r="E34" s="22" t="s">
        <v>119</v>
      </c>
      <c r="F34" s="8" t="s">
        <v>37</v>
      </c>
      <c r="G34" s="2" t="s">
        <v>4</v>
      </c>
      <c r="H34" s="65" t="s">
        <v>119</v>
      </c>
      <c r="I34" s="66"/>
    </row>
    <row r="35" spans="1:10" ht="42" x14ac:dyDescent="0.3">
      <c r="A35" s="84" t="s">
        <v>36</v>
      </c>
      <c r="B35" s="85"/>
      <c r="C35" s="86"/>
      <c r="D35" s="2" t="s">
        <v>4</v>
      </c>
      <c r="E35" s="5" t="s">
        <v>120</v>
      </c>
      <c r="F35" s="21" t="s">
        <v>24</v>
      </c>
      <c r="G35" s="24" t="s">
        <v>4</v>
      </c>
      <c r="H35" s="65" t="s">
        <v>121</v>
      </c>
      <c r="I35" s="66"/>
    </row>
    <row r="36" spans="1:10" ht="21" x14ac:dyDescent="0.3">
      <c r="A36" s="91" t="s">
        <v>0</v>
      </c>
      <c r="B36" s="92"/>
      <c r="C36" s="92"/>
      <c r="D36" s="92"/>
      <c r="E36" s="92"/>
      <c r="F36" s="92"/>
      <c r="G36" s="92"/>
      <c r="H36" s="92"/>
      <c r="I36" s="93"/>
      <c r="J36" s="63" t="s">
        <v>254</v>
      </c>
    </row>
    <row r="37" spans="1:10" ht="21" x14ac:dyDescent="0.3">
      <c r="A37" s="147" t="s">
        <v>0</v>
      </c>
      <c r="B37" s="149"/>
      <c r="C37" s="148"/>
      <c r="D37" s="2" t="s">
        <v>4</v>
      </c>
      <c r="E37" s="9" t="s">
        <v>1</v>
      </c>
      <c r="F37" s="9" t="s">
        <v>6</v>
      </c>
      <c r="G37" s="147" t="s">
        <v>2</v>
      </c>
      <c r="H37" s="148"/>
      <c r="I37" s="9" t="s">
        <v>3</v>
      </c>
    </row>
    <row r="38" spans="1:10" ht="21" x14ac:dyDescent="0.3">
      <c r="A38" s="84" t="s">
        <v>7</v>
      </c>
      <c r="B38" s="85"/>
      <c r="C38" s="86"/>
      <c r="D38" s="2" t="s">
        <v>4</v>
      </c>
      <c r="E38" s="23" t="s">
        <v>208</v>
      </c>
      <c r="F38" s="23" t="s">
        <v>209</v>
      </c>
      <c r="G38" s="105" t="s">
        <v>208</v>
      </c>
      <c r="H38" s="106"/>
      <c r="I38" s="23" t="s">
        <v>208</v>
      </c>
      <c r="J38" s="62" t="s">
        <v>250</v>
      </c>
    </row>
    <row r="39" spans="1:10" ht="40.5" customHeight="1" x14ac:dyDescent="0.3">
      <c r="A39" s="84" t="s">
        <v>8</v>
      </c>
      <c r="B39" s="85"/>
      <c r="C39" s="86"/>
      <c r="D39" s="2" t="s">
        <v>4</v>
      </c>
      <c r="E39" s="23" t="s">
        <v>210</v>
      </c>
      <c r="F39" s="23" t="s">
        <v>209</v>
      </c>
      <c r="G39" s="105" t="s">
        <v>208</v>
      </c>
      <c r="H39" s="106"/>
      <c r="I39" s="23" t="s">
        <v>207</v>
      </c>
    </row>
    <row r="40" spans="1:10" ht="20.25" customHeight="1" x14ac:dyDescent="0.3">
      <c r="A40" s="84" t="s">
        <v>12</v>
      </c>
      <c r="B40" s="85"/>
      <c r="C40" s="86"/>
      <c r="D40" s="2" t="s">
        <v>4</v>
      </c>
      <c r="E40" s="18" t="s">
        <v>116</v>
      </c>
      <c r="F40" s="21" t="s">
        <v>13</v>
      </c>
      <c r="G40" s="2" t="s">
        <v>4</v>
      </c>
      <c r="H40" s="65" t="s">
        <v>115</v>
      </c>
      <c r="I40" s="66"/>
    </row>
    <row r="41" spans="1:10" ht="21" x14ac:dyDescent="0.3">
      <c r="A41" s="91" t="s">
        <v>63</v>
      </c>
      <c r="B41" s="92"/>
      <c r="C41" s="92"/>
      <c r="D41" s="92"/>
      <c r="E41" s="92"/>
      <c r="F41" s="92"/>
      <c r="G41" s="92"/>
      <c r="H41" s="92"/>
      <c r="I41" s="93"/>
    </row>
    <row r="42" spans="1:10" ht="21" customHeight="1" x14ac:dyDescent="0.3">
      <c r="A42" s="134" t="s">
        <v>64</v>
      </c>
      <c r="B42" s="134"/>
      <c r="C42" s="134" t="s">
        <v>65</v>
      </c>
      <c r="D42" s="134"/>
      <c r="E42" s="134" t="s">
        <v>179</v>
      </c>
      <c r="F42" s="134"/>
      <c r="G42" s="134"/>
      <c r="H42" s="134" t="s">
        <v>66</v>
      </c>
      <c r="I42" s="134"/>
    </row>
    <row r="43" spans="1:10" ht="60.75" customHeight="1" x14ac:dyDescent="0.3">
      <c r="A43" s="145" t="s">
        <v>203</v>
      </c>
      <c r="B43" s="145"/>
      <c r="C43" s="146" t="s">
        <v>100</v>
      </c>
      <c r="D43" s="146"/>
      <c r="E43" s="83" t="s">
        <v>253</v>
      </c>
      <c r="F43" s="83"/>
      <c r="G43" s="83"/>
      <c r="H43" s="83" t="s">
        <v>249</v>
      </c>
      <c r="I43" s="83"/>
    </row>
    <row r="44" spans="1:10" ht="21" x14ac:dyDescent="0.3">
      <c r="A44" s="120" t="s">
        <v>67</v>
      </c>
      <c r="B44" s="120"/>
      <c r="C44" s="120"/>
      <c r="D44" s="120"/>
      <c r="E44" s="120"/>
      <c r="F44" s="120"/>
      <c r="G44" s="120"/>
      <c r="H44" s="120"/>
      <c r="I44" s="120"/>
    </row>
    <row r="45" spans="1:10" ht="42.75" customHeight="1" x14ac:dyDescent="0.3">
      <c r="A45" s="17" t="s">
        <v>68</v>
      </c>
      <c r="B45" s="17" t="s">
        <v>4</v>
      </c>
      <c r="C45" s="65" t="s">
        <v>116</v>
      </c>
      <c r="D45" s="107"/>
      <c r="E45" s="107"/>
      <c r="F45" s="107"/>
      <c r="G45" s="107"/>
      <c r="H45" s="107"/>
      <c r="I45" s="66"/>
    </row>
    <row r="46" spans="1:10" ht="21" x14ac:dyDescent="0.3">
      <c r="A46" s="17" t="s">
        <v>69</v>
      </c>
      <c r="B46" s="17" t="s">
        <v>4</v>
      </c>
      <c r="C46" s="65" t="s">
        <v>246</v>
      </c>
      <c r="D46" s="107"/>
      <c r="E46" s="107"/>
      <c r="F46" s="107"/>
      <c r="G46" s="107"/>
      <c r="H46" s="2" t="s">
        <v>245</v>
      </c>
      <c r="I46" s="64">
        <v>44530</v>
      </c>
    </row>
    <row r="47" spans="1:10" ht="21" x14ac:dyDescent="0.3">
      <c r="A47" s="17" t="s">
        <v>70</v>
      </c>
      <c r="B47" s="17" t="s">
        <v>4</v>
      </c>
      <c r="C47" s="65" t="s">
        <v>246</v>
      </c>
      <c r="D47" s="107"/>
      <c r="E47" s="107"/>
      <c r="F47" s="107"/>
      <c r="G47" s="107"/>
      <c r="H47" s="2" t="s">
        <v>245</v>
      </c>
      <c r="I47" s="64">
        <v>44530</v>
      </c>
    </row>
    <row r="48" spans="1:10" ht="82.5" customHeight="1" x14ac:dyDescent="0.3">
      <c r="A48" s="17" t="s">
        <v>101</v>
      </c>
      <c r="B48" s="17" t="s">
        <v>4</v>
      </c>
      <c r="C48" s="65" t="s">
        <v>247</v>
      </c>
      <c r="D48" s="107"/>
      <c r="E48" s="107"/>
      <c r="F48" s="107"/>
      <c r="G48" s="107"/>
      <c r="H48" s="2" t="s">
        <v>245</v>
      </c>
      <c r="I48" s="64">
        <v>44530</v>
      </c>
    </row>
    <row r="49" spans="1:13" ht="46.5" hidden="1" customHeight="1" x14ac:dyDescent="0.3">
      <c r="A49" s="17" t="s">
        <v>71</v>
      </c>
      <c r="B49" s="17" t="s">
        <v>4</v>
      </c>
      <c r="C49" s="83" t="s">
        <v>115</v>
      </c>
      <c r="D49" s="83"/>
      <c r="E49" s="83"/>
      <c r="F49" s="17" t="s">
        <v>72</v>
      </c>
      <c r="G49" s="17" t="s">
        <v>4</v>
      </c>
      <c r="H49" s="83" t="s">
        <v>115</v>
      </c>
      <c r="I49" s="83"/>
    </row>
    <row r="50" spans="1:13" ht="45" hidden="1" customHeight="1" x14ac:dyDescent="0.3">
      <c r="A50" s="17" t="s">
        <v>73</v>
      </c>
      <c r="B50" s="17" t="s">
        <v>4</v>
      </c>
      <c r="C50" s="83" t="s">
        <v>115</v>
      </c>
      <c r="D50" s="83"/>
      <c r="E50" s="83"/>
      <c r="F50" s="17" t="s">
        <v>74</v>
      </c>
      <c r="G50" s="17" t="s">
        <v>4</v>
      </c>
      <c r="H50" s="83" t="s">
        <v>115</v>
      </c>
      <c r="I50" s="83"/>
    </row>
    <row r="51" spans="1:13" ht="21.6" thickBot="1" x14ac:dyDescent="0.35">
      <c r="A51" s="120" t="s">
        <v>75</v>
      </c>
      <c r="B51" s="120"/>
      <c r="C51" s="120"/>
      <c r="D51" s="120"/>
      <c r="E51" s="120"/>
      <c r="F51" s="120"/>
      <c r="G51" s="120"/>
      <c r="H51" s="120"/>
      <c r="I51" s="120"/>
    </row>
    <row r="52" spans="1:13" ht="20.25" customHeight="1" x14ac:dyDescent="0.4">
      <c r="A52" s="163" t="s">
        <v>252</v>
      </c>
      <c r="B52" s="163"/>
      <c r="C52" s="163"/>
      <c r="D52" s="156" t="s">
        <v>4</v>
      </c>
      <c r="E52" s="54" t="s">
        <v>148</v>
      </c>
      <c r="F52" s="157" t="s">
        <v>134</v>
      </c>
      <c r="G52" s="157"/>
      <c r="H52" s="54" t="s">
        <v>149</v>
      </c>
      <c r="I52" s="54" t="s">
        <v>150</v>
      </c>
      <c r="J52" s="55" t="str">
        <f ca="1">(IF(F55&gt;99%,"All work completed. Please provide OC.",IF(F55&gt;89.8%,"Plinth, RCC, Brick, Plaster, Flooring, Wooden, Plumbing, Electrification, etc., work Completed. Finishing work is in process.",IF(F55&lt;94%,(IF(C55=0,"Work not yet Started.",IF(E55=25%,"Piling work in process",IF(E55=50%,"Excavation work in process",IF(E55=100%,"Excavation work Completed. ","0")))&amp;(IF(C56=0%,"",IF(C56=K57,"Footing work is process",IF(C56=K58,"Footing work Completed",IF(C56=K59,"1st Basement Completed",IF(C56=K60,"1st &amp; 2nd Basement Completed",IF(C56=K61,"1st to 3rd Basement Completed",IF(C56=K62,"1st to 4th Basement Completed",IF(C56=K63,"Plinth work is process",IF(C56=K64,"Plinth work completed","0")))))))))))&amp;(IF(C57=(F53+H53+I53),", RCC Slab",IF(C57&gt;0,", RCC upto "&amp;C57&amp;" Slab",""))&amp;(IF(C58=I53,", Brickwork",IF(C58&gt;0,", Brickwork upto "&amp;C58&amp;" Floor",""))&amp;(IF(C59=I53,", Internal Plaster",IF(C59&gt;0,", Internal Plaster upto "&amp;C59&amp;" Floor",""))&amp;(IF(C60=I53,", External Plaster",IF(C60&gt;0,", External Plaster upto "&amp;C60&amp;" Floor",""))&amp;(IF(C61=I53,", External Plumbing, Elevation and Waterproofing",IF(C61&gt;0,", External Plumbing, Elevation and Waterproofing upto "&amp;C61&amp;" Floor",""))&amp;(IF(C62=I53,", Flooring &amp; Fitting",IF(C62&gt;0,", Flooring &amp; Fitting upto "&amp;C62&amp;" Floor",""))&amp;(IF(C63=I53,", Wooden Work",IF(C63&gt;0,", Wooden Work upto "&amp;C63&amp;" Floor",""))&amp;(IF(C64=I53,", Electrical &amp; Sanitary fittings",IF(C64&gt;0,", Electrical &amp; Sanitary fittings upto "&amp;C64&amp;" Floor",""))&amp;(IF(C65&gt;0,", Finishing upto "&amp;C65&amp;" Floor","")&amp;(IF(C57&gt;0.5," Completed",""))))))))))))))))</f>
        <v>Excavation work Completed. Plinth work completed, RCC Slab, Brickwork, Internal Plaster upto 44 Floor, External Plaster upto 44 Floor, External Plumbing, Elevation and Waterproofing upto 36 Floor, Flooring &amp; Fitting upto 36 Floor, Wooden Work upto 24 Floor, Electrical &amp; Sanitary fittings upto 24 Floor Completed</v>
      </c>
      <c r="K52" s="38"/>
    </row>
    <row r="53" spans="1:13" ht="43.5" customHeight="1" x14ac:dyDescent="0.4">
      <c r="A53" s="163"/>
      <c r="B53" s="163"/>
      <c r="C53" s="163"/>
      <c r="D53" s="156"/>
      <c r="E53" s="54">
        <v>3</v>
      </c>
      <c r="F53" s="157">
        <v>1</v>
      </c>
      <c r="G53" s="157"/>
      <c r="H53" s="54">
        <v>0</v>
      </c>
      <c r="I53" s="54">
        <f ca="1">--TRIM(RIGHT(SUBSTITUTE(LEFT(A52,_xlfn.AGGREGATE(16,6,FIND({0,1,2,3,4,5,6,7,8,9},A52,ROW(INDIRECT("1:"&amp;LEN(A52)))),1))," ",REPT(" ",LEN(A52))),LEN(A52)))</f>
        <v>47</v>
      </c>
      <c r="J53" s="56" t="s">
        <v>154</v>
      </c>
      <c r="K53" s="38"/>
    </row>
    <row r="54" spans="1:13" ht="20.25" customHeight="1" x14ac:dyDescent="0.4">
      <c r="A54" s="158" t="s">
        <v>152</v>
      </c>
      <c r="B54" s="158"/>
      <c r="C54" s="158" t="s">
        <v>163</v>
      </c>
      <c r="D54" s="158"/>
      <c r="E54" s="53" t="s">
        <v>164</v>
      </c>
      <c r="F54" s="158" t="s">
        <v>153</v>
      </c>
      <c r="G54" s="158"/>
      <c r="H54" s="45" t="s">
        <v>151</v>
      </c>
      <c r="I54" s="45"/>
      <c r="J54" s="40" t="s">
        <v>165</v>
      </c>
      <c r="K54" s="39">
        <f ca="1">I53*25%</f>
        <v>11.75</v>
      </c>
    </row>
    <row r="55" spans="1:13" ht="20.25" customHeight="1" x14ac:dyDescent="0.4">
      <c r="A55" s="159" t="s">
        <v>166</v>
      </c>
      <c r="B55" s="159"/>
      <c r="C55" s="157">
        <f ca="1">K56</f>
        <v>47</v>
      </c>
      <c r="D55" s="157"/>
      <c r="E55" s="52">
        <f ca="1">((100/I53)*C55)/100</f>
        <v>1</v>
      </c>
      <c r="F55" s="159">
        <f ca="1">(((C55/I53*5)+(C56/I53*20)+(25/(F53+H53+I53)*C57)+(5/(I53)*C58)+(2.5/(I53)*C59)+(2.5/(I53)*C60)+(5/I53*C61)+(10/I53*C62)+(2.5/I53*C63)+(2.5/I53*C64)+(10/I53*C65)+(10/I53*C66))/100)</f>
        <v>0.73723404255319158</v>
      </c>
      <c r="G55" s="159"/>
      <c r="H55" s="159" t="str">
        <f ca="1">J52</f>
        <v>Excavation work Completed. Plinth work completed, RCC Slab, Brickwork, Internal Plaster upto 44 Floor, External Plaster upto 44 Floor, External Plumbing, Elevation and Waterproofing upto 36 Floor, Flooring &amp; Fitting upto 36 Floor, Wooden Work upto 24 Floor, Electrical &amp; Sanitary fittings upto 24 Floor Completed</v>
      </c>
      <c r="I55" s="159"/>
      <c r="J55" s="40" t="s">
        <v>155</v>
      </c>
      <c r="K55" s="57">
        <f ca="1">I53*50%</f>
        <v>23.5</v>
      </c>
    </row>
    <row r="56" spans="1:13" ht="21" x14ac:dyDescent="0.4">
      <c r="A56" s="159" t="s">
        <v>135</v>
      </c>
      <c r="B56" s="159"/>
      <c r="C56" s="160">
        <f ca="1">K64</f>
        <v>47.000000000000007</v>
      </c>
      <c r="D56" s="157"/>
      <c r="E56" s="52">
        <f ca="1">((100/I53)*C56)/100</f>
        <v>1.0000000000000002</v>
      </c>
      <c r="F56" s="159"/>
      <c r="G56" s="159"/>
      <c r="H56" s="159"/>
      <c r="I56" s="159"/>
      <c r="J56" s="40" t="s">
        <v>156</v>
      </c>
      <c r="K56" s="57">
        <f ca="1">I53</f>
        <v>47</v>
      </c>
    </row>
    <row r="57" spans="1:13" ht="21" customHeight="1" x14ac:dyDescent="0.4">
      <c r="A57" s="159" t="s">
        <v>167</v>
      </c>
      <c r="B57" s="159"/>
      <c r="C57" s="157">
        <v>48</v>
      </c>
      <c r="D57" s="157"/>
      <c r="E57" s="52">
        <f ca="1">((100/(F53+H53+I53))*C57)/100</f>
        <v>1</v>
      </c>
      <c r="F57" s="159"/>
      <c r="G57" s="159"/>
      <c r="H57" s="159"/>
      <c r="I57" s="159"/>
      <c r="J57" s="40" t="s">
        <v>157</v>
      </c>
      <c r="K57" s="42">
        <f ca="1">(IF(E53&gt;1,(I53/(E53+2)),I53/4))</f>
        <v>9.4</v>
      </c>
    </row>
    <row r="58" spans="1:13" ht="21" customHeight="1" x14ac:dyDescent="0.4">
      <c r="A58" s="159" t="s">
        <v>168</v>
      </c>
      <c r="B58" s="159"/>
      <c r="C58" s="157">
        <f>C57-1</f>
        <v>47</v>
      </c>
      <c r="D58" s="157"/>
      <c r="E58" s="52">
        <f ca="1">((100/I53)*C58)/100</f>
        <v>1</v>
      </c>
      <c r="F58" s="159"/>
      <c r="G58" s="159"/>
      <c r="H58" s="159"/>
      <c r="I58" s="159"/>
      <c r="J58" s="40" t="s">
        <v>158</v>
      </c>
      <c r="K58" s="42">
        <f ca="1">(IF(E53&gt;1,(I53/(E53+2)+K57),I53/4+K57))</f>
        <v>18.8</v>
      </c>
    </row>
    <row r="59" spans="1:13" ht="21" customHeight="1" x14ac:dyDescent="0.4">
      <c r="A59" s="161" t="s">
        <v>169</v>
      </c>
      <c r="B59" s="162"/>
      <c r="C59" s="160">
        <v>44</v>
      </c>
      <c r="D59" s="160"/>
      <c r="E59" s="52">
        <f ca="1">((100/I53)*C59)/100</f>
        <v>0.93617021276595747</v>
      </c>
      <c r="F59" s="159"/>
      <c r="G59" s="159"/>
      <c r="H59" s="159"/>
      <c r="I59" s="159"/>
      <c r="J59" s="40" t="s">
        <v>170</v>
      </c>
      <c r="K59" s="42">
        <f ca="1">(IF(E53&gt;1,(I53/(E53+2)+K58),0))</f>
        <v>28.200000000000003</v>
      </c>
    </row>
    <row r="60" spans="1:13" ht="21" customHeight="1" x14ac:dyDescent="0.4">
      <c r="A60" s="161" t="s">
        <v>239</v>
      </c>
      <c r="B60" s="162"/>
      <c r="C60" s="160">
        <v>44</v>
      </c>
      <c r="D60" s="160"/>
      <c r="E60" s="52">
        <f ca="1">((100/I53)*C60)/100</f>
        <v>0.93617021276595747</v>
      </c>
      <c r="F60" s="159"/>
      <c r="G60" s="159"/>
      <c r="H60" s="159"/>
      <c r="I60" s="159"/>
      <c r="J60" s="40" t="s">
        <v>171</v>
      </c>
      <c r="K60" s="42">
        <f ca="1">(IF(E53&gt;2,(I53/(E53+2)+K59),0))</f>
        <v>37.6</v>
      </c>
    </row>
    <row r="61" spans="1:13" ht="57.75" customHeight="1" x14ac:dyDescent="0.4">
      <c r="A61" s="161" t="s">
        <v>240</v>
      </c>
      <c r="B61" s="162"/>
      <c r="C61" s="157">
        <v>36</v>
      </c>
      <c r="D61" s="157"/>
      <c r="E61" s="52">
        <f ca="1">((100/(I53))*C61)/100</f>
        <v>0.76595744680851052</v>
      </c>
      <c r="F61" s="159"/>
      <c r="G61" s="159"/>
      <c r="H61" s="159"/>
      <c r="I61" s="159"/>
      <c r="J61" s="40" t="s">
        <v>173</v>
      </c>
      <c r="K61" s="43">
        <f>(IF(E53&gt;3,(I53/(E53+2)+K60),0))</f>
        <v>0</v>
      </c>
    </row>
    <row r="62" spans="1:13" ht="21" x14ac:dyDescent="0.4">
      <c r="A62" s="159" t="s">
        <v>172</v>
      </c>
      <c r="B62" s="159"/>
      <c r="C62" s="157">
        <v>36</v>
      </c>
      <c r="D62" s="157"/>
      <c r="E62" s="52">
        <f ca="1">((100/(I53))*C62)/100</f>
        <v>0.76595744680851052</v>
      </c>
      <c r="F62" s="159"/>
      <c r="G62" s="159"/>
      <c r="H62" s="159"/>
      <c r="I62" s="159"/>
      <c r="J62" s="40" t="s">
        <v>174</v>
      </c>
      <c r="K62" s="42">
        <f>(IF(E53&gt;4,(I53/(E53+2)+K61),0))</f>
        <v>0</v>
      </c>
    </row>
    <row r="63" spans="1:13" ht="21" customHeight="1" x14ac:dyDescent="0.4">
      <c r="A63" s="159" t="s">
        <v>241</v>
      </c>
      <c r="B63" s="159"/>
      <c r="C63" s="157">
        <v>24</v>
      </c>
      <c r="D63" s="157"/>
      <c r="E63" s="52">
        <f ca="1">((100/I53)*C63)/100</f>
        <v>0.51063829787234039</v>
      </c>
      <c r="F63" s="159"/>
      <c r="G63" s="159"/>
      <c r="H63" s="159"/>
      <c r="I63" s="159"/>
      <c r="J63" s="40" t="s">
        <v>159</v>
      </c>
      <c r="K63" s="42">
        <f>(IF(E53=1,(I53/(E53+3)+K58),IF(E53=0,(I53/4+K58),IF(E53&gt;1,0))))</f>
        <v>0</v>
      </c>
    </row>
    <row r="64" spans="1:13" ht="41.25" customHeight="1" thickBot="1" x14ac:dyDescent="0.45">
      <c r="A64" s="159" t="s">
        <v>242</v>
      </c>
      <c r="B64" s="159"/>
      <c r="C64" s="157">
        <v>24</v>
      </c>
      <c r="D64" s="157"/>
      <c r="E64" s="52">
        <f ca="1">((100/I53)*C64)/100</f>
        <v>0.51063829787234039</v>
      </c>
      <c r="F64" s="159"/>
      <c r="G64" s="159"/>
      <c r="H64" s="159"/>
      <c r="I64" s="159"/>
      <c r="J64" s="58" t="s">
        <v>160</v>
      </c>
      <c r="K64" s="44">
        <f ca="1">(IF(E53&gt;1.5,(I53/(E53+2)+K57+MAX(0,K58-K57)+MAX(0,K59-K58)+MAX(0,K60-K59)+MAX(0,K61-K60)+MAX(0,K62-K61)),IF(E53=1,(I53/(E53+3)+K63),IF(E53=0,I53/4+K63))))</f>
        <v>47.000000000000007</v>
      </c>
      <c r="M64" s="1" t="e">
        <f>(IF(D52&gt;1.5,(H52/(D52+2)+J57+MAX(0,J58-J57)+MAX(0,J59-J58)+MAX(0,J60-J59)+MAX(0,J61-J60)+MAX(0,J62-J61)),IF(D52=1,(H52/(D52+3)+J62),IF(D52=0,H52*0.3+J62))))</f>
        <v>#VALUE!</v>
      </c>
    </row>
    <row r="65" spans="1:13" ht="21" x14ac:dyDescent="0.3">
      <c r="A65" s="159" t="s">
        <v>175</v>
      </c>
      <c r="B65" s="159"/>
      <c r="C65" s="157">
        <v>0</v>
      </c>
      <c r="D65" s="157"/>
      <c r="E65" s="52">
        <f ca="1">((100/(I53))*C65)/100</f>
        <v>0</v>
      </c>
      <c r="F65" s="159"/>
      <c r="G65" s="159"/>
      <c r="H65" s="159"/>
      <c r="I65" s="159"/>
    </row>
    <row r="66" spans="1:13" ht="21" x14ac:dyDescent="0.3">
      <c r="A66" s="159" t="s">
        <v>176</v>
      </c>
      <c r="B66" s="159"/>
      <c r="C66" s="157">
        <v>0</v>
      </c>
      <c r="D66" s="157"/>
      <c r="E66" s="52">
        <f ca="1">((100/(I53))*C66)/100</f>
        <v>0</v>
      </c>
      <c r="F66" s="159"/>
      <c r="G66" s="159"/>
      <c r="H66" s="159"/>
      <c r="I66" s="159"/>
    </row>
    <row r="67" spans="1:13" ht="21.6" thickBot="1" x14ac:dyDescent="0.35">
      <c r="A67" s="120" t="s">
        <v>75</v>
      </c>
      <c r="B67" s="120"/>
      <c r="C67" s="120"/>
      <c r="D67" s="120"/>
      <c r="E67" s="120"/>
      <c r="F67" s="120"/>
      <c r="G67" s="120"/>
      <c r="H67" s="120"/>
      <c r="I67" s="120"/>
    </row>
    <row r="68" spans="1:13" ht="20.25" customHeight="1" x14ac:dyDescent="0.4">
      <c r="A68" s="163" t="s">
        <v>251</v>
      </c>
      <c r="B68" s="163"/>
      <c r="C68" s="163"/>
      <c r="D68" s="156" t="s">
        <v>4</v>
      </c>
      <c r="E68" s="54" t="s">
        <v>148</v>
      </c>
      <c r="F68" s="157" t="s">
        <v>134</v>
      </c>
      <c r="G68" s="157"/>
      <c r="H68" s="54" t="s">
        <v>149</v>
      </c>
      <c r="I68" s="54" t="s">
        <v>150</v>
      </c>
      <c r="J68" s="55" t="str">
        <f ca="1">(IF(F71&gt;99%,"All work completed. Please provide OC.",IF(F71&gt;89.8%,"Plinth, RCC, Brick, Plaster, Flooring, Wooden, Plumbing, Electrification, etc., work Completed. Finishing work is in process.",IF(F71&lt;94%,(IF(C71=0,"Work not yet Started.",IF(E71=25%,"Piling work in process",IF(E71=50%,"Excavation work in process",IF(E71=100%,"Excavation work Completed. ","0")))&amp;(IF(C72=0%,"",IF(C72=K73,"Footing work is process",IF(C72=K74,"Footing work Completed",IF(C72=K75,"1st Basement Completed",IF(C72=K76,"1st &amp; 2nd Basement Completed",IF(C72=K77,"1st to 3rd Basement Completed",IF(C72=K78,"1st to 4th Basement Completed",IF(C72=K79,"Plinth work is process",IF(C72=K80,"Plinth work completed","0")))))))))))&amp;(IF(C73=(F69+H69+I69),", RCC Slab",IF(C73&gt;0,", RCC upto "&amp;C73&amp;" Slab",""))&amp;(IF(C74=I69,", Brickwork",IF(C74&gt;0,", Brickwork upto "&amp;C74&amp;" Floor",""))&amp;(IF(C75=I69,", Internal Plaster",IF(C75&gt;0,", Internal Plaster upto "&amp;C75&amp;" Floor",""))&amp;(IF(C76=I69,", External Plaster",IF(C76&gt;0,", External Plaster upto "&amp;C76&amp;" Floor",""))&amp;(IF(C77=I69,", External Plumbing, Elevation and Waterproofing",IF(C77&gt;0,", External Plumbing, Elevation and Waterproofing upto "&amp;C77&amp;" Floor",""))&amp;(IF(C78=I69,", Flooring &amp; Fitting",IF(C78&gt;0,", Flooring &amp; Fitting upto "&amp;C78&amp;" Floor",""))&amp;(IF(C79=I69,", Wooden Work",IF(C79&gt;0,", Wooden Work upto "&amp;C79&amp;" Floor",""))&amp;(IF(C80=I69,", Electrical &amp; Sanitary fittings",IF(C80&gt;0,", Electrical &amp; Sanitary fittings upto "&amp;C80&amp;" Floor",""))&amp;(IF(C81&gt;0,", Finishing upto "&amp;C81&amp;" Floor","")&amp;(IF(C73&gt;0.5," Completed",""))))))))))))))))</f>
        <v>Excavation work Completed. Plinth work completed, RCC Slab, Brickwork, Internal Plaster upto 42 Floor, External Plaster upto 42 Floor, External Plumbing, Elevation and Waterproofing upto 38 Floor, Flooring &amp; Fitting upto 38 Floor, Wooden Work upto 28 Floor, Electrical &amp; Sanitary fittings upto 28 Floor Completed</v>
      </c>
      <c r="K68" s="38"/>
    </row>
    <row r="69" spans="1:13" ht="42.75" customHeight="1" x14ac:dyDescent="0.4">
      <c r="A69" s="163"/>
      <c r="B69" s="163"/>
      <c r="C69" s="163"/>
      <c r="D69" s="156"/>
      <c r="E69" s="54">
        <v>3</v>
      </c>
      <c r="F69" s="157">
        <v>1</v>
      </c>
      <c r="G69" s="157"/>
      <c r="H69" s="54">
        <v>0</v>
      </c>
      <c r="I69" s="54">
        <f ca="1">--TRIM(RIGHT(SUBSTITUTE(LEFT(A68,_xlfn.AGGREGATE(16,6,FIND({0,1,2,3,4,5,6,7,8,9},A68,ROW(INDIRECT("1:"&amp;LEN(A68)))),1))," ",REPT(" ",LEN(A68))),LEN(A68)))</f>
        <v>47</v>
      </c>
      <c r="J69" s="56" t="s">
        <v>154</v>
      </c>
      <c r="K69" s="38"/>
    </row>
    <row r="70" spans="1:13" ht="20.25" customHeight="1" x14ac:dyDescent="0.4">
      <c r="A70" s="158" t="s">
        <v>152</v>
      </c>
      <c r="B70" s="158"/>
      <c r="C70" s="158" t="s">
        <v>163</v>
      </c>
      <c r="D70" s="158"/>
      <c r="E70" s="53" t="s">
        <v>164</v>
      </c>
      <c r="F70" s="158" t="s">
        <v>153</v>
      </c>
      <c r="G70" s="158"/>
      <c r="H70" s="45" t="s">
        <v>151</v>
      </c>
      <c r="I70" s="45"/>
      <c r="J70" s="40" t="s">
        <v>165</v>
      </c>
      <c r="K70" s="39">
        <f ca="1">I69*25%</f>
        <v>11.75</v>
      </c>
    </row>
    <row r="71" spans="1:13" ht="20.25" customHeight="1" x14ac:dyDescent="0.4">
      <c r="A71" s="159" t="s">
        <v>166</v>
      </c>
      <c r="B71" s="159"/>
      <c r="C71" s="157">
        <f ca="1">K72</f>
        <v>47</v>
      </c>
      <c r="D71" s="157"/>
      <c r="E71" s="52">
        <f ca="1">((100/I69)*C71)/100</f>
        <v>1</v>
      </c>
      <c r="F71" s="159">
        <f ca="1">(((C71/I69*5)+(C72/I69*20)+(25/(F69+H69+I69)*C73)+(5/(I69)*C74)+(2.5/(I69)*C75)+(2.5/(I69)*C76)+(5/I69*C77)+(10/I69*C78)+(2.5/I69*C79)+(2.5/I69*C80)+(10/I69*C81)+(10/I69*C82))/100)</f>
        <v>0.7457446808510636</v>
      </c>
      <c r="G71" s="159"/>
      <c r="H71" s="159" t="str">
        <f ca="1">J68</f>
        <v>Excavation work Completed. Plinth work completed, RCC Slab, Brickwork, Internal Plaster upto 42 Floor, External Plaster upto 42 Floor, External Plumbing, Elevation and Waterproofing upto 38 Floor, Flooring &amp; Fitting upto 38 Floor, Wooden Work upto 28 Floor, Electrical &amp; Sanitary fittings upto 28 Floor Completed</v>
      </c>
      <c r="I71" s="159"/>
      <c r="J71" s="40" t="s">
        <v>155</v>
      </c>
      <c r="K71" s="57">
        <f ca="1">I69*50%</f>
        <v>23.5</v>
      </c>
    </row>
    <row r="72" spans="1:13" ht="21" x14ac:dyDescent="0.4">
      <c r="A72" s="159" t="s">
        <v>135</v>
      </c>
      <c r="B72" s="159"/>
      <c r="C72" s="160">
        <f ca="1">K80</f>
        <v>47.000000000000007</v>
      </c>
      <c r="D72" s="157"/>
      <c r="E72" s="52">
        <f ca="1">((100/I69)*C72)/100</f>
        <v>1.0000000000000002</v>
      </c>
      <c r="F72" s="159"/>
      <c r="G72" s="159"/>
      <c r="H72" s="159"/>
      <c r="I72" s="159"/>
      <c r="J72" s="40" t="s">
        <v>156</v>
      </c>
      <c r="K72" s="57">
        <f ca="1">I69</f>
        <v>47</v>
      </c>
    </row>
    <row r="73" spans="1:13" ht="21" customHeight="1" x14ac:dyDescent="0.4">
      <c r="A73" s="159" t="s">
        <v>167</v>
      </c>
      <c r="B73" s="159"/>
      <c r="C73" s="157">
        <v>48</v>
      </c>
      <c r="D73" s="157"/>
      <c r="E73" s="52">
        <f ca="1">((100/(F69+H69+I69))*C73)/100</f>
        <v>1</v>
      </c>
      <c r="F73" s="159"/>
      <c r="G73" s="159"/>
      <c r="H73" s="159"/>
      <c r="I73" s="159"/>
      <c r="J73" s="40" t="s">
        <v>157</v>
      </c>
      <c r="K73" s="42">
        <f ca="1">(IF(E69&gt;1,(I69/(E69+2)),I69/4))</f>
        <v>9.4</v>
      </c>
    </row>
    <row r="74" spans="1:13" ht="21" customHeight="1" x14ac:dyDescent="0.4">
      <c r="A74" s="159" t="s">
        <v>168</v>
      </c>
      <c r="B74" s="159"/>
      <c r="C74" s="157">
        <f>C73-1</f>
        <v>47</v>
      </c>
      <c r="D74" s="157"/>
      <c r="E74" s="52">
        <f ca="1">((100/I69)*C74)/100</f>
        <v>1</v>
      </c>
      <c r="F74" s="159"/>
      <c r="G74" s="159"/>
      <c r="H74" s="159"/>
      <c r="I74" s="159"/>
      <c r="J74" s="40" t="s">
        <v>158</v>
      </c>
      <c r="K74" s="42">
        <f ca="1">(IF(E69&gt;1,(I69/(E69+2)+K73),I69/4+K73))</f>
        <v>18.8</v>
      </c>
    </row>
    <row r="75" spans="1:13" ht="21" customHeight="1" x14ac:dyDescent="0.4">
      <c r="A75" s="161" t="s">
        <v>169</v>
      </c>
      <c r="B75" s="162"/>
      <c r="C75" s="160">
        <v>42</v>
      </c>
      <c r="D75" s="160"/>
      <c r="E75" s="52">
        <f ca="1">((100/I69)*C75)/100</f>
        <v>0.8936170212765957</v>
      </c>
      <c r="F75" s="159"/>
      <c r="G75" s="159"/>
      <c r="H75" s="159"/>
      <c r="I75" s="159"/>
      <c r="J75" s="40" t="s">
        <v>170</v>
      </c>
      <c r="K75" s="42">
        <f ca="1">(IF(E69&gt;1,(I69/(E69+2)+K74),0))</f>
        <v>28.200000000000003</v>
      </c>
    </row>
    <row r="76" spans="1:13" ht="21" customHeight="1" x14ac:dyDescent="0.4">
      <c r="A76" s="161" t="s">
        <v>239</v>
      </c>
      <c r="B76" s="162"/>
      <c r="C76" s="160">
        <v>42</v>
      </c>
      <c r="D76" s="160"/>
      <c r="E76" s="52">
        <f ca="1">((100/I69)*C76)/100</f>
        <v>0.8936170212765957</v>
      </c>
      <c r="F76" s="159"/>
      <c r="G76" s="159"/>
      <c r="H76" s="159"/>
      <c r="I76" s="159"/>
      <c r="J76" s="40" t="s">
        <v>171</v>
      </c>
      <c r="K76" s="42">
        <f ca="1">(IF(E69&gt;2,(I69/(E69+2)+K75),0))</f>
        <v>37.6</v>
      </c>
    </row>
    <row r="77" spans="1:13" ht="57.75" customHeight="1" x14ac:dyDescent="0.4">
      <c r="A77" s="161" t="s">
        <v>240</v>
      </c>
      <c r="B77" s="162"/>
      <c r="C77" s="157">
        <v>38</v>
      </c>
      <c r="D77" s="157"/>
      <c r="E77" s="52">
        <f ca="1">((100/(I69))*C77)/100</f>
        <v>0.8085106382978724</v>
      </c>
      <c r="F77" s="159"/>
      <c r="G77" s="159"/>
      <c r="H77" s="159"/>
      <c r="I77" s="159"/>
      <c r="J77" s="40" t="s">
        <v>173</v>
      </c>
      <c r="K77" s="43">
        <f>(IF(E69&gt;3,(I69/(E69+2)+K76),0))</f>
        <v>0</v>
      </c>
    </row>
    <row r="78" spans="1:13" ht="21" x14ac:dyDescent="0.4">
      <c r="A78" s="159" t="s">
        <v>172</v>
      </c>
      <c r="B78" s="159"/>
      <c r="C78" s="157">
        <v>38</v>
      </c>
      <c r="D78" s="157"/>
      <c r="E78" s="52">
        <f ca="1">((100/(I69))*C78)/100</f>
        <v>0.8085106382978724</v>
      </c>
      <c r="F78" s="159"/>
      <c r="G78" s="159"/>
      <c r="H78" s="159"/>
      <c r="I78" s="159"/>
      <c r="J78" s="40" t="s">
        <v>174</v>
      </c>
      <c r="K78" s="42">
        <f>(IF(E69&gt;4,(I69/(E69+2)+K77),0))</f>
        <v>0</v>
      </c>
    </row>
    <row r="79" spans="1:13" ht="21" customHeight="1" x14ac:dyDescent="0.4">
      <c r="A79" s="159" t="s">
        <v>241</v>
      </c>
      <c r="B79" s="159"/>
      <c r="C79" s="157">
        <v>28</v>
      </c>
      <c r="D79" s="157"/>
      <c r="E79" s="52">
        <f ca="1">((100/I69)*C79)/100</f>
        <v>0.5957446808510638</v>
      </c>
      <c r="F79" s="159"/>
      <c r="G79" s="159"/>
      <c r="H79" s="159"/>
      <c r="I79" s="159"/>
      <c r="J79" s="40" t="s">
        <v>159</v>
      </c>
      <c r="K79" s="42">
        <f>(IF(E69=1,(I69/(E69+3)+K74),IF(E69=0,(I69/4+K74),IF(E69&gt;1,0))))</f>
        <v>0</v>
      </c>
    </row>
    <row r="80" spans="1:13" ht="38.25" customHeight="1" thickBot="1" x14ac:dyDescent="0.45">
      <c r="A80" s="159" t="s">
        <v>242</v>
      </c>
      <c r="B80" s="159"/>
      <c r="C80" s="157">
        <v>28</v>
      </c>
      <c r="D80" s="157"/>
      <c r="E80" s="52">
        <f ca="1">((100/I69)*C80)/100</f>
        <v>0.5957446808510638</v>
      </c>
      <c r="F80" s="159"/>
      <c r="G80" s="159"/>
      <c r="H80" s="159"/>
      <c r="I80" s="159"/>
      <c r="J80" s="58" t="s">
        <v>160</v>
      </c>
      <c r="K80" s="44">
        <f ca="1">(IF(E69&gt;1.5,(I69/(E69+2)+K73+MAX(0,K74-K73)+MAX(0,K75-K74)+MAX(0,K76-K75)+MAX(0,K77-K76)+MAX(0,K78-K77)),IF(E69=1,(I69/(E69+3)+K79),IF(E69=0,I69/4+K79))))</f>
        <v>47.000000000000007</v>
      </c>
      <c r="M80" s="1" t="e">
        <f>(IF(D68&gt;1.5,(H68/(D68+2)+J73+MAX(0,J74-J73)+MAX(0,J75-J74)+MAX(0,J76-J75)+MAX(0,J77-J76)+MAX(0,J78-J77)),IF(D68=1,(H68/(D68+3)+J78),IF(D68=0,H68*0.3+J78))))</f>
        <v>#VALUE!</v>
      </c>
    </row>
    <row r="81" spans="1:11" ht="21" x14ac:dyDescent="0.3">
      <c r="A81" s="159" t="s">
        <v>175</v>
      </c>
      <c r="B81" s="159"/>
      <c r="C81" s="157">
        <v>0</v>
      </c>
      <c r="D81" s="157"/>
      <c r="E81" s="52">
        <f ca="1">((100/(I69))*C81)/100</f>
        <v>0</v>
      </c>
      <c r="F81" s="159"/>
      <c r="G81" s="159"/>
      <c r="H81" s="159"/>
      <c r="I81" s="159"/>
    </row>
    <row r="82" spans="1:11" ht="21" x14ac:dyDescent="0.3">
      <c r="A82" s="159" t="s">
        <v>176</v>
      </c>
      <c r="B82" s="159"/>
      <c r="C82" s="157">
        <v>0</v>
      </c>
      <c r="D82" s="157"/>
      <c r="E82" s="52">
        <f ca="1">((100/(I69))*C82)/100</f>
        <v>0</v>
      </c>
      <c r="F82" s="159"/>
      <c r="G82" s="159"/>
      <c r="H82" s="159"/>
      <c r="I82" s="159"/>
    </row>
    <row r="83" spans="1:11" ht="21.6" hidden="1" thickBot="1" x14ac:dyDescent="0.35">
      <c r="A83" s="120" t="s">
        <v>75</v>
      </c>
      <c r="B83" s="120"/>
      <c r="C83" s="120"/>
      <c r="D83" s="120"/>
      <c r="E83" s="120"/>
      <c r="F83" s="120"/>
      <c r="G83" s="120"/>
      <c r="H83" s="120"/>
      <c r="I83" s="120"/>
    </row>
    <row r="84" spans="1:11" ht="28.5" hidden="1" customHeight="1" x14ac:dyDescent="0.4">
      <c r="A84" s="155" t="s">
        <v>243</v>
      </c>
      <c r="B84" s="155"/>
      <c r="C84" s="155"/>
      <c r="D84" s="156" t="s">
        <v>4</v>
      </c>
      <c r="E84" s="54" t="s">
        <v>148</v>
      </c>
      <c r="F84" s="157" t="s">
        <v>134</v>
      </c>
      <c r="G84" s="157"/>
      <c r="H84" s="54" t="s">
        <v>149</v>
      </c>
      <c r="I84" s="54" t="s">
        <v>150</v>
      </c>
      <c r="J84" s="55" t="str">
        <f ca="1">(IF(F87&gt;99%,"All work completed. Please provide OC.",IF(F87&gt;89.8%,"Plinth, RCC, Brick, Plaster, Flooring, Wooden, Plumbing, Electrification, etc., work Completed. Finishing work is in process.",IF(F87&lt;94%,(IF(C87=0,"Work not yet Started.",IF(E87=25%,"Piling work in process",IF(E87=50%,"Excavation work in process",IF(E87=100%,"Excavation work Completed. ","0")))&amp;(IF(C88=0%,"",IF(C88=K89,"Footing work is process",IF(C88=K90,"Footing work Completed",IF(C88=K91,"1st Basement Completed",IF(C88=K92,"1st &amp; 2nd Basement Completed",IF(C88=K93,"1st to 3rd Basement Completed",IF(C88=K94,"1st to 4th Basement Completed",IF(C88=K95,"Plinth work is process",IF(C88=K96,"Plinth work completed","0")))))))))))&amp;(IF(C89=(F85+H85+I85),", RCC Slab",IF(C89&gt;0,", RCC upto "&amp;C89&amp;" Slab",""))&amp;(IF(C90=I85,", Brickwork",IF(C90&gt;0,", Brickwork upto "&amp;C90&amp;" Floor",""))&amp;(IF(C91=I85,", Internal Plaster",IF(C91&gt;0,", Internal Plaster upto "&amp;C91&amp;" Floor",""))&amp;(IF(C92=I85,", External Plaster",IF(C92&gt;0,", External Plaster upto "&amp;C92&amp;" Floor",""))&amp;(IF(C93=I85,", External Plumbing, Elevation and Waterproofing",IF(C93&gt;0,", External Plumbing, Elevation and Waterproofing upto "&amp;C93&amp;" Floor",""))&amp;(IF(C94=I85,", Flooring &amp; Fitting",IF(C94&gt;0,", Flooring &amp; Fitting upto "&amp;C94&amp;" Floor",""))&amp;(IF(C95=I85,", Wooden Work",IF(C95&gt;0,", Wooden Work upto "&amp;C95&amp;" Floor",""))&amp;(IF(C96=I85,", Electrical &amp; Sanitary fittings",IF(C96&gt;0,", Electrical &amp; Sanitary fittings upto "&amp;C96&amp;" Floor",""))&amp;(IF(C97&gt;0,", Finishing upto "&amp;C97&amp;" Floor","")&amp;(IF(C89&gt;0.5," Completed",""))))))))))))))))</f>
        <v>Excavation work Completed. Plinth work completed, RCC upto 32 Slab, Brickwork upto 31 Floor, Internal Plaster upto 24.8 Floor, External Plaster upto 24.8 Floor Completed</v>
      </c>
      <c r="K84" s="38"/>
    </row>
    <row r="85" spans="1:11" ht="33" hidden="1" customHeight="1" x14ac:dyDescent="0.4">
      <c r="A85" s="155"/>
      <c r="B85" s="155"/>
      <c r="C85" s="155"/>
      <c r="D85" s="156"/>
      <c r="E85" s="54">
        <v>3</v>
      </c>
      <c r="F85" s="157">
        <v>1</v>
      </c>
      <c r="G85" s="157"/>
      <c r="H85" s="54">
        <v>0</v>
      </c>
      <c r="I85" s="54">
        <f ca="1">--TRIM(RIGHT(SUBSTITUTE(LEFT(A84,_xlfn.AGGREGATE(16,6,FIND({0,1,2,3,4,5,6,7,8,9},A84,ROW(INDIRECT("1:"&amp;LEN(A84)))),1))," ",REPT(" ",LEN(A84))),LEN(A84)))</f>
        <v>50</v>
      </c>
      <c r="J85" s="56" t="s">
        <v>154</v>
      </c>
      <c r="K85" s="38"/>
    </row>
    <row r="86" spans="1:11" ht="20.25" hidden="1" customHeight="1" x14ac:dyDescent="0.4">
      <c r="A86" s="158" t="s">
        <v>152</v>
      </c>
      <c r="B86" s="158"/>
      <c r="C86" s="158" t="s">
        <v>163</v>
      </c>
      <c r="D86" s="158"/>
      <c r="E86" s="53" t="s">
        <v>164</v>
      </c>
      <c r="F86" s="158" t="s">
        <v>153</v>
      </c>
      <c r="G86" s="158"/>
      <c r="H86" s="45" t="s">
        <v>151</v>
      </c>
      <c r="I86" s="45"/>
      <c r="J86" s="40" t="s">
        <v>165</v>
      </c>
      <c r="K86" s="39">
        <f ca="1">I85*25%</f>
        <v>12.5</v>
      </c>
    </row>
    <row r="87" spans="1:11" ht="20.25" hidden="1" customHeight="1" x14ac:dyDescent="0.4">
      <c r="A87" s="159" t="s">
        <v>166</v>
      </c>
      <c r="B87" s="159"/>
      <c r="C87" s="157">
        <f ca="1">K88</f>
        <v>50</v>
      </c>
      <c r="D87" s="157"/>
      <c r="E87" s="52">
        <f ca="1">((100/I85)*C87)/100</f>
        <v>1</v>
      </c>
      <c r="F87" s="159">
        <f ca="1">(((C87/I85*10)+(C88/I85*25)+(25/(F85+H85+I85)*C89)+(5/(I85)*C90)+(2.5/(I85)*C91)+(2.5/(I85)*C92)+(5/I85*C93)+(2.5/I85*C94)+(2.5/I85*C95)+(5/I85*C96)+(10/I85*C97)+(5/I85*C98))/100)</f>
        <v>0.56266274509803926</v>
      </c>
      <c r="G87" s="159"/>
      <c r="H87" s="159" t="str">
        <f ca="1">J84</f>
        <v>Excavation work Completed. Plinth work completed, RCC upto 32 Slab, Brickwork upto 31 Floor, Internal Plaster upto 24.8 Floor, External Plaster upto 24.8 Floor Completed</v>
      </c>
      <c r="I87" s="159"/>
      <c r="J87" s="40" t="s">
        <v>155</v>
      </c>
      <c r="K87" s="57">
        <f ca="1">I85*50%</f>
        <v>25</v>
      </c>
    </row>
    <row r="88" spans="1:11" ht="21" hidden="1" x14ac:dyDescent="0.4">
      <c r="A88" s="159" t="s">
        <v>135</v>
      </c>
      <c r="B88" s="159"/>
      <c r="C88" s="160">
        <f ca="1">K96</f>
        <v>50</v>
      </c>
      <c r="D88" s="157"/>
      <c r="E88" s="52">
        <f ca="1">((100/I85)*C88)/100</f>
        <v>1</v>
      </c>
      <c r="F88" s="159"/>
      <c r="G88" s="159"/>
      <c r="H88" s="159"/>
      <c r="I88" s="159"/>
      <c r="J88" s="40" t="s">
        <v>156</v>
      </c>
      <c r="K88" s="57">
        <f ca="1">I85</f>
        <v>50</v>
      </c>
    </row>
    <row r="89" spans="1:11" ht="21" hidden="1" customHeight="1" x14ac:dyDescent="0.4">
      <c r="A89" s="159" t="s">
        <v>167</v>
      </c>
      <c r="B89" s="159"/>
      <c r="C89" s="157">
        <v>32</v>
      </c>
      <c r="D89" s="157"/>
      <c r="E89" s="52">
        <f ca="1">((100/(F85+H85+I85))*C89)/100</f>
        <v>0.62745098039215685</v>
      </c>
      <c r="F89" s="159"/>
      <c r="G89" s="159"/>
      <c r="H89" s="159"/>
      <c r="I89" s="159"/>
      <c r="J89" s="40" t="s">
        <v>157</v>
      </c>
      <c r="K89" s="42">
        <f ca="1">(IF(E85&gt;1,(I85/(E85+2)),I85*0.2))</f>
        <v>10</v>
      </c>
    </row>
    <row r="90" spans="1:11" ht="21" hidden="1" customHeight="1" x14ac:dyDescent="0.4">
      <c r="A90" s="159" t="s">
        <v>168</v>
      </c>
      <c r="B90" s="159"/>
      <c r="C90" s="157">
        <f>C89-1</f>
        <v>31</v>
      </c>
      <c r="D90" s="157"/>
      <c r="E90" s="52">
        <f ca="1">((100/I85)*C90)/100</f>
        <v>0.62</v>
      </c>
      <c r="F90" s="159"/>
      <c r="G90" s="159"/>
      <c r="H90" s="159"/>
      <c r="I90" s="159"/>
      <c r="J90" s="40" t="s">
        <v>158</v>
      </c>
      <c r="K90" s="42">
        <f ca="1">(IF(E85&gt;1,(I85/(E85+2)+K89),I85*0.2+K89))</f>
        <v>20</v>
      </c>
    </row>
    <row r="91" spans="1:11" ht="21" hidden="1" customHeight="1" x14ac:dyDescent="0.4">
      <c r="A91" s="161" t="s">
        <v>169</v>
      </c>
      <c r="B91" s="162"/>
      <c r="C91" s="160">
        <f>C90*0.8</f>
        <v>24.8</v>
      </c>
      <c r="D91" s="160"/>
      <c r="E91" s="52">
        <f ca="1">((100/I85)*C91)/100</f>
        <v>0.496</v>
      </c>
      <c r="F91" s="159"/>
      <c r="G91" s="159"/>
      <c r="H91" s="159"/>
      <c r="I91" s="159"/>
      <c r="J91" s="40" t="s">
        <v>170</v>
      </c>
      <c r="K91" s="42">
        <f ca="1">(IF(E85&gt;1,(I85/(E85+2)+K90),0))</f>
        <v>30</v>
      </c>
    </row>
    <row r="92" spans="1:11" ht="21" hidden="1" customHeight="1" x14ac:dyDescent="0.4">
      <c r="A92" s="161" t="s">
        <v>239</v>
      </c>
      <c r="B92" s="162"/>
      <c r="C92" s="160">
        <f>C91</f>
        <v>24.8</v>
      </c>
      <c r="D92" s="160"/>
      <c r="E92" s="52">
        <f ca="1">((100/I85)*C92)/100</f>
        <v>0.496</v>
      </c>
      <c r="F92" s="159"/>
      <c r="G92" s="159"/>
      <c r="H92" s="159"/>
      <c r="I92" s="159"/>
      <c r="J92" s="40" t="s">
        <v>171</v>
      </c>
      <c r="K92" s="42">
        <f ca="1">(IF(E85&gt;2,(I85/(E85+2)+K91),0))</f>
        <v>40</v>
      </c>
    </row>
    <row r="93" spans="1:11" ht="57.75" hidden="1" customHeight="1" x14ac:dyDescent="0.4">
      <c r="A93" s="161" t="s">
        <v>240</v>
      </c>
      <c r="B93" s="162"/>
      <c r="C93" s="157">
        <v>0</v>
      </c>
      <c r="D93" s="157"/>
      <c r="E93" s="52">
        <f ca="1">((100/(I85))*C93)/100</f>
        <v>0</v>
      </c>
      <c r="F93" s="159"/>
      <c r="G93" s="159"/>
      <c r="H93" s="159"/>
      <c r="I93" s="159"/>
      <c r="J93" s="40" t="s">
        <v>173</v>
      </c>
      <c r="K93" s="43">
        <f>(IF(E85&gt;3,(I85/(E85+2)+K92),0))</f>
        <v>0</v>
      </c>
    </row>
    <row r="94" spans="1:11" ht="21" hidden="1" x14ac:dyDescent="0.4">
      <c r="A94" s="159" t="s">
        <v>172</v>
      </c>
      <c r="B94" s="159"/>
      <c r="C94" s="157">
        <v>0</v>
      </c>
      <c r="D94" s="157"/>
      <c r="E94" s="52">
        <f ca="1">((100/(I85))*C94)/100</f>
        <v>0</v>
      </c>
      <c r="F94" s="159"/>
      <c r="G94" s="159"/>
      <c r="H94" s="159"/>
      <c r="I94" s="159"/>
      <c r="J94" s="40" t="s">
        <v>174</v>
      </c>
      <c r="K94" s="42">
        <f>(IF(E85&gt;4,(I85/(E85+2)+K93),0))</f>
        <v>0</v>
      </c>
    </row>
    <row r="95" spans="1:11" ht="21" hidden="1" customHeight="1" x14ac:dyDescent="0.4">
      <c r="A95" s="159" t="s">
        <v>241</v>
      </c>
      <c r="B95" s="159"/>
      <c r="C95" s="157">
        <v>0</v>
      </c>
      <c r="D95" s="157"/>
      <c r="E95" s="52">
        <f ca="1">((100/I85)*C95)/100</f>
        <v>0</v>
      </c>
      <c r="F95" s="159"/>
      <c r="G95" s="159"/>
      <c r="H95" s="159"/>
      <c r="I95" s="159"/>
      <c r="J95" s="40" t="s">
        <v>159</v>
      </c>
      <c r="K95" s="42">
        <f>(IF(E85=1,(I85/(E85+3)+K90),IF(E85=0,(I85*0.3+K90),IF(E85&gt;1,0))))</f>
        <v>0</v>
      </c>
    </row>
    <row r="96" spans="1:11" ht="21.6" hidden="1" thickBot="1" x14ac:dyDescent="0.45">
      <c r="A96" s="159" t="s">
        <v>242</v>
      </c>
      <c r="B96" s="159"/>
      <c r="C96" s="157">
        <v>0</v>
      </c>
      <c r="D96" s="157"/>
      <c r="E96" s="52">
        <f ca="1">((100/I85)*C96)/100</f>
        <v>0</v>
      </c>
      <c r="F96" s="159"/>
      <c r="G96" s="159"/>
      <c r="H96" s="159"/>
      <c r="I96" s="159"/>
      <c r="J96" s="58" t="s">
        <v>160</v>
      </c>
      <c r="K96" s="44">
        <f ca="1">(IF(E85&gt;1.5,(I85/(E85+2)+K90+MAX(0,K91-K90)+MAX(0,K92-K91)+MAX(0,K93-K92)+MAX(0,K94-K93)+MAX(0,K95-K94)),IF(E85=1,(I85/(E85+3)+K95),IF(E85=0,I85*0.3+K95))))</f>
        <v>50</v>
      </c>
    </row>
    <row r="97" spans="1:11" ht="21" hidden="1" x14ac:dyDescent="0.3">
      <c r="A97" s="159" t="s">
        <v>175</v>
      </c>
      <c r="B97" s="159"/>
      <c r="C97" s="157">
        <v>0</v>
      </c>
      <c r="D97" s="157"/>
      <c r="E97" s="52">
        <f ca="1">((100/(I85))*C97)/100</f>
        <v>0</v>
      </c>
      <c r="F97" s="159"/>
      <c r="G97" s="159"/>
      <c r="H97" s="159"/>
      <c r="I97" s="159"/>
    </row>
    <row r="98" spans="1:11" ht="21" hidden="1" x14ac:dyDescent="0.3">
      <c r="A98" s="159" t="s">
        <v>176</v>
      </c>
      <c r="B98" s="159"/>
      <c r="C98" s="157">
        <v>0</v>
      </c>
      <c r="D98" s="157"/>
      <c r="E98" s="52">
        <f ca="1">((100/(I85))*C98)/100</f>
        <v>0</v>
      </c>
      <c r="F98" s="159"/>
      <c r="G98" s="159"/>
      <c r="H98" s="159"/>
      <c r="I98" s="159"/>
    </row>
    <row r="99" spans="1:11" ht="21.6" hidden="1" thickBot="1" x14ac:dyDescent="0.35">
      <c r="A99" s="120" t="s">
        <v>75</v>
      </c>
      <c r="B99" s="120"/>
      <c r="C99" s="120"/>
      <c r="D99" s="120"/>
      <c r="E99" s="120"/>
      <c r="F99" s="120"/>
      <c r="G99" s="120"/>
      <c r="H99" s="120"/>
      <c r="I99" s="120"/>
    </row>
    <row r="100" spans="1:11" ht="28.5" hidden="1" customHeight="1" x14ac:dyDescent="0.4">
      <c r="A100" s="155" t="s">
        <v>244</v>
      </c>
      <c r="B100" s="155"/>
      <c r="C100" s="155"/>
      <c r="D100" s="156" t="s">
        <v>4</v>
      </c>
      <c r="E100" s="54" t="s">
        <v>148</v>
      </c>
      <c r="F100" s="157" t="s">
        <v>134</v>
      </c>
      <c r="G100" s="157"/>
      <c r="H100" s="54" t="s">
        <v>149</v>
      </c>
      <c r="I100" s="54" t="s">
        <v>150</v>
      </c>
      <c r="J100" s="55" t="str">
        <f ca="1">(IF(F103&gt;99%,"All work completed. Please provide OC.",IF(F103&gt;89.8%,"Plinth, RCC, Brick, Plaster, Flooring, Wooden, Plumbing, Electrification, etc., work Completed. Finishing work is in process.",IF(F103&lt;94%,(IF(C103=0,"Work not yet Started.",IF(E103=25%,"Piling work in process",IF(E103=50%,"Excavation work in process",IF(E103=100%,"Excavation work Completed. ","0")))&amp;(IF(C104=0%,"",IF(C104=K105,"Footing work is process",IF(C104=K106,"Footing work Completed",IF(C104=K107,"1st Basement Completed",IF(C104=K108,"1st &amp; 2nd Basement Completed",IF(C104=K109,"1st to 3rd Basement Completed",IF(C104=K110,"1st to 4th Basement Completed",IF(C104=K111,"Plinth work is process",IF(C104=K112,"Plinth work completed","0")))))))))))&amp;(IF(C105=(F101+H101+I101),", RCC Slab",IF(C105&gt;0,", RCC upto "&amp;C105&amp;" Slab",""))&amp;(IF(C106=I101,", Brickwork",IF(C106&gt;0,", Brickwork upto "&amp;C106&amp;" Floor",""))&amp;(IF(C107=I101,", Internal Plaster",IF(C107&gt;0,", Internal Plaster upto "&amp;C107&amp;" Floor",""))&amp;(IF(C108=I101,", External Plaster",IF(C108&gt;0,", External Plaster upto "&amp;C108&amp;" Floor",""))&amp;(IF(C109=I101,", External Plumbing, Elevation and Waterproofing",IF(C109&gt;0,", External Plumbing, Elevation and Waterproofing upto "&amp;C109&amp;" Floor",""))&amp;(IF(C110=I101,", Flooring &amp; Fitting",IF(C110&gt;0,", Flooring &amp; Fitting upto "&amp;C110&amp;" Floor",""))&amp;(IF(C111=I101,", Wooden Work",IF(C111&gt;0,", Wooden Work upto "&amp;C111&amp;" Floor",""))&amp;(IF(C112=I101,", Electrical &amp; Sanitary fittings",IF(C112&gt;0,", Electrical &amp; Sanitary fittings upto "&amp;C112&amp;" Floor",""))&amp;(IF(C113&gt;0,", Finishing upto "&amp;C113&amp;" Floor","")&amp;(IF(C105&gt;0.5," Completed",""))))))))))))))))</f>
        <v>Excavation work Completed. Plinth work completed, RCC upto 30 Slab, Brickwork upto 29 Floor, Internal Plaster upto 23.2 Floor, External Plaster upto 23.2 Floor Completed</v>
      </c>
      <c r="K100" s="38"/>
    </row>
    <row r="101" spans="1:11" ht="33" hidden="1" customHeight="1" x14ac:dyDescent="0.4">
      <c r="A101" s="155"/>
      <c r="B101" s="155"/>
      <c r="C101" s="155"/>
      <c r="D101" s="156"/>
      <c r="E101" s="54">
        <v>3</v>
      </c>
      <c r="F101" s="157">
        <v>1</v>
      </c>
      <c r="G101" s="157"/>
      <c r="H101" s="54">
        <v>0</v>
      </c>
      <c r="I101" s="54">
        <f ca="1">--TRIM(RIGHT(SUBSTITUTE(LEFT(A100,_xlfn.AGGREGATE(16,6,FIND({0,1,2,3,4,5,6,7,8,9},A100,ROW(INDIRECT("1:"&amp;LEN(A100)))),1))," ",REPT(" ",LEN(A100))),LEN(A100)))</f>
        <v>50</v>
      </c>
      <c r="J101" s="56" t="s">
        <v>154</v>
      </c>
      <c r="K101" s="38"/>
    </row>
    <row r="102" spans="1:11" ht="20.25" hidden="1" customHeight="1" x14ac:dyDescent="0.4">
      <c r="A102" s="158" t="s">
        <v>152</v>
      </c>
      <c r="B102" s="158"/>
      <c r="C102" s="158" t="s">
        <v>163</v>
      </c>
      <c r="D102" s="158"/>
      <c r="E102" s="53" t="s">
        <v>164</v>
      </c>
      <c r="F102" s="158" t="s">
        <v>153</v>
      </c>
      <c r="G102" s="158"/>
      <c r="H102" s="45" t="s">
        <v>151</v>
      </c>
      <c r="I102" s="45"/>
      <c r="J102" s="40" t="s">
        <v>165</v>
      </c>
      <c r="K102" s="39">
        <f ca="1">I101*25%</f>
        <v>12.5</v>
      </c>
    </row>
    <row r="103" spans="1:11" ht="20.25" hidden="1" customHeight="1" x14ac:dyDescent="0.4">
      <c r="A103" s="159" t="s">
        <v>166</v>
      </c>
      <c r="B103" s="159"/>
      <c r="C103" s="157">
        <f ca="1">K104</f>
        <v>50</v>
      </c>
      <c r="D103" s="157"/>
      <c r="E103" s="52">
        <f ca="1">((100/I101)*C103)/100</f>
        <v>1</v>
      </c>
      <c r="F103" s="159">
        <f ca="1">(((C103/I101*10)+(C104/I101*25)+(25/(F101+H101+I101)*C105)+(5/(I101)*C106)+(2.5/(I101)*C107)+(2.5/(I101)*C108)+(5/I101*C109)+(2.5/I101*C110)+(2.5/I101*C111)+(5/I101*C112)+(10/I101*C113)+(5/I101*C114))/100)</f>
        <v>0.54925882352941169</v>
      </c>
      <c r="G103" s="159"/>
      <c r="H103" s="159" t="str">
        <f ca="1">J100</f>
        <v>Excavation work Completed. Plinth work completed, RCC upto 30 Slab, Brickwork upto 29 Floor, Internal Plaster upto 23.2 Floor, External Plaster upto 23.2 Floor Completed</v>
      </c>
      <c r="I103" s="159"/>
      <c r="J103" s="40" t="s">
        <v>155</v>
      </c>
      <c r="K103" s="57">
        <f ca="1">I101*50%</f>
        <v>25</v>
      </c>
    </row>
    <row r="104" spans="1:11" ht="21" hidden="1" x14ac:dyDescent="0.4">
      <c r="A104" s="159" t="s">
        <v>135</v>
      </c>
      <c r="B104" s="159"/>
      <c r="C104" s="160">
        <f ca="1">K112</f>
        <v>50</v>
      </c>
      <c r="D104" s="157"/>
      <c r="E104" s="52">
        <f ca="1">((100/I101)*C104)/100</f>
        <v>1</v>
      </c>
      <c r="F104" s="159"/>
      <c r="G104" s="159"/>
      <c r="H104" s="159"/>
      <c r="I104" s="159"/>
      <c r="J104" s="40" t="s">
        <v>156</v>
      </c>
      <c r="K104" s="57">
        <f ca="1">I101</f>
        <v>50</v>
      </c>
    </row>
    <row r="105" spans="1:11" ht="21" hidden="1" customHeight="1" x14ac:dyDescent="0.4">
      <c r="A105" s="159" t="s">
        <v>167</v>
      </c>
      <c r="B105" s="159"/>
      <c r="C105" s="157">
        <v>30</v>
      </c>
      <c r="D105" s="157"/>
      <c r="E105" s="52">
        <f ca="1">((100/(F101+H101+I101))*C105)/100</f>
        <v>0.58823529411764708</v>
      </c>
      <c r="F105" s="159"/>
      <c r="G105" s="159"/>
      <c r="H105" s="159"/>
      <c r="I105" s="159"/>
      <c r="J105" s="40" t="s">
        <v>157</v>
      </c>
      <c r="K105" s="42">
        <f ca="1">(IF(E101&gt;1,(I101/(E101+2)),I101*0.2))</f>
        <v>10</v>
      </c>
    </row>
    <row r="106" spans="1:11" ht="21" hidden="1" customHeight="1" x14ac:dyDescent="0.4">
      <c r="A106" s="159" t="s">
        <v>168</v>
      </c>
      <c r="B106" s="159"/>
      <c r="C106" s="157">
        <f>C105-1</f>
        <v>29</v>
      </c>
      <c r="D106" s="157"/>
      <c r="E106" s="52">
        <f ca="1">((100/I101)*C106)/100</f>
        <v>0.57999999999999996</v>
      </c>
      <c r="F106" s="159"/>
      <c r="G106" s="159"/>
      <c r="H106" s="159"/>
      <c r="I106" s="159"/>
      <c r="J106" s="40" t="s">
        <v>158</v>
      </c>
      <c r="K106" s="42">
        <f ca="1">(IF(E101&gt;1,(I101/(E101+2)+K105),I101*0.2+K105))</f>
        <v>20</v>
      </c>
    </row>
    <row r="107" spans="1:11" ht="21" hidden="1" customHeight="1" x14ac:dyDescent="0.4">
      <c r="A107" s="161" t="s">
        <v>169</v>
      </c>
      <c r="B107" s="162"/>
      <c r="C107" s="160">
        <f>C106*0.8</f>
        <v>23.200000000000003</v>
      </c>
      <c r="D107" s="160"/>
      <c r="E107" s="52">
        <f ca="1">((100/I101)*C107)/100</f>
        <v>0.46400000000000008</v>
      </c>
      <c r="F107" s="159"/>
      <c r="G107" s="159"/>
      <c r="H107" s="159"/>
      <c r="I107" s="159"/>
      <c r="J107" s="40" t="s">
        <v>170</v>
      </c>
      <c r="K107" s="42">
        <f ca="1">(IF(E101&gt;1,(I101/(E101+2)+K106),0))</f>
        <v>30</v>
      </c>
    </row>
    <row r="108" spans="1:11" ht="21" hidden="1" customHeight="1" x14ac:dyDescent="0.4">
      <c r="A108" s="161" t="s">
        <v>239</v>
      </c>
      <c r="B108" s="162"/>
      <c r="C108" s="160">
        <f>C107</f>
        <v>23.200000000000003</v>
      </c>
      <c r="D108" s="160"/>
      <c r="E108" s="52">
        <f ca="1">((100/I101)*C108)/100</f>
        <v>0.46400000000000008</v>
      </c>
      <c r="F108" s="159"/>
      <c r="G108" s="159"/>
      <c r="H108" s="159"/>
      <c r="I108" s="159"/>
      <c r="J108" s="40" t="s">
        <v>171</v>
      </c>
      <c r="K108" s="42">
        <f ca="1">(IF(E101&gt;2,(I101/(E101+2)+K107),0))</f>
        <v>40</v>
      </c>
    </row>
    <row r="109" spans="1:11" ht="57.75" hidden="1" customHeight="1" x14ac:dyDescent="0.4">
      <c r="A109" s="161" t="s">
        <v>240</v>
      </c>
      <c r="B109" s="162"/>
      <c r="C109" s="157">
        <v>0</v>
      </c>
      <c r="D109" s="157"/>
      <c r="E109" s="52">
        <f ca="1">((100/(I101))*C109)/100</f>
        <v>0</v>
      </c>
      <c r="F109" s="159"/>
      <c r="G109" s="159"/>
      <c r="H109" s="159"/>
      <c r="I109" s="159"/>
      <c r="J109" s="40" t="s">
        <v>173</v>
      </c>
      <c r="K109" s="43">
        <f>(IF(E101&gt;3,(I101/(E101+2)+K108),0))</f>
        <v>0</v>
      </c>
    </row>
    <row r="110" spans="1:11" ht="45.75" hidden="1" customHeight="1" x14ac:dyDescent="0.4">
      <c r="A110" s="159" t="s">
        <v>172</v>
      </c>
      <c r="B110" s="159"/>
      <c r="C110" s="157">
        <v>0</v>
      </c>
      <c r="D110" s="157"/>
      <c r="E110" s="52">
        <f ca="1">((100/(I101))*C110)/100</f>
        <v>0</v>
      </c>
      <c r="F110" s="159"/>
      <c r="G110" s="159"/>
      <c r="H110" s="159"/>
      <c r="I110" s="159"/>
      <c r="J110" s="40" t="s">
        <v>174</v>
      </c>
      <c r="K110" s="42">
        <f>(IF(E101&gt;4,(I101/(E101+2)+K109),0))</f>
        <v>0</v>
      </c>
    </row>
    <row r="111" spans="1:11" ht="21" hidden="1" customHeight="1" x14ac:dyDescent="0.4">
      <c r="A111" s="159" t="s">
        <v>241</v>
      </c>
      <c r="B111" s="159"/>
      <c r="C111" s="157">
        <v>0</v>
      </c>
      <c r="D111" s="157"/>
      <c r="E111" s="52">
        <f ca="1">((100/I101)*C111)/100</f>
        <v>0</v>
      </c>
      <c r="F111" s="159"/>
      <c r="G111" s="159"/>
      <c r="H111" s="159"/>
      <c r="I111" s="159"/>
      <c r="J111" s="40" t="s">
        <v>159</v>
      </c>
      <c r="K111" s="42">
        <f>(IF(E101=1,(I101/(E101+3)+K106),IF(E101=0,(I101*0.3+K106),IF(E101&gt;1,0))))</f>
        <v>0</v>
      </c>
    </row>
    <row r="112" spans="1:11" ht="21.6" hidden="1" thickBot="1" x14ac:dyDescent="0.45">
      <c r="A112" s="159" t="s">
        <v>242</v>
      </c>
      <c r="B112" s="159"/>
      <c r="C112" s="157">
        <v>0</v>
      </c>
      <c r="D112" s="157"/>
      <c r="E112" s="52">
        <f ca="1">((100/I101)*C112)/100</f>
        <v>0</v>
      </c>
      <c r="F112" s="159"/>
      <c r="G112" s="159"/>
      <c r="H112" s="159"/>
      <c r="I112" s="159"/>
      <c r="J112" s="58" t="s">
        <v>160</v>
      </c>
      <c r="K112" s="44">
        <f ca="1">(IF(E101&gt;1.5,(I101/(E101+2)+K106+MAX(0,K107-K106)+MAX(0,K108-K107)+MAX(0,K109-K108)+MAX(0,K110-K109)+MAX(0,K111-K110)),IF(E101=1,(I101/(E101+3)+K111),IF(E101=0,I101*0.3+K111))))</f>
        <v>50</v>
      </c>
    </row>
    <row r="113" spans="1:12" ht="21" hidden="1" x14ac:dyDescent="0.3">
      <c r="A113" s="159" t="s">
        <v>175</v>
      </c>
      <c r="B113" s="159"/>
      <c r="C113" s="157">
        <v>0</v>
      </c>
      <c r="D113" s="157"/>
      <c r="E113" s="52">
        <f ca="1">((100/(I101))*C113)/100</f>
        <v>0</v>
      </c>
      <c r="F113" s="159"/>
      <c r="G113" s="159"/>
      <c r="H113" s="159"/>
      <c r="I113" s="159"/>
    </row>
    <row r="114" spans="1:12" ht="21" hidden="1" x14ac:dyDescent="0.3">
      <c r="A114" s="159" t="s">
        <v>176</v>
      </c>
      <c r="B114" s="159"/>
      <c r="C114" s="157">
        <v>0</v>
      </c>
      <c r="D114" s="157"/>
      <c r="E114" s="52">
        <f ca="1">((100/(I101))*C114)/100</f>
        <v>0</v>
      </c>
      <c r="F114" s="159"/>
      <c r="G114" s="159"/>
      <c r="H114" s="159"/>
      <c r="I114" s="159"/>
    </row>
    <row r="115" spans="1:12" ht="36.75" customHeight="1" x14ac:dyDescent="0.4">
      <c r="A115" s="87" t="s">
        <v>161</v>
      </c>
      <c r="B115" s="88"/>
      <c r="C115" s="88"/>
      <c r="D115" s="88"/>
      <c r="E115" s="88"/>
      <c r="F115" s="88"/>
      <c r="G115" s="88"/>
      <c r="H115" s="89">
        <f ca="1">AVERAGE(F55,F71)</f>
        <v>0.74148936170212765</v>
      </c>
      <c r="I115" s="90"/>
      <c r="J115" s="40"/>
      <c r="K115" s="41"/>
      <c r="L115" s="41"/>
    </row>
    <row r="116" spans="1:12" ht="21" x14ac:dyDescent="0.3">
      <c r="A116" s="91" t="s">
        <v>79</v>
      </c>
      <c r="B116" s="92"/>
      <c r="C116" s="92"/>
      <c r="D116" s="92"/>
      <c r="E116" s="92"/>
      <c r="F116" s="92"/>
      <c r="G116" s="92"/>
      <c r="H116" s="92"/>
      <c r="I116" s="93"/>
    </row>
    <row r="117" spans="1:12" ht="63" x14ac:dyDescent="0.3">
      <c r="A117" s="94" t="s">
        <v>80</v>
      </c>
      <c r="B117" s="94"/>
      <c r="C117" s="94"/>
      <c r="D117" s="3" t="s">
        <v>4</v>
      </c>
      <c r="E117" s="15" t="s">
        <v>140</v>
      </c>
      <c r="F117" s="21" t="s">
        <v>177</v>
      </c>
      <c r="G117" s="3" t="s">
        <v>4</v>
      </c>
      <c r="H117" s="140" t="s">
        <v>235</v>
      </c>
      <c r="I117" s="140"/>
    </row>
    <row r="118" spans="1:12" ht="63" x14ac:dyDescent="0.3">
      <c r="A118" s="94" t="s">
        <v>191</v>
      </c>
      <c r="B118" s="94"/>
      <c r="C118" s="94"/>
      <c r="D118" s="2" t="s">
        <v>136</v>
      </c>
      <c r="E118" s="18" t="s">
        <v>237</v>
      </c>
      <c r="F118" s="21" t="s">
        <v>192</v>
      </c>
      <c r="G118" s="2" t="s">
        <v>4</v>
      </c>
      <c r="H118" s="83" t="s">
        <v>178</v>
      </c>
      <c r="I118" s="83"/>
    </row>
    <row r="119" spans="1:12" ht="26.25" customHeight="1" x14ac:dyDescent="0.3">
      <c r="A119" s="96" t="s">
        <v>83</v>
      </c>
      <c r="B119" s="96"/>
      <c r="C119" s="96"/>
      <c r="D119" s="3" t="s">
        <v>4</v>
      </c>
      <c r="E119" s="18" t="s">
        <v>231</v>
      </c>
      <c r="F119" s="3" t="s">
        <v>133</v>
      </c>
      <c r="G119" s="3" t="s">
        <v>4</v>
      </c>
      <c r="H119" s="141" t="s">
        <v>141</v>
      </c>
      <c r="I119" s="142"/>
    </row>
    <row r="120" spans="1:12" ht="21" hidden="1" x14ac:dyDescent="0.3">
      <c r="A120" s="94" t="s">
        <v>123</v>
      </c>
      <c r="B120" s="94"/>
      <c r="C120" s="94"/>
      <c r="D120" s="2" t="s">
        <v>4</v>
      </c>
      <c r="E120" s="18" t="s">
        <v>124</v>
      </c>
      <c r="F120" s="21" t="s">
        <v>125</v>
      </c>
      <c r="G120" s="2" t="s">
        <v>4</v>
      </c>
      <c r="H120" s="83" t="s">
        <v>102</v>
      </c>
      <c r="I120" s="83"/>
    </row>
    <row r="121" spans="1:12" ht="63" hidden="1" x14ac:dyDescent="0.3">
      <c r="A121" s="94" t="s">
        <v>126</v>
      </c>
      <c r="B121" s="94"/>
      <c r="C121" s="94"/>
      <c r="D121" s="2" t="s">
        <v>4</v>
      </c>
      <c r="E121" s="18" t="s">
        <v>127</v>
      </c>
      <c r="F121" s="21" t="s">
        <v>128</v>
      </c>
      <c r="G121" s="2" t="s">
        <v>4</v>
      </c>
      <c r="H121" s="83" t="s">
        <v>129</v>
      </c>
      <c r="I121" s="83"/>
    </row>
    <row r="122" spans="1:12" ht="21" hidden="1" x14ac:dyDescent="0.3">
      <c r="A122" s="94" t="s">
        <v>82</v>
      </c>
      <c r="B122" s="94"/>
      <c r="C122" s="94"/>
      <c r="D122" s="2" t="s">
        <v>4</v>
      </c>
      <c r="E122" s="18" t="s">
        <v>104</v>
      </c>
      <c r="F122" s="21" t="s">
        <v>81</v>
      </c>
      <c r="G122" s="2" t="s">
        <v>4</v>
      </c>
      <c r="H122" s="65" t="s">
        <v>104</v>
      </c>
      <c r="I122" s="66"/>
    </row>
    <row r="123" spans="1:12" ht="21" hidden="1" x14ac:dyDescent="0.3">
      <c r="A123" s="94" t="s">
        <v>130</v>
      </c>
      <c r="B123" s="94"/>
      <c r="C123" s="94"/>
      <c r="D123" s="2" t="s">
        <v>4</v>
      </c>
      <c r="E123" s="18" t="s">
        <v>103</v>
      </c>
      <c r="F123" s="21" t="s">
        <v>83</v>
      </c>
      <c r="G123" s="2" t="s">
        <v>4</v>
      </c>
      <c r="H123" s="83" t="s">
        <v>122</v>
      </c>
      <c r="I123" s="83"/>
    </row>
    <row r="124" spans="1:12" ht="21" hidden="1" x14ac:dyDescent="0.3">
      <c r="A124" s="94" t="s">
        <v>131</v>
      </c>
      <c r="B124" s="94"/>
      <c r="C124" s="94"/>
      <c r="D124" s="2" t="s">
        <v>4</v>
      </c>
      <c r="E124" s="19" t="s">
        <v>115</v>
      </c>
      <c r="F124" s="21" t="s">
        <v>132</v>
      </c>
      <c r="G124" s="2" t="s">
        <v>4</v>
      </c>
      <c r="H124" s="95" t="s">
        <v>115</v>
      </c>
      <c r="I124" s="95"/>
    </row>
    <row r="125" spans="1:12" ht="18" hidden="1" customHeight="1" x14ac:dyDescent="0.3">
      <c r="A125" s="96" t="s">
        <v>133</v>
      </c>
      <c r="B125" s="96"/>
      <c r="C125" s="96"/>
      <c r="D125" s="3" t="s">
        <v>4</v>
      </c>
      <c r="E125" s="10"/>
      <c r="F125" s="3" t="s">
        <v>133</v>
      </c>
      <c r="G125" s="3" t="s">
        <v>4</v>
      </c>
      <c r="H125" s="143" t="s">
        <v>115</v>
      </c>
      <c r="I125" s="144"/>
    </row>
    <row r="126" spans="1:12" ht="21" x14ac:dyDescent="0.3">
      <c r="A126" s="91" t="s">
        <v>78</v>
      </c>
      <c r="B126" s="92"/>
      <c r="C126" s="92"/>
      <c r="D126" s="92"/>
      <c r="E126" s="92"/>
      <c r="F126" s="92"/>
      <c r="G126" s="92"/>
      <c r="H126" s="92"/>
      <c r="I126" s="93"/>
    </row>
    <row r="127" spans="1:12" ht="21" x14ac:dyDescent="0.3">
      <c r="A127" s="84" t="s">
        <v>9</v>
      </c>
      <c r="B127" s="85"/>
      <c r="C127" s="85"/>
      <c r="D127" s="85"/>
      <c r="E127" s="85"/>
      <c r="F127" s="86"/>
      <c r="G127" s="2" t="s">
        <v>4</v>
      </c>
      <c r="H127" s="81">
        <f>39100/10.764</f>
        <v>3632.4786324786328</v>
      </c>
      <c r="I127" s="82"/>
    </row>
    <row r="128" spans="1:12" ht="21" x14ac:dyDescent="0.3">
      <c r="A128" s="84" t="s">
        <v>33</v>
      </c>
      <c r="B128" s="85"/>
      <c r="C128" s="85"/>
      <c r="D128" s="85"/>
      <c r="E128" s="85"/>
      <c r="F128" s="86"/>
      <c r="G128" s="2" t="s">
        <v>4</v>
      </c>
      <c r="H128" s="129">
        <f>116600/10.764</f>
        <v>10832.404310665181</v>
      </c>
      <c r="I128" s="129"/>
    </row>
    <row r="129" spans="1:151 16227:16384" ht="21" x14ac:dyDescent="0.3">
      <c r="A129" s="84" t="s">
        <v>142</v>
      </c>
      <c r="B129" s="85"/>
      <c r="C129" s="85"/>
      <c r="D129" s="85"/>
      <c r="E129" s="85"/>
      <c r="F129" s="86"/>
      <c r="G129" s="2" t="s">
        <v>4</v>
      </c>
      <c r="H129" s="129">
        <f>H127*0.8</f>
        <v>2905.9829059829062</v>
      </c>
      <c r="I129" s="129"/>
    </row>
    <row r="130" spans="1:151 16227:16384" ht="21" x14ac:dyDescent="0.3">
      <c r="A130" s="126" t="s">
        <v>87</v>
      </c>
      <c r="B130" s="127"/>
      <c r="C130" s="127"/>
      <c r="D130" s="127"/>
      <c r="E130" s="127"/>
      <c r="F130" s="127"/>
      <c r="G130" s="127"/>
      <c r="H130" s="127"/>
      <c r="I130" s="128"/>
    </row>
    <row r="131" spans="1:151 16227:16384" s="11" customFormat="1" ht="40.799999999999997" x14ac:dyDescent="0.3">
      <c r="A131" s="151" t="s">
        <v>187</v>
      </c>
      <c r="B131" s="152"/>
      <c r="C131" s="151" t="s">
        <v>188</v>
      </c>
      <c r="D131" s="152"/>
      <c r="E131" s="47" t="s">
        <v>189</v>
      </c>
      <c r="F131" s="151" t="s">
        <v>186</v>
      </c>
      <c r="G131" s="152"/>
      <c r="H131" s="47" t="s">
        <v>185</v>
      </c>
      <c r="I131" s="47" t="s">
        <v>184</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1" x14ac:dyDescent="0.3">
      <c r="A132" s="153" t="s">
        <v>224</v>
      </c>
      <c r="B132" s="154"/>
      <c r="C132" s="153" t="s">
        <v>100</v>
      </c>
      <c r="D132" s="154"/>
      <c r="E132" s="48" t="s">
        <v>228</v>
      </c>
      <c r="F132" s="153">
        <f>COUNT(F142:G149)*37+COUNT(F151:G152)*8+COUNT(F154:G158)*8</f>
        <v>352</v>
      </c>
      <c r="G132" s="154"/>
      <c r="H132" s="48">
        <f>SUM(F142:G149)*37+SUM(F151:G152)*8+SUM(F154:G158)*8</f>
        <v>224291.19023999997</v>
      </c>
      <c r="I132" s="48">
        <f>SUM(I142:I149)*37+SUM(I151:I152)*8+SUM(I154:I158)*8</f>
        <v>358865.90438399999</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1" x14ac:dyDescent="0.3">
      <c r="A133" s="153" t="s">
        <v>227</v>
      </c>
      <c r="B133" s="154"/>
      <c r="C133" s="153" t="s">
        <v>100</v>
      </c>
      <c r="D133" s="154"/>
      <c r="E133" s="48" t="s">
        <v>228</v>
      </c>
      <c r="F133" s="153">
        <f>COUNT(F165:G172)*37+COUNT(F174:G175)*8+COUNT(F177:G181)*8</f>
        <v>352</v>
      </c>
      <c r="G133" s="154"/>
      <c r="H133" s="48">
        <f>SUM(F165:G172)*37+SUM(F174:G175)*8+SUM(F177:G181)*8</f>
        <v>217431.50831999996</v>
      </c>
      <c r="I133" s="48">
        <f>SUM(I165:I172)*37+SUM(I174:I175)*8+SUM(I177:I181)*8</f>
        <v>347890.41331199993</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151" t="s">
        <v>190</v>
      </c>
      <c r="B134" s="152"/>
      <c r="C134" s="151" t="s">
        <v>100</v>
      </c>
      <c r="D134" s="152"/>
      <c r="E134" s="47" t="s">
        <v>228</v>
      </c>
      <c r="F134" s="151">
        <f>SUM(F132:G133)</f>
        <v>704</v>
      </c>
      <c r="G134" s="152"/>
      <c r="H134" s="47">
        <f>SUM(H132:H133)</f>
        <v>441722.69855999993</v>
      </c>
      <c r="I134" s="47">
        <f>SUM(I132:I133)</f>
        <v>706756.31769599998</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ht="21" x14ac:dyDescent="0.3">
      <c r="A135" s="137" t="s">
        <v>183</v>
      </c>
      <c r="B135" s="138"/>
      <c r="C135" s="138"/>
      <c r="D135" s="138"/>
      <c r="E135" s="138"/>
      <c r="F135" s="138"/>
      <c r="G135" s="138"/>
      <c r="H135" s="138"/>
      <c r="I135" s="128"/>
    </row>
    <row r="136" spans="1:151 16227:16384" ht="44.25" customHeight="1" x14ac:dyDescent="0.3">
      <c r="A136" s="150" t="s">
        <v>109</v>
      </c>
      <c r="B136" s="150"/>
      <c r="C136" s="150" t="s">
        <v>105</v>
      </c>
      <c r="D136" s="150"/>
      <c r="E136" s="150" t="s">
        <v>106</v>
      </c>
      <c r="F136" s="150" t="s">
        <v>107</v>
      </c>
      <c r="G136" s="150"/>
      <c r="H136" s="150" t="s">
        <v>108</v>
      </c>
      <c r="I136" s="36" t="s">
        <v>162</v>
      </c>
    </row>
    <row r="137" spans="1:151 16227:16384" s="11" customFormat="1" ht="21" x14ac:dyDescent="0.3">
      <c r="A137" s="150"/>
      <c r="B137" s="150"/>
      <c r="C137" s="150"/>
      <c r="D137" s="150"/>
      <c r="E137" s="150"/>
      <c r="F137" s="150"/>
      <c r="G137" s="150"/>
      <c r="H137" s="150"/>
      <c r="I137" s="37">
        <v>0.6</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1" x14ac:dyDescent="0.3">
      <c r="A138" s="67" t="s">
        <v>224</v>
      </c>
      <c r="B138" s="68"/>
      <c r="C138" s="68"/>
      <c r="D138" s="68"/>
      <c r="E138" s="68"/>
      <c r="F138" s="68"/>
      <c r="G138" s="68"/>
      <c r="H138" s="68"/>
      <c r="I138" s="69"/>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1" x14ac:dyDescent="0.3">
      <c r="A139" s="67" t="s">
        <v>216</v>
      </c>
      <c r="B139" s="68"/>
      <c r="C139" s="68"/>
      <c r="D139" s="68"/>
      <c r="E139" s="68"/>
      <c r="F139" s="68"/>
      <c r="G139" s="68"/>
      <c r="H139" s="68"/>
      <c r="I139" s="7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1" x14ac:dyDescent="0.3">
      <c r="A140" s="67" t="s">
        <v>217</v>
      </c>
      <c r="B140" s="68"/>
      <c r="C140" s="68"/>
      <c r="D140" s="68"/>
      <c r="E140" s="68"/>
      <c r="F140" s="68"/>
      <c r="G140" s="68"/>
      <c r="H140" s="68"/>
      <c r="I140" s="7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40.5" customHeight="1" x14ac:dyDescent="0.3">
      <c r="A141" s="67" t="s">
        <v>218</v>
      </c>
      <c r="B141" s="68"/>
      <c r="C141" s="68"/>
      <c r="D141" s="68"/>
      <c r="E141" s="68"/>
      <c r="F141" s="68"/>
      <c r="G141" s="68"/>
      <c r="H141" s="68"/>
      <c r="I141" s="7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
      <c r="A142" s="75" t="str">
        <f>A141</f>
        <v>1st to 6th, 8th to 11th, 13th to 16th, 18th to 21st, 23rd to 25th, 27th to 30th, 32nd to 35th, 37th to 40th &amp; 42nd to 45th Floor</v>
      </c>
      <c r="B142" s="76"/>
      <c r="C142" s="70">
        <v>1</v>
      </c>
      <c r="D142" s="70"/>
      <c r="E142" s="20" t="s">
        <v>219</v>
      </c>
      <c r="F142" s="71">
        <f>(57.35+3.05)*10.764</f>
        <v>650.14559999999994</v>
      </c>
      <c r="G142" s="72"/>
      <c r="H142" s="20">
        <v>0</v>
      </c>
      <c r="I142" s="20">
        <f>F142*(($I$137)+1)+H142</f>
        <v>1040.23296</v>
      </c>
      <c r="J142" s="1">
        <f>(3.05*5.52+2.14*2.925+2.75*3.2+3.05*3.35+2.29*1.375+1.375*2.36+1.22*0.6+1.8*0.6+0.9*4.1+0.75*2.14)</f>
        <v>55.613749999999989</v>
      </c>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3">
      <c r="A143" s="77"/>
      <c r="B143" s="78"/>
      <c r="C143" s="70">
        <f>C142+1</f>
        <v>2</v>
      </c>
      <c r="D143" s="70"/>
      <c r="E143" s="20" t="s">
        <v>220</v>
      </c>
      <c r="F143" s="71">
        <f>(39.74+2.75)*10.764</f>
        <v>457.36235999999997</v>
      </c>
      <c r="G143" s="72"/>
      <c r="H143" s="20">
        <v>0</v>
      </c>
      <c r="I143" s="20">
        <f t="shared" ref="I143:I149" si="0">F143*(($I$137)+1)+H143</f>
        <v>731.77977599999997</v>
      </c>
      <c r="J143" s="1">
        <f>11000000/F148</f>
        <v>16530.652458240267</v>
      </c>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
      <c r="A144" s="77"/>
      <c r="B144" s="78"/>
      <c r="C144" s="70">
        <f t="shared" ref="C144:C149" si="1">C143+1</f>
        <v>3</v>
      </c>
      <c r="D144" s="70"/>
      <c r="E144" s="20" t="s">
        <v>220</v>
      </c>
      <c r="F144" s="71">
        <f>(38.83+2.75)*10.764</f>
        <v>447.56711999999993</v>
      </c>
      <c r="G144" s="72"/>
      <c r="H144" s="20">
        <v>0</v>
      </c>
      <c r="I144" s="20">
        <f t="shared" si="0"/>
        <v>716.10739199999989</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3">
      <c r="A145" s="77"/>
      <c r="B145" s="78"/>
      <c r="C145" s="70">
        <f t="shared" si="1"/>
        <v>4</v>
      </c>
      <c r="D145" s="70"/>
      <c r="E145" s="20" t="s">
        <v>219</v>
      </c>
      <c r="F145" s="71">
        <f>(58.61+3.05)*10.764</f>
        <v>663.70823999999993</v>
      </c>
      <c r="G145" s="72"/>
      <c r="H145" s="20">
        <v>0</v>
      </c>
      <c r="I145" s="20">
        <f t="shared" si="0"/>
        <v>1061.933184</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3">
      <c r="A146" s="77"/>
      <c r="B146" s="78"/>
      <c r="C146" s="70">
        <f t="shared" si="1"/>
        <v>5</v>
      </c>
      <c r="D146" s="70"/>
      <c r="E146" s="20" t="s">
        <v>219</v>
      </c>
      <c r="F146" s="71">
        <f>(58.99+3.05)*10.764</f>
        <v>667.79855999999995</v>
      </c>
      <c r="G146" s="72"/>
      <c r="H146" s="20">
        <v>0</v>
      </c>
      <c r="I146" s="20">
        <f t="shared" si="0"/>
        <v>1068.4776959999999</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
      <c r="A147" s="77"/>
      <c r="B147" s="78"/>
      <c r="C147" s="70">
        <f t="shared" si="1"/>
        <v>6</v>
      </c>
      <c r="D147" s="70"/>
      <c r="E147" s="20" t="s">
        <v>221</v>
      </c>
      <c r="F147" s="71">
        <f>(77+3.05)*10.764</f>
        <v>861.65819999999997</v>
      </c>
      <c r="G147" s="72"/>
      <c r="H147" s="20">
        <v>0</v>
      </c>
      <c r="I147" s="20">
        <f t="shared" si="0"/>
        <v>1378.6531199999999</v>
      </c>
      <c r="J147" s="1">
        <f>17900000/F147</f>
        <v>20773.898513354834</v>
      </c>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
      <c r="A148" s="77"/>
      <c r="B148" s="78"/>
      <c r="C148" s="70">
        <f t="shared" si="1"/>
        <v>7</v>
      </c>
      <c r="D148" s="70"/>
      <c r="E148" s="20" t="s">
        <v>219</v>
      </c>
      <c r="F148" s="71">
        <f>(58.77+3.05)*10.764</f>
        <v>665.43047999999999</v>
      </c>
      <c r="G148" s="72"/>
      <c r="H148" s="20">
        <v>0</v>
      </c>
      <c r="I148" s="20">
        <f t="shared" si="0"/>
        <v>1064.688768</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79"/>
      <c r="B149" s="80"/>
      <c r="C149" s="70">
        <f t="shared" si="1"/>
        <v>8</v>
      </c>
      <c r="D149" s="70"/>
      <c r="E149" s="20" t="s">
        <v>219</v>
      </c>
      <c r="F149" s="71">
        <f>(57.35+3.05)*10.764</f>
        <v>650.14559999999994</v>
      </c>
      <c r="G149" s="72"/>
      <c r="H149" s="20">
        <v>0</v>
      </c>
      <c r="I149" s="20">
        <f t="shared" si="0"/>
        <v>1040.23296</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1" x14ac:dyDescent="0.3">
      <c r="A150" s="67" t="s">
        <v>222</v>
      </c>
      <c r="B150" s="68"/>
      <c r="C150" s="68"/>
      <c r="D150" s="68"/>
      <c r="E150" s="68"/>
      <c r="F150" s="68"/>
      <c r="G150" s="68"/>
      <c r="H150" s="68"/>
      <c r="I150" s="7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75" t="str">
        <f>A150</f>
        <v>7th, 12th, 17th, 22nd, 26th, 31st, 36th &amp; 41th Floor (Part Refuge Area)</v>
      </c>
      <c r="B151" s="76"/>
      <c r="C151" s="70">
        <v>1</v>
      </c>
      <c r="D151" s="70"/>
      <c r="E151" s="20" t="s">
        <v>219</v>
      </c>
      <c r="F151" s="71">
        <f>(57.35+3.05)*10.764</f>
        <v>650.14559999999994</v>
      </c>
      <c r="G151" s="72"/>
      <c r="H151" s="20">
        <v>0</v>
      </c>
      <c r="I151" s="20">
        <f>F151*(($I$137)+1)+H151</f>
        <v>1040.23296</v>
      </c>
      <c r="J151" s="1">
        <f>(3.05*5.52+2.14*2.925+2.75*3.2+3.05*3.35+2.29*1.375+1.375*2.36+1.22*0.6+1.8*0.6+1*3.05+0.9*4.1+0.75*2.14)</f>
        <v>58.663749999999986</v>
      </c>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3">
      <c r="A152" s="77"/>
      <c r="B152" s="78"/>
      <c r="C152" s="70">
        <f>C151+1</f>
        <v>2</v>
      </c>
      <c r="D152" s="70"/>
      <c r="E152" s="49" t="s">
        <v>220</v>
      </c>
      <c r="F152" s="71">
        <f>(39.74+2.75)*10.764</f>
        <v>457.36235999999997</v>
      </c>
      <c r="G152" s="72"/>
      <c r="H152" s="49">
        <v>0</v>
      </c>
      <c r="I152" s="49">
        <f t="shared" ref="I152:I158" si="2">F152*(($I$137)+1)+H152</f>
        <v>731.77977599999997</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
      <c r="A153" s="77"/>
      <c r="B153" s="78"/>
      <c r="C153" s="70">
        <f t="shared" ref="C153:C158" si="3">C152+1</f>
        <v>3</v>
      </c>
      <c r="D153" s="71"/>
      <c r="E153" s="71" t="s">
        <v>223</v>
      </c>
      <c r="F153" s="74"/>
      <c r="G153" s="74"/>
      <c r="H153" s="74"/>
      <c r="I153" s="74"/>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
      <c r="A154" s="77"/>
      <c r="B154" s="78"/>
      <c r="C154" s="70">
        <f t="shared" si="3"/>
        <v>4</v>
      </c>
      <c r="D154" s="70"/>
      <c r="E154" s="50" t="s">
        <v>219</v>
      </c>
      <c r="F154" s="71">
        <f>(58.61+3.05)*10.764</f>
        <v>663.70823999999993</v>
      </c>
      <c r="G154" s="72"/>
      <c r="H154" s="50">
        <v>0</v>
      </c>
      <c r="I154" s="50">
        <f t="shared" si="2"/>
        <v>1061.933184</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77"/>
      <c r="B155" s="78"/>
      <c r="C155" s="70">
        <f t="shared" si="3"/>
        <v>5</v>
      </c>
      <c r="D155" s="70"/>
      <c r="E155" s="20" t="s">
        <v>219</v>
      </c>
      <c r="F155" s="71">
        <f>(58.99+3.05)*10.764</f>
        <v>667.79855999999995</v>
      </c>
      <c r="G155" s="72"/>
      <c r="H155" s="20">
        <v>0</v>
      </c>
      <c r="I155" s="20">
        <f t="shared" si="2"/>
        <v>1068.4776959999999</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77"/>
      <c r="B156" s="78"/>
      <c r="C156" s="70">
        <f t="shared" si="3"/>
        <v>6</v>
      </c>
      <c r="D156" s="70"/>
      <c r="E156" s="20" t="s">
        <v>221</v>
      </c>
      <c r="F156" s="71">
        <f>(77+3.05)*10.764</f>
        <v>861.65819999999997</v>
      </c>
      <c r="G156" s="72"/>
      <c r="H156" s="20">
        <v>0</v>
      </c>
      <c r="I156" s="20">
        <f t="shared" si="2"/>
        <v>1378.6531199999999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77"/>
      <c r="B157" s="78"/>
      <c r="C157" s="70">
        <f t="shared" si="3"/>
        <v>7</v>
      </c>
      <c r="D157" s="70"/>
      <c r="E157" s="20" t="s">
        <v>219</v>
      </c>
      <c r="F157" s="71">
        <f>(58.77+3.05)*10.764</f>
        <v>665.43047999999999</v>
      </c>
      <c r="G157" s="72"/>
      <c r="H157" s="20">
        <v>0</v>
      </c>
      <c r="I157" s="20">
        <f t="shared" si="2"/>
        <v>1064.688768</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79"/>
      <c r="B158" s="80"/>
      <c r="C158" s="70">
        <f t="shared" si="3"/>
        <v>8</v>
      </c>
      <c r="D158" s="70"/>
      <c r="E158" s="20" t="s">
        <v>219</v>
      </c>
      <c r="F158" s="71">
        <f>(57.35+3.05)*10.764</f>
        <v>650.14559999999994</v>
      </c>
      <c r="G158" s="72"/>
      <c r="H158" s="20">
        <v>0</v>
      </c>
      <c r="I158" s="20">
        <f t="shared" si="2"/>
        <v>1040.23296</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1" x14ac:dyDescent="0.3">
      <c r="A159" s="67" t="s">
        <v>225</v>
      </c>
      <c r="B159" s="68"/>
      <c r="C159" s="68"/>
      <c r="D159" s="68"/>
      <c r="E159" s="68"/>
      <c r="F159" s="68"/>
      <c r="G159" s="68"/>
      <c r="H159" s="68"/>
      <c r="I159" s="69"/>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1" x14ac:dyDescent="0.3">
      <c r="A160" s="67" t="s">
        <v>226</v>
      </c>
      <c r="B160" s="68"/>
      <c r="C160" s="68"/>
      <c r="D160" s="68"/>
      <c r="E160" s="68"/>
      <c r="F160" s="68"/>
      <c r="G160" s="68"/>
      <c r="H160" s="68"/>
      <c r="I160" s="69"/>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x14ac:dyDescent="0.3">
      <c r="A161" s="67" t="s">
        <v>227</v>
      </c>
      <c r="B161" s="68"/>
      <c r="C161" s="68"/>
      <c r="D161" s="68"/>
      <c r="E161" s="68"/>
      <c r="F161" s="68"/>
      <c r="G161" s="68"/>
      <c r="H161" s="68"/>
      <c r="I161" s="69"/>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1" x14ac:dyDescent="0.3">
      <c r="A162" s="67" t="s">
        <v>216</v>
      </c>
      <c r="B162" s="68"/>
      <c r="C162" s="68"/>
      <c r="D162" s="68"/>
      <c r="E162" s="68"/>
      <c r="F162" s="68"/>
      <c r="G162" s="68"/>
      <c r="H162" s="68"/>
      <c r="I162" s="7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1" x14ac:dyDescent="0.3">
      <c r="A163" s="67" t="s">
        <v>217</v>
      </c>
      <c r="B163" s="68"/>
      <c r="C163" s="68"/>
      <c r="D163" s="68"/>
      <c r="E163" s="68"/>
      <c r="F163" s="68"/>
      <c r="G163" s="68"/>
      <c r="H163" s="68"/>
      <c r="I163" s="73"/>
      <c r="J163" s="1"/>
      <c r="K163" s="1">
        <f>3.05*5.52+2.14*2.425+2.6*2.7+2.9*3.35+1.375*2.36+2.29*1.375+0.9*4.1</f>
        <v>48.844249999999988</v>
      </c>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43.5" customHeight="1" x14ac:dyDescent="0.3">
      <c r="A164" s="67" t="s">
        <v>218</v>
      </c>
      <c r="B164" s="68"/>
      <c r="C164" s="68"/>
      <c r="D164" s="68"/>
      <c r="E164" s="68"/>
      <c r="F164" s="68"/>
      <c r="G164" s="68"/>
      <c r="H164" s="68"/>
      <c r="I164" s="7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75" t="str">
        <f>A164</f>
        <v>1st to 6th, 8th to 11th, 13th to 16th, 18th to 21st, 23rd to 25th, 27th to 30th, 32nd to 35th, 37th to 40th &amp; 42nd to 45th Floor</v>
      </c>
      <c r="B165" s="76"/>
      <c r="C165" s="70">
        <v>1</v>
      </c>
      <c r="D165" s="70"/>
      <c r="E165" s="20" t="s">
        <v>219</v>
      </c>
      <c r="F165" s="71">
        <f>(55.11+3.05)*10.764</f>
        <v>626.03423999999995</v>
      </c>
      <c r="G165" s="72"/>
      <c r="H165" s="20">
        <v>0</v>
      </c>
      <c r="I165" s="20">
        <f>F165*(($I$137)+1)+H165</f>
        <v>1001.6547839999999</v>
      </c>
      <c r="J165" s="1">
        <f>(3.05*5.52+2.14*2.425+2.6*2.7+2.9*3.35+1.375*2.36+2.29*1.375+0.9*4.1+1.07*0.6+1.8*0.6+0.7*2.14+1*3.05)</f>
        <v>55.114249999999984</v>
      </c>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3">
      <c r="A166" s="77"/>
      <c r="B166" s="78"/>
      <c r="C166" s="70">
        <f>C165+1</f>
        <v>2</v>
      </c>
      <c r="D166" s="70"/>
      <c r="E166" s="20" t="s">
        <v>220</v>
      </c>
      <c r="F166" s="71">
        <f>(38.83+2.75)*10.764</f>
        <v>447.56711999999993</v>
      </c>
      <c r="G166" s="72"/>
      <c r="H166" s="20">
        <v>0</v>
      </c>
      <c r="I166" s="20">
        <f t="shared" ref="I166:I172" si="4">F166*(($I$137)+1)+H166</f>
        <v>716.10739199999989</v>
      </c>
      <c r="J166" s="1">
        <f>11000000/F170</f>
        <v>16530.652458240267</v>
      </c>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77"/>
      <c r="B167" s="78"/>
      <c r="C167" s="70">
        <f t="shared" ref="C167:C172" si="5">C166+1</f>
        <v>3</v>
      </c>
      <c r="D167" s="70"/>
      <c r="E167" s="20" t="s">
        <v>220</v>
      </c>
      <c r="F167" s="71">
        <f>(39.74+2.75)*10.764</f>
        <v>457.36235999999997</v>
      </c>
      <c r="G167" s="72"/>
      <c r="H167" s="20">
        <v>0</v>
      </c>
      <c r="I167" s="20">
        <f t="shared" si="4"/>
        <v>731.77977599999997</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
      <c r="A168" s="77"/>
      <c r="B168" s="78"/>
      <c r="C168" s="70">
        <f t="shared" si="5"/>
        <v>4</v>
      </c>
      <c r="D168" s="70"/>
      <c r="E168" s="20" t="s">
        <v>219</v>
      </c>
      <c r="F168" s="71">
        <f>(53.85+3.05)*10.764</f>
        <v>612.47159999999997</v>
      </c>
      <c r="G168" s="72"/>
      <c r="H168" s="20">
        <v>0</v>
      </c>
      <c r="I168" s="20">
        <f t="shared" si="4"/>
        <v>979.95456000000001</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77"/>
      <c r="B169" s="78"/>
      <c r="C169" s="70">
        <f t="shared" si="5"/>
        <v>5</v>
      </c>
      <c r="D169" s="70"/>
      <c r="E169" s="20" t="s">
        <v>219</v>
      </c>
      <c r="F169" s="71">
        <f>(53.85+3.05)*10.764</f>
        <v>612.47159999999997</v>
      </c>
      <c r="G169" s="72"/>
      <c r="H169" s="20">
        <v>0</v>
      </c>
      <c r="I169" s="20">
        <f t="shared" si="4"/>
        <v>979.95456000000001</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77"/>
      <c r="B170" s="78"/>
      <c r="C170" s="70">
        <f t="shared" si="5"/>
        <v>6</v>
      </c>
      <c r="D170" s="70"/>
      <c r="E170" s="20" t="s">
        <v>219</v>
      </c>
      <c r="F170" s="71">
        <f>(58.77+3.05)*10.764</f>
        <v>665.43047999999999</v>
      </c>
      <c r="G170" s="72"/>
      <c r="H170" s="20">
        <v>0</v>
      </c>
      <c r="I170" s="20">
        <f t="shared" si="4"/>
        <v>1064.688768</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77"/>
      <c r="B171" s="78"/>
      <c r="C171" s="70">
        <f t="shared" si="5"/>
        <v>7</v>
      </c>
      <c r="D171" s="70"/>
      <c r="E171" s="20" t="s">
        <v>221</v>
      </c>
      <c r="F171" s="71">
        <f>(77+3.05)*10.764</f>
        <v>861.65819999999997</v>
      </c>
      <c r="G171" s="72"/>
      <c r="H171" s="20">
        <v>0</v>
      </c>
      <c r="I171" s="20">
        <f t="shared" si="4"/>
        <v>1378.6531199999999</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79"/>
      <c r="B172" s="80"/>
      <c r="C172" s="70">
        <f t="shared" si="5"/>
        <v>8</v>
      </c>
      <c r="D172" s="70"/>
      <c r="E172" s="20" t="s">
        <v>219</v>
      </c>
      <c r="F172" s="71">
        <f>(55.49+3.05)*10.764</f>
        <v>630.12455999999997</v>
      </c>
      <c r="G172" s="72"/>
      <c r="H172" s="20">
        <v>0</v>
      </c>
      <c r="I172" s="20">
        <f t="shared" si="4"/>
        <v>1008.199296</v>
      </c>
      <c r="J172" s="1" t="s">
        <v>236</v>
      </c>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1" x14ac:dyDescent="0.3">
      <c r="A173" s="67" t="s">
        <v>222</v>
      </c>
      <c r="B173" s="68"/>
      <c r="C173" s="68"/>
      <c r="D173" s="68"/>
      <c r="E173" s="68"/>
      <c r="F173" s="68"/>
      <c r="G173" s="68"/>
      <c r="H173" s="68"/>
      <c r="I173" s="7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75" t="str">
        <f>A173</f>
        <v>7th, 12th, 17th, 22nd, 26th, 31st, 36th &amp; 41th Floor (Part Refuge Area)</v>
      </c>
      <c r="B174" s="76"/>
      <c r="C174" s="70">
        <v>1</v>
      </c>
      <c r="D174" s="70"/>
      <c r="E174" s="20" t="s">
        <v>219</v>
      </c>
      <c r="F174" s="71">
        <f>(55.11+3.05)*10.764</f>
        <v>626.03423999999995</v>
      </c>
      <c r="G174" s="72"/>
      <c r="H174" s="20">
        <v>0</v>
      </c>
      <c r="I174" s="20">
        <f>F174*(($I$137)+1)+H174</f>
        <v>1001.6547839999999</v>
      </c>
      <c r="J174" s="1">
        <f>(3.05*5.52+2.14*2.925+2.75*3.2+3.05*3.35+2.29*1.375+1.375*2.36+1.22*0.6+1.8*0.6+1*3.05+0.9*4.1+0.75*2.14)</f>
        <v>58.663749999999986</v>
      </c>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77"/>
      <c r="B175" s="78"/>
      <c r="C175" s="70">
        <f>C174+1</f>
        <v>2</v>
      </c>
      <c r="D175" s="70"/>
      <c r="E175" s="49" t="s">
        <v>220</v>
      </c>
      <c r="F175" s="71">
        <f>(38.83+2.75)*10.764</f>
        <v>447.56711999999993</v>
      </c>
      <c r="G175" s="72"/>
      <c r="H175" s="49">
        <v>0</v>
      </c>
      <c r="I175" s="49">
        <f t="shared" ref="I175" si="6">F175*(($I$137)+1)+H175</f>
        <v>716.10739199999989</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77"/>
      <c r="B176" s="78"/>
      <c r="C176" s="70">
        <f t="shared" ref="C176:C181" si="7">C175+1</f>
        <v>3</v>
      </c>
      <c r="D176" s="71"/>
      <c r="E176" s="71" t="s">
        <v>223</v>
      </c>
      <c r="F176" s="74"/>
      <c r="G176" s="74"/>
      <c r="H176" s="74"/>
      <c r="I176" s="74"/>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77"/>
      <c r="B177" s="78"/>
      <c r="C177" s="70">
        <f t="shared" si="7"/>
        <v>4</v>
      </c>
      <c r="D177" s="70"/>
      <c r="E177" s="50" t="s">
        <v>219</v>
      </c>
      <c r="F177" s="71">
        <f>(53.85+3.05)*10.764</f>
        <v>612.47159999999997</v>
      </c>
      <c r="G177" s="72"/>
      <c r="H177" s="50">
        <v>0</v>
      </c>
      <c r="I177" s="50">
        <f t="shared" ref="I177:I181" si="8">F177*(($I$137)+1)+H177</f>
        <v>979.95456000000001</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77"/>
      <c r="B178" s="78"/>
      <c r="C178" s="70">
        <f t="shared" si="7"/>
        <v>5</v>
      </c>
      <c r="D178" s="70"/>
      <c r="E178" s="20" t="s">
        <v>219</v>
      </c>
      <c r="F178" s="71">
        <f>(53.85+3.05)*10.764</f>
        <v>612.47159999999997</v>
      </c>
      <c r="G178" s="72"/>
      <c r="H178" s="20">
        <v>0</v>
      </c>
      <c r="I178" s="20">
        <f t="shared" si="8"/>
        <v>979.95456000000001</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77"/>
      <c r="B179" s="78"/>
      <c r="C179" s="70">
        <f t="shared" si="7"/>
        <v>6</v>
      </c>
      <c r="D179" s="70"/>
      <c r="E179" s="20" t="s">
        <v>219</v>
      </c>
      <c r="F179" s="71">
        <f>(58.77+3.05)*10.764</f>
        <v>665.43047999999999</v>
      </c>
      <c r="G179" s="72"/>
      <c r="H179" s="20">
        <v>0</v>
      </c>
      <c r="I179" s="20">
        <f t="shared" si="8"/>
        <v>1064.688768</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
      <c r="A180" s="77"/>
      <c r="B180" s="78"/>
      <c r="C180" s="70">
        <f t="shared" si="7"/>
        <v>7</v>
      </c>
      <c r="D180" s="70"/>
      <c r="E180" s="20" t="s">
        <v>221</v>
      </c>
      <c r="F180" s="71">
        <f>(77+3.05)*10.764</f>
        <v>861.65819999999997</v>
      </c>
      <c r="G180" s="72"/>
      <c r="H180" s="20">
        <v>0</v>
      </c>
      <c r="I180" s="20">
        <f t="shared" si="8"/>
        <v>1378.6531199999999</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79"/>
      <c r="B181" s="80"/>
      <c r="C181" s="70">
        <f t="shared" si="7"/>
        <v>8</v>
      </c>
      <c r="D181" s="70"/>
      <c r="E181" s="20" t="s">
        <v>219</v>
      </c>
      <c r="F181" s="71">
        <f>(55.49+3.05)*10.764</f>
        <v>630.12455999999997</v>
      </c>
      <c r="G181" s="72"/>
      <c r="H181" s="20">
        <v>0</v>
      </c>
      <c r="I181" s="20">
        <f t="shared" si="8"/>
        <v>1008.199296</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1" x14ac:dyDescent="0.3">
      <c r="A182" s="67" t="s">
        <v>225</v>
      </c>
      <c r="B182" s="68"/>
      <c r="C182" s="68"/>
      <c r="D182" s="68"/>
      <c r="E182" s="68"/>
      <c r="F182" s="68"/>
      <c r="G182" s="68"/>
      <c r="H182" s="68"/>
      <c r="I182" s="6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1" x14ac:dyDescent="0.3">
      <c r="A183" s="67" t="s">
        <v>226</v>
      </c>
      <c r="B183" s="68"/>
      <c r="C183" s="68"/>
      <c r="D183" s="68"/>
      <c r="E183" s="68"/>
      <c r="F183" s="68"/>
      <c r="G183" s="68"/>
      <c r="H183" s="68"/>
      <c r="I183" s="6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ht="21" x14ac:dyDescent="0.3">
      <c r="A184" s="120" t="s">
        <v>76</v>
      </c>
      <c r="B184" s="120"/>
      <c r="C184" s="120"/>
      <c r="D184" s="120"/>
      <c r="E184" s="120"/>
      <c r="F184" s="120"/>
      <c r="G184" s="120"/>
      <c r="H184" s="120"/>
      <c r="I184" s="120"/>
    </row>
    <row r="185" spans="1:151 16227:16384" ht="172.8" customHeight="1" x14ac:dyDescent="0.3">
      <c r="A185" s="9" t="s">
        <v>84</v>
      </c>
      <c r="B185" s="12" t="s">
        <v>4</v>
      </c>
      <c r="C185" s="83" t="s">
        <v>255</v>
      </c>
      <c r="D185" s="83"/>
      <c r="E185" s="83"/>
      <c r="F185" s="83"/>
      <c r="G185" s="83"/>
      <c r="H185" s="83"/>
      <c r="I185" s="83"/>
    </row>
    <row r="186" spans="1:151 16227:16384" ht="21" x14ac:dyDescent="0.3">
      <c r="A186" s="110" t="s">
        <v>85</v>
      </c>
      <c r="B186" s="110"/>
      <c r="C186" s="110"/>
      <c r="D186" s="110"/>
      <c r="E186" s="110"/>
      <c r="F186" s="110"/>
      <c r="G186" s="110"/>
      <c r="H186" s="110"/>
      <c r="I186" s="110"/>
    </row>
    <row r="187" spans="1:151 16227:16384" ht="21" x14ac:dyDescent="0.3">
      <c r="A187" s="94" t="s">
        <v>77</v>
      </c>
      <c r="B187" s="94"/>
      <c r="C187" s="94"/>
      <c r="D187" s="2" t="s">
        <v>4</v>
      </c>
      <c r="E187" s="65" t="str">
        <f>E3</f>
        <v>Rustomjee La Familia A &amp; B Wing 
(Rustomjee Urbania)</v>
      </c>
      <c r="F187" s="107"/>
      <c r="G187" s="107"/>
      <c r="H187" s="107"/>
      <c r="I187" s="66"/>
    </row>
    <row r="188" spans="1:151 16227:16384" ht="40.5" customHeight="1" x14ac:dyDescent="0.3">
      <c r="A188" s="94" t="s">
        <v>137</v>
      </c>
      <c r="B188" s="94"/>
      <c r="C188" s="94"/>
      <c r="D188" s="2" t="s">
        <v>4</v>
      </c>
      <c r="E188" s="65" t="str">
        <f>E9</f>
        <v>Rustomjee Urbania, Eastern Express Hwy, Majiwada, Junction, Thane West, Mumbai, Maharashtra 400601</v>
      </c>
      <c r="F188" s="107"/>
      <c r="G188" s="107"/>
      <c r="H188" s="107"/>
      <c r="I188" s="66"/>
    </row>
    <row r="189" spans="1:151 16227:16384" ht="20.25" customHeight="1" x14ac:dyDescent="0.3">
      <c r="A189" s="121" t="s">
        <v>143</v>
      </c>
      <c r="B189" s="121"/>
      <c r="C189" s="121"/>
      <c r="D189" s="16" t="s">
        <v>4</v>
      </c>
      <c r="E189" s="122" t="str">
        <f>I3</f>
        <v>15/09/2025 @ 
02:00PM</v>
      </c>
      <c r="F189" s="123"/>
      <c r="G189" s="123"/>
      <c r="H189" s="123"/>
      <c r="I189" s="124"/>
    </row>
    <row r="190" spans="1:151 16227:16384" ht="21" x14ac:dyDescent="0.3">
      <c r="A190" s="30"/>
      <c r="B190" s="31"/>
      <c r="C190" s="31"/>
      <c r="D190" s="31"/>
      <c r="E190" s="31"/>
      <c r="F190" s="31"/>
      <c r="G190" s="31"/>
      <c r="H190" s="31"/>
      <c r="I190" s="25"/>
    </row>
    <row r="191" spans="1:151 16227:16384" ht="21" x14ac:dyDescent="0.3">
      <c r="A191" s="32"/>
      <c r="B191" s="33"/>
      <c r="C191" s="33"/>
      <c r="D191" s="33"/>
      <c r="E191" s="33"/>
      <c r="F191" s="33"/>
      <c r="G191" s="33"/>
      <c r="H191" s="33"/>
      <c r="I191" s="26"/>
    </row>
    <row r="192" spans="1:151 16227:16384" ht="21" x14ac:dyDescent="0.3">
      <c r="A192" s="32"/>
      <c r="B192" s="33"/>
      <c r="C192" s="33"/>
      <c r="D192" s="33"/>
      <c r="E192" s="33"/>
      <c r="F192" s="33"/>
      <c r="G192" s="33"/>
      <c r="H192" s="33"/>
      <c r="I192" s="26"/>
    </row>
    <row r="193" spans="1:9" ht="21" x14ac:dyDescent="0.3">
      <c r="A193" s="32"/>
      <c r="B193" s="33"/>
      <c r="C193" s="33"/>
      <c r="D193" s="33"/>
      <c r="E193" s="33"/>
      <c r="F193" s="33"/>
      <c r="G193" s="33"/>
      <c r="H193" s="33"/>
      <c r="I193" s="26"/>
    </row>
    <row r="194" spans="1:9" ht="21" x14ac:dyDescent="0.3">
      <c r="A194" s="32"/>
      <c r="B194" s="33"/>
      <c r="C194" s="33"/>
      <c r="D194" s="33"/>
      <c r="E194" s="33"/>
      <c r="F194" s="33"/>
      <c r="G194" s="33"/>
      <c r="H194" s="33"/>
      <c r="I194" s="26"/>
    </row>
    <row r="195" spans="1:9" ht="21" x14ac:dyDescent="0.3">
      <c r="A195" s="32"/>
      <c r="B195" s="33"/>
      <c r="C195" s="33"/>
      <c r="D195" s="33"/>
      <c r="E195" s="33"/>
      <c r="F195" s="33"/>
      <c r="G195" s="33"/>
      <c r="H195" s="33"/>
      <c r="I195" s="26"/>
    </row>
    <row r="196" spans="1:9" ht="21" x14ac:dyDescent="0.3">
      <c r="A196" s="32"/>
      <c r="B196" s="33"/>
      <c r="C196" s="33"/>
      <c r="D196" s="33"/>
      <c r="E196" s="33"/>
      <c r="F196" s="33"/>
      <c r="G196" s="33"/>
      <c r="H196" s="33"/>
      <c r="I196" s="26"/>
    </row>
    <row r="197" spans="1:9" ht="21" x14ac:dyDescent="0.3">
      <c r="A197" s="32"/>
      <c r="B197" s="33"/>
      <c r="C197" s="33"/>
      <c r="D197" s="33"/>
      <c r="E197" s="33"/>
      <c r="F197" s="33"/>
      <c r="G197" s="33"/>
      <c r="H197" s="33"/>
      <c r="I197" s="26"/>
    </row>
    <row r="198" spans="1:9" ht="21" x14ac:dyDescent="0.3">
      <c r="A198" s="32"/>
      <c r="B198" s="33"/>
      <c r="C198" s="33"/>
      <c r="D198" s="33"/>
      <c r="E198" s="33"/>
      <c r="F198" s="33"/>
      <c r="G198" s="33"/>
      <c r="H198" s="33"/>
      <c r="I198" s="26"/>
    </row>
    <row r="199" spans="1:9" ht="21" x14ac:dyDescent="0.3">
      <c r="A199" s="32"/>
      <c r="B199" s="33"/>
      <c r="C199" s="33"/>
      <c r="D199" s="33"/>
      <c r="E199" s="33"/>
      <c r="F199" s="33"/>
      <c r="G199" s="33"/>
      <c r="H199" s="33"/>
      <c r="I199" s="26"/>
    </row>
    <row r="200" spans="1:9" ht="21" x14ac:dyDescent="0.3">
      <c r="A200" s="32"/>
      <c r="B200" s="33"/>
      <c r="C200" s="33"/>
      <c r="D200" s="33"/>
      <c r="E200" s="33"/>
      <c r="F200" s="33"/>
      <c r="G200" s="33"/>
      <c r="H200" s="33"/>
      <c r="I200" s="26"/>
    </row>
    <row r="201" spans="1:9" ht="21" x14ac:dyDescent="0.3">
      <c r="A201" s="32"/>
      <c r="B201" s="33"/>
      <c r="C201" s="33"/>
      <c r="D201" s="33"/>
      <c r="E201" s="33"/>
      <c r="F201" s="33"/>
      <c r="G201" s="33"/>
      <c r="H201" s="33"/>
      <c r="I201" s="26"/>
    </row>
    <row r="202" spans="1:9" ht="21" x14ac:dyDescent="0.3">
      <c r="A202" s="32"/>
      <c r="B202" s="33"/>
      <c r="C202" s="33"/>
      <c r="D202" s="33"/>
      <c r="E202" s="33"/>
      <c r="F202" s="33"/>
      <c r="G202" s="33"/>
      <c r="H202" s="33"/>
      <c r="I202" s="26"/>
    </row>
    <row r="203" spans="1:9" ht="21" x14ac:dyDescent="0.3">
      <c r="A203" s="32"/>
      <c r="B203" s="33"/>
      <c r="C203" s="33"/>
      <c r="D203" s="33"/>
      <c r="E203" s="33"/>
      <c r="F203" s="33"/>
      <c r="G203" s="33"/>
      <c r="H203" s="33"/>
      <c r="I203" s="26"/>
    </row>
    <row r="204" spans="1:9" ht="21" x14ac:dyDescent="0.3">
      <c r="A204" s="32"/>
      <c r="B204" s="33"/>
      <c r="C204" s="33"/>
      <c r="D204" s="33"/>
      <c r="E204" s="33"/>
      <c r="F204" s="33"/>
      <c r="G204" s="33"/>
      <c r="H204" s="33"/>
      <c r="I204" s="26"/>
    </row>
    <row r="205" spans="1:9" ht="21" x14ac:dyDescent="0.3">
      <c r="A205" s="32"/>
      <c r="B205" s="33"/>
      <c r="C205" s="33"/>
      <c r="D205" s="33"/>
      <c r="E205" s="33"/>
      <c r="F205" s="33"/>
      <c r="G205" s="33"/>
      <c r="H205" s="33"/>
      <c r="I205" s="26"/>
    </row>
    <row r="206" spans="1:9" ht="21" x14ac:dyDescent="0.3">
      <c r="A206" s="32"/>
      <c r="B206" s="33"/>
      <c r="C206" s="33"/>
      <c r="D206" s="33"/>
      <c r="E206" s="33"/>
      <c r="F206" s="33"/>
      <c r="G206" s="33"/>
      <c r="H206" s="33"/>
      <c r="I206" s="26"/>
    </row>
    <row r="207" spans="1:9" ht="21" x14ac:dyDescent="0.3">
      <c r="A207" s="32"/>
      <c r="B207" s="33"/>
      <c r="C207" s="33"/>
      <c r="D207" s="33"/>
      <c r="E207" s="33"/>
      <c r="F207" s="33"/>
      <c r="G207" s="33"/>
      <c r="H207" s="33"/>
      <c r="I207" s="26"/>
    </row>
    <row r="208" spans="1:9" ht="21" x14ac:dyDescent="0.3">
      <c r="A208" s="32"/>
      <c r="B208" s="33"/>
      <c r="C208" s="33"/>
      <c r="D208" s="33"/>
      <c r="E208" s="33"/>
      <c r="F208" s="33"/>
      <c r="G208" s="33"/>
      <c r="H208" s="33"/>
      <c r="I208" s="26"/>
    </row>
    <row r="209" spans="1:9" ht="21" x14ac:dyDescent="0.3">
      <c r="A209" s="32"/>
      <c r="B209" s="33"/>
      <c r="C209" s="33"/>
      <c r="D209" s="33"/>
      <c r="E209" s="33"/>
      <c r="F209" s="33"/>
      <c r="G209" s="33"/>
      <c r="H209" s="33"/>
      <c r="I209" s="26"/>
    </row>
    <row r="210" spans="1:9" ht="21" x14ac:dyDescent="0.3">
      <c r="A210" s="32"/>
      <c r="B210" s="33"/>
      <c r="C210" s="33"/>
      <c r="D210" s="33"/>
      <c r="E210" s="33"/>
      <c r="F210" s="33"/>
      <c r="G210" s="33"/>
      <c r="H210" s="33"/>
      <c r="I210" s="26"/>
    </row>
    <row r="211" spans="1:9" ht="21" x14ac:dyDescent="0.3">
      <c r="A211" s="32"/>
      <c r="B211" s="33"/>
      <c r="C211" s="33"/>
      <c r="D211" s="33"/>
      <c r="E211" s="33"/>
      <c r="F211" s="33"/>
      <c r="G211" s="33"/>
      <c r="H211" s="33"/>
      <c r="I211" s="26"/>
    </row>
    <row r="212" spans="1:9" ht="21" x14ac:dyDescent="0.3">
      <c r="A212" s="32"/>
      <c r="B212" s="33"/>
      <c r="C212" s="33"/>
      <c r="D212" s="33"/>
      <c r="E212" s="33"/>
      <c r="F212" s="33"/>
      <c r="G212" s="33"/>
      <c r="H212" s="33"/>
      <c r="I212" s="26"/>
    </row>
    <row r="213" spans="1:9" ht="21" x14ac:dyDescent="0.3">
      <c r="A213" s="32"/>
      <c r="B213" s="33"/>
      <c r="C213" s="33"/>
      <c r="D213" s="33"/>
      <c r="E213" s="33"/>
      <c r="F213" s="33"/>
      <c r="G213" s="33"/>
      <c r="H213" s="33"/>
      <c r="I213" s="26"/>
    </row>
    <row r="214" spans="1:9" ht="21" x14ac:dyDescent="0.3">
      <c r="A214" s="32"/>
      <c r="B214" s="33"/>
      <c r="C214" s="33"/>
      <c r="D214" s="33"/>
      <c r="E214" s="33"/>
      <c r="F214" s="33"/>
      <c r="G214" s="33"/>
      <c r="H214" s="33"/>
      <c r="I214" s="26"/>
    </row>
    <row r="215" spans="1:9" ht="21" x14ac:dyDescent="0.3">
      <c r="A215" s="32"/>
      <c r="B215" s="33"/>
      <c r="C215" s="33"/>
      <c r="D215" s="33"/>
      <c r="E215" s="33"/>
      <c r="F215" s="33"/>
      <c r="G215" s="33"/>
      <c r="H215" s="33"/>
      <c r="I215" s="26"/>
    </row>
    <row r="216" spans="1:9" ht="21" x14ac:dyDescent="0.3">
      <c r="A216" s="32"/>
      <c r="B216" s="33"/>
      <c r="C216" s="33"/>
      <c r="D216" s="33"/>
      <c r="E216" s="33"/>
      <c r="F216" s="33"/>
      <c r="G216" s="33"/>
      <c r="H216" s="33"/>
      <c r="I216" s="26"/>
    </row>
    <row r="217" spans="1:9" ht="21" x14ac:dyDescent="0.3">
      <c r="A217" s="32"/>
      <c r="B217" s="33"/>
      <c r="C217" s="33"/>
      <c r="D217" s="33"/>
      <c r="E217" s="33"/>
      <c r="F217" s="33"/>
      <c r="G217" s="33"/>
      <c r="H217" s="33"/>
      <c r="I217" s="26"/>
    </row>
    <row r="218" spans="1:9" ht="21" x14ac:dyDescent="0.3">
      <c r="A218" s="32"/>
      <c r="B218" s="33"/>
      <c r="C218" s="33"/>
      <c r="D218" s="33"/>
      <c r="E218" s="33"/>
      <c r="F218" s="33"/>
      <c r="G218" s="33"/>
      <c r="H218" s="33"/>
      <c r="I218" s="26"/>
    </row>
    <row r="219" spans="1:9" ht="21" x14ac:dyDescent="0.3">
      <c r="A219" s="32"/>
      <c r="B219" s="33"/>
      <c r="C219" s="33"/>
      <c r="D219" s="33"/>
      <c r="E219" s="33"/>
      <c r="F219" s="33"/>
      <c r="G219" s="33"/>
      <c r="H219" s="33"/>
      <c r="I219" s="26"/>
    </row>
    <row r="220" spans="1:9" ht="21" x14ac:dyDescent="0.3">
      <c r="A220" s="32"/>
      <c r="B220" s="33"/>
      <c r="C220" s="33"/>
      <c r="D220" s="33"/>
      <c r="E220" s="33"/>
      <c r="F220" s="33"/>
      <c r="G220" s="33"/>
      <c r="H220" s="33"/>
      <c r="I220" s="26"/>
    </row>
    <row r="221" spans="1:9" ht="21" x14ac:dyDescent="0.3">
      <c r="A221" s="32"/>
      <c r="B221" s="33"/>
      <c r="C221" s="33"/>
      <c r="D221" s="33"/>
      <c r="E221" s="33"/>
      <c r="F221" s="33"/>
      <c r="G221" s="33"/>
      <c r="H221" s="33"/>
      <c r="I221" s="26"/>
    </row>
    <row r="222" spans="1:9" ht="21" x14ac:dyDescent="0.3">
      <c r="A222" s="32"/>
      <c r="B222" s="33"/>
      <c r="C222" s="33"/>
      <c r="D222" s="33"/>
      <c r="E222" s="33"/>
      <c r="F222" s="33"/>
      <c r="G222" s="33"/>
      <c r="H222" s="33"/>
      <c r="I222" s="26"/>
    </row>
    <row r="223" spans="1:9" ht="21" x14ac:dyDescent="0.3">
      <c r="A223" s="32"/>
      <c r="B223" s="33"/>
      <c r="C223" s="33"/>
      <c r="D223" s="33"/>
      <c r="E223" s="33"/>
      <c r="F223" s="33"/>
      <c r="G223" s="33"/>
      <c r="H223" s="33"/>
      <c r="I223" s="26"/>
    </row>
    <row r="224" spans="1:9" ht="21" x14ac:dyDescent="0.3">
      <c r="A224" s="32"/>
      <c r="B224" s="33"/>
      <c r="C224" s="33"/>
      <c r="D224" s="33"/>
      <c r="E224" s="33"/>
      <c r="F224" s="33"/>
      <c r="G224" s="33"/>
      <c r="H224" s="33"/>
      <c r="I224" s="26"/>
    </row>
    <row r="225" spans="1:9" ht="21" x14ac:dyDescent="0.3">
      <c r="A225" s="32"/>
      <c r="B225" s="33"/>
      <c r="C225" s="33"/>
      <c r="D225" s="33"/>
      <c r="E225" s="33"/>
      <c r="F225" s="33"/>
      <c r="G225" s="33"/>
      <c r="H225" s="33"/>
      <c r="I225" s="26"/>
    </row>
    <row r="226" spans="1:9" ht="21" x14ac:dyDescent="0.3">
      <c r="A226" s="32"/>
      <c r="B226" s="33"/>
      <c r="C226" s="33"/>
      <c r="D226" s="33"/>
      <c r="E226" s="33"/>
      <c r="F226" s="33"/>
      <c r="G226" s="33"/>
      <c r="H226" s="33"/>
      <c r="I226" s="26"/>
    </row>
    <row r="227" spans="1:9" ht="21" x14ac:dyDescent="0.3">
      <c r="A227" s="32"/>
      <c r="B227" s="33"/>
      <c r="C227" s="33"/>
      <c r="D227" s="33"/>
      <c r="E227" s="33"/>
      <c r="F227" s="33"/>
      <c r="G227" s="33"/>
      <c r="H227" s="33"/>
      <c r="I227" s="26"/>
    </row>
    <row r="228" spans="1:9" ht="21" x14ac:dyDescent="0.3">
      <c r="A228" s="32"/>
      <c r="B228" s="33"/>
      <c r="C228" s="33"/>
      <c r="D228" s="33"/>
      <c r="E228" s="33"/>
      <c r="F228" s="33"/>
      <c r="G228" s="33"/>
      <c r="H228" s="33"/>
      <c r="I228" s="26"/>
    </row>
    <row r="229" spans="1:9" ht="21" x14ac:dyDescent="0.3">
      <c r="A229" s="32"/>
      <c r="B229" s="33"/>
      <c r="C229" s="33"/>
      <c r="D229" s="33"/>
      <c r="E229" s="33"/>
      <c r="F229" s="33"/>
      <c r="G229" s="33"/>
      <c r="H229" s="33"/>
      <c r="I229" s="26"/>
    </row>
    <row r="230" spans="1:9" ht="21" x14ac:dyDescent="0.3">
      <c r="A230" s="32"/>
      <c r="B230" s="33"/>
      <c r="C230" s="33"/>
      <c r="D230" s="33"/>
      <c r="E230" s="33"/>
      <c r="F230" s="33"/>
      <c r="G230" s="33"/>
      <c r="H230" s="33"/>
      <c r="I230" s="26"/>
    </row>
    <row r="231" spans="1:9" ht="21" x14ac:dyDescent="0.3">
      <c r="A231" s="32"/>
      <c r="B231" s="33"/>
      <c r="C231" s="33"/>
      <c r="D231" s="33"/>
      <c r="E231" s="33"/>
      <c r="F231" s="33"/>
      <c r="G231" s="33"/>
      <c r="H231" s="33"/>
      <c r="I231" s="26"/>
    </row>
    <row r="232" spans="1:9" ht="21" x14ac:dyDescent="0.3">
      <c r="A232" s="32"/>
      <c r="B232" s="33"/>
      <c r="C232" s="33"/>
      <c r="D232" s="33"/>
      <c r="E232" s="33"/>
      <c r="F232" s="33"/>
      <c r="G232" s="33"/>
      <c r="H232" s="33"/>
      <c r="I232" s="26"/>
    </row>
    <row r="233" spans="1:9" ht="21" x14ac:dyDescent="0.3">
      <c r="A233" s="32"/>
      <c r="B233" s="33"/>
      <c r="C233" s="33"/>
      <c r="D233" s="33"/>
      <c r="E233" s="33"/>
      <c r="F233" s="33"/>
      <c r="G233" s="33"/>
      <c r="H233" s="33"/>
      <c r="I233" s="26"/>
    </row>
    <row r="234" spans="1:9" ht="21" x14ac:dyDescent="0.3">
      <c r="A234" s="32"/>
      <c r="B234" s="33"/>
      <c r="C234" s="33"/>
      <c r="D234" s="33"/>
      <c r="E234" s="33"/>
      <c r="F234" s="33"/>
      <c r="G234" s="33"/>
      <c r="H234" s="33"/>
      <c r="I234" s="26"/>
    </row>
    <row r="235" spans="1:9" ht="21" x14ac:dyDescent="0.3">
      <c r="A235" s="34"/>
      <c r="B235" s="35"/>
      <c r="C235" s="35"/>
      <c r="D235" s="35"/>
      <c r="E235" s="35"/>
      <c r="F235" s="35"/>
      <c r="G235" s="35"/>
      <c r="H235" s="35"/>
      <c r="I235" s="27"/>
    </row>
    <row r="236" spans="1:9" ht="21" x14ac:dyDescent="0.3">
      <c r="A236" s="91" t="s">
        <v>86</v>
      </c>
      <c r="B236" s="92"/>
      <c r="C236" s="92"/>
      <c r="D236" s="92"/>
      <c r="E236" s="92"/>
      <c r="F236" s="92"/>
      <c r="G236" s="92"/>
      <c r="H236" s="92"/>
      <c r="I236" s="93"/>
    </row>
    <row r="237" spans="1:9" ht="21" x14ac:dyDescent="0.3">
      <c r="A237" s="30"/>
      <c r="B237" s="31"/>
      <c r="C237" s="31"/>
      <c r="D237" s="31"/>
      <c r="E237" s="31"/>
      <c r="F237" s="31"/>
      <c r="G237" s="31"/>
      <c r="H237" s="31"/>
      <c r="I237" s="25"/>
    </row>
    <row r="238" spans="1:9" ht="21" x14ac:dyDescent="0.3">
      <c r="A238" s="32"/>
      <c r="B238" s="33"/>
      <c r="C238" s="33"/>
      <c r="D238" s="33"/>
      <c r="E238" s="33"/>
      <c r="F238" s="33"/>
      <c r="G238" s="33"/>
      <c r="H238" s="33"/>
      <c r="I238" s="26"/>
    </row>
    <row r="239" spans="1:9" ht="21" x14ac:dyDescent="0.3">
      <c r="A239" s="32"/>
      <c r="B239" s="33"/>
      <c r="C239" s="33"/>
      <c r="D239" s="33"/>
      <c r="E239" s="33"/>
      <c r="F239" s="33"/>
      <c r="G239" s="33"/>
      <c r="H239" s="33"/>
      <c r="I239" s="26"/>
    </row>
    <row r="240" spans="1:9" ht="21" x14ac:dyDescent="0.3">
      <c r="A240" s="32"/>
      <c r="B240" s="33"/>
      <c r="C240" s="33"/>
      <c r="D240" s="33"/>
      <c r="E240" s="33"/>
      <c r="F240" s="33"/>
      <c r="G240" s="33"/>
      <c r="H240" s="33"/>
      <c r="I240" s="26"/>
    </row>
    <row r="241" spans="1:9" ht="21" x14ac:dyDescent="0.3">
      <c r="A241" s="32"/>
      <c r="B241" s="33"/>
      <c r="C241" s="33"/>
      <c r="D241" s="33"/>
      <c r="E241" s="33"/>
      <c r="F241" s="33"/>
      <c r="G241" s="33"/>
      <c r="H241" s="33"/>
      <c r="I241" s="26"/>
    </row>
    <row r="242" spans="1:9" ht="21" x14ac:dyDescent="0.3">
      <c r="A242" s="32"/>
      <c r="B242" s="33"/>
      <c r="C242" s="33"/>
      <c r="D242" s="33"/>
      <c r="E242" s="33"/>
      <c r="F242" s="33"/>
      <c r="G242" s="33"/>
      <c r="H242" s="33"/>
      <c r="I242" s="26"/>
    </row>
    <row r="243" spans="1:9" ht="21" x14ac:dyDescent="0.3">
      <c r="A243" s="32"/>
      <c r="B243" s="33"/>
      <c r="C243" s="33"/>
      <c r="D243" s="33"/>
      <c r="E243" s="33"/>
      <c r="F243" s="33"/>
      <c r="G243" s="33"/>
      <c r="H243" s="33"/>
      <c r="I243" s="26"/>
    </row>
    <row r="244" spans="1:9" ht="21" x14ac:dyDescent="0.3">
      <c r="A244" s="32"/>
      <c r="B244" s="33"/>
      <c r="C244" s="33"/>
      <c r="D244" s="33"/>
      <c r="E244" s="33"/>
      <c r="F244" s="33"/>
      <c r="G244" s="33"/>
      <c r="H244" s="33"/>
      <c r="I244" s="26"/>
    </row>
    <row r="245" spans="1:9" ht="21" x14ac:dyDescent="0.3">
      <c r="A245" s="32"/>
      <c r="B245" s="33"/>
      <c r="C245" s="33"/>
      <c r="D245" s="33"/>
      <c r="E245" s="33"/>
      <c r="F245" s="33"/>
      <c r="G245" s="33"/>
      <c r="H245" s="33"/>
      <c r="I245" s="26"/>
    </row>
    <row r="246" spans="1:9" ht="21" x14ac:dyDescent="0.3">
      <c r="A246" s="32"/>
      <c r="B246" s="33"/>
      <c r="C246" s="33"/>
      <c r="D246" s="33"/>
      <c r="E246" s="33"/>
      <c r="F246" s="33"/>
      <c r="G246" s="33"/>
      <c r="H246" s="33"/>
      <c r="I246" s="26"/>
    </row>
    <row r="247" spans="1:9" ht="21" x14ac:dyDescent="0.3">
      <c r="A247" s="32"/>
      <c r="B247" s="33"/>
      <c r="C247" s="33"/>
      <c r="D247" s="33"/>
      <c r="E247" s="33"/>
      <c r="F247" s="33"/>
      <c r="G247" s="33"/>
      <c r="H247" s="33"/>
      <c r="I247" s="26"/>
    </row>
    <row r="248" spans="1:9" ht="21" x14ac:dyDescent="0.3">
      <c r="A248" s="32"/>
      <c r="B248" s="33"/>
      <c r="C248" s="33"/>
      <c r="D248" s="33"/>
      <c r="E248" s="33"/>
      <c r="F248" s="33"/>
      <c r="G248" s="33"/>
      <c r="H248" s="33"/>
      <c r="I248" s="26"/>
    </row>
    <row r="249" spans="1:9" ht="21" x14ac:dyDescent="0.3">
      <c r="A249" s="32"/>
      <c r="B249" s="33"/>
      <c r="C249" s="33"/>
      <c r="D249" s="33"/>
      <c r="E249" s="33"/>
      <c r="F249" s="33"/>
      <c r="G249" s="33"/>
      <c r="H249" s="33"/>
      <c r="I249" s="26"/>
    </row>
    <row r="250" spans="1:9" ht="21" x14ac:dyDescent="0.3">
      <c r="A250" s="32"/>
      <c r="B250" s="33"/>
      <c r="C250" s="33"/>
      <c r="D250" s="33"/>
      <c r="E250" s="33"/>
      <c r="F250" s="33"/>
      <c r="G250" s="33"/>
      <c r="H250" s="33"/>
      <c r="I250" s="26"/>
    </row>
    <row r="251" spans="1:9" ht="21" x14ac:dyDescent="0.3">
      <c r="A251" s="32"/>
      <c r="B251" s="33"/>
      <c r="C251" s="33"/>
      <c r="D251" s="33"/>
      <c r="E251" s="33"/>
      <c r="F251" s="33"/>
      <c r="G251" s="33"/>
      <c r="H251" s="33"/>
      <c r="I251" s="26"/>
    </row>
    <row r="252" spans="1:9" ht="21" x14ac:dyDescent="0.3">
      <c r="A252" s="32"/>
      <c r="B252" s="33"/>
      <c r="C252" s="33"/>
      <c r="D252" s="33"/>
      <c r="E252" s="33"/>
      <c r="F252" s="33"/>
      <c r="G252" s="33"/>
      <c r="H252" s="33"/>
      <c r="I252" s="26"/>
    </row>
    <row r="253" spans="1:9" ht="21" x14ac:dyDescent="0.3">
      <c r="A253" s="32"/>
      <c r="B253" s="33"/>
      <c r="C253" s="33"/>
      <c r="D253" s="33"/>
      <c r="E253" s="33"/>
      <c r="F253" s="33"/>
      <c r="G253" s="33"/>
      <c r="H253" s="33"/>
      <c r="I253" s="26"/>
    </row>
    <row r="254" spans="1:9" ht="21" x14ac:dyDescent="0.3">
      <c r="A254" s="32"/>
      <c r="B254" s="33"/>
      <c r="C254" s="33"/>
      <c r="D254" s="33"/>
      <c r="E254" s="33"/>
      <c r="F254" s="33"/>
      <c r="G254" s="33"/>
      <c r="H254" s="33"/>
      <c r="I254" s="26"/>
    </row>
    <row r="255" spans="1:9" ht="21" x14ac:dyDescent="0.3">
      <c r="A255" s="32"/>
      <c r="B255" s="33"/>
      <c r="C255" s="33"/>
      <c r="D255" s="33"/>
      <c r="E255" s="33"/>
      <c r="F255" s="33"/>
      <c r="G255" s="33"/>
      <c r="H255" s="33"/>
      <c r="I255" s="26"/>
    </row>
    <row r="256" spans="1:9" ht="21" x14ac:dyDescent="0.3">
      <c r="A256" s="32"/>
      <c r="B256" s="33"/>
      <c r="C256" s="33"/>
      <c r="D256" s="33"/>
      <c r="E256" s="33"/>
      <c r="F256" s="33"/>
      <c r="G256" s="33"/>
      <c r="H256" s="33"/>
      <c r="I256" s="26"/>
    </row>
    <row r="257" spans="1:9" ht="21" x14ac:dyDescent="0.3">
      <c r="A257" s="32"/>
      <c r="B257" s="33"/>
      <c r="C257" s="33"/>
      <c r="D257" s="33"/>
      <c r="E257" s="33"/>
      <c r="F257" s="33"/>
      <c r="G257" s="33"/>
      <c r="H257" s="33"/>
      <c r="I257" s="26"/>
    </row>
    <row r="258" spans="1:9" ht="21" x14ac:dyDescent="0.3">
      <c r="A258" s="32"/>
      <c r="B258" s="33"/>
      <c r="C258" s="33"/>
      <c r="D258" s="33"/>
      <c r="E258" s="33"/>
      <c r="F258" s="33"/>
      <c r="G258" s="33"/>
      <c r="H258" s="33"/>
      <c r="I258" s="26"/>
    </row>
    <row r="259" spans="1:9" ht="21" x14ac:dyDescent="0.3">
      <c r="A259" s="32"/>
      <c r="B259" s="33"/>
      <c r="C259" s="33"/>
      <c r="D259" s="33"/>
      <c r="E259" s="33"/>
      <c r="F259" s="33"/>
      <c r="G259" s="33"/>
      <c r="H259" s="33"/>
      <c r="I259" s="26"/>
    </row>
    <row r="260" spans="1:9" ht="21" x14ac:dyDescent="0.3">
      <c r="A260" s="32"/>
      <c r="B260" s="33"/>
      <c r="C260" s="33"/>
      <c r="D260" s="33"/>
      <c r="E260" s="33"/>
      <c r="F260" s="33"/>
      <c r="G260" s="33"/>
      <c r="H260" s="33"/>
      <c r="I260" s="26"/>
    </row>
    <row r="261" spans="1:9" ht="21" x14ac:dyDescent="0.3">
      <c r="A261" s="32"/>
      <c r="B261" s="33"/>
      <c r="C261" s="33"/>
      <c r="D261" s="33"/>
      <c r="E261" s="33"/>
      <c r="F261" s="33"/>
      <c r="G261" s="33"/>
      <c r="H261" s="33"/>
      <c r="I261" s="26"/>
    </row>
    <row r="262" spans="1:9" ht="21" x14ac:dyDescent="0.3">
      <c r="A262" s="32"/>
      <c r="B262" s="33"/>
      <c r="C262" s="33"/>
      <c r="D262" s="33"/>
      <c r="E262" s="33"/>
      <c r="F262" s="33"/>
      <c r="G262" s="33"/>
      <c r="H262" s="33"/>
      <c r="I262" s="26"/>
    </row>
    <row r="263" spans="1:9" ht="21" x14ac:dyDescent="0.3">
      <c r="A263" s="32"/>
      <c r="B263" s="33"/>
      <c r="C263" s="33"/>
      <c r="D263" s="33"/>
      <c r="E263" s="33"/>
      <c r="F263" s="33"/>
      <c r="G263" s="33"/>
      <c r="H263" s="33"/>
      <c r="I263" s="26"/>
    </row>
    <row r="264" spans="1:9" ht="21" x14ac:dyDescent="0.3">
      <c r="A264" s="32"/>
      <c r="B264" s="33"/>
      <c r="C264" s="33"/>
      <c r="D264" s="33"/>
      <c r="E264" s="33"/>
      <c r="F264" s="33"/>
      <c r="G264" s="33"/>
      <c r="H264" s="33"/>
      <c r="I264" s="26"/>
    </row>
    <row r="265" spans="1:9" ht="21" hidden="1" x14ac:dyDescent="0.3">
      <c r="A265" s="32"/>
      <c r="B265" s="33"/>
      <c r="C265" s="33"/>
      <c r="D265" s="33"/>
      <c r="E265" s="33"/>
      <c r="F265" s="33"/>
      <c r="G265" s="33"/>
      <c r="H265" s="33"/>
      <c r="I265" s="26"/>
    </row>
    <row r="266" spans="1:9" ht="21" hidden="1" x14ac:dyDescent="0.3">
      <c r="A266" s="32"/>
      <c r="B266" s="33"/>
      <c r="C266" s="33"/>
      <c r="D266" s="33"/>
      <c r="E266" s="33"/>
      <c r="F266" s="33"/>
      <c r="G266" s="33"/>
      <c r="H266" s="33"/>
      <c r="I266" s="26"/>
    </row>
    <row r="267" spans="1:9" ht="21" hidden="1" x14ac:dyDescent="0.3">
      <c r="A267" s="32"/>
      <c r="B267" s="33"/>
      <c r="C267" s="33"/>
      <c r="D267" s="33"/>
      <c r="E267" s="33"/>
      <c r="F267" s="33"/>
      <c r="G267" s="33"/>
      <c r="H267" s="33"/>
      <c r="I267" s="26"/>
    </row>
    <row r="268" spans="1:9" ht="21" hidden="1" x14ac:dyDescent="0.3">
      <c r="A268" s="32"/>
      <c r="B268" s="33"/>
      <c r="C268" s="33"/>
      <c r="D268" s="33"/>
      <c r="E268" s="33"/>
      <c r="F268" s="33"/>
      <c r="G268" s="33"/>
      <c r="H268" s="33"/>
      <c r="I268" s="26"/>
    </row>
    <row r="269" spans="1:9" ht="21" hidden="1" x14ac:dyDescent="0.3">
      <c r="A269" s="32"/>
      <c r="B269" s="33"/>
      <c r="C269" s="33"/>
      <c r="D269" s="33"/>
      <c r="E269" s="33"/>
      <c r="F269" s="33"/>
      <c r="G269" s="33"/>
      <c r="H269" s="33"/>
      <c r="I269" s="26"/>
    </row>
    <row r="270" spans="1:9" ht="21" hidden="1" x14ac:dyDescent="0.3">
      <c r="A270" s="32"/>
      <c r="B270" s="33"/>
      <c r="C270" s="33"/>
      <c r="D270" s="33"/>
      <c r="E270" s="33"/>
      <c r="F270" s="33"/>
      <c r="G270" s="33"/>
      <c r="H270" s="33"/>
      <c r="I270" s="26"/>
    </row>
    <row r="271" spans="1:9" ht="21" hidden="1" x14ac:dyDescent="0.3">
      <c r="A271" s="34"/>
      <c r="B271" s="35"/>
      <c r="C271" s="35"/>
      <c r="D271" s="35"/>
      <c r="E271" s="35"/>
      <c r="F271" s="35"/>
      <c r="G271" s="35"/>
      <c r="H271" s="35"/>
      <c r="I271" s="27"/>
    </row>
    <row r="272" spans="1:9" ht="21" x14ac:dyDescent="0.3">
      <c r="A272" s="120" t="s">
        <v>29</v>
      </c>
      <c r="B272" s="120"/>
      <c r="C272" s="120"/>
      <c r="D272" s="120"/>
      <c r="E272" s="120"/>
      <c r="F272" s="120"/>
      <c r="G272" s="120"/>
      <c r="H272" s="120"/>
      <c r="I272" s="120"/>
    </row>
    <row r="273" spans="1:9" ht="21" x14ac:dyDescent="0.3">
      <c r="A273" s="111" t="s">
        <v>88</v>
      </c>
      <c r="B273" s="112"/>
      <c r="C273" s="112"/>
      <c r="D273" s="112"/>
      <c r="E273" s="112"/>
      <c r="F273" s="112"/>
      <c r="G273" s="112"/>
      <c r="H273" s="112"/>
      <c r="I273" s="113"/>
    </row>
    <row r="274" spans="1:9" ht="21" x14ac:dyDescent="0.3">
      <c r="A274" s="114" t="s">
        <v>89</v>
      </c>
      <c r="B274" s="115"/>
      <c r="C274" s="115"/>
      <c r="D274" s="115"/>
      <c r="E274" s="115"/>
      <c r="F274" s="115"/>
      <c r="G274" s="115"/>
      <c r="H274" s="115"/>
      <c r="I274" s="116"/>
    </row>
    <row r="275" spans="1:9" ht="45" customHeight="1" x14ac:dyDescent="0.3">
      <c r="A275" s="114" t="s">
        <v>90</v>
      </c>
      <c r="B275" s="115"/>
      <c r="C275" s="115"/>
      <c r="D275" s="115"/>
      <c r="E275" s="115"/>
      <c r="F275" s="115"/>
      <c r="G275" s="115"/>
      <c r="H275" s="115"/>
      <c r="I275" s="116"/>
    </row>
    <row r="276" spans="1:9" ht="42.75" customHeight="1" x14ac:dyDescent="0.3">
      <c r="A276" s="114" t="s">
        <v>91</v>
      </c>
      <c r="B276" s="115"/>
      <c r="C276" s="115"/>
      <c r="D276" s="115"/>
      <c r="E276" s="115"/>
      <c r="F276" s="115"/>
      <c r="G276" s="115"/>
      <c r="H276" s="115"/>
      <c r="I276" s="116"/>
    </row>
    <row r="277" spans="1:9" ht="21" x14ac:dyDescent="0.3">
      <c r="A277" s="114" t="s">
        <v>92</v>
      </c>
      <c r="B277" s="115"/>
      <c r="C277" s="115"/>
      <c r="D277" s="115"/>
      <c r="E277" s="115"/>
      <c r="F277" s="115"/>
      <c r="G277" s="115"/>
      <c r="H277" s="115"/>
      <c r="I277" s="116"/>
    </row>
    <row r="278" spans="1:9" ht="21" x14ac:dyDescent="0.3">
      <c r="A278" s="114" t="s">
        <v>93</v>
      </c>
      <c r="B278" s="115"/>
      <c r="C278" s="115"/>
      <c r="D278" s="115"/>
      <c r="E278" s="115"/>
      <c r="F278" s="115"/>
      <c r="G278" s="115"/>
      <c r="H278" s="115"/>
      <c r="I278" s="116"/>
    </row>
    <row r="279" spans="1:9" ht="45" customHeight="1" x14ac:dyDescent="0.3">
      <c r="A279" s="114" t="s">
        <v>94</v>
      </c>
      <c r="B279" s="115"/>
      <c r="C279" s="115"/>
      <c r="D279" s="115"/>
      <c r="E279" s="115"/>
      <c r="F279" s="115"/>
      <c r="G279" s="115"/>
      <c r="H279" s="115"/>
      <c r="I279" s="116"/>
    </row>
    <row r="280" spans="1:9" ht="45" customHeight="1" x14ac:dyDescent="0.3">
      <c r="A280" s="114" t="s">
        <v>95</v>
      </c>
      <c r="B280" s="115"/>
      <c r="C280" s="115"/>
      <c r="D280" s="115"/>
      <c r="E280" s="115"/>
      <c r="F280" s="115"/>
      <c r="G280" s="115"/>
      <c r="H280" s="115"/>
      <c r="I280" s="116"/>
    </row>
    <row r="281" spans="1:9" ht="21" x14ac:dyDescent="0.3">
      <c r="A281" s="117" t="s">
        <v>96</v>
      </c>
      <c r="B281" s="118"/>
      <c r="C281" s="118"/>
      <c r="D281" s="118"/>
      <c r="E281" s="118"/>
      <c r="F281" s="118"/>
      <c r="G281" s="118"/>
      <c r="H281" s="118"/>
      <c r="I281" s="119"/>
    </row>
    <row r="282" spans="1:9" ht="70.5" customHeight="1" x14ac:dyDescent="0.3">
      <c r="A282" s="108" t="s">
        <v>35</v>
      </c>
      <c r="B282" s="108"/>
      <c r="C282" s="108"/>
      <c r="D282" s="2" t="s">
        <v>4</v>
      </c>
      <c r="E282" s="22" t="s">
        <v>232</v>
      </c>
      <c r="F282" s="13" t="s">
        <v>10</v>
      </c>
      <c r="G282" s="2" t="s">
        <v>4</v>
      </c>
      <c r="H282" s="109"/>
      <c r="I282" s="109"/>
    </row>
  </sheetData>
  <mergeCells count="379">
    <mergeCell ref="C77:D77"/>
    <mergeCell ref="A78:B78"/>
    <mergeCell ref="C78:D78"/>
    <mergeCell ref="A79:B79"/>
    <mergeCell ref="C79:D79"/>
    <mergeCell ref="A80:B80"/>
    <mergeCell ref="C72:D72"/>
    <mergeCell ref="A73:B73"/>
    <mergeCell ref="C73:D73"/>
    <mergeCell ref="A74:B74"/>
    <mergeCell ref="C74:D74"/>
    <mergeCell ref="A75:B75"/>
    <mergeCell ref="C75:D75"/>
    <mergeCell ref="A76:B76"/>
    <mergeCell ref="C76:D76"/>
    <mergeCell ref="C80:D80"/>
    <mergeCell ref="A81:B81"/>
    <mergeCell ref="C81:D81"/>
    <mergeCell ref="A82:B82"/>
    <mergeCell ref="C82:D82"/>
    <mergeCell ref="A64:B64"/>
    <mergeCell ref="C64:D64"/>
    <mergeCell ref="A65:B65"/>
    <mergeCell ref="C65:D65"/>
    <mergeCell ref="A66:B66"/>
    <mergeCell ref="C66:D66"/>
    <mergeCell ref="A67:I67"/>
    <mergeCell ref="A68:C69"/>
    <mergeCell ref="D68:D69"/>
    <mergeCell ref="F68:G68"/>
    <mergeCell ref="F69:G69"/>
    <mergeCell ref="A70:B70"/>
    <mergeCell ref="C70:D70"/>
    <mergeCell ref="F70:G70"/>
    <mergeCell ref="A71:B71"/>
    <mergeCell ref="C71:D71"/>
    <mergeCell ref="F71:G82"/>
    <mergeCell ref="H71:I82"/>
    <mergeCell ref="A72:B72"/>
    <mergeCell ref="A77:B77"/>
    <mergeCell ref="A59:B59"/>
    <mergeCell ref="C59:D59"/>
    <mergeCell ref="A60:B60"/>
    <mergeCell ref="C60:D60"/>
    <mergeCell ref="A61:B61"/>
    <mergeCell ref="C61:D61"/>
    <mergeCell ref="A62:B62"/>
    <mergeCell ref="C62:D62"/>
    <mergeCell ref="A63:B63"/>
    <mergeCell ref="C63:D63"/>
    <mergeCell ref="A102:B102"/>
    <mergeCell ref="C102:D102"/>
    <mergeCell ref="F102:G102"/>
    <mergeCell ref="A103:B103"/>
    <mergeCell ref="C103:D103"/>
    <mergeCell ref="F103:G114"/>
    <mergeCell ref="A51:I51"/>
    <mergeCell ref="A52:C53"/>
    <mergeCell ref="D52:D53"/>
    <mergeCell ref="F52:G52"/>
    <mergeCell ref="F53:G53"/>
    <mergeCell ref="A54:B54"/>
    <mergeCell ref="C54:D54"/>
    <mergeCell ref="F54:G54"/>
    <mergeCell ref="A55:B55"/>
    <mergeCell ref="C55:D55"/>
    <mergeCell ref="F55:G66"/>
    <mergeCell ref="H55:I66"/>
    <mergeCell ref="A56:B56"/>
    <mergeCell ref="C56:D56"/>
    <mergeCell ref="A57:B57"/>
    <mergeCell ref="C57:D57"/>
    <mergeCell ref="A58:B58"/>
    <mergeCell ref="C58:D58"/>
    <mergeCell ref="H103:I114"/>
    <mergeCell ref="A104:B104"/>
    <mergeCell ref="C104:D104"/>
    <mergeCell ref="A105:B105"/>
    <mergeCell ref="C105:D105"/>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97:B97"/>
    <mergeCell ref="C97:D97"/>
    <mergeCell ref="A98:B98"/>
    <mergeCell ref="C98:D98"/>
    <mergeCell ref="A99:I99"/>
    <mergeCell ref="A100:C101"/>
    <mergeCell ref="D100:D101"/>
    <mergeCell ref="F100:G100"/>
    <mergeCell ref="F101:G101"/>
    <mergeCell ref="A92:B92"/>
    <mergeCell ref="C92:D92"/>
    <mergeCell ref="A93:B93"/>
    <mergeCell ref="C93:D93"/>
    <mergeCell ref="A94:B94"/>
    <mergeCell ref="C94:D94"/>
    <mergeCell ref="A95:B95"/>
    <mergeCell ref="C95:D95"/>
    <mergeCell ref="A96:B96"/>
    <mergeCell ref="C96:D96"/>
    <mergeCell ref="C142:D142"/>
    <mergeCell ref="F142:G142"/>
    <mergeCell ref="F143:G143"/>
    <mergeCell ref="F151:G151"/>
    <mergeCell ref="A83:I83"/>
    <mergeCell ref="A84:C85"/>
    <mergeCell ref="D84:D85"/>
    <mergeCell ref="F84:G84"/>
    <mergeCell ref="F85:G85"/>
    <mergeCell ref="A86:B86"/>
    <mergeCell ref="C86:D86"/>
    <mergeCell ref="F86:G86"/>
    <mergeCell ref="A87:B87"/>
    <mergeCell ref="C87:D87"/>
    <mergeCell ref="F87:G98"/>
    <mergeCell ref="H87:I98"/>
    <mergeCell ref="A88:B88"/>
    <mergeCell ref="C88:D88"/>
    <mergeCell ref="A89:B89"/>
    <mergeCell ref="C89:D89"/>
    <mergeCell ref="A90:B90"/>
    <mergeCell ref="C90:D90"/>
    <mergeCell ref="A91:B91"/>
    <mergeCell ref="C91:D91"/>
    <mergeCell ref="C47:G47"/>
    <mergeCell ref="C48:G48"/>
    <mergeCell ref="C45:I45"/>
    <mergeCell ref="H33:I33"/>
    <mergeCell ref="C46:G46"/>
    <mergeCell ref="F152:G152"/>
    <mergeCell ref="H136:H137"/>
    <mergeCell ref="F136:G137"/>
    <mergeCell ref="E136:E137"/>
    <mergeCell ref="C136:D137"/>
    <mergeCell ref="A135:I135"/>
    <mergeCell ref="F131:G131"/>
    <mergeCell ref="F132:G132"/>
    <mergeCell ref="F133:G133"/>
    <mergeCell ref="F134:G134"/>
    <mergeCell ref="A131:B131"/>
    <mergeCell ref="C131:D131"/>
    <mergeCell ref="A132:B132"/>
    <mergeCell ref="C132:D132"/>
    <mergeCell ref="A133:B133"/>
    <mergeCell ref="C133:D133"/>
    <mergeCell ref="A134:B134"/>
    <mergeCell ref="C134:D134"/>
    <mergeCell ref="A136:B137"/>
    <mergeCell ref="A42:B42"/>
    <mergeCell ref="A43:B43"/>
    <mergeCell ref="E43:G43"/>
    <mergeCell ref="E42:G42"/>
    <mergeCell ref="C42:D42"/>
    <mergeCell ref="C43:D43"/>
    <mergeCell ref="C21:E21"/>
    <mergeCell ref="C22:E22"/>
    <mergeCell ref="C23:I23"/>
    <mergeCell ref="C26:E26"/>
    <mergeCell ref="G37:H37"/>
    <mergeCell ref="A38:C38"/>
    <mergeCell ref="A34:C34"/>
    <mergeCell ref="A39:C39"/>
    <mergeCell ref="A37:C37"/>
    <mergeCell ref="C185:I185"/>
    <mergeCell ref="A184:I184"/>
    <mergeCell ref="A116:I116"/>
    <mergeCell ref="A117:C117"/>
    <mergeCell ref="H117:I117"/>
    <mergeCell ref="H35:I35"/>
    <mergeCell ref="A35:C35"/>
    <mergeCell ref="H34:I34"/>
    <mergeCell ref="C145:D145"/>
    <mergeCell ref="F145:G145"/>
    <mergeCell ref="C146:D146"/>
    <mergeCell ref="F146:G146"/>
    <mergeCell ref="A141:I141"/>
    <mergeCell ref="C149:D149"/>
    <mergeCell ref="H119:I119"/>
    <mergeCell ref="A119:C119"/>
    <mergeCell ref="A129:F129"/>
    <mergeCell ref="H129:I129"/>
    <mergeCell ref="H125:I125"/>
    <mergeCell ref="A118:C118"/>
    <mergeCell ref="H118:I118"/>
    <mergeCell ref="A120:C120"/>
    <mergeCell ref="H120:I120"/>
    <mergeCell ref="A121:C121"/>
    <mergeCell ref="G3:H3"/>
    <mergeCell ref="G4:H4"/>
    <mergeCell ref="H42:I42"/>
    <mergeCell ref="A3:C3"/>
    <mergeCell ref="E3:F3"/>
    <mergeCell ref="A24:I24"/>
    <mergeCell ref="H25:I25"/>
    <mergeCell ref="G39:H39"/>
    <mergeCell ref="H20:I20"/>
    <mergeCell ref="H21:I21"/>
    <mergeCell ref="A9:A11"/>
    <mergeCell ref="E10:I10"/>
    <mergeCell ref="E11:I11"/>
    <mergeCell ref="H6:I6"/>
    <mergeCell ref="A5:I5"/>
    <mergeCell ref="A12:C12"/>
    <mergeCell ref="A32:I32"/>
    <mergeCell ref="H29:I29"/>
    <mergeCell ref="H28:I28"/>
    <mergeCell ref="A13:I13"/>
    <mergeCell ref="C25:E25"/>
    <mergeCell ref="C27:E27"/>
    <mergeCell ref="C28:E28"/>
    <mergeCell ref="H14:I14"/>
    <mergeCell ref="A1:I1"/>
    <mergeCell ref="A4:C4"/>
    <mergeCell ref="A187:C187"/>
    <mergeCell ref="H26:I26"/>
    <mergeCell ref="H27:I27"/>
    <mergeCell ref="A36:I36"/>
    <mergeCell ref="H49:I49"/>
    <mergeCell ref="A41:I41"/>
    <mergeCell ref="A44:I44"/>
    <mergeCell ref="A130:I130"/>
    <mergeCell ref="H128:I128"/>
    <mergeCell ref="A2:C2"/>
    <mergeCell ref="E2:F2"/>
    <mergeCell ref="A40:C40"/>
    <mergeCell ref="H40:I40"/>
    <mergeCell ref="E4:F4"/>
    <mergeCell ref="E12:I12"/>
    <mergeCell ref="A6:C6"/>
    <mergeCell ref="A7:C7"/>
    <mergeCell ref="A8:C8"/>
    <mergeCell ref="E8:I8"/>
    <mergeCell ref="H7:I7"/>
    <mergeCell ref="E9:I9"/>
    <mergeCell ref="G2:H2"/>
    <mergeCell ref="A282:C282"/>
    <mergeCell ref="H282:I282"/>
    <mergeCell ref="A186:I186"/>
    <mergeCell ref="E188:I188"/>
    <mergeCell ref="A273:I273"/>
    <mergeCell ref="A279:I279"/>
    <mergeCell ref="A280:I280"/>
    <mergeCell ref="A281:I281"/>
    <mergeCell ref="A274:I274"/>
    <mergeCell ref="A275:I275"/>
    <mergeCell ref="A276:I276"/>
    <mergeCell ref="A277:I277"/>
    <mergeCell ref="A188:C188"/>
    <mergeCell ref="A272:I272"/>
    <mergeCell ref="A278:I278"/>
    <mergeCell ref="A236:I236"/>
    <mergeCell ref="E187:I187"/>
    <mergeCell ref="A189:C189"/>
    <mergeCell ref="E189:I189"/>
    <mergeCell ref="H16:I16"/>
    <mergeCell ref="H17:I17"/>
    <mergeCell ref="H15:I15"/>
    <mergeCell ref="H18:I18"/>
    <mergeCell ref="H19:I19"/>
    <mergeCell ref="H30:I30"/>
    <mergeCell ref="H22:I22"/>
    <mergeCell ref="G38:H38"/>
    <mergeCell ref="C31:I31"/>
    <mergeCell ref="C14:E14"/>
    <mergeCell ref="C15:E15"/>
    <mergeCell ref="C16:E16"/>
    <mergeCell ref="C17:E17"/>
    <mergeCell ref="C18:E18"/>
    <mergeCell ref="C19:E19"/>
    <mergeCell ref="C20:E20"/>
    <mergeCell ref="A33:C33"/>
    <mergeCell ref="C29:E29"/>
    <mergeCell ref="C30:E30"/>
    <mergeCell ref="H127:I127"/>
    <mergeCell ref="H43:I43"/>
    <mergeCell ref="A128:F128"/>
    <mergeCell ref="A115:G115"/>
    <mergeCell ref="H115:I115"/>
    <mergeCell ref="C147:D147"/>
    <mergeCell ref="F147:G147"/>
    <mergeCell ref="A142:B149"/>
    <mergeCell ref="C148:D148"/>
    <mergeCell ref="F148:G148"/>
    <mergeCell ref="F149:G149"/>
    <mergeCell ref="A127:F127"/>
    <mergeCell ref="H50:I50"/>
    <mergeCell ref="A126:I126"/>
    <mergeCell ref="A122:C122"/>
    <mergeCell ref="H122:I122"/>
    <mergeCell ref="A123:C123"/>
    <mergeCell ref="H123:I123"/>
    <mergeCell ref="A124:C124"/>
    <mergeCell ref="H124:I124"/>
    <mergeCell ref="A125:C125"/>
    <mergeCell ref="C49:E49"/>
    <mergeCell ref="H121:I121"/>
    <mergeCell ref="C50:E50"/>
    <mergeCell ref="C152:D152"/>
    <mergeCell ref="E153:I153"/>
    <mergeCell ref="A160:I160"/>
    <mergeCell ref="A159:I159"/>
    <mergeCell ref="A138:I138"/>
    <mergeCell ref="A161:I161"/>
    <mergeCell ref="C156:D156"/>
    <mergeCell ref="F156:G156"/>
    <mergeCell ref="C157:D157"/>
    <mergeCell ref="F157:G157"/>
    <mergeCell ref="C158:D158"/>
    <mergeCell ref="F158:G158"/>
    <mergeCell ref="C153:D153"/>
    <mergeCell ref="C154:D154"/>
    <mergeCell ref="F154:G154"/>
    <mergeCell ref="C155:D155"/>
    <mergeCell ref="F155:G155"/>
    <mergeCell ref="A139:I139"/>
    <mergeCell ref="A140:I140"/>
    <mergeCell ref="A151:B158"/>
    <mergeCell ref="A150:I150"/>
    <mergeCell ref="C151:D151"/>
    <mergeCell ref="C143:D143"/>
    <mergeCell ref="F144:G144"/>
    <mergeCell ref="A164:I164"/>
    <mergeCell ref="C165:D165"/>
    <mergeCell ref="F165:G165"/>
    <mergeCell ref="C166:D166"/>
    <mergeCell ref="F166:G166"/>
    <mergeCell ref="A165:B172"/>
    <mergeCell ref="C167:D167"/>
    <mergeCell ref="F167:G167"/>
    <mergeCell ref="C168:D168"/>
    <mergeCell ref="F168:G168"/>
    <mergeCell ref="C169:D169"/>
    <mergeCell ref="F169:G169"/>
    <mergeCell ref="C170:D170"/>
    <mergeCell ref="F170:G170"/>
    <mergeCell ref="C171:D171"/>
    <mergeCell ref="F171:G171"/>
    <mergeCell ref="C172:D172"/>
    <mergeCell ref="F172:G172"/>
    <mergeCell ref="K4:L4"/>
    <mergeCell ref="A182:I182"/>
    <mergeCell ref="A183:I183"/>
    <mergeCell ref="C177:D177"/>
    <mergeCell ref="F177:G177"/>
    <mergeCell ref="C178:D178"/>
    <mergeCell ref="F178:G178"/>
    <mergeCell ref="C179:D179"/>
    <mergeCell ref="F179:G179"/>
    <mergeCell ref="A173:I173"/>
    <mergeCell ref="C174:D174"/>
    <mergeCell ref="F174:G174"/>
    <mergeCell ref="C175:D175"/>
    <mergeCell ref="F175:G175"/>
    <mergeCell ref="C176:D176"/>
    <mergeCell ref="E176:I176"/>
    <mergeCell ref="A174:B181"/>
    <mergeCell ref="C180:D180"/>
    <mergeCell ref="F180:G180"/>
    <mergeCell ref="C181:D181"/>
    <mergeCell ref="F181:G181"/>
    <mergeCell ref="C144:D144"/>
    <mergeCell ref="A162:I162"/>
    <mergeCell ref="A163:I163"/>
  </mergeCells>
  <hyperlinks>
    <hyperlink ref="J38" r:id="rId1" xr:uid="{DBAA1614-2BEB-45B6-99B9-876318D5E23B}"/>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50" max="16383" man="1"/>
    <brk id="185" max="8" man="1"/>
    <brk id="235"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2025-09-15T12:08:46Z</cp:lastPrinted>
  <dcterms:created xsi:type="dcterms:W3CDTF">2010-11-23T11:42:48Z</dcterms:created>
  <dcterms:modified xsi:type="dcterms:W3CDTF">2025-09-15T12:08:46Z</dcterms:modified>
</cp:coreProperties>
</file>