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60E2C2B7-60F8-42B4-B175-6519444874EE}"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 i="3" l="1"/>
  <c r="C18" i="3"/>
  <c r="I89" i="3"/>
  <c r="I88" i="3"/>
  <c r="G84" i="3"/>
  <c r="G83" i="3"/>
  <c r="G82" i="3"/>
  <c r="G81" i="3"/>
  <c r="D299" i="3"/>
  <c r="I264" i="3" l="1"/>
  <c r="E286" i="3"/>
  <c r="H286" i="3" s="1"/>
  <c r="E285" i="3"/>
  <c r="H285" i="3" s="1"/>
  <c r="E284" i="3"/>
  <c r="H284" i="3" s="1"/>
  <c r="E283" i="3"/>
  <c r="H283" i="3" s="1"/>
  <c r="E282" i="3"/>
  <c r="H282" i="3" s="1"/>
  <c r="E281" i="3"/>
  <c r="E280" i="3"/>
  <c r="H280" i="3" s="1"/>
  <c r="E279" i="3"/>
  <c r="E278" i="3"/>
  <c r="H278" i="3" s="1"/>
  <c r="E277" i="3"/>
  <c r="H277" i="3" s="1"/>
  <c r="E276" i="3"/>
  <c r="H276" i="3" s="1"/>
  <c r="E275" i="3"/>
  <c r="H275" i="3" s="1"/>
  <c r="E274" i="3"/>
  <c r="H274" i="3" s="1"/>
  <c r="E273" i="3"/>
  <c r="H273" i="3" s="1"/>
  <c r="E272" i="3"/>
  <c r="H272" i="3" s="1"/>
  <c r="E271" i="3"/>
  <c r="E270" i="3"/>
  <c r="H270" i="3" s="1"/>
  <c r="E269" i="3"/>
  <c r="H269" i="3" s="1"/>
  <c r="E268" i="3"/>
  <c r="H268" i="3" s="1"/>
  <c r="E267" i="3"/>
  <c r="H267" i="3" s="1"/>
  <c r="E266" i="3"/>
  <c r="H266" i="3" s="1"/>
  <c r="H281" i="3"/>
  <c r="H279" i="3"/>
  <c r="H271" i="3"/>
  <c r="E264" i="3"/>
  <c r="H264" i="3" s="1"/>
  <c r="E263" i="3"/>
  <c r="H263" i="3" s="1"/>
  <c r="E262" i="3"/>
  <c r="H262" i="3" s="1"/>
  <c r="E261" i="3"/>
  <c r="H261" i="3" s="1"/>
  <c r="E260" i="3"/>
  <c r="H260" i="3" s="1"/>
  <c r="E259" i="3"/>
  <c r="H259" i="3" s="1"/>
  <c r="E258" i="3"/>
  <c r="H258" i="3" s="1"/>
  <c r="E257" i="3"/>
  <c r="H257" i="3" s="1"/>
  <c r="E256" i="3"/>
  <c r="H256" i="3" s="1"/>
  <c r="E255" i="3"/>
  <c r="H255" i="3" s="1"/>
  <c r="E254" i="3"/>
  <c r="H254" i="3" s="1"/>
  <c r="E253" i="3"/>
  <c r="H253" i="3" s="1"/>
  <c r="E252" i="3"/>
  <c r="H252" i="3" s="1"/>
  <c r="E251" i="3"/>
  <c r="H251" i="3" s="1"/>
  <c r="E250" i="3"/>
  <c r="H250" i="3" s="1"/>
  <c r="E249" i="3"/>
  <c r="E248" i="3"/>
  <c r="E247" i="3"/>
  <c r="E246" i="3"/>
  <c r="E245" i="3"/>
  <c r="E244" i="3"/>
  <c r="E243" i="3"/>
  <c r="E242" i="3"/>
  <c r="I240" i="3"/>
  <c r="I191" i="3"/>
  <c r="E239" i="3"/>
  <c r="H239" i="3" s="1"/>
  <c r="E238" i="3"/>
  <c r="H238" i="3" s="1"/>
  <c r="E237" i="3"/>
  <c r="H237" i="3" s="1"/>
  <c r="E236" i="3"/>
  <c r="H236" i="3" s="1"/>
  <c r="E235" i="3"/>
  <c r="H235" i="3" s="1"/>
  <c r="E234" i="3"/>
  <c r="H234" i="3" s="1"/>
  <c r="E233" i="3"/>
  <c r="E232" i="3"/>
  <c r="H232" i="3" s="1"/>
  <c r="E231" i="3"/>
  <c r="H231" i="3" s="1"/>
  <c r="E230" i="3"/>
  <c r="H230" i="3" s="1"/>
  <c r="E229" i="3"/>
  <c r="H229" i="3" s="1"/>
  <c r="E228" i="3"/>
  <c r="H228" i="3" s="1"/>
  <c r="E227" i="3"/>
  <c r="H227" i="3" s="1"/>
  <c r="E226" i="3"/>
  <c r="H226" i="3" s="1"/>
  <c r="E225" i="3"/>
  <c r="H225" i="3" s="1"/>
  <c r="E224" i="3"/>
  <c r="H224" i="3" s="1"/>
  <c r="E223" i="3"/>
  <c r="H223" i="3" s="1"/>
  <c r="E222" i="3"/>
  <c r="H222" i="3" s="1"/>
  <c r="E221" i="3"/>
  <c r="H221" i="3" s="1"/>
  <c r="E220" i="3"/>
  <c r="H220" i="3" s="1"/>
  <c r="E219" i="3"/>
  <c r="H219" i="3" s="1"/>
  <c r="E218" i="3"/>
  <c r="H218" i="3" s="1"/>
  <c r="E217" i="3"/>
  <c r="E216" i="3"/>
  <c r="H216" i="3" s="1"/>
  <c r="E215" i="3"/>
  <c r="H215" i="3" s="1"/>
  <c r="E214" i="3"/>
  <c r="H214" i="3" s="1"/>
  <c r="E213" i="3"/>
  <c r="H213" i="3" s="1"/>
  <c r="E212" i="3"/>
  <c r="H212" i="3" s="1"/>
  <c r="E211" i="3"/>
  <c r="H211" i="3" s="1"/>
  <c r="E210" i="3"/>
  <c r="H210" i="3" s="1"/>
  <c r="E209" i="3"/>
  <c r="E208" i="3"/>
  <c r="H208" i="3" s="1"/>
  <c r="E207" i="3"/>
  <c r="H207" i="3" s="1"/>
  <c r="E206" i="3"/>
  <c r="H206" i="3" s="1"/>
  <c r="E205" i="3"/>
  <c r="H205" i="3" s="1"/>
  <c r="E204" i="3"/>
  <c r="H204" i="3" s="1"/>
  <c r="E203" i="3"/>
  <c r="H203" i="3" s="1"/>
  <c r="E202" i="3"/>
  <c r="H202" i="3" s="1"/>
  <c r="E201" i="3"/>
  <c r="E200" i="3"/>
  <c r="E199" i="3"/>
  <c r="E198" i="3"/>
  <c r="E197" i="3"/>
  <c r="E196" i="3"/>
  <c r="E195" i="3"/>
  <c r="E194" i="3"/>
  <c r="E193" i="3"/>
  <c r="H233" i="3"/>
  <c r="H217" i="3"/>
  <c r="H209" i="3"/>
  <c r="H201" i="3"/>
  <c r="E191" i="3"/>
  <c r="H191" i="3" s="1"/>
  <c r="E190" i="3"/>
  <c r="H190" i="3" s="1"/>
  <c r="E189" i="3"/>
  <c r="H189" i="3" s="1"/>
  <c r="E188" i="3"/>
  <c r="E187" i="3"/>
  <c r="H187" i="3" s="1"/>
  <c r="E186" i="3"/>
  <c r="H186" i="3" s="1"/>
  <c r="E185" i="3"/>
  <c r="H185" i="3" s="1"/>
  <c r="E184" i="3"/>
  <c r="H184" i="3" s="1"/>
  <c r="E183" i="3"/>
  <c r="H183" i="3" s="1"/>
  <c r="E182" i="3"/>
  <c r="H182" i="3" s="1"/>
  <c r="E181" i="3"/>
  <c r="H181" i="3" s="1"/>
  <c r="E180" i="3"/>
  <c r="H180" i="3" s="1"/>
  <c r="E179" i="3"/>
  <c r="H179" i="3" s="1"/>
  <c r="E178" i="3"/>
  <c r="H178" i="3" s="1"/>
  <c r="E177" i="3"/>
  <c r="H177" i="3" s="1"/>
  <c r="E176" i="3"/>
  <c r="H176" i="3" s="1"/>
  <c r="E175" i="3"/>
  <c r="H175" i="3" s="1"/>
  <c r="E174" i="3"/>
  <c r="H174" i="3" s="1"/>
  <c r="E173" i="3"/>
  <c r="H173" i="3" s="1"/>
  <c r="E172" i="3"/>
  <c r="H172" i="3" s="1"/>
  <c r="E171" i="3"/>
  <c r="H171" i="3" s="1"/>
  <c r="E170" i="3"/>
  <c r="H170" i="3" s="1"/>
  <c r="E169" i="3"/>
  <c r="H169" i="3" s="1"/>
  <c r="E168" i="3"/>
  <c r="H168" i="3" s="1"/>
  <c r="E167" i="3"/>
  <c r="H167" i="3" s="1"/>
  <c r="E166" i="3"/>
  <c r="H166" i="3" s="1"/>
  <c r="E165" i="3"/>
  <c r="H165" i="3" s="1"/>
  <c r="E164" i="3"/>
  <c r="H164" i="3" s="1"/>
  <c r="E163" i="3"/>
  <c r="H163" i="3" s="1"/>
  <c r="E162" i="3"/>
  <c r="H162" i="3" s="1"/>
  <c r="E161" i="3"/>
  <c r="H161" i="3" s="1"/>
  <c r="I161" i="3" s="1"/>
  <c r="E160" i="3"/>
  <c r="H160" i="3" s="1"/>
  <c r="E159" i="3"/>
  <c r="H159" i="3" s="1"/>
  <c r="E158" i="3"/>
  <c r="H158" i="3" s="1"/>
  <c r="E157" i="3"/>
  <c r="H157" i="3" s="1"/>
  <c r="E156" i="3"/>
  <c r="H156" i="3" s="1"/>
  <c r="E155" i="3"/>
  <c r="H155" i="3" s="1"/>
  <c r="E154" i="3"/>
  <c r="H154" i="3" s="1"/>
  <c r="E153" i="3"/>
  <c r="E152" i="3"/>
  <c r="E151" i="3"/>
  <c r="E150" i="3"/>
  <c r="E149" i="3"/>
  <c r="E148" i="3"/>
  <c r="E147" i="3"/>
  <c r="E146" i="3"/>
  <c r="H188" i="3"/>
  <c r="E144" i="3"/>
  <c r="H144" i="3" s="1"/>
  <c r="E143" i="3"/>
  <c r="H143" i="3" s="1"/>
  <c r="E142" i="3"/>
  <c r="H142" i="3" s="1"/>
  <c r="E141" i="3"/>
  <c r="H141" i="3" s="1"/>
  <c r="E140" i="3"/>
  <c r="H140" i="3" s="1"/>
  <c r="E139" i="3"/>
  <c r="H139" i="3" s="1"/>
  <c r="E138" i="3"/>
  <c r="H138" i="3" s="1"/>
  <c r="E137" i="3"/>
  <c r="H137" i="3" s="1"/>
  <c r="E136" i="3"/>
  <c r="H136" i="3" s="1"/>
  <c r="E135" i="3"/>
  <c r="H135" i="3" s="1"/>
  <c r="E134" i="3"/>
  <c r="H134" i="3" s="1"/>
  <c r="E133" i="3"/>
  <c r="H133" i="3" s="1"/>
  <c r="E132" i="3"/>
  <c r="H132" i="3" s="1"/>
  <c r="E131" i="3"/>
  <c r="H131" i="3" s="1"/>
  <c r="E130" i="3"/>
  <c r="H130" i="3" s="1"/>
  <c r="E129" i="3"/>
  <c r="H129" i="3" s="1"/>
  <c r="E128" i="3"/>
  <c r="H128" i="3" s="1"/>
  <c r="E127" i="3"/>
  <c r="H127" i="3" s="1"/>
  <c r="E126" i="3"/>
  <c r="H126" i="3" s="1"/>
  <c r="E125" i="3"/>
  <c r="H125" i="3" s="1"/>
  <c r="E124" i="3"/>
  <c r="E123" i="3"/>
  <c r="H123" i="3" s="1"/>
  <c r="E122" i="3"/>
  <c r="H122" i="3" s="1"/>
  <c r="E121" i="3"/>
  <c r="H121" i="3" s="1"/>
  <c r="E120" i="3"/>
  <c r="H120" i="3" s="1"/>
  <c r="E119" i="3"/>
  <c r="H119" i="3" s="1"/>
  <c r="E118" i="3"/>
  <c r="H118" i="3" s="1"/>
  <c r="E117" i="3"/>
  <c r="H117" i="3" s="1"/>
  <c r="E116" i="3"/>
  <c r="H116" i="3" s="1"/>
  <c r="E115" i="3"/>
  <c r="H115" i="3" s="1"/>
  <c r="E114" i="3"/>
  <c r="H114" i="3" s="1"/>
  <c r="E113" i="3"/>
  <c r="H113" i="3" s="1"/>
  <c r="E112" i="3"/>
  <c r="H112" i="3" s="1"/>
  <c r="E111" i="3"/>
  <c r="H111" i="3" s="1"/>
  <c r="I111" i="3" s="1"/>
  <c r="E110" i="3"/>
  <c r="H110" i="3" s="1"/>
  <c r="E109" i="3"/>
  <c r="H109" i="3" s="1"/>
  <c r="E108" i="3"/>
  <c r="E107" i="3"/>
  <c r="H107" i="3" s="1"/>
  <c r="E106" i="3"/>
  <c r="H106" i="3" s="1"/>
  <c r="E105" i="3"/>
  <c r="H105" i="3" s="1"/>
  <c r="E104" i="3"/>
  <c r="H104" i="3" s="1"/>
  <c r="E103" i="3"/>
  <c r="E102" i="3"/>
  <c r="E101" i="3"/>
  <c r="E100" i="3"/>
  <c r="E99" i="3"/>
  <c r="E98" i="3"/>
  <c r="E97" i="3"/>
  <c r="E96" i="3"/>
  <c r="H124" i="3"/>
  <c r="H108" i="3"/>
  <c r="U200" i="3"/>
  <c r="U281" i="3"/>
  <c r="V216" i="3"/>
  <c r="U208" i="3"/>
  <c r="U181" i="3"/>
  <c r="V265" i="3"/>
  <c r="U224" i="3"/>
  <c r="V249" i="3"/>
  <c r="U232" i="3"/>
  <c r="V281" i="3"/>
  <c r="U257" i="3"/>
  <c r="U265" i="3"/>
  <c r="V273" i="3"/>
  <c r="V163" i="3"/>
  <c r="U273" i="3"/>
  <c r="U249" i="3"/>
  <c r="V224" i="3"/>
  <c r="V200" i="3"/>
  <c r="U172" i="3"/>
  <c r="V232" i="3"/>
  <c r="U216" i="3"/>
  <c r="U163" i="3"/>
  <c r="V257" i="3"/>
  <c r="V172" i="3"/>
  <c r="V154" i="3"/>
  <c r="V208" i="3"/>
  <c r="U154" i="3"/>
  <c r="V181" i="3"/>
  <c r="E88" i="3" l="1"/>
  <c r="E89" i="3"/>
  <c r="T273" i="3"/>
  <c r="U274" i="3"/>
  <c r="T281" i="3"/>
  <c r="U282" i="3"/>
  <c r="V266" i="3"/>
  <c r="V267" i="3" s="1"/>
  <c r="V268" i="3" s="1"/>
  <c r="V269" i="3" s="1"/>
  <c r="V270" i="3" s="1"/>
  <c r="V271" i="3" s="1"/>
  <c r="V272" i="3" s="1"/>
  <c r="V274" i="3"/>
  <c r="V275" i="3" s="1"/>
  <c r="V276" i="3" s="1"/>
  <c r="V277" i="3" s="1"/>
  <c r="V278" i="3" s="1"/>
  <c r="V279" i="3" s="1"/>
  <c r="V280" i="3" s="1"/>
  <c r="V282" i="3"/>
  <c r="V283" i="3" s="1"/>
  <c r="V284" i="3" s="1"/>
  <c r="V285" i="3" s="1"/>
  <c r="V286" i="3" s="1"/>
  <c r="V287" i="3" s="1"/>
  <c r="T265" i="3"/>
  <c r="U266" i="3"/>
  <c r="T257" i="3"/>
  <c r="U258" i="3"/>
  <c r="V258" i="3"/>
  <c r="V259" i="3" s="1"/>
  <c r="V260" i="3" s="1"/>
  <c r="V261" i="3" s="1"/>
  <c r="V262" i="3" s="1"/>
  <c r="V263" i="3" s="1"/>
  <c r="U250" i="3"/>
  <c r="T249" i="3"/>
  <c r="V250" i="3"/>
  <c r="V251" i="3" s="1"/>
  <c r="V252" i="3" s="1"/>
  <c r="V253" i="3" s="1"/>
  <c r="V254" i="3" s="1"/>
  <c r="V255" i="3" s="1"/>
  <c r="V256" i="3" s="1"/>
  <c r="V225" i="3"/>
  <c r="V226" i="3" s="1"/>
  <c r="V227" i="3" s="1"/>
  <c r="V228" i="3" s="1"/>
  <c r="V229" i="3" s="1"/>
  <c r="V230" i="3" s="1"/>
  <c r="V231" i="3" s="1"/>
  <c r="U233" i="3"/>
  <c r="T232" i="3"/>
  <c r="T224" i="3"/>
  <c r="U225" i="3"/>
  <c r="V233" i="3"/>
  <c r="V234" i="3" s="1"/>
  <c r="V235" i="3" s="1"/>
  <c r="V236" i="3" s="1"/>
  <c r="V237" i="3" s="1"/>
  <c r="V238" i="3" s="1"/>
  <c r="V209" i="3"/>
  <c r="V210" i="3" s="1"/>
  <c r="V211" i="3" s="1"/>
  <c r="V212" i="3" s="1"/>
  <c r="V213" i="3" s="1"/>
  <c r="V214" i="3" s="1"/>
  <c r="V215" i="3" s="1"/>
  <c r="V217" i="3"/>
  <c r="V218" i="3" s="1"/>
  <c r="V219" i="3" s="1"/>
  <c r="V220" i="3" s="1"/>
  <c r="V221" i="3" s="1"/>
  <c r="V222" i="3" s="1"/>
  <c r="V223" i="3" s="1"/>
  <c r="U217" i="3"/>
  <c r="T216" i="3"/>
  <c r="T208" i="3"/>
  <c r="U209" i="3"/>
  <c r="U201" i="3"/>
  <c r="T200" i="3"/>
  <c r="V201" i="3"/>
  <c r="V202" i="3" s="1"/>
  <c r="V203" i="3" s="1"/>
  <c r="V204" i="3" s="1"/>
  <c r="V205" i="3" s="1"/>
  <c r="V206" i="3" s="1"/>
  <c r="V207" i="3" s="1"/>
  <c r="U182" i="3"/>
  <c r="T181" i="3"/>
  <c r="V182" i="3"/>
  <c r="V183" i="3" s="1"/>
  <c r="V184" i="3" s="1"/>
  <c r="V185" i="3" s="1"/>
  <c r="V186" i="3" s="1"/>
  <c r="V187" i="3" s="1"/>
  <c r="V188" i="3" s="1"/>
  <c r="V189" i="3" s="1"/>
  <c r="V190" i="3" s="1"/>
  <c r="U164" i="3"/>
  <c r="T163" i="3"/>
  <c r="U173" i="3"/>
  <c r="T172" i="3"/>
  <c r="V164" i="3"/>
  <c r="V165" i="3" s="1"/>
  <c r="V166" i="3" s="1"/>
  <c r="V167" i="3" s="1"/>
  <c r="V168" i="3" s="1"/>
  <c r="V169" i="3" s="1"/>
  <c r="V170" i="3" s="1"/>
  <c r="V171" i="3" s="1"/>
  <c r="V173" i="3"/>
  <c r="V174" i="3" s="1"/>
  <c r="V175" i="3" s="1"/>
  <c r="V176" i="3" s="1"/>
  <c r="V177" i="3" s="1"/>
  <c r="V178" i="3" s="1"/>
  <c r="V179" i="3" s="1"/>
  <c r="V180" i="3" s="1"/>
  <c r="U155" i="3"/>
  <c r="T154" i="3"/>
  <c r="V155" i="3"/>
  <c r="V156" i="3" s="1"/>
  <c r="V157" i="3" s="1"/>
  <c r="V158" i="3" s="1"/>
  <c r="V159" i="3" s="1"/>
  <c r="V160" i="3" s="1"/>
  <c r="V161" i="3" s="1"/>
  <c r="V162" i="3" s="1"/>
  <c r="C19" i="3"/>
  <c r="E90" i="3" l="1"/>
  <c r="U267" i="3"/>
  <c r="T266" i="3"/>
  <c r="U283" i="3"/>
  <c r="T282" i="3"/>
  <c r="U275" i="3"/>
  <c r="T274" i="3"/>
  <c r="T258" i="3"/>
  <c r="U259" i="3"/>
  <c r="U251" i="3"/>
  <c r="T250" i="3"/>
  <c r="U234" i="3"/>
  <c r="T233" i="3"/>
  <c r="T225" i="3"/>
  <c r="U226" i="3"/>
  <c r="U218" i="3"/>
  <c r="T217" i="3"/>
  <c r="T209" i="3"/>
  <c r="U210" i="3"/>
  <c r="U202" i="3"/>
  <c r="T201" i="3"/>
  <c r="U183" i="3"/>
  <c r="T182" i="3"/>
  <c r="T164" i="3"/>
  <c r="U165" i="3"/>
  <c r="U174" i="3"/>
  <c r="T173" i="3"/>
  <c r="U156" i="3"/>
  <c r="T155" i="3"/>
  <c r="D300" i="3"/>
  <c r="D298" i="3"/>
  <c r="H96" i="3"/>
  <c r="H97" i="3"/>
  <c r="H98" i="3"/>
  <c r="H99" i="3"/>
  <c r="H100" i="3"/>
  <c r="A58" i="3"/>
  <c r="U284" i="3" l="1"/>
  <c r="T283" i="3"/>
  <c r="U276" i="3"/>
  <c r="T275" i="3"/>
  <c r="U268" i="3"/>
  <c r="T267" i="3"/>
  <c r="T259" i="3"/>
  <c r="U260" i="3"/>
  <c r="U252" i="3"/>
  <c r="T251" i="3"/>
  <c r="U235" i="3"/>
  <c r="T234" i="3"/>
  <c r="U227" i="3"/>
  <c r="T226" i="3"/>
  <c r="T210" i="3"/>
  <c r="U211" i="3"/>
  <c r="U219" i="3"/>
  <c r="T218" i="3"/>
  <c r="U203" i="3"/>
  <c r="T202" i="3"/>
  <c r="T183" i="3"/>
  <c r="U184" i="3"/>
  <c r="U166" i="3"/>
  <c r="T165" i="3"/>
  <c r="U175" i="3"/>
  <c r="T174" i="3"/>
  <c r="U157" i="3"/>
  <c r="T156"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T276" i="3" l="1"/>
  <c r="U277" i="3"/>
  <c r="T268" i="3"/>
  <c r="U269" i="3"/>
  <c r="T284" i="3"/>
  <c r="U285" i="3"/>
  <c r="T260" i="3"/>
  <c r="U261" i="3"/>
  <c r="U253" i="3"/>
  <c r="T252" i="3"/>
  <c r="T227" i="3"/>
  <c r="U228" i="3"/>
  <c r="U236" i="3"/>
  <c r="T235" i="3"/>
  <c r="U220" i="3"/>
  <c r="T219" i="3"/>
  <c r="T211" i="3"/>
  <c r="U212" i="3"/>
  <c r="U204" i="3"/>
  <c r="T203" i="3"/>
  <c r="U185" i="3"/>
  <c r="T184" i="3"/>
  <c r="U176" i="3"/>
  <c r="T175" i="3"/>
  <c r="T166" i="3"/>
  <c r="U167" i="3"/>
  <c r="U158" i="3"/>
  <c r="T157" i="3"/>
  <c r="I42" i="6"/>
  <c r="H42" i="6" s="1"/>
  <c r="L42" i="6"/>
  <c r="K42" i="6" s="1"/>
  <c r="D42" i="6"/>
  <c r="D44" i="6" l="1"/>
  <c r="E44" i="6"/>
  <c r="T269" i="3"/>
  <c r="U270" i="3"/>
  <c r="T285" i="3"/>
  <c r="U286" i="3"/>
  <c r="T277" i="3"/>
  <c r="U278" i="3"/>
  <c r="T261" i="3"/>
  <c r="U262" i="3"/>
  <c r="U254" i="3"/>
  <c r="T253" i="3"/>
  <c r="U237" i="3"/>
  <c r="T236" i="3"/>
  <c r="T228" i="3"/>
  <c r="U229" i="3"/>
  <c r="U221" i="3"/>
  <c r="T220" i="3"/>
  <c r="T212" i="3"/>
  <c r="U213" i="3"/>
  <c r="U205" i="3"/>
  <c r="T204" i="3"/>
  <c r="U186" i="3"/>
  <c r="T185" i="3"/>
  <c r="U168" i="3"/>
  <c r="T167" i="3"/>
  <c r="U177" i="3"/>
  <c r="T176" i="3"/>
  <c r="U159" i="3"/>
  <c r="T158" i="3"/>
  <c r="C26" i="3"/>
  <c r="H249" i="3"/>
  <c r="H248" i="3"/>
  <c r="H247" i="3"/>
  <c r="H246" i="3"/>
  <c r="H245" i="3"/>
  <c r="I245" i="3" s="1"/>
  <c r="H244" i="3"/>
  <c r="H243" i="3"/>
  <c r="H242" i="3"/>
  <c r="H200" i="3"/>
  <c r="H199" i="3"/>
  <c r="H198" i="3"/>
  <c r="H197" i="3"/>
  <c r="H196" i="3"/>
  <c r="H195" i="3"/>
  <c r="H194" i="3"/>
  <c r="H193" i="3"/>
  <c r="H153" i="3"/>
  <c r="H152" i="3"/>
  <c r="I152" i="3" s="1"/>
  <c r="H151" i="3"/>
  <c r="I151" i="3" s="1"/>
  <c r="H150" i="3"/>
  <c r="H149" i="3"/>
  <c r="H148" i="3"/>
  <c r="H147" i="3"/>
  <c r="I147" i="3" s="1"/>
  <c r="H146" i="3"/>
  <c r="H101" i="3"/>
  <c r="H102" i="3"/>
  <c r="H103" i="3"/>
  <c r="G88" i="3" l="1"/>
  <c r="G89" i="3"/>
  <c r="U287" i="3"/>
  <c r="T287" i="3" s="1"/>
  <c r="T286" i="3"/>
  <c r="U279" i="3"/>
  <c r="T278" i="3"/>
  <c r="U271" i="3"/>
  <c r="T270" i="3"/>
  <c r="T262" i="3"/>
  <c r="U263" i="3"/>
  <c r="U255" i="3"/>
  <c r="T254" i="3"/>
  <c r="U238" i="3"/>
  <c r="T237" i="3"/>
  <c r="U230" i="3"/>
  <c r="T229" i="3"/>
  <c r="U214" i="3"/>
  <c r="T213" i="3"/>
  <c r="U222" i="3"/>
  <c r="T221" i="3"/>
  <c r="U206" i="3"/>
  <c r="T205" i="3"/>
  <c r="U187" i="3"/>
  <c r="T186" i="3"/>
  <c r="U178" i="3"/>
  <c r="T177" i="3"/>
  <c r="T168" i="3"/>
  <c r="U169" i="3"/>
  <c r="U160" i="3"/>
  <c r="T159" i="3"/>
  <c r="D59" i="3"/>
  <c r="G90" i="3" l="1"/>
  <c r="U272" i="3"/>
  <c r="T272" i="3" s="1"/>
  <c r="T271" i="3"/>
  <c r="U280" i="3"/>
  <c r="T280" i="3" s="1"/>
  <c r="T279" i="3"/>
  <c r="T263" i="3"/>
  <c r="U256" i="3"/>
  <c r="T256" i="3" s="1"/>
  <c r="T255" i="3"/>
  <c r="T230" i="3"/>
  <c r="U231" i="3"/>
  <c r="T231" i="3" s="1"/>
  <c r="T238" i="3"/>
  <c r="U223" i="3"/>
  <c r="T223" i="3" s="1"/>
  <c r="T222" i="3"/>
  <c r="T214" i="3"/>
  <c r="U215" i="3"/>
  <c r="T215" i="3" s="1"/>
  <c r="U207" i="3"/>
  <c r="T207" i="3" s="1"/>
  <c r="T206" i="3"/>
  <c r="U188" i="3"/>
  <c r="T187" i="3"/>
  <c r="U170" i="3"/>
  <c r="T169" i="3"/>
  <c r="U179" i="3"/>
  <c r="T178" i="3"/>
  <c r="U161" i="3"/>
  <c r="T160"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U189" i="3" l="1"/>
  <c r="T188" i="3"/>
  <c r="T170" i="3"/>
  <c r="U171" i="3"/>
  <c r="T171" i="3" s="1"/>
  <c r="U180" i="3"/>
  <c r="T180" i="3" s="1"/>
  <c r="T179" i="3"/>
  <c r="U162" i="3"/>
  <c r="T162" i="3" s="1"/>
  <c r="T161" i="3"/>
  <c r="F38" i="4"/>
  <c r="G38" i="4"/>
  <c r="E18" i="4"/>
  <c r="E15" i="4"/>
  <c r="E17" i="4"/>
  <c r="E11" i="4"/>
  <c r="K6" i="4"/>
  <c r="E9" i="4"/>
  <c r="K8" i="4"/>
  <c r="C7" i="4" s="1"/>
  <c r="E14" i="4"/>
  <c r="E12" i="4"/>
  <c r="E16" i="4"/>
  <c r="E10" i="4"/>
  <c r="K9" i="4"/>
  <c r="K10" i="4" s="1"/>
  <c r="K11" i="4" s="1"/>
  <c r="E13" i="4"/>
  <c r="K7" i="4"/>
  <c r="T189" i="3" l="1"/>
  <c r="U190" i="3"/>
  <c r="T190" i="3" s="1"/>
  <c r="K12" i="4"/>
  <c r="K16" i="4" s="1"/>
  <c r="C8" i="4" s="1"/>
  <c r="E8" i="4" s="1"/>
  <c r="E7" i="4"/>
  <c r="A97" i="3"/>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F7" i="4" l="1"/>
  <c r="J4" i="4" s="1"/>
  <c r="H7" i="4" s="1"/>
  <c r="G4" i="3" l="1"/>
  <c r="G85" i="3" l="1"/>
  <c r="J70" i="3"/>
  <c r="J69" i="3"/>
  <c r="H59" i="3"/>
  <c r="J65" i="3" l="1"/>
  <c r="C62" i="3" s="1"/>
  <c r="D68" i="3"/>
  <c r="D65" i="3"/>
  <c r="D63" i="3"/>
  <c r="J63" i="3"/>
  <c r="D72" i="3"/>
  <c r="D70" i="3"/>
  <c r="D67" i="3"/>
  <c r="D64" i="3"/>
  <c r="J64" i="3"/>
  <c r="C61" i="3" s="1"/>
  <c r="J62" i="3"/>
  <c r="D71" i="3"/>
  <c r="D69" i="3"/>
  <c r="D66" i="3"/>
  <c r="J66" i="3" l="1"/>
  <c r="J71" i="3" s="1"/>
  <c r="J67" i="3" l="1"/>
  <c r="J68" i="3" l="1"/>
  <c r="J72" i="3" l="1"/>
  <c r="V241" i="3"/>
  <c r="U145" i="3"/>
  <c r="V145" i="3"/>
  <c r="U241" i="3"/>
  <c r="U192" i="3"/>
  <c r="V192" i="3"/>
  <c r="D61" i="3" l="1"/>
  <c r="E61" i="3"/>
  <c r="G73" i="3" s="1"/>
  <c r="T241" i="3"/>
  <c r="U242" i="3"/>
  <c r="V242" i="3"/>
  <c r="V243" i="3" s="1"/>
  <c r="V244" i="3" s="1"/>
  <c r="V245" i="3" s="1"/>
  <c r="V246" i="3" s="1"/>
  <c r="V247" i="3" s="1"/>
  <c r="V248" i="3" s="1"/>
  <c r="T192" i="3"/>
  <c r="U193" i="3"/>
  <c r="V193" i="3"/>
  <c r="V194" i="3" s="1"/>
  <c r="V195" i="3" s="1"/>
  <c r="V196" i="3" s="1"/>
  <c r="V197" i="3" s="1"/>
  <c r="V198" i="3" s="1"/>
  <c r="V199" i="3" s="1"/>
  <c r="V146" i="3"/>
  <c r="V147" i="3" s="1"/>
  <c r="V148" i="3" s="1"/>
  <c r="V149" i="3" s="1"/>
  <c r="V150" i="3" s="1"/>
  <c r="V151" i="3" s="1"/>
  <c r="V152" i="3" s="1"/>
  <c r="V153" i="3" s="1"/>
  <c r="U146" i="3"/>
  <c r="T145" i="3"/>
  <c r="D62" i="3" l="1"/>
  <c r="I60" i="3"/>
  <c r="G61" i="3" s="1"/>
  <c r="T242" i="3"/>
  <c r="U243" i="3"/>
  <c r="T243" i="3" s="1"/>
  <c r="T193" i="3"/>
  <c r="U194" i="3"/>
  <c r="T194" i="3" s="1"/>
  <c r="U147" i="3"/>
  <c r="T146" i="3"/>
  <c r="U244" i="3" l="1"/>
  <c r="T244" i="3" s="1"/>
  <c r="U195" i="3"/>
  <c r="T195" i="3" s="1"/>
  <c r="U148" i="3"/>
  <c r="T147" i="3"/>
  <c r="U245" i="3" l="1"/>
  <c r="T245" i="3" s="1"/>
  <c r="U196" i="3"/>
  <c r="T196" i="3" s="1"/>
  <c r="U149" i="3"/>
  <c r="T148" i="3"/>
  <c r="U246" i="3" l="1"/>
  <c r="T246" i="3" s="1"/>
  <c r="U197" i="3"/>
  <c r="T197" i="3" s="1"/>
  <c r="U150" i="3"/>
  <c r="T149" i="3"/>
  <c r="U247" i="3" l="1"/>
  <c r="T247" i="3" s="1"/>
  <c r="U198" i="3"/>
  <c r="T198" i="3" s="1"/>
  <c r="U151" i="3"/>
  <c r="T150" i="3"/>
  <c r="U248" i="3" l="1"/>
  <c r="T248" i="3" s="1"/>
  <c r="U199" i="3"/>
  <c r="T199" i="3" s="1"/>
  <c r="U152" i="3"/>
  <c r="U153" i="3" s="1"/>
  <c r="T153" i="3" s="1"/>
  <c r="T151" i="3"/>
  <c r="T15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81"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<sst xmlns="http://schemas.openxmlformats.org/spreadsheetml/2006/main" count="875" uniqueCount="367">
  <si>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</si>
  <si>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</si>
  <si>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</si>
  <si>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</si>
  <si>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</si>
  <si>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</si>
  <si>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</si>
  <si>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</si>
  <si>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</si>
  <si>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</si>
  <si>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</si>
  <si>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</si>
  <si>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</si>
  <si>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</si>
  <si>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</si>
  <si>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</si>
  <si>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</si>
  <si>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</si>
  <si>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</si>
  <si>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</si>
  <si>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</si>
  <si>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</si>
  <si>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</si>
  <si>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</si>
  <si>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</si>
  <si>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</si>
  <si>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</si>
  <si>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</si>
  <si>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</si>
  <si>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</si>
  <si>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</si>
  <si>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</si>
  <si>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</si>
  <si>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</si>
  <si>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</si>
  <si>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</si>
  <si>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</si>
  <si>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</si>
  <si>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</si>
  <si>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</si>
  <si>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</si>
  <si>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</si>
  <si>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</si>
  <si>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</si>
  <si>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</si>
  <si>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</si>
  <si>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</si>
  <si>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</si>
  <si>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</si>
  <si>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</si>
  <si>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</si>
  <si>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</si>
  <si>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</si>
  <si>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</si>
  <si>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</si>
  <si>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</si>
  <si>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</si>
  <si>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</si>
  <si>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</si>
  <si>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</si>
  <si>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</si>
  <si>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</si>
  <si>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</si>
  <si>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</si>
  <si>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</si>
  <si>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</si>
  <si>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</si>
  <si>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</si>
  <si>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</si>
  <si>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</si>
  <si>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</si>
  <si>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</si>
  <si>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</si>
  <si>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</si>
  <si>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</si>
  <si>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</si>
  <si>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</si>
  <si>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</si>
  <si>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</si>
  <si>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</si>
  <si>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</si>
  <si>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</si>
  <si>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</si>
  <si>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</si>
  <si>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</si>
  <si>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</si>
  <si>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</si>
  <si>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</si>
  <si>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</si>
  <si>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</si>
  <si>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</si>
  <si>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</si>
  <si>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</si>
  <si>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</si>
  <si>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</si>
  <si>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</si>
  <si>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</si>
  <si>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</si>
  <si>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</si>
  <si>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</si>
  <si>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</si>
  <si>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</si>
  <si>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</si>
  <si>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</si>
  <si>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</si>
  <si>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</si>
  <si>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</si>
  <si>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</si>
  <si>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</si>
  <si>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</si>
  <si>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</si>
  <si>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</si>
  <si>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</si>
  <si>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</si>
  <si>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</si>
  <si>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</si>
  <si>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</si>
  <si>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</si>
  <si>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</si>
  <si>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</si>
  <si>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</si>
  <si>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</si>
  <si>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</si>
  <si>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</si>
  <si>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</si>
  <si>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</si>
  <si>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</si>
  <si>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</si>
  <si>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</si>
  <si>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</si>
  <si>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</si>
  <si>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</si>
  <si>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</si>
  <si>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</si>
  <si>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</si>
  <si>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</si>
  <si>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</si>
  <si>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</si>
  <si>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</si>
  <si>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</si>
  <si>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</si>
  <si>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</si>
  <si>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</si>
  <si>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</si>
  <si>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</si>
  <si>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</si>
  <si>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</si>
  <si>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</si>
  <si>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</si>
  <si>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</si>
  <si>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</si>
  <si>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</si>
  <si>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</si>
  <si>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</si>
  <si>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</si>
  <si>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</si>
  <si>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</si>
  <si>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</si>
  <si>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</si>
  <si>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</si>
  <si>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</si>
  <si>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</si>
  <si>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</si>
  <si>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</si>
  <si>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</si>
  <si>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</si>
  <si>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</si>
  <si>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</si>
  <si>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</si>
  <si>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</si>
  <si>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</si>
  <si>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</si>
  <si>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</si>
  <si>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</si>
  <si>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</si>
  <si>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</si>
  <si>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</si>
  <si>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</si>
  <si>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</si>
  <si>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</si>
  <si>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</si>
  <si>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</si>
  <si>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</si>
  <si>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</si>
  <si>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</si>
  <si>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</si>
  <si>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</si>
  <si>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</si>
  <si>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</si>
  <si>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</si>
  <si>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</si>
  <si>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</si>
  <si>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</si>
  <si>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</si>
  <si>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</si>
  <si>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</si>
  <si>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</si>
  <si>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</si>
  <si>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</si>
  <si>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</si>
  <si>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</si>
  <si>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</si>
  <si>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</si>
  <si>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</si>
  <si>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</si>
  <si>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</si>
  <si>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</si>
  <si>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</si>
  <si>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</si>
  <si>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</si>
  <si>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</si>
  <si>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</si>
  <si>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</si>
  <si>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</si>
  <si>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</si>
  <si>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</si>
  <si>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</si>
  <si>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</si>
  <si>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</si>
  <si>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</si>
  <si>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</si>
  <si>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</si>
  <si>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</si>
  <si>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</si>
  <si>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</si>
  <si>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</si>
  <si>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</si>
  <si>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</si>
  <si>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</si>
  <si>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</si>
  <si>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</si>
  <si>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</si>
  <si>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</si>
  <si>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</si>
  <si>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</si>
  <si>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</si>
  <si>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</si>
  <si>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</si>
  <si>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</si>
  <si>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</si>
  <si>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</si>
  <si>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</si>
  <si>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</si>
  <si>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</si>
  <si>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</si>
  <si>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</si>
  <si>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</si>
  <si>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</si>
  <si>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</si>
  <si>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</si>
  <si>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</si>
  <si>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</si>
  <si>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</si>
  <si>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</si>
  <si>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</si>
  <si>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</si>
  <si>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</si>
  <si>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</si>
  <si>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</si>
  <si>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</si>
  <si>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</si>
  <si>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</si>
  <si>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</si>
  <si>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</si>
  <si>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</si>
  <si>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</si>
  <si>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</si>
  <si>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</si>
  <si>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</si>
  <si>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</si>
  <si>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</si>
  <si>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</si>
  <si>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</si>
  <si>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</si>
  <si>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</si>
  <si>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</si>
  <si>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</si>
  <si>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</si>
  <si>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</si>
  <si>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</si>
  <si>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</si>
  <si>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</si>
  <si>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</si>
  <si>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</si>
  <si>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</si>
  <si>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</si>
  <si>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</si>
  <si>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</si>
  <si>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</si>
  <si>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</si>
  <si>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</si>
  <si>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</si>
  <si>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</si>
  <si>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</si>
  <si>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7 RCC
3Brick 
2 plaster</t>
  </si>
  <si>
    <t>Mr. Suraj Khare</t>
  </si>
  <si>
    <t>Runwal Shopping Arcade 2 - R Galleria 2</t>
  </si>
  <si>
    <t>M/s. Horizon Projects Pvt Ltd</t>
  </si>
  <si>
    <t>5th Floor, Runwal And Omkar Esquare, Opp Sion Chunabhatti Signal, Off Eastern Express Highway, Sion, Mumbai City 400022.</t>
  </si>
  <si>
    <t>93 (P) at Usarghar, Kalyan, Thane, 421204</t>
  </si>
  <si>
    <t>Mumbai Metropolitan Region Development Authority (MMRDA)</t>
  </si>
  <si>
    <t>P51700078830</t>
  </si>
  <si>
    <t>ICICI Bank Limited</t>
  </si>
  <si>
    <t>19.18154807,73.0772066</t>
  </si>
  <si>
    <t>https://maps.app.goo.gl/9s8JcD73jLwe1WGN7</t>
  </si>
  <si>
    <t>Runwal My City</t>
  </si>
  <si>
    <t>https://runwalenterprises.com/retail-projects/r-galleria-dombivli.php</t>
  </si>
  <si>
    <t xml:space="preserve">Secured By CCTV &amp; Fire Safety Precautions, Natural Skylight &amp; Stone Facade with Glass, Elevators &amp; Escalators On All Levels, Grand Double Heighted Entrance, Designated Drop Off Zones, Separate Entry &amp; Exit For Goods, Parking Etc.
</t>
  </si>
  <si>
    <t>Concrete</t>
  </si>
  <si>
    <t>24m</t>
  </si>
  <si>
    <t>About 1.50 KM from Ryan International School - Runwal My City</t>
  </si>
  <si>
    <t>3.50 KM from Kole Village Bus Stop</t>
  </si>
  <si>
    <t>About 4.60 KM from Bijankur Hospital</t>
  </si>
  <si>
    <t>1. Approx. 3.00 KM from Wednesday Market.
2. Approx. 5.20 KM from Vegetable Market.</t>
  </si>
  <si>
    <t>3.70 KM from Dativali Railway Station
7.30 KM from Kopar Railway Station</t>
  </si>
  <si>
    <t>Road</t>
  </si>
  <si>
    <t>Other Plot</t>
  </si>
  <si>
    <t>Open Plot</t>
  </si>
  <si>
    <t>Internal Road</t>
  </si>
  <si>
    <t>Runwal My City Road</t>
  </si>
  <si>
    <t>24.00 MW DP Road</t>
  </si>
  <si>
    <t>24.00 MW Internal Road</t>
  </si>
  <si>
    <t>SROT/Growth Center/2401/BP/ITP- Usarghar-Sandap-01/Vol-24/1123/2024</t>
  </si>
  <si>
    <t xml:space="preserve">CC Details
Valid Up to: </t>
  </si>
  <si>
    <t>Basement Floor For Pump Room, Domestic Water Tank, Fire Fighting Water Tank, Rain Water Tank, Fire Lobby &amp; Parking</t>
  </si>
  <si>
    <t>Ground Floor For Commercial, Meter Room, Fire Room &amp; Parking</t>
  </si>
  <si>
    <t xml:space="preserve"> - </t>
  </si>
  <si>
    <t>Shop</t>
  </si>
  <si>
    <t>1st Floor For Commercial, Meter Room, Fire Room &amp; Parking</t>
  </si>
  <si>
    <t>2nd Floor For Commercial</t>
  </si>
  <si>
    <t>Service Floor Between 2nd &amp; 3rd Floor</t>
  </si>
  <si>
    <t>3rd to 5th, 7th to 9th &amp; 11th Floor</t>
  </si>
  <si>
    <t>Office</t>
  </si>
  <si>
    <t>6th &amp; 10th Floor For Commercial (Part Refuge Area)</t>
  </si>
  <si>
    <t>Refuge Area</t>
  </si>
  <si>
    <t>Mr. Kunal Kate 9967393445</t>
  </si>
  <si>
    <t>Not Mentioned In RERA</t>
  </si>
  <si>
    <t>Middle</t>
  </si>
  <si>
    <t>Proposed Integrated Township Project On Plot Bearing Village - Usarghar Bearing S. No.17/1, 17/2, 17/3/A, 17/3/B, 17/4, 17/5, 19/1, 19/2, 19/3, 19/4, 20/3, 20/4, 20/5, 34/1, 36/1/A, 36/1/B, 37/1, 37/2, 38/1, 38/2, 38/3, 38/4, 70/9, 70/10, 70/11, 71/1, 71/2, 71/3, 71/4, 71/8, 91/1, 91/2, 91/3, 91/4, 91/5, 92/1, 92/2, 93/P, 103/12, 103/12, 103/13, 103/14/B, 103/15, 103/16, 103/17, 103/18, 106/2, 106/3, 107/1, 107/2/A, 107/3, 107/4, 107/5, 107/6, 107/7, 107/8, 107/9, 107/10, 107/11, 107/12, 107/13, 107/14, 107/15, 107/16, 107/17, 107/18, 107/19, 107/20, 107/22, 107/23, 107/24, 107/25A, 107/25B, 107/26A, 107/26B, 108/1, 108/2, 108/3, 109P, 134/1, 134/2, 134/3 Dist - Thane &amp; Village Sandap Bearing S. No.2, 21/1 Dist - Thane</t>
  </si>
  <si>
    <t xml:space="preserve">Environmental Clearance Details
Valid Up to: </t>
  </si>
  <si>
    <t xml:space="preserve">Fire Noc Details
Valid Up to: </t>
  </si>
  <si>
    <t>SIA/MH/NCP/41140/2017</t>
  </si>
  <si>
    <t>Please check for Environmental Clearance Certificate</t>
  </si>
  <si>
    <t>We have referred approved Plans &amp; CC from RERA Site on 01/07/2025</t>
  </si>
  <si>
    <t xml:space="preserve">1B + Gr + 1st &amp; 2nd Floor + Service Floor + 3rd to 11th Floor
</t>
  </si>
  <si>
    <t>1B + Gr + 1st &amp; 2nd Floor + Service Floor + 3rd to 11th Floor</t>
  </si>
  <si>
    <t>RERA Certificate</t>
  </si>
  <si>
    <t>Details of Commercial in Building</t>
  </si>
  <si>
    <t>Runwal Shopping Arcade 2 - R Galleria 2, Survey No.93(P), near Runwal My City, Runwal My City Road, Usarghar Gaon, Sandap, Datiwali East, Kalyan, Thane - 400612.</t>
  </si>
  <si>
    <t>Government Guideline/ Circle rate for Office Unit/ Built up (Rs per sqft)</t>
  </si>
  <si>
    <t>Government Guideline/ Circle rate for Shop Unit/ Built up (Rs per sqft)</t>
  </si>
  <si>
    <t>Mumbai-RO Thane</t>
  </si>
  <si>
    <t>Shop = 142 
Office = 203</t>
  </si>
  <si>
    <t>As per RERA Site Shops &amp;  Office = NA</t>
  </si>
  <si>
    <t>25000 to 26000</t>
  </si>
  <si>
    <t>22000 to 23000</t>
  </si>
  <si>
    <t>14500 to 15500</t>
  </si>
  <si>
    <t>Rate of Office Per Sq. Ft. 
(on Carpet area)</t>
  </si>
  <si>
    <t xml:space="preserve">We considered Gross carpet area = Net carpet Area
</t>
  </si>
  <si>
    <t>Mr.Gangaram parshuram Lambore</t>
  </si>
  <si>
    <t>FIRE/HQ/KDMC/OW/2024/E-32
R- Galleria 2= 1B + Gr + 1st &amp; 2nd Floor + Service Floor + 3rd to 11th Floor
(46.95 M Height)</t>
  </si>
  <si>
    <t>Shopping Center (R- Galleria 2) = 1B + Gr to 2nd Floor + 3rd to 11th Floor</t>
  </si>
  <si>
    <t xml:space="preserve">Rate of Shop Per Sq. Ft.
(on Carpet area)
(For Ground Floor) 
</t>
  </si>
  <si>
    <t xml:space="preserve">Rate of Shop Per Sq. Ft.
(on Carpet area)
(For 1st &amp; 2nd Floor)
</t>
  </si>
  <si>
    <t>R Galleria 2</t>
  </si>
  <si>
    <t>12/09/2025 @ 04:49PM</t>
  </si>
  <si>
    <t>Construction work same as last visit dtd 01/07/2025.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</si>
</sst>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2"/>
      <color theme="10"/>
      <name val="Calibri"/>
      <family val="2"/>
    </font>
    <font>
      <sz val="12"/>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9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 fontId="4" fillId="4" borderId="1" xfId="1" applyNumberFormat="1" applyFont="1" applyFill="1" applyBorder="1" applyAlignment="1" applyProtection="1">
      <alignment horizontal="center" vertical="center" wrapText="1"/>
      <protection hidden="1"/>
    </xf>
    <xf numFmtId="0" fontId="25" fillId="0" borderId="0" xfId="2" applyAlignment="1">
      <alignment vertical="top"/>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1" fontId="7" fillId="0" borderId="0" xfId="1" applyNumberFormat="1" applyFont="1" applyAlignment="1">
      <alignment horizontal="center" vertical="center"/>
    </xf>
    <xf numFmtId="0" fontId="7" fillId="0" borderId="0" xfId="0" applyFont="1" applyAlignment="1">
      <alignment horizontal="center" vertical="center"/>
    </xf>
    <xf numFmtId="0" fontId="9" fillId="11" borderId="1" xfId="0" applyFont="1" applyFill="1" applyBorder="1" applyAlignment="1">
      <alignment vertical="top" wrapText="1"/>
    </xf>
    <xf numFmtId="14" fontId="9" fillId="4" borderId="1" xfId="0" applyNumberFormat="1" applyFont="1" applyFill="1" applyBorder="1" applyAlignment="1">
      <alignment horizontal="left" vertical="top" wrapText="1"/>
    </xf>
    <xf numFmtId="0" fontId="4" fillId="0" borderId="0" xfId="0" applyFont="1" applyAlignment="1">
      <alignment vertical="top"/>
    </xf>
    <xf numFmtId="0" fontId="8" fillId="0" borderId="0" xfId="0" applyFont="1" applyAlignment="1">
      <alignment vertical="top"/>
    </xf>
    <xf numFmtId="1" fontId="6" fillId="4" borderId="1"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left" vertical="center" wrapText="1"/>
    </xf>
    <xf numFmtId="0" fontId="4" fillId="0" borderId="1" xfId="0" applyFont="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1" xfId="0" applyFont="1" applyFill="1" applyBorder="1" applyAlignment="1">
      <alignment horizontal="left" vertical="top"/>
    </xf>
    <xf numFmtId="0" fontId="2" fillId="2"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4"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9" fillId="0" borderId="1" xfId="0" applyFont="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9" fillId="4" borderId="1" xfId="0" applyFont="1" applyFill="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 fillId="4" borderId="1" xfId="0" applyFont="1" applyFill="1" applyBorder="1" applyAlignment="1">
      <alignment horizontal="left" vertical="top" wrapText="1"/>
    </xf>
    <xf numFmtId="14" fontId="3" fillId="0" borderId="0" xfId="0" applyNumberFormat="1" applyFont="1" applyAlignment="1">
      <alignment vertical="top"/>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680357</xdr:colOff>
      <xdr:row>7</xdr:row>
      <xdr:rowOff>68035</xdr:rowOff>
    </xdr:from>
    <xdr:to>
      <xdr:col>17</xdr:col>
      <xdr:colOff>463743</xdr:colOff>
      <xdr:row>10</xdr:row>
      <xdr:rowOff>805294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042071" y="3347356"/>
          <a:ext cx="7797353" cy="4084617"/>
        </a:xfrm>
        <a:prstGeom prst="rect">
          <a:avLst/>
        </a:prstGeom>
      </xdr:spPr>
    </xdr:pic>
    <xdr:clientData/>
  </xdr:twoCellAnchor>
  <xdr:twoCellAnchor>
    <xdr:from>
      <xdr:col>8</xdr:col>
      <xdr:colOff>510122</xdr:colOff>
      <xdr:row>301</xdr:row>
      <xdr:rowOff>38099</xdr:rowOff>
    </xdr:from>
    <xdr:to>
      <xdr:col>18</xdr:col>
      <xdr:colOff>600356</xdr:colOff>
      <xdr:row>335</xdr:row>
      <xdr:rowOff>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0120287" y="93808923"/>
          <a:ext cx="8938398" cy="9105901"/>
          <a:chOff x="50230" y="437899"/>
          <a:chExt cx="6807770" cy="6687528"/>
        </a:xfrm>
      </xdr:grpSpPr>
      <xdr:grpSp>
        <xdr:nvGrpSpPr>
          <xdr:cNvPr id="4" name="Group 3">
            <a:extLst>
              <a:ext uri="{FF2B5EF4-FFF2-40B4-BE49-F238E27FC236}">
                <a16:creationId xmlns:a16="http://schemas.microsoft.com/office/drawing/2014/main" id="{00000000-0008-0000-0000-000004000000}"/>
              </a:ext>
            </a:extLst>
          </xdr:cNvPr>
          <xdr:cNvGrpSpPr/>
        </xdr:nvGrpSpPr>
        <xdr:grpSpPr>
          <a:xfrm>
            <a:off x="532357" y="3076618"/>
            <a:ext cx="5847283" cy="2160001"/>
            <a:chOff x="110242" y="2637706"/>
            <a:chExt cx="5847283" cy="2160001"/>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242" y="2637707"/>
              <a:ext cx="2877715" cy="2160000"/>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9810" y="2637706"/>
              <a:ext cx="2877715" cy="216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00000000-0008-0000-0000-000005000000}"/>
              </a:ext>
            </a:extLst>
          </xdr:cNvPr>
          <xdr:cNvGrpSpPr/>
        </xdr:nvGrpSpPr>
        <xdr:grpSpPr>
          <a:xfrm>
            <a:off x="50230" y="437899"/>
            <a:ext cx="6807770" cy="2521013"/>
            <a:chOff x="77489" y="-1013"/>
            <a:chExt cx="6807770" cy="2521013"/>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489" y="-1013"/>
              <a:ext cx="3357334"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7925" y="0"/>
              <a:ext cx="3357334" cy="252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00000000-0008-0000-0000-000006000000}"/>
              </a:ext>
            </a:extLst>
          </xdr:cNvPr>
          <xdr:cNvGrpSpPr/>
        </xdr:nvGrpSpPr>
        <xdr:grpSpPr>
          <a:xfrm>
            <a:off x="272918" y="5325427"/>
            <a:ext cx="6312164" cy="1800000"/>
            <a:chOff x="587274" y="5325427"/>
            <a:chExt cx="6312164" cy="1800000"/>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50844" y="5325427"/>
              <a:ext cx="1348594" cy="1800000"/>
            </a:xfrm>
            <a:prstGeom prst="rect">
              <a:avLst/>
            </a:prstGeom>
            <a:ln>
              <a:solidFill>
                <a:schemeClr val="tx1"/>
              </a:solidFill>
            </a:ln>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72854" y="5325427"/>
              <a:ext cx="2390506" cy="1800000"/>
            </a:xfrm>
            <a:prstGeom prst="rect">
              <a:avLst/>
            </a:prstGeom>
            <a:ln>
              <a:solidFill>
                <a:schemeClr val="tx1"/>
              </a:solidFill>
            </a:ln>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7274" y="5325427"/>
              <a:ext cx="2398096" cy="1800000"/>
            </a:xfrm>
            <a:prstGeom prst="rect">
              <a:avLst/>
            </a:prstGeom>
            <a:ln>
              <a:solidFill>
                <a:schemeClr val="tx1"/>
              </a:solidFill>
            </a:ln>
          </xdr:spPr>
        </xdr:pic>
      </xdr:grpSp>
    </xdr:grpSp>
    <xdr:clientData/>
  </xdr:twoCellAnchor>
  <xdr:twoCellAnchor>
    <xdr:from>
      <xdr:col>0</xdr:col>
      <xdr:colOff>180974</xdr:colOff>
      <xdr:row>338</xdr:row>
      <xdr:rowOff>214319</xdr:rowOff>
    </xdr:from>
    <xdr:to>
      <xdr:col>7</xdr:col>
      <xdr:colOff>928685</xdr:colOff>
      <xdr:row>376</xdr:row>
      <xdr:rowOff>142882</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180974" y="103935966"/>
          <a:ext cx="9156605" cy="10148328"/>
          <a:chOff x="133350" y="81372075"/>
          <a:chExt cx="5834896" cy="6000002"/>
        </a:xfrm>
      </xdr:grpSpPr>
      <xdr:grpSp>
        <xdr:nvGrpSpPr>
          <xdr:cNvPr id="15" name="Group 14">
            <a:extLst>
              <a:ext uri="{FF2B5EF4-FFF2-40B4-BE49-F238E27FC236}">
                <a16:creationId xmlns:a16="http://schemas.microsoft.com/office/drawing/2014/main" id="{00000000-0008-0000-0000-00000F000000}"/>
              </a:ext>
            </a:extLst>
          </xdr:cNvPr>
          <xdr:cNvGrpSpPr/>
        </xdr:nvGrpSpPr>
        <xdr:grpSpPr>
          <a:xfrm>
            <a:off x="133350" y="81391125"/>
            <a:ext cx="3114286" cy="5980952"/>
            <a:chOff x="1400175" y="80724375"/>
            <a:chExt cx="3114286" cy="5980952"/>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stretch>
              <a:fillRect/>
            </a:stretch>
          </xdr:blipFill>
          <xdr:spPr>
            <a:xfrm>
              <a:off x="1400175" y="80724375"/>
              <a:ext cx="3114286" cy="5980952"/>
            </a:xfrm>
            <a:prstGeom prst="rect">
              <a:avLst/>
            </a:prstGeom>
            <a:ln>
              <a:solidFill>
                <a:sysClr val="windowText" lastClr="000000"/>
              </a:solidFill>
            </a:ln>
          </xdr:spPr>
        </xdr:pic>
        <xdr:sp macro="" textlink="">
          <xdr:nvSpPr>
            <xdr:cNvPr id="18" name="Trapezoid 17">
              <a:extLst>
                <a:ext uri="{FF2B5EF4-FFF2-40B4-BE49-F238E27FC236}">
                  <a16:creationId xmlns:a16="http://schemas.microsoft.com/office/drawing/2014/main" id="{00000000-0008-0000-0000-000012000000}"/>
                </a:ext>
              </a:extLst>
            </xdr:cNvPr>
            <xdr:cNvSpPr/>
          </xdr:nvSpPr>
          <xdr:spPr>
            <a:xfrm rot="15191463">
              <a:off x="2944124" y="84009847"/>
              <a:ext cx="528008" cy="478129"/>
            </a:xfrm>
            <a:prstGeom prst="trapezoid">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3381375" y="81372075"/>
            <a:ext cx="2586871" cy="2880000"/>
          </a:xfrm>
          <a:prstGeom prst="rect">
            <a:avLst/>
          </a:prstGeom>
          <a:ln>
            <a:solidFill>
              <a:schemeClr val="tx1"/>
            </a:solidFill>
          </a:ln>
        </xdr:spPr>
      </xdr:pic>
    </xdr:grpSp>
    <xdr:clientData/>
  </xdr:twoCellAnchor>
  <xdr:twoCellAnchor>
    <xdr:from>
      <xdr:col>1</xdr:col>
      <xdr:colOff>647222</xdr:colOff>
      <xdr:row>381</xdr:row>
      <xdr:rowOff>152399</xdr:rowOff>
    </xdr:from>
    <xdr:to>
      <xdr:col>6</xdr:col>
      <xdr:colOff>690283</xdr:colOff>
      <xdr:row>404</xdr:row>
      <xdr:rowOff>44824</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1848493" y="115438517"/>
          <a:ext cx="6049414" cy="6078072"/>
          <a:chOff x="-30487" y="90489864"/>
          <a:chExt cx="6152381" cy="6369406"/>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1"/>
          <a:stretch>
            <a:fillRect/>
          </a:stretch>
        </xdr:blipFill>
        <xdr:spPr>
          <a:xfrm>
            <a:off x="-30487" y="90489864"/>
            <a:ext cx="6152381" cy="2666667"/>
          </a:xfrm>
          <a:prstGeom prst="rect">
            <a:avLst/>
          </a:prstGeom>
          <a:ln>
            <a:solidFill>
              <a:schemeClr val="tx1"/>
            </a:solidFill>
          </a:ln>
        </xdr:spPr>
      </xdr:pic>
      <xdr:grpSp>
        <xdr:nvGrpSpPr>
          <xdr:cNvPr id="21" name="Group 20">
            <a:extLst>
              <a:ext uri="{FF2B5EF4-FFF2-40B4-BE49-F238E27FC236}">
                <a16:creationId xmlns:a16="http://schemas.microsoft.com/office/drawing/2014/main" id="{00000000-0008-0000-0000-000015000000}"/>
              </a:ext>
            </a:extLst>
          </xdr:cNvPr>
          <xdr:cNvGrpSpPr/>
        </xdr:nvGrpSpPr>
        <xdr:grpSpPr>
          <a:xfrm>
            <a:off x="371475" y="93221175"/>
            <a:ext cx="5190476" cy="3638095"/>
            <a:chOff x="428625" y="92554425"/>
            <a:chExt cx="5190476" cy="3638095"/>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a:stretch>
              <a:fillRect/>
            </a:stretch>
          </xdr:blipFill>
          <xdr:spPr>
            <a:xfrm>
              <a:off x="428625" y="92554425"/>
              <a:ext cx="5190476" cy="3638095"/>
            </a:xfrm>
            <a:prstGeom prst="rect">
              <a:avLst/>
            </a:prstGeom>
            <a:ln>
              <a:solidFill>
                <a:schemeClr val="tx1"/>
              </a:solidFill>
            </a:ln>
          </xdr:spPr>
        </xdr:pic>
        <xdr:sp macro="" textlink="">
          <xdr:nvSpPr>
            <xdr:cNvPr id="23" name="Trapezoid 22">
              <a:extLst>
                <a:ext uri="{FF2B5EF4-FFF2-40B4-BE49-F238E27FC236}">
                  <a16:creationId xmlns:a16="http://schemas.microsoft.com/office/drawing/2014/main" id="{00000000-0008-0000-0000-000017000000}"/>
                </a:ext>
              </a:extLst>
            </xdr:cNvPr>
            <xdr:cNvSpPr/>
          </xdr:nvSpPr>
          <xdr:spPr>
            <a:xfrm rot="15268100">
              <a:off x="2728826" y="93233056"/>
              <a:ext cx="1016366" cy="1030441"/>
            </a:xfrm>
            <a:prstGeom prst="trapezoid">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8</xdr:col>
      <xdr:colOff>648843</xdr:colOff>
      <xdr:row>75</xdr:row>
      <xdr:rowOff>519085</xdr:rowOff>
    </xdr:from>
    <xdr:to>
      <xdr:col>24</xdr:col>
      <xdr:colOff>29590</xdr:colOff>
      <xdr:row>84</xdr:row>
      <xdr:rowOff>194806</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3"/>
        <a:stretch>
          <a:fillRect/>
        </a:stretch>
      </xdr:blipFill>
      <xdr:spPr>
        <a:xfrm>
          <a:off x="9983343" y="33785148"/>
          <a:ext cx="9935849" cy="3547354"/>
        </a:xfrm>
        <a:prstGeom prst="rect">
          <a:avLst/>
        </a:prstGeom>
      </xdr:spPr>
    </xdr:pic>
    <xdr:clientData/>
  </xdr:twoCellAnchor>
  <xdr:twoCellAnchor editAs="oneCell">
    <xdr:from>
      <xdr:col>14</xdr:col>
      <xdr:colOff>337705</xdr:colOff>
      <xdr:row>147</xdr:row>
      <xdr:rowOff>55666</xdr:rowOff>
    </xdr:from>
    <xdr:to>
      <xdr:col>31</xdr:col>
      <xdr:colOff>222097</xdr:colOff>
      <xdr:row>167</xdr:row>
      <xdr:rowOff>133958</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4"/>
        <a:stretch>
          <a:fillRect/>
        </a:stretch>
      </xdr:blipFill>
      <xdr:spPr>
        <a:xfrm>
          <a:off x="15231341" y="52269984"/>
          <a:ext cx="8283710" cy="5273748"/>
        </a:xfrm>
        <a:prstGeom prst="rect">
          <a:avLst/>
        </a:prstGeom>
      </xdr:spPr>
    </xdr:pic>
    <xdr:clientData/>
  </xdr:twoCellAnchor>
  <xdr:twoCellAnchor editAs="oneCell">
    <xdr:from>
      <xdr:col>11</xdr:col>
      <xdr:colOff>489856</xdr:colOff>
      <xdr:row>143</xdr:row>
      <xdr:rowOff>121227</xdr:rowOff>
    </xdr:from>
    <xdr:to>
      <xdr:col>26</xdr:col>
      <xdr:colOff>418981</xdr:colOff>
      <xdr:row>156</xdr:row>
      <xdr:rowOff>221293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13525499" y="51420156"/>
          <a:ext cx="7195338" cy="3461028"/>
        </a:xfrm>
        <a:prstGeom prst="rect">
          <a:avLst/>
        </a:prstGeom>
      </xdr:spPr>
    </xdr:pic>
    <xdr:clientData/>
  </xdr:twoCellAnchor>
  <xdr:twoCellAnchor>
    <xdr:from>
      <xdr:col>0</xdr:col>
      <xdr:colOff>528917</xdr:colOff>
      <xdr:row>300</xdr:row>
      <xdr:rowOff>268940</xdr:rowOff>
    </xdr:from>
    <xdr:to>
      <xdr:col>7</xdr:col>
      <xdr:colOff>546847</xdr:colOff>
      <xdr:row>333</xdr:row>
      <xdr:rowOff>215152</xdr:rowOff>
    </xdr:to>
    <xdr:grpSp>
      <xdr:nvGrpSpPr>
        <xdr:cNvPr id="24" name="Group 23">
          <a:extLst>
            <a:ext uri="{FF2B5EF4-FFF2-40B4-BE49-F238E27FC236}">
              <a16:creationId xmlns:a16="http://schemas.microsoft.com/office/drawing/2014/main" id="{B24717FB-A9B1-D462-928F-DD3A5BA47C3C}"/>
            </a:ext>
          </a:extLst>
        </xdr:cNvPr>
        <xdr:cNvGrpSpPr/>
      </xdr:nvGrpSpPr>
      <xdr:grpSpPr>
        <a:xfrm>
          <a:off x="528917" y="93770822"/>
          <a:ext cx="8426824" cy="8821271"/>
          <a:chOff x="-720480" y="169407"/>
          <a:chExt cx="6873820" cy="7078054"/>
        </a:xfrm>
      </xdr:grpSpPr>
      <xdr:grpSp>
        <xdr:nvGrpSpPr>
          <xdr:cNvPr id="26" name="Group 25">
            <a:extLst>
              <a:ext uri="{FF2B5EF4-FFF2-40B4-BE49-F238E27FC236}">
                <a16:creationId xmlns:a16="http://schemas.microsoft.com/office/drawing/2014/main" id="{22116884-9469-6E8D-5B3C-0016C7AF019A}"/>
              </a:ext>
            </a:extLst>
          </xdr:cNvPr>
          <xdr:cNvGrpSpPr/>
        </xdr:nvGrpSpPr>
        <xdr:grpSpPr>
          <a:xfrm>
            <a:off x="-720480" y="169407"/>
            <a:ext cx="6873820" cy="5159027"/>
            <a:chOff x="71666" y="169407"/>
            <a:chExt cx="6873820" cy="5159027"/>
          </a:xfrm>
        </xdr:grpSpPr>
        <xdr:pic>
          <xdr:nvPicPr>
            <xdr:cNvPr id="33" name="Picture 32">
              <a:extLst>
                <a:ext uri="{FF2B5EF4-FFF2-40B4-BE49-F238E27FC236}">
                  <a16:creationId xmlns:a16="http://schemas.microsoft.com/office/drawing/2014/main" id="{74E402A9-BAFC-6077-1451-2657EBBB7FC3}"/>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71666" y="2808434"/>
              <a:ext cx="3357334"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985D99E8-4BCC-26D0-1D83-9120A9DCEEEC}"/>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3588152" y="169407"/>
              <a:ext cx="3357334"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5612D754-EAB2-47D5-B858-83B631C8580C}"/>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3582024" y="2808434"/>
              <a:ext cx="3357334" cy="2520000"/>
            </a:xfrm>
            <a:prstGeom prst="rect">
              <a:avLst/>
            </a:prstGeom>
            <a:ln>
              <a:solidFill>
                <a:schemeClr val="tx1"/>
              </a:solidFill>
            </a:ln>
          </xdr:spPr>
        </xdr:pic>
        <xdr:pic>
          <xdr:nvPicPr>
            <xdr:cNvPr id="36" name="Picture 35">
              <a:extLst>
                <a:ext uri="{FF2B5EF4-FFF2-40B4-BE49-F238E27FC236}">
                  <a16:creationId xmlns:a16="http://schemas.microsoft.com/office/drawing/2014/main" id="{D4957D94-5C9A-8E18-E3D4-C964AC7BFB7A}"/>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71666" y="169407"/>
              <a:ext cx="3357334" cy="2520000"/>
            </a:xfrm>
            <a:prstGeom prst="rect">
              <a:avLst/>
            </a:prstGeom>
            <a:ln>
              <a:solidFill>
                <a:schemeClr val="tx1"/>
              </a:solidFill>
            </a:ln>
          </xdr:spPr>
        </xdr:pic>
      </xdr:grpSp>
      <xdr:grpSp>
        <xdr:nvGrpSpPr>
          <xdr:cNvPr id="29" name="Group 28">
            <a:extLst>
              <a:ext uri="{FF2B5EF4-FFF2-40B4-BE49-F238E27FC236}">
                <a16:creationId xmlns:a16="http://schemas.microsoft.com/office/drawing/2014/main" id="{D142714E-D4B9-8156-3CF5-EFB43179E707}"/>
              </a:ext>
            </a:extLst>
          </xdr:cNvPr>
          <xdr:cNvGrpSpPr/>
        </xdr:nvGrpSpPr>
        <xdr:grpSpPr>
          <a:xfrm>
            <a:off x="-505192" y="5447461"/>
            <a:ext cx="6443244" cy="1800000"/>
            <a:chOff x="-1512626" y="5447461"/>
            <a:chExt cx="6443244" cy="1800000"/>
          </a:xfrm>
        </xdr:grpSpPr>
        <xdr:pic>
          <xdr:nvPicPr>
            <xdr:cNvPr id="30" name="Picture 29">
              <a:extLst>
                <a:ext uri="{FF2B5EF4-FFF2-40B4-BE49-F238E27FC236}">
                  <a16:creationId xmlns:a16="http://schemas.microsoft.com/office/drawing/2014/main" id="{782D9520-AB8D-E54E-CE71-B65F56BCFFB4}"/>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3582024" y="5447461"/>
              <a:ext cx="1348594" cy="1800000"/>
            </a:xfrm>
            <a:prstGeom prst="rect">
              <a:avLst/>
            </a:prstGeom>
            <a:ln>
              <a:solidFill>
                <a:schemeClr val="tx1"/>
              </a:solidFill>
            </a:ln>
          </xdr:spPr>
        </xdr:pic>
        <xdr:pic>
          <xdr:nvPicPr>
            <xdr:cNvPr id="31" name="Picture 30">
              <a:extLst>
                <a:ext uri="{FF2B5EF4-FFF2-40B4-BE49-F238E27FC236}">
                  <a16:creationId xmlns:a16="http://schemas.microsoft.com/office/drawing/2014/main" id="{6AF41A6F-813B-2E60-DCEF-84724367DAC1}"/>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1512626" y="5447461"/>
              <a:ext cx="2398096" cy="1800000"/>
            </a:xfrm>
            <a:prstGeom prst="rect">
              <a:avLst/>
            </a:prstGeom>
            <a:ln>
              <a:solidFill>
                <a:schemeClr val="tx1"/>
              </a:solidFill>
            </a:ln>
          </xdr:spPr>
        </xdr:pic>
        <xdr:pic>
          <xdr:nvPicPr>
            <xdr:cNvPr id="32" name="Picture 31">
              <a:extLst>
                <a:ext uri="{FF2B5EF4-FFF2-40B4-BE49-F238E27FC236}">
                  <a16:creationId xmlns:a16="http://schemas.microsoft.com/office/drawing/2014/main" id="{B6EBAAD8-9B35-771C-5176-B52F046DBC8F}"/>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1038494" y="5447461"/>
              <a:ext cx="2390506" cy="180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runwalenterprises.com/retail-projects/r-galleria-dombivli.php" TargetMode="External"/><Relationship Id="rId1" Type="http://schemas.openxmlformats.org/officeDocument/2006/relationships/hyperlink" Target="https://maps.app.goo.gl/9s8JcD73jLwe1WGN7"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17"/>
  <sheetViews>
    <sheetView tabSelected="1" view="pageBreakPreview" zoomScale="85" zoomScaleNormal="85" zoomScaleSheetLayoutView="85" zoomScalePageLayoutView="70" workbookViewId="0">
      <selection activeCell="I4" sqref="I4"/>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1" width="15.5546875" style="1" bestFit="1" customWidth="1"/>
    <col min="12" max="19" width="9.109375" style="1"/>
    <col min="20" max="22" width="0" style="1" hidden="1" customWidth="1"/>
    <col min="23" max="25" width="9.109375" style="1"/>
    <col min="26" max="26" width="7.88671875" style="1" customWidth="1"/>
    <col min="27" max="16384" width="9.109375" style="1"/>
  </cols>
  <sheetData>
    <row r="1" spans="1:11" ht="21" x14ac:dyDescent="0.3">
      <c r="A1" s="116" t="s">
        <v>38</v>
      </c>
      <c r="B1" s="117"/>
      <c r="C1" s="117"/>
      <c r="D1" s="117"/>
      <c r="E1" s="117"/>
      <c r="F1" s="117"/>
      <c r="G1" s="117"/>
      <c r="H1" s="118"/>
    </row>
    <row r="2" spans="1:11" ht="42" customHeight="1" x14ac:dyDescent="0.3">
      <c r="A2" s="102" t="s">
        <v>10</v>
      </c>
      <c r="B2" s="102"/>
      <c r="C2" s="126" t="s">
        <v>85</v>
      </c>
      <c r="D2" s="126"/>
      <c r="E2" s="102" t="s">
        <v>12</v>
      </c>
      <c r="F2" s="102"/>
      <c r="G2" s="130">
        <v>45895</v>
      </c>
      <c r="H2" s="126"/>
      <c r="J2" s="150"/>
      <c r="K2" s="151"/>
    </row>
    <row r="3" spans="1:11" ht="42.75" customHeight="1" x14ac:dyDescent="0.3">
      <c r="A3" s="102" t="s">
        <v>39</v>
      </c>
      <c r="B3" s="102"/>
      <c r="C3" s="192" t="s">
        <v>296</v>
      </c>
      <c r="D3" s="192"/>
      <c r="E3" s="102" t="s">
        <v>152</v>
      </c>
      <c r="F3" s="102"/>
      <c r="G3" s="126" t="s">
        <v>365</v>
      </c>
      <c r="H3" s="126"/>
      <c r="J3" s="193">
        <v>45839</v>
      </c>
      <c r="K3" s="193">
        <v>45912</v>
      </c>
    </row>
    <row r="4" spans="1:11" ht="43.5" customHeight="1" x14ac:dyDescent="0.3">
      <c r="A4" s="102" t="s">
        <v>36</v>
      </c>
      <c r="B4" s="102"/>
      <c r="C4" s="126" t="s">
        <v>335</v>
      </c>
      <c r="D4" s="126"/>
      <c r="E4" s="102" t="s">
        <v>33</v>
      </c>
      <c r="F4" s="102"/>
      <c r="G4" s="126" t="str">
        <f ca="1">TEXT(TODAY(),"DD/MM/YYYY")</f>
        <v>15/09/2025</v>
      </c>
      <c r="H4" s="126"/>
      <c r="K4" s="1">
        <f>K3-J3</f>
        <v>73</v>
      </c>
    </row>
    <row r="5" spans="1:11" ht="21" x14ac:dyDescent="0.3">
      <c r="A5" s="108" t="s">
        <v>40</v>
      </c>
      <c r="B5" s="108"/>
      <c r="C5" s="108"/>
      <c r="D5" s="108"/>
      <c r="E5" s="108"/>
      <c r="F5" s="108"/>
      <c r="G5" s="108"/>
      <c r="H5" s="108"/>
    </row>
    <row r="6" spans="1:11" ht="43.5" customHeight="1" x14ac:dyDescent="0.3">
      <c r="A6" s="102" t="s">
        <v>29</v>
      </c>
      <c r="B6" s="102"/>
      <c r="C6" s="126" t="s">
        <v>351</v>
      </c>
      <c r="D6" s="126"/>
      <c r="E6" s="102" t="s">
        <v>35</v>
      </c>
      <c r="F6" s="102"/>
      <c r="G6" s="126" t="s">
        <v>295</v>
      </c>
      <c r="H6" s="126"/>
    </row>
    <row r="7" spans="1:11" ht="45" customHeight="1" x14ac:dyDescent="0.3">
      <c r="A7" s="102" t="s">
        <v>42</v>
      </c>
      <c r="B7" s="102"/>
      <c r="C7" s="126" t="s">
        <v>297</v>
      </c>
      <c r="D7" s="126"/>
      <c r="E7" s="102" t="s">
        <v>43</v>
      </c>
      <c r="F7" s="102"/>
      <c r="G7" s="126" t="s">
        <v>297</v>
      </c>
      <c r="H7" s="126"/>
    </row>
    <row r="8" spans="1:11" ht="48.75" customHeight="1" x14ac:dyDescent="0.3">
      <c r="A8" s="102" t="s">
        <v>44</v>
      </c>
      <c r="B8" s="102"/>
      <c r="C8" s="126" t="s">
        <v>298</v>
      </c>
      <c r="D8" s="126"/>
      <c r="E8" s="126"/>
      <c r="F8" s="126"/>
      <c r="G8" s="126"/>
      <c r="H8" s="126"/>
    </row>
    <row r="9" spans="1:11" ht="21" x14ac:dyDescent="0.3">
      <c r="A9" s="100" t="s">
        <v>145</v>
      </c>
      <c r="B9" s="33" t="s">
        <v>41</v>
      </c>
      <c r="C9" s="126" t="s">
        <v>299</v>
      </c>
      <c r="D9" s="126"/>
      <c r="E9" s="126"/>
      <c r="F9" s="126"/>
      <c r="G9" s="126"/>
      <c r="H9" s="126"/>
    </row>
    <row r="10" spans="1:11" ht="193.5" customHeight="1" x14ac:dyDescent="0.3">
      <c r="A10" s="100"/>
      <c r="B10" s="33" t="s">
        <v>11</v>
      </c>
      <c r="C10" s="126" t="s">
        <v>338</v>
      </c>
      <c r="D10" s="126"/>
      <c r="E10" s="126"/>
      <c r="F10" s="126"/>
      <c r="G10" s="126"/>
      <c r="H10" s="126"/>
    </row>
    <row r="11" spans="1:11" ht="65.400000000000006" customHeight="1" x14ac:dyDescent="0.3">
      <c r="A11" s="100"/>
      <c r="B11" s="33" t="s">
        <v>5</v>
      </c>
      <c r="C11" s="126" t="s">
        <v>348</v>
      </c>
      <c r="D11" s="126"/>
      <c r="E11" s="126"/>
      <c r="F11" s="126"/>
      <c r="G11" s="126"/>
      <c r="H11" s="126"/>
    </row>
    <row r="12" spans="1:11" ht="40.5" customHeight="1" x14ac:dyDescent="0.3">
      <c r="A12" s="102" t="s">
        <v>34</v>
      </c>
      <c r="B12" s="102"/>
      <c r="C12" s="126" t="s">
        <v>346</v>
      </c>
      <c r="D12" s="126"/>
      <c r="E12" s="126"/>
      <c r="F12" s="126"/>
      <c r="G12" s="126"/>
      <c r="H12" s="126"/>
    </row>
    <row r="13" spans="1:11" ht="20.100000000000001" customHeight="1" x14ac:dyDescent="0.3">
      <c r="A13" s="108" t="s">
        <v>45</v>
      </c>
      <c r="B13" s="108"/>
      <c r="C13" s="108"/>
      <c r="D13" s="108"/>
      <c r="E13" s="108"/>
      <c r="F13" s="108"/>
      <c r="G13" s="108"/>
      <c r="H13" s="108"/>
    </row>
    <row r="14" spans="1:11" ht="67.5" customHeight="1" x14ac:dyDescent="0.3">
      <c r="A14" s="102" t="s">
        <v>27</v>
      </c>
      <c r="B14" s="102" t="s">
        <v>4</v>
      </c>
      <c r="C14" s="126" t="s">
        <v>86</v>
      </c>
      <c r="D14" s="126"/>
      <c r="E14" s="102" t="s">
        <v>46</v>
      </c>
      <c r="F14" s="102" t="s">
        <v>4</v>
      </c>
      <c r="G14" s="126" t="s">
        <v>300</v>
      </c>
      <c r="H14" s="126"/>
    </row>
    <row r="15" spans="1:11" ht="41.25" customHeight="1" x14ac:dyDescent="0.3">
      <c r="A15" s="102" t="s">
        <v>47</v>
      </c>
      <c r="B15" s="102" t="s">
        <v>4</v>
      </c>
      <c r="C15" s="126" t="s">
        <v>301</v>
      </c>
      <c r="D15" s="126"/>
      <c r="E15" s="102" t="s">
        <v>48</v>
      </c>
      <c r="F15" s="102" t="s">
        <v>4</v>
      </c>
      <c r="G15" s="130">
        <v>47299</v>
      </c>
      <c r="H15" s="126"/>
    </row>
    <row r="16" spans="1:11" ht="41.25" customHeight="1" x14ac:dyDescent="0.3">
      <c r="A16" s="102" t="s">
        <v>49</v>
      </c>
      <c r="B16" s="102" t="s">
        <v>4</v>
      </c>
      <c r="C16" s="130">
        <v>45670</v>
      </c>
      <c r="D16" s="126"/>
      <c r="E16" s="102" t="s">
        <v>50</v>
      </c>
      <c r="F16" s="102" t="s">
        <v>4</v>
      </c>
      <c r="G16" s="129">
        <v>45658</v>
      </c>
      <c r="H16" s="126"/>
    </row>
    <row r="17" spans="1:9" ht="41.25" customHeight="1" x14ac:dyDescent="0.3">
      <c r="A17" s="102" t="s">
        <v>51</v>
      </c>
      <c r="B17" s="102" t="s">
        <v>4</v>
      </c>
      <c r="C17" s="130">
        <v>47299</v>
      </c>
      <c r="D17" s="126"/>
      <c r="E17" s="102" t="s">
        <v>52</v>
      </c>
      <c r="F17" s="102" t="s">
        <v>4</v>
      </c>
      <c r="G17" s="126" t="s">
        <v>302</v>
      </c>
      <c r="H17" s="126"/>
    </row>
    <row r="18" spans="1:9" ht="41.25" customHeight="1" x14ac:dyDescent="0.3">
      <c r="A18" s="102" t="s">
        <v>53</v>
      </c>
      <c r="B18" s="102" t="s">
        <v>4</v>
      </c>
      <c r="C18" s="12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Commercial</v>
      </c>
      <c r="D18" s="126"/>
      <c r="E18" s="102" t="s">
        <v>93</v>
      </c>
      <c r="F18" s="102" t="s">
        <v>4</v>
      </c>
      <c r="G18" s="98">
        <v>529210</v>
      </c>
      <c r="H18" s="98"/>
    </row>
    <row r="19" spans="1:9" ht="41.25" customHeight="1" x14ac:dyDescent="0.3">
      <c r="A19" s="102" t="s">
        <v>54</v>
      </c>
      <c r="B19" s="102" t="s">
        <v>4</v>
      </c>
      <c r="C19" s="98">
        <f>1</f>
        <v>1</v>
      </c>
      <c r="D19" s="98"/>
      <c r="E19" s="102" t="s">
        <v>235</v>
      </c>
      <c r="F19" s="102" t="s">
        <v>4</v>
      </c>
      <c r="G19" s="126">
        <v>491917.72</v>
      </c>
      <c r="H19" s="126"/>
    </row>
    <row r="20" spans="1:9" ht="41.25" customHeight="1" x14ac:dyDescent="0.3">
      <c r="A20" s="102" t="s">
        <v>91</v>
      </c>
      <c r="B20" s="102" t="s">
        <v>4</v>
      </c>
      <c r="C20" s="126">
        <v>1340569.77</v>
      </c>
      <c r="D20" s="126"/>
      <c r="E20" s="102" t="s">
        <v>92</v>
      </c>
      <c r="F20" s="102" t="s">
        <v>4</v>
      </c>
      <c r="G20" s="126">
        <v>540657.41</v>
      </c>
      <c r="H20" s="126"/>
    </row>
    <row r="21" spans="1:9" ht="41.25" customHeight="1" x14ac:dyDescent="0.3">
      <c r="A21" s="102" t="s">
        <v>56</v>
      </c>
      <c r="B21" s="102" t="s">
        <v>4</v>
      </c>
      <c r="C21" s="126" t="s">
        <v>352</v>
      </c>
      <c r="D21" s="126"/>
      <c r="E21" s="102" t="s">
        <v>55</v>
      </c>
      <c r="F21" s="102" t="s">
        <v>4</v>
      </c>
      <c r="G21" s="126" t="s">
        <v>353</v>
      </c>
      <c r="H21" s="126"/>
      <c r="I21" s="79" t="s">
        <v>336</v>
      </c>
    </row>
    <row r="22" spans="1:9" ht="21" x14ac:dyDescent="0.3">
      <c r="A22" s="102" t="s">
        <v>156</v>
      </c>
      <c r="B22" s="102" t="s">
        <v>4</v>
      </c>
      <c r="C22" s="126" t="s">
        <v>303</v>
      </c>
      <c r="D22" s="126"/>
      <c r="E22" s="102" t="s">
        <v>157</v>
      </c>
      <c r="F22" s="102" t="s">
        <v>4</v>
      </c>
      <c r="G22" s="126" t="s">
        <v>305</v>
      </c>
      <c r="H22" s="126"/>
    </row>
    <row r="23" spans="1:9" ht="20.25" customHeight="1" x14ac:dyDescent="0.3">
      <c r="A23" s="102" t="s">
        <v>154</v>
      </c>
      <c r="B23" s="102" t="s">
        <v>4</v>
      </c>
      <c r="C23" s="194" t="s">
        <v>304</v>
      </c>
      <c r="D23" s="195"/>
      <c r="E23" s="195"/>
      <c r="F23" s="195"/>
      <c r="G23" s="195"/>
      <c r="H23" s="195"/>
    </row>
    <row r="24" spans="1:9" ht="65.25" customHeight="1" x14ac:dyDescent="0.3">
      <c r="A24" s="102" t="s">
        <v>25</v>
      </c>
      <c r="B24" s="102" t="s">
        <v>4</v>
      </c>
      <c r="C24" s="126" t="s">
        <v>307</v>
      </c>
      <c r="D24" s="126"/>
      <c r="E24" s="126"/>
      <c r="F24" s="126"/>
      <c r="G24" s="126"/>
      <c r="H24" s="126"/>
      <c r="I24" s="72" t="s">
        <v>306</v>
      </c>
    </row>
    <row r="25" spans="1:9" ht="24" customHeight="1" x14ac:dyDescent="0.3">
      <c r="A25" s="108" t="s">
        <v>20</v>
      </c>
      <c r="B25" s="108"/>
      <c r="C25" s="108"/>
      <c r="D25" s="108"/>
      <c r="E25" s="108"/>
      <c r="F25" s="108"/>
      <c r="G25" s="108"/>
      <c r="H25" s="108"/>
    </row>
    <row r="26" spans="1:9" ht="43.5" customHeight="1" x14ac:dyDescent="0.3">
      <c r="A26" s="102" t="s">
        <v>26</v>
      </c>
      <c r="B26" s="102" t="s">
        <v>4</v>
      </c>
      <c r="C26" s="126" t="str">
        <f>IF(AND(G26="Upper"),"Developed","Developing")</f>
        <v>Developing</v>
      </c>
      <c r="D26" s="126"/>
      <c r="E26" s="102" t="s">
        <v>13</v>
      </c>
      <c r="F26" s="102" t="s">
        <v>4</v>
      </c>
      <c r="G26" s="126" t="s">
        <v>337</v>
      </c>
      <c r="H26" s="126"/>
    </row>
    <row r="27" spans="1:9" ht="43.5" customHeight="1" x14ac:dyDescent="0.3">
      <c r="A27" s="102" t="s">
        <v>14</v>
      </c>
      <c r="B27" s="102" t="s">
        <v>4</v>
      </c>
      <c r="C27" s="126" t="s">
        <v>308</v>
      </c>
      <c r="D27" s="126"/>
      <c r="E27" s="102" t="s">
        <v>146</v>
      </c>
      <c r="F27" s="102" t="s">
        <v>4</v>
      </c>
      <c r="G27" s="126" t="s">
        <v>309</v>
      </c>
      <c r="H27" s="126"/>
    </row>
    <row r="28" spans="1:9" ht="43.5" customHeight="1" x14ac:dyDescent="0.3">
      <c r="A28" s="102" t="s">
        <v>23</v>
      </c>
      <c r="B28" s="102" t="s">
        <v>4</v>
      </c>
      <c r="C28" s="126" t="s">
        <v>95</v>
      </c>
      <c r="D28" s="126"/>
      <c r="E28" s="102" t="s">
        <v>16</v>
      </c>
      <c r="F28" s="102" t="s">
        <v>4</v>
      </c>
      <c r="G28" s="126" t="s">
        <v>311</v>
      </c>
      <c r="H28" s="126"/>
    </row>
    <row r="29" spans="1:9" ht="69" customHeight="1" x14ac:dyDescent="0.3">
      <c r="A29" s="102" t="s">
        <v>104</v>
      </c>
      <c r="B29" s="102" t="s">
        <v>4</v>
      </c>
      <c r="C29" s="126" t="s">
        <v>310</v>
      </c>
      <c r="D29" s="126"/>
      <c r="E29" s="102" t="s">
        <v>105</v>
      </c>
      <c r="F29" s="102" t="s">
        <v>4</v>
      </c>
      <c r="G29" s="126" t="s">
        <v>312</v>
      </c>
      <c r="H29" s="126"/>
    </row>
    <row r="30" spans="1:9" ht="84" customHeight="1" x14ac:dyDescent="0.3">
      <c r="A30" s="102" t="s">
        <v>17</v>
      </c>
      <c r="B30" s="102" t="s">
        <v>4</v>
      </c>
      <c r="C30" s="126" t="s">
        <v>313</v>
      </c>
      <c r="D30" s="126"/>
      <c r="E30" s="102" t="s">
        <v>15</v>
      </c>
      <c r="F30" s="102" t="s">
        <v>4</v>
      </c>
      <c r="G30" s="126" t="s">
        <v>314</v>
      </c>
      <c r="H30" s="126"/>
    </row>
    <row r="31" spans="1:9" ht="21" x14ac:dyDescent="0.3">
      <c r="A31" s="102" t="s">
        <v>110</v>
      </c>
      <c r="B31" s="102" t="s">
        <v>4</v>
      </c>
      <c r="C31" s="126" t="s">
        <v>111</v>
      </c>
      <c r="D31" s="126"/>
      <c r="E31" s="102" t="s">
        <v>112</v>
      </c>
      <c r="F31" s="102" t="s">
        <v>4</v>
      </c>
      <c r="G31" s="126" t="s">
        <v>111</v>
      </c>
      <c r="H31" s="126"/>
    </row>
    <row r="32" spans="1:9" ht="21.75" customHeight="1" x14ac:dyDescent="0.3">
      <c r="A32" s="102" t="s">
        <v>113</v>
      </c>
      <c r="B32" s="102" t="s">
        <v>4</v>
      </c>
      <c r="C32" s="126" t="s">
        <v>111</v>
      </c>
      <c r="D32" s="126"/>
      <c r="E32" s="126"/>
      <c r="F32" s="126"/>
      <c r="G32" s="126"/>
      <c r="H32" s="126"/>
    </row>
    <row r="33" spans="1:15" ht="21" x14ac:dyDescent="0.3">
      <c r="A33" s="149" t="s">
        <v>37</v>
      </c>
      <c r="B33" s="149"/>
      <c r="C33" s="149"/>
      <c r="D33" s="149"/>
      <c r="E33" s="149"/>
      <c r="F33" s="149"/>
      <c r="G33" s="149"/>
      <c r="H33" s="149"/>
    </row>
    <row r="34" spans="1:15" ht="43.5" customHeight="1" x14ac:dyDescent="0.3">
      <c r="A34" s="102" t="s">
        <v>18</v>
      </c>
      <c r="B34" s="102"/>
      <c r="C34" s="126" t="s">
        <v>96</v>
      </c>
      <c r="D34" s="126"/>
      <c r="E34" s="102" t="s">
        <v>19</v>
      </c>
      <c r="F34" s="102" t="s">
        <v>4</v>
      </c>
      <c r="G34" s="126" t="s">
        <v>97</v>
      </c>
      <c r="H34" s="126"/>
    </row>
    <row r="35" spans="1:15" ht="43.5" customHeight="1" x14ac:dyDescent="0.3">
      <c r="A35" s="102" t="s">
        <v>22</v>
      </c>
      <c r="B35" s="102"/>
      <c r="C35" s="126" t="s">
        <v>97</v>
      </c>
      <c r="D35" s="126"/>
      <c r="E35" s="102" t="s">
        <v>32</v>
      </c>
      <c r="F35" s="102" t="s">
        <v>4</v>
      </c>
      <c r="G35" s="126" t="s">
        <v>97</v>
      </c>
      <c r="H35" s="126"/>
    </row>
    <row r="36" spans="1:15" ht="21" x14ac:dyDescent="0.3">
      <c r="A36" s="102" t="s">
        <v>31</v>
      </c>
      <c r="B36" s="102"/>
      <c r="C36" s="126" t="s">
        <v>98</v>
      </c>
      <c r="D36" s="126"/>
      <c r="E36" s="102" t="s">
        <v>21</v>
      </c>
      <c r="F36" s="102" t="s">
        <v>4</v>
      </c>
      <c r="G36" s="126" t="s">
        <v>99</v>
      </c>
      <c r="H36" s="126"/>
    </row>
    <row r="37" spans="1:15" ht="21" x14ac:dyDescent="0.3">
      <c r="A37" s="108" t="s">
        <v>0</v>
      </c>
      <c r="B37" s="108"/>
      <c r="C37" s="108"/>
      <c r="D37" s="108"/>
      <c r="E37" s="108"/>
      <c r="F37" s="108"/>
      <c r="G37" s="108"/>
      <c r="H37" s="108"/>
    </row>
    <row r="38" spans="1:15" ht="21" x14ac:dyDescent="0.3">
      <c r="A38" s="99" t="s">
        <v>0</v>
      </c>
      <c r="B38" s="99"/>
      <c r="C38" s="99" t="s">
        <v>222</v>
      </c>
      <c r="D38" s="99"/>
      <c r="E38" s="99"/>
      <c r="F38" s="99" t="s">
        <v>7</v>
      </c>
      <c r="G38" s="99"/>
      <c r="H38" s="99"/>
      <c r="J38" s="153" t="s">
        <v>1</v>
      </c>
      <c r="K38" s="154"/>
      <c r="L38" s="2" t="s">
        <v>6</v>
      </c>
      <c r="M38" s="153" t="s">
        <v>2</v>
      </c>
      <c r="N38" s="154"/>
      <c r="O38" s="2" t="s">
        <v>3</v>
      </c>
    </row>
    <row r="39" spans="1:15" ht="21" x14ac:dyDescent="0.3">
      <c r="A39" s="100" t="s">
        <v>2</v>
      </c>
      <c r="B39" s="100"/>
      <c r="C39" s="152" t="s">
        <v>316</v>
      </c>
      <c r="D39" s="152"/>
      <c r="E39" s="152"/>
      <c r="F39" s="152" t="s">
        <v>317</v>
      </c>
      <c r="G39" s="152"/>
      <c r="H39" s="152"/>
    </row>
    <row r="40" spans="1:15" ht="21" x14ac:dyDescent="0.3">
      <c r="A40" s="100" t="s">
        <v>3</v>
      </c>
      <c r="B40" s="100"/>
      <c r="C40" s="152" t="s">
        <v>315</v>
      </c>
      <c r="D40" s="152"/>
      <c r="E40" s="152"/>
      <c r="F40" s="152" t="s">
        <v>315</v>
      </c>
      <c r="G40" s="152"/>
      <c r="H40" s="152"/>
    </row>
    <row r="41" spans="1:15" ht="21" x14ac:dyDescent="0.3">
      <c r="A41" s="100" t="s">
        <v>1</v>
      </c>
      <c r="B41" s="100"/>
      <c r="C41" s="152" t="s">
        <v>320</v>
      </c>
      <c r="D41" s="152"/>
      <c r="E41" s="152"/>
      <c r="F41" s="152" t="s">
        <v>318</v>
      </c>
      <c r="G41" s="152"/>
      <c r="H41" s="152"/>
    </row>
    <row r="42" spans="1:15" ht="21" x14ac:dyDescent="0.3">
      <c r="A42" s="100" t="s">
        <v>6</v>
      </c>
      <c r="B42" s="100"/>
      <c r="C42" s="152" t="s">
        <v>321</v>
      </c>
      <c r="D42" s="152"/>
      <c r="E42" s="152"/>
      <c r="F42" s="152" t="s">
        <v>319</v>
      </c>
      <c r="G42" s="152"/>
      <c r="H42" s="152"/>
    </row>
    <row r="43" spans="1:15" ht="47.4" customHeight="1" x14ac:dyDescent="0.3">
      <c r="A43" s="102" t="s">
        <v>223</v>
      </c>
      <c r="B43" s="102"/>
      <c r="C43" s="126" t="s">
        <v>95</v>
      </c>
      <c r="D43" s="126"/>
      <c r="E43" s="126"/>
      <c r="F43" s="126"/>
      <c r="G43" s="126"/>
      <c r="H43" s="126"/>
    </row>
    <row r="44" spans="1:15" ht="21" x14ac:dyDescent="0.3">
      <c r="A44" s="108" t="s">
        <v>57</v>
      </c>
      <c r="B44" s="108"/>
      <c r="C44" s="108"/>
      <c r="D44" s="108"/>
      <c r="E44" s="108"/>
      <c r="F44" s="108"/>
      <c r="G44" s="108"/>
      <c r="H44" s="108"/>
    </row>
    <row r="45" spans="1:15" ht="21" customHeight="1" x14ac:dyDescent="0.3">
      <c r="A45" s="99" t="s">
        <v>58</v>
      </c>
      <c r="B45" s="99"/>
      <c r="C45" s="2" t="s">
        <v>59</v>
      </c>
      <c r="D45" s="99" t="s">
        <v>144</v>
      </c>
      <c r="E45" s="99"/>
      <c r="F45" s="99"/>
      <c r="G45" s="99" t="s">
        <v>60</v>
      </c>
      <c r="H45" s="99"/>
    </row>
    <row r="46" spans="1:15" ht="70.2" customHeight="1" x14ac:dyDescent="0.3">
      <c r="A46" s="100" t="s">
        <v>364</v>
      </c>
      <c r="B46" s="100"/>
      <c r="C46" s="74" t="s">
        <v>87</v>
      </c>
      <c r="D46" s="101" t="s">
        <v>344</v>
      </c>
      <c r="E46" s="101"/>
      <c r="F46" s="101"/>
      <c r="G46" s="101" t="s">
        <v>345</v>
      </c>
      <c r="H46" s="101"/>
    </row>
    <row r="47" spans="1:15" ht="21" x14ac:dyDescent="0.3">
      <c r="A47" s="108" t="s">
        <v>61</v>
      </c>
      <c r="B47" s="108"/>
      <c r="C47" s="108"/>
      <c r="D47" s="108"/>
      <c r="E47" s="108"/>
      <c r="F47" s="108"/>
      <c r="G47" s="108"/>
      <c r="H47" s="108"/>
    </row>
    <row r="48" spans="1:15" ht="42.75" customHeight="1" x14ac:dyDescent="0.3">
      <c r="A48" s="102" t="s">
        <v>62</v>
      </c>
      <c r="B48" s="102" t="s">
        <v>4</v>
      </c>
      <c r="C48" s="126" t="s">
        <v>95</v>
      </c>
      <c r="D48" s="126"/>
      <c r="E48" s="126"/>
      <c r="F48" s="126"/>
      <c r="G48" s="126"/>
      <c r="H48" s="126"/>
    </row>
    <row r="49" spans="1:14" ht="44.25" customHeight="1" x14ac:dyDescent="0.3">
      <c r="A49" s="102" t="s">
        <v>63</v>
      </c>
      <c r="B49" s="102" t="s">
        <v>4</v>
      </c>
      <c r="C49" s="126" t="s">
        <v>322</v>
      </c>
      <c r="D49" s="126"/>
      <c r="E49" s="126"/>
      <c r="F49" s="126"/>
      <c r="G49" s="49" t="s">
        <v>224</v>
      </c>
      <c r="H49" s="73">
        <v>45595</v>
      </c>
    </row>
    <row r="50" spans="1:14" ht="44.25" customHeight="1" x14ac:dyDescent="0.3">
      <c r="A50" s="102" t="s">
        <v>64</v>
      </c>
      <c r="B50" s="102" t="s">
        <v>4</v>
      </c>
      <c r="C50" s="126" t="s">
        <v>322</v>
      </c>
      <c r="D50" s="126"/>
      <c r="E50" s="126"/>
      <c r="F50" s="126"/>
      <c r="G50" s="49" t="s">
        <v>224</v>
      </c>
      <c r="H50" s="73">
        <v>45595</v>
      </c>
    </row>
    <row r="51" spans="1:14" ht="44.25" customHeight="1" x14ac:dyDescent="0.3">
      <c r="A51" s="102" t="s">
        <v>323</v>
      </c>
      <c r="B51" s="102"/>
      <c r="C51" s="126" t="s">
        <v>322</v>
      </c>
      <c r="D51" s="126"/>
      <c r="E51" s="126"/>
      <c r="F51" s="126"/>
      <c r="G51" s="49" t="s">
        <v>224</v>
      </c>
      <c r="H51" s="73">
        <v>45595</v>
      </c>
    </row>
    <row r="52" spans="1:14" ht="21" x14ac:dyDescent="0.3">
      <c r="A52" s="102"/>
      <c r="B52" s="102"/>
      <c r="C52" s="121" t="s">
        <v>361</v>
      </c>
      <c r="D52" s="133"/>
      <c r="E52" s="133"/>
      <c r="F52" s="133"/>
      <c r="G52" s="133"/>
      <c r="H52" s="122"/>
    </row>
    <row r="53" spans="1:14" ht="108" customHeight="1" x14ac:dyDescent="0.3">
      <c r="A53" s="102" t="s">
        <v>340</v>
      </c>
      <c r="B53" s="102" t="s">
        <v>4</v>
      </c>
      <c r="C53" s="126" t="s">
        <v>360</v>
      </c>
      <c r="D53" s="126"/>
      <c r="E53" s="126"/>
      <c r="F53" s="126"/>
      <c r="G53" s="49" t="s">
        <v>225</v>
      </c>
      <c r="H53" s="73">
        <v>45310</v>
      </c>
    </row>
    <row r="54" spans="1:14" ht="87" hidden="1" customHeight="1" x14ac:dyDescent="0.3">
      <c r="A54" s="167" t="s">
        <v>339</v>
      </c>
      <c r="B54" s="167" t="s">
        <v>4</v>
      </c>
      <c r="C54" s="174" t="s">
        <v>341</v>
      </c>
      <c r="D54" s="174"/>
      <c r="E54" s="174"/>
      <c r="F54" s="174"/>
      <c r="G54" s="77" t="s">
        <v>225</v>
      </c>
      <c r="H54" s="78">
        <v>44889</v>
      </c>
    </row>
    <row r="55" spans="1:14" ht="46.5" hidden="1" customHeight="1" x14ac:dyDescent="0.3">
      <c r="A55" s="102" t="s">
        <v>65</v>
      </c>
      <c r="B55" s="102" t="s">
        <v>4</v>
      </c>
      <c r="C55" s="126"/>
      <c r="D55" s="126"/>
      <c r="E55" s="126"/>
      <c r="F55" s="126"/>
      <c r="G55" s="49" t="s">
        <v>225</v>
      </c>
      <c r="H55" s="34"/>
      <c r="N55" s="70" t="s">
        <v>294</v>
      </c>
    </row>
    <row r="56" spans="1:14" ht="45" hidden="1" customHeight="1" x14ac:dyDescent="0.3">
      <c r="A56" s="102" t="s">
        <v>66</v>
      </c>
      <c r="B56" s="102" t="s">
        <v>4</v>
      </c>
      <c r="C56" s="126"/>
      <c r="D56" s="126"/>
      <c r="E56" s="126"/>
      <c r="F56" s="126"/>
      <c r="G56" s="49" t="s">
        <v>225</v>
      </c>
      <c r="H56" s="34"/>
    </row>
    <row r="57" spans="1:14" ht="21" x14ac:dyDescent="0.3">
      <c r="A57" s="108" t="s">
        <v>67</v>
      </c>
      <c r="B57" s="108"/>
      <c r="C57" s="108"/>
      <c r="D57" s="108"/>
      <c r="E57" s="108"/>
      <c r="F57" s="108"/>
      <c r="G57" s="108"/>
      <c r="H57" s="108"/>
    </row>
    <row r="58" spans="1:14" ht="20.25" customHeight="1" x14ac:dyDescent="0.3">
      <c r="A58" s="111" t="str">
        <f>CONCATENATE((IF(OR(A46="",A46="NA"),"",A46)),"= ",(IF(OR(D46="",D46="NA"),"",D46)),".")</f>
        <v>R Galleria 2= 1B + Gr + 1st &amp; 2nd Floor + Service Floor + 3rd to 11th Floor
.</v>
      </c>
      <c r="B58" s="111"/>
      <c r="C58" s="111"/>
      <c r="D58" s="30" t="s">
        <v>114</v>
      </c>
      <c r="E58" s="110" t="s">
        <v>101</v>
      </c>
      <c r="F58" s="110"/>
      <c r="G58" s="30" t="s">
        <v>115</v>
      </c>
      <c r="H58" s="30" t="s">
        <v>116</v>
      </c>
    </row>
    <row r="59" spans="1:14" ht="21.6" thickBot="1" x14ac:dyDescent="0.35">
      <c r="A59" s="111"/>
      <c r="B59" s="111"/>
      <c r="C59" s="111"/>
      <c r="D59" s="30">
        <f>IF(AND(ISNUMBER(SEARCH("1B",A58))),1,IF(AND(ISNUMBER(SEARCH("2B",A58))),2,IF(AND(ISNUMBER(SEARCH("3B",A58))),3,IF(AND(ISNUMBER(SEARCH("4B",A58))),4,IF(ISNUMBER(SEARCH("5B",A58)),5,0)))))</f>
        <v>1</v>
      </c>
      <c r="E59" s="110">
        <v>1</v>
      </c>
      <c r="F59" s="110"/>
      <c r="G59" s="30">
        <v>0</v>
      </c>
      <c r="H59" s="30">
        <f ca="1">--TRIM(RIGHT(SUBSTITUTE(LEFT(A58,_xlfn.AGGREGATE(16,6,FIND({0,1,2,3,4,5,6,7,8,9},A58,ROW(INDIRECT("1:"&amp;LEN(A58)))),1))," ",REPT(" ",LEN(A58))),LEN(A58)))</f>
        <v>11</v>
      </c>
    </row>
    <row r="60" spans="1:14" ht="20.25" customHeight="1" x14ac:dyDescent="0.4">
      <c r="A60" s="109" t="s">
        <v>118</v>
      </c>
      <c r="B60" s="109"/>
      <c r="C60" s="28" t="s">
        <v>128</v>
      </c>
      <c r="D60" s="28" t="s">
        <v>129</v>
      </c>
      <c r="E60" s="109" t="s">
        <v>119</v>
      </c>
      <c r="F60" s="109"/>
      <c r="G60" s="29" t="s">
        <v>117</v>
      </c>
      <c r="H60" s="29"/>
      <c r="I60" s="16"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","0")))&amp;(IF(C62=0%,"",IF(C62=J65,"Footing work is process",IF(C62=J66,"Footing work Completed",IF(C62=J67,"1st Basement Completed",IF(C62=J68,"1st &amp; 2nd Basement Completed",IF(C62=J69,"1st to 3rd Basement Completed",IF(C62=J70,"1st to 4th Basement Completed",IF(C62=J71,"Plinth work is process",IF(C62=J72,"Plinth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Footing work is process</v>
      </c>
      <c r="J60" s="18"/>
    </row>
    <row r="61" spans="1:14" ht="20.25" customHeight="1" x14ac:dyDescent="0.4">
      <c r="A61" s="107" t="s">
        <v>131</v>
      </c>
      <c r="B61" s="107"/>
      <c r="C61" s="71">
        <f ca="1">J64</f>
        <v>11</v>
      </c>
      <c r="D61" s="5">
        <f ca="1">((100/H59)*C61)/100</f>
        <v>1.0000000000000002</v>
      </c>
      <c r="E61" s="168">
        <f ca="1">(((C61/H59*10)+(C62/H59*15)+(25/(E59+G59+H59)*C63)+(5/(H59)*C64)+(2.5/(H59)*C65)+(2.5/(H59)*C66)+(5/H59*C67)+(10/H59*C68)+(2.5/H59*C69)+(2.5/H59*C70)+(10/H59*C71)+(10/H59*C72))/100)</f>
        <v>0.13</v>
      </c>
      <c r="F61" s="169"/>
      <c r="G61" s="107" t="str">
        <f ca="1">I60</f>
        <v>Excavation work Completed. Footing work is process</v>
      </c>
      <c r="H61" s="107"/>
      <c r="I61" s="17" t="s">
        <v>120</v>
      </c>
      <c r="J61" s="18"/>
    </row>
    <row r="62" spans="1:14" ht="21" x14ac:dyDescent="0.4">
      <c r="A62" s="107" t="s">
        <v>102</v>
      </c>
      <c r="B62" s="107"/>
      <c r="C62" s="71">
        <f ca="1">J65</f>
        <v>2.2000000000000002</v>
      </c>
      <c r="D62" s="5">
        <f ca="1">((100/H59)*C62)/100</f>
        <v>0.20000000000000004</v>
      </c>
      <c r="E62" s="170"/>
      <c r="F62" s="171"/>
      <c r="G62" s="107"/>
      <c r="H62" s="107"/>
      <c r="I62" s="20" t="s">
        <v>130</v>
      </c>
      <c r="J62" s="19">
        <f ca="1">H59*25%</f>
        <v>2.75</v>
      </c>
    </row>
    <row r="63" spans="1:14" ht="21" customHeight="1" x14ac:dyDescent="0.4">
      <c r="A63" s="107" t="s">
        <v>132</v>
      </c>
      <c r="B63" s="107"/>
      <c r="C63" s="30">
        <v>0</v>
      </c>
      <c r="D63" s="5">
        <f ca="1">((100/(E59+G59+H59))*C63)/100</f>
        <v>0</v>
      </c>
      <c r="E63" s="170"/>
      <c r="F63" s="171"/>
      <c r="G63" s="107"/>
      <c r="H63" s="107"/>
      <c r="I63" s="20" t="s">
        <v>121</v>
      </c>
      <c r="J63" s="24">
        <f ca="1">H59*50%</f>
        <v>5.5</v>
      </c>
    </row>
    <row r="64" spans="1:14" ht="21" customHeight="1" x14ac:dyDescent="0.4">
      <c r="A64" s="107" t="s">
        <v>133</v>
      </c>
      <c r="B64" s="107"/>
      <c r="C64" s="30">
        <v>0</v>
      </c>
      <c r="D64" s="5">
        <f ca="1">((100/H59)*C64)/100</f>
        <v>0</v>
      </c>
      <c r="E64" s="170"/>
      <c r="F64" s="171"/>
      <c r="G64" s="107"/>
      <c r="H64" s="107"/>
      <c r="I64" s="20" t="s">
        <v>122</v>
      </c>
      <c r="J64" s="24">
        <f ca="1">H59</f>
        <v>11</v>
      </c>
    </row>
    <row r="65" spans="1:11" ht="21" customHeight="1" x14ac:dyDescent="0.4">
      <c r="A65" s="112" t="s">
        <v>134</v>
      </c>
      <c r="B65" s="113"/>
      <c r="C65" s="30">
        <v>0</v>
      </c>
      <c r="D65" s="5">
        <f ca="1">((100/H59)*C65)/100</f>
        <v>0</v>
      </c>
      <c r="E65" s="170"/>
      <c r="F65" s="171"/>
      <c r="G65" s="107"/>
      <c r="H65" s="107"/>
      <c r="I65" s="20" t="s">
        <v>123</v>
      </c>
      <c r="J65" s="25">
        <f ca="1">(IF(D59&gt;1,(H59/(D59+2)),H59*0.2))</f>
        <v>2.2000000000000002</v>
      </c>
    </row>
    <row r="66" spans="1:11" ht="21" customHeight="1" x14ac:dyDescent="0.4">
      <c r="A66" s="112" t="s">
        <v>163</v>
      </c>
      <c r="B66" s="113"/>
      <c r="C66" s="30">
        <v>0</v>
      </c>
      <c r="D66" s="5">
        <f ca="1">((100/H59)*C66)/100</f>
        <v>0</v>
      </c>
      <c r="E66" s="170"/>
      <c r="F66" s="171"/>
      <c r="G66" s="107"/>
      <c r="H66" s="107"/>
      <c r="I66" s="20" t="s">
        <v>124</v>
      </c>
      <c r="J66" s="25">
        <f ca="1">(IF(D59&gt;1,(H59/(D59+2)+J65),H59*0.2+J65))</f>
        <v>4.4000000000000004</v>
      </c>
    </row>
    <row r="67" spans="1:11" ht="21" x14ac:dyDescent="0.4">
      <c r="A67" s="112" t="s">
        <v>160</v>
      </c>
      <c r="B67" s="113"/>
      <c r="C67" s="30">
        <v>0</v>
      </c>
      <c r="D67" s="5">
        <f ca="1">((100/(H59))*C67)/100</f>
        <v>0</v>
      </c>
      <c r="E67" s="170"/>
      <c r="F67" s="171"/>
      <c r="G67" s="107"/>
      <c r="H67" s="107"/>
      <c r="I67" s="20" t="s">
        <v>135</v>
      </c>
      <c r="J67" s="25">
        <f>(IF(D59&gt;1,(H59/(D59+2)+J66),0))</f>
        <v>0</v>
      </c>
    </row>
    <row r="68" spans="1:11" ht="21" x14ac:dyDescent="0.4">
      <c r="A68" s="107" t="s">
        <v>137</v>
      </c>
      <c r="B68" s="107"/>
      <c r="C68" s="30">
        <v>0</v>
      </c>
      <c r="D68" s="5">
        <f ca="1">((100/(H59))*C68)/100</f>
        <v>0</v>
      </c>
      <c r="E68" s="170"/>
      <c r="F68" s="171"/>
      <c r="G68" s="107"/>
      <c r="H68" s="107"/>
      <c r="I68" s="20" t="s">
        <v>136</v>
      </c>
      <c r="J68" s="25">
        <f>(IF(D59&gt;2,(H59/(D59+2)+J67),0))</f>
        <v>0</v>
      </c>
    </row>
    <row r="69" spans="1:11" ht="21" customHeight="1" x14ac:dyDescent="0.4">
      <c r="A69" s="107" t="s">
        <v>162</v>
      </c>
      <c r="B69" s="107"/>
      <c r="C69" s="30">
        <v>0</v>
      </c>
      <c r="D69" s="5">
        <f ca="1">((100/H59)*C69)/100</f>
        <v>0</v>
      </c>
      <c r="E69" s="170"/>
      <c r="F69" s="171"/>
      <c r="G69" s="107"/>
      <c r="H69" s="107"/>
      <c r="I69" s="20" t="s">
        <v>138</v>
      </c>
      <c r="J69" s="26">
        <f>(IF(D59&gt;3,(H59/(D59+2)+J68),0))</f>
        <v>0</v>
      </c>
    </row>
    <row r="70" spans="1:11" ht="21" x14ac:dyDescent="0.4">
      <c r="A70" s="107" t="s">
        <v>161</v>
      </c>
      <c r="B70" s="107"/>
      <c r="C70" s="30">
        <v>0</v>
      </c>
      <c r="D70" s="5">
        <f ca="1">((100/H59)*C70)/100</f>
        <v>0</v>
      </c>
      <c r="E70" s="170"/>
      <c r="F70" s="171"/>
      <c r="G70" s="107"/>
      <c r="H70" s="107"/>
      <c r="I70" s="20" t="s">
        <v>139</v>
      </c>
      <c r="J70" s="25">
        <f>(IF(D59&gt;4,(H59/(D59+2)+J69),0))</f>
        <v>0</v>
      </c>
    </row>
    <row r="71" spans="1:11" ht="21" x14ac:dyDescent="0.4">
      <c r="A71" s="107" t="s">
        <v>140</v>
      </c>
      <c r="B71" s="107"/>
      <c r="C71" s="30">
        <v>0</v>
      </c>
      <c r="D71" s="5">
        <f ca="1">((100/(H59))*C71)/100</f>
        <v>0</v>
      </c>
      <c r="E71" s="170"/>
      <c r="F71" s="171"/>
      <c r="G71" s="107"/>
      <c r="H71" s="107"/>
      <c r="I71" s="20" t="s">
        <v>125</v>
      </c>
      <c r="J71" s="25">
        <f ca="1">(IF(D59=1,(H59/(D59+3)+J66),IF(D59=0,(H59*0.3+J66),IF(D59&gt;1,0))))</f>
        <v>7.15</v>
      </c>
    </row>
    <row r="72" spans="1:11" ht="21.6" thickBot="1" x14ac:dyDescent="0.45">
      <c r="A72" s="107" t="s">
        <v>141</v>
      </c>
      <c r="B72" s="107"/>
      <c r="C72" s="30">
        <v>0</v>
      </c>
      <c r="D72" s="5">
        <f ca="1">((100/(H59))*C72)/100</f>
        <v>0</v>
      </c>
      <c r="E72" s="172"/>
      <c r="F72" s="173"/>
      <c r="G72" s="107"/>
      <c r="H72" s="107"/>
      <c r="I72" s="22" t="s">
        <v>126</v>
      </c>
      <c r="J72" s="27">
        <f ca="1">(IF(D59&gt;1.5,(H59/(D59+2)+J66+MAX(0,J67-J66)+MAX(0,J68-J67)+MAX(0,J69-J68)+MAX(0,J70-J69)+MAX(0,J71-J70)),IF(D59=1,(H59/(D59+3)+J71),IF(D59=0,H59*0.3+J71))))</f>
        <v>9.9</v>
      </c>
    </row>
    <row r="73" spans="1:11" ht="30" customHeight="1" x14ac:dyDescent="0.4">
      <c r="A73" s="103" t="s">
        <v>127</v>
      </c>
      <c r="B73" s="104"/>
      <c r="C73" s="104"/>
      <c r="D73" s="104"/>
      <c r="E73" s="104"/>
      <c r="F73" s="104"/>
      <c r="G73" s="175">
        <f ca="1">AVERAGE(E61)</f>
        <v>0.13</v>
      </c>
      <c r="H73" s="176"/>
      <c r="K73" s="21"/>
    </row>
    <row r="74" spans="1:11" ht="21" x14ac:dyDescent="0.3">
      <c r="A74" s="116" t="s">
        <v>71</v>
      </c>
      <c r="B74" s="117"/>
      <c r="C74" s="117"/>
      <c r="D74" s="117"/>
      <c r="E74" s="117"/>
      <c r="F74" s="117"/>
      <c r="G74" s="117"/>
      <c r="H74" s="118"/>
    </row>
    <row r="75" spans="1:11" ht="46.5" customHeight="1" x14ac:dyDescent="0.4">
      <c r="A75" s="119" t="s">
        <v>72</v>
      </c>
      <c r="B75" s="120"/>
      <c r="C75" s="114" t="s">
        <v>106</v>
      </c>
      <c r="D75" s="115"/>
      <c r="E75" s="119" t="s">
        <v>142</v>
      </c>
      <c r="F75" s="120" t="s">
        <v>4</v>
      </c>
      <c r="G75" s="148" t="s">
        <v>153</v>
      </c>
      <c r="H75" s="148"/>
      <c r="I75" s="20"/>
      <c r="J75" s="21"/>
    </row>
    <row r="76" spans="1:11" ht="66.75" customHeight="1" x14ac:dyDescent="0.3">
      <c r="A76" s="119" t="s">
        <v>362</v>
      </c>
      <c r="B76" s="120"/>
      <c r="C76" s="114" t="s">
        <v>354</v>
      </c>
      <c r="D76" s="115"/>
      <c r="E76" s="155" t="s">
        <v>151</v>
      </c>
      <c r="F76" s="156"/>
      <c r="G76" s="161" t="s">
        <v>143</v>
      </c>
      <c r="H76" s="162"/>
    </row>
    <row r="77" spans="1:11" ht="69" customHeight="1" x14ac:dyDescent="0.3">
      <c r="A77" s="119" t="s">
        <v>363</v>
      </c>
      <c r="B77" s="120"/>
      <c r="C77" s="114" t="s">
        <v>355</v>
      </c>
      <c r="D77" s="115"/>
      <c r="E77" s="157"/>
      <c r="F77" s="158"/>
      <c r="G77" s="163"/>
      <c r="H77" s="164"/>
    </row>
    <row r="78" spans="1:11" ht="45" customHeight="1" x14ac:dyDescent="0.3">
      <c r="A78" s="119" t="s">
        <v>357</v>
      </c>
      <c r="B78" s="120"/>
      <c r="C78" s="114" t="s">
        <v>356</v>
      </c>
      <c r="D78" s="115"/>
      <c r="E78" s="159"/>
      <c r="F78" s="160"/>
      <c r="G78" s="165"/>
      <c r="H78" s="166"/>
    </row>
    <row r="79" spans="1:11" ht="21" x14ac:dyDescent="0.3">
      <c r="A79" s="119" t="s">
        <v>73</v>
      </c>
      <c r="B79" s="120"/>
      <c r="C79" s="121">
        <v>400000</v>
      </c>
      <c r="D79" s="122"/>
      <c r="E79" s="119" t="s">
        <v>100</v>
      </c>
      <c r="F79" s="120" t="s">
        <v>4</v>
      </c>
      <c r="G79" s="114" t="s">
        <v>107</v>
      </c>
      <c r="H79" s="115"/>
    </row>
    <row r="80" spans="1:11" ht="21" x14ac:dyDescent="0.3">
      <c r="A80" s="116" t="s">
        <v>70</v>
      </c>
      <c r="B80" s="117"/>
      <c r="C80" s="117"/>
      <c r="D80" s="117"/>
      <c r="E80" s="117"/>
      <c r="F80" s="117"/>
      <c r="G80" s="117"/>
      <c r="H80" s="118"/>
    </row>
    <row r="81" spans="1:150 16226:16383" ht="20.25" customHeight="1" x14ac:dyDescent="0.3">
      <c r="A81" s="119" t="s">
        <v>8</v>
      </c>
      <c r="B81" s="123"/>
      <c r="C81" s="123"/>
      <c r="D81" s="123"/>
      <c r="E81" s="123"/>
      <c r="F81" s="120"/>
      <c r="G81" s="124">
        <f>8300/10.764</f>
        <v>771.08881456707547</v>
      </c>
      <c r="H81" s="125"/>
      <c r="I81" s="1">
        <v>25000</v>
      </c>
    </row>
    <row r="82" spans="1:150 16226:16383" ht="20.25" customHeight="1" x14ac:dyDescent="0.3">
      <c r="A82" s="119" t="s">
        <v>28</v>
      </c>
      <c r="B82" s="123"/>
      <c r="C82" s="123"/>
      <c r="D82" s="123"/>
      <c r="E82" s="123"/>
      <c r="F82" s="120" t="s">
        <v>4</v>
      </c>
      <c r="G82" s="98">
        <f>53200/10.764</f>
        <v>4942.4005945745075</v>
      </c>
      <c r="H82" s="98"/>
      <c r="I82" s="1">
        <v>22</v>
      </c>
    </row>
    <row r="83" spans="1:150 16226:16383" ht="20.25" customHeight="1" x14ac:dyDescent="0.3">
      <c r="A83" s="119" t="s">
        <v>349</v>
      </c>
      <c r="B83" s="123"/>
      <c r="C83" s="123"/>
      <c r="D83" s="123"/>
      <c r="E83" s="123"/>
      <c r="F83" s="120" t="s">
        <v>4</v>
      </c>
      <c r="G83" s="98">
        <f>61100/10.764</f>
        <v>5676.3285024154593</v>
      </c>
      <c r="H83" s="98"/>
      <c r="I83" s="1">
        <v>14500</v>
      </c>
    </row>
    <row r="84" spans="1:150 16226:16383" ht="20.25" customHeight="1" x14ac:dyDescent="0.3">
      <c r="A84" s="119" t="s">
        <v>350</v>
      </c>
      <c r="B84" s="123"/>
      <c r="C84" s="123"/>
      <c r="D84" s="123"/>
      <c r="E84" s="123"/>
      <c r="F84" s="120" t="s">
        <v>4</v>
      </c>
      <c r="G84" s="98">
        <f>73900/10.764</f>
        <v>6865.4775176514313</v>
      </c>
      <c r="H84" s="98"/>
    </row>
    <row r="85" spans="1:150 16226:16383" ht="21" x14ac:dyDescent="0.3">
      <c r="A85" s="119" t="s">
        <v>108</v>
      </c>
      <c r="B85" s="123"/>
      <c r="C85" s="123"/>
      <c r="D85" s="123"/>
      <c r="E85" s="123"/>
      <c r="F85" s="120" t="s">
        <v>4</v>
      </c>
      <c r="G85" s="98">
        <f>G81*0.8</f>
        <v>616.8710516536604</v>
      </c>
      <c r="H85" s="98"/>
    </row>
    <row r="86" spans="1:150 16226:16383" s="3" customFormat="1" ht="21" x14ac:dyDescent="0.3">
      <c r="A86" s="127" t="s">
        <v>236</v>
      </c>
      <c r="B86" s="128"/>
      <c r="C86" s="128"/>
      <c r="D86" s="128"/>
      <c r="E86" s="128"/>
      <c r="F86" s="128"/>
      <c r="G86" s="128"/>
      <c r="H86" s="97"/>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3" customFormat="1" ht="21" x14ac:dyDescent="0.3">
      <c r="A87" s="93" t="s">
        <v>148</v>
      </c>
      <c r="B87" s="94"/>
      <c r="C87" s="93" t="s">
        <v>149</v>
      </c>
      <c r="D87" s="94"/>
      <c r="E87" s="93" t="s">
        <v>147</v>
      </c>
      <c r="F87" s="94"/>
      <c r="G87" s="93" t="s">
        <v>158</v>
      </c>
      <c r="H87" s="94"/>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1" x14ac:dyDescent="0.3">
      <c r="A88" s="105" t="s">
        <v>327</v>
      </c>
      <c r="B88" s="106"/>
      <c r="C88" s="105" t="s">
        <v>326</v>
      </c>
      <c r="D88" s="106"/>
      <c r="E88" s="105">
        <f>COUNT(E96:E144)+COUNT(E146:E191)+COUNT(E193:E239)</f>
        <v>142</v>
      </c>
      <c r="F88" s="106"/>
      <c r="G88" s="105">
        <f>SUM(H96:H144)+SUM(H146:H191)+SUM(H193:H239)</f>
        <v>37882.606319999992</v>
      </c>
      <c r="H88" s="106"/>
      <c r="I88" s="1">
        <f>46+47+49</f>
        <v>142</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1" x14ac:dyDescent="0.3">
      <c r="A89" s="105" t="s">
        <v>332</v>
      </c>
      <c r="B89" s="106"/>
      <c r="C89" s="105" t="s">
        <v>326</v>
      </c>
      <c r="D89" s="106"/>
      <c r="E89" s="105">
        <f>COUNT(E242:E264)*7+COUNT(E266:E286)*2</f>
        <v>203</v>
      </c>
      <c r="F89" s="106"/>
      <c r="G89" s="105">
        <f>SUM(H242:H264)*7+SUM(H266:H286)*2</f>
        <v>63010.949039999992</v>
      </c>
      <c r="H89" s="106"/>
      <c r="I89" s="1">
        <f>42+161</f>
        <v>203</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ht="21" x14ac:dyDescent="0.3">
      <c r="A90" s="93" t="s">
        <v>150</v>
      </c>
      <c r="B90" s="94"/>
      <c r="C90" s="93" t="s">
        <v>94</v>
      </c>
      <c r="D90" s="94"/>
      <c r="E90" s="93">
        <f>SUM(E88:E89)</f>
        <v>345</v>
      </c>
      <c r="F90" s="94"/>
      <c r="G90" s="93">
        <f>SUM(G88:G89)</f>
        <v>100893.55535999998</v>
      </c>
      <c r="H90" s="94"/>
    </row>
    <row r="91" spans="1:150 16226:16383" ht="21" x14ac:dyDescent="0.3">
      <c r="A91" s="95" t="s">
        <v>347</v>
      </c>
      <c r="B91" s="96"/>
      <c r="C91" s="96"/>
      <c r="D91" s="96"/>
      <c r="E91" s="96"/>
      <c r="F91" s="96"/>
      <c r="G91" s="96"/>
      <c r="H91" s="97"/>
    </row>
    <row r="92" spans="1:150 16226:16383" s="23" customFormat="1" ht="76.8" customHeight="1" x14ac:dyDescent="0.3">
      <c r="A92" s="50" t="s">
        <v>226</v>
      </c>
      <c r="B92" s="31" t="s">
        <v>227</v>
      </c>
      <c r="C92" s="32" t="s">
        <v>228</v>
      </c>
      <c r="D92" s="31" t="s">
        <v>88</v>
      </c>
      <c r="E92" s="31" t="s">
        <v>159</v>
      </c>
      <c r="F92" s="32" t="s">
        <v>229</v>
      </c>
      <c r="G92" s="31" t="s">
        <v>90</v>
      </c>
      <c r="H92" s="31" t="s">
        <v>89</v>
      </c>
      <c r="J92" s="75"/>
      <c r="T92" s="76"/>
    </row>
    <row r="93" spans="1:150 16226:16383" s="23" customFormat="1" ht="20.399999999999999" x14ac:dyDescent="0.3">
      <c r="A93" s="95" t="s">
        <v>364</v>
      </c>
      <c r="B93" s="96"/>
      <c r="C93" s="96"/>
      <c r="D93" s="96"/>
      <c r="E93" s="96"/>
      <c r="F93" s="96"/>
      <c r="G93" s="96"/>
      <c r="H93" s="97"/>
      <c r="J93" s="75"/>
      <c r="T93" s="76"/>
    </row>
    <row r="94" spans="1:150 16226:16383" s="3" customFormat="1" ht="20.25" customHeight="1" x14ac:dyDescent="0.3">
      <c r="A94" s="88" t="s">
        <v>324</v>
      </c>
      <c r="B94" s="89"/>
      <c r="C94" s="89"/>
      <c r="D94" s="89"/>
      <c r="E94" s="89"/>
      <c r="F94" s="89"/>
      <c r="G94" s="89"/>
      <c r="H94" s="9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1" x14ac:dyDescent="0.3">
      <c r="A95" s="88" t="s">
        <v>325</v>
      </c>
      <c r="B95" s="89"/>
      <c r="C95" s="89"/>
      <c r="D95" s="89"/>
      <c r="E95" s="89"/>
      <c r="F95" s="89"/>
      <c r="G95" s="89"/>
      <c r="H95" s="9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1" x14ac:dyDescent="0.3">
      <c r="A96" s="81">
        <v>1</v>
      </c>
      <c r="B96" s="81"/>
      <c r="C96" s="51" t="s">
        <v>326</v>
      </c>
      <c r="D96" s="6" t="s">
        <v>327</v>
      </c>
      <c r="E96" s="6">
        <f>(27.41)*(10.764)</f>
        <v>295.04123999999996</v>
      </c>
      <c r="F96" s="6">
        <v>0</v>
      </c>
      <c r="G96" s="6">
        <v>0</v>
      </c>
      <c r="H96" s="6">
        <f>E96+F96+(IF(G96&lt;101,G96,IF(G96&lt;201,G96/2,IF(G96&lt;=301,G96/3,G96/4))))</f>
        <v>295.04123999999996</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1" x14ac:dyDescent="0.3">
      <c r="A97" s="91">
        <f>A96+1</f>
        <v>2</v>
      </c>
      <c r="B97" s="92"/>
      <c r="C97" s="51" t="s">
        <v>326</v>
      </c>
      <c r="D97" s="6" t="s">
        <v>327</v>
      </c>
      <c r="E97" s="6">
        <f>(33.72)*(10.764)</f>
        <v>362.96207999999996</v>
      </c>
      <c r="F97" s="6">
        <v>0</v>
      </c>
      <c r="G97" s="6">
        <v>0</v>
      </c>
      <c r="H97" s="6">
        <f t="shared" ref="H97:H103" si="0">E97+F97+(IF(G97&lt;101,G97,IF(G97&lt;201,G97/2,IF(G97&lt;=301,G97/3,G97/4))))</f>
        <v>362.96207999999996</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customHeight="1" x14ac:dyDescent="0.3">
      <c r="A98" s="91">
        <f t="shared" ref="A98:A144" si="1">A97+1</f>
        <v>3</v>
      </c>
      <c r="B98" s="92"/>
      <c r="C98" s="51" t="s">
        <v>326</v>
      </c>
      <c r="D98" s="6" t="s">
        <v>327</v>
      </c>
      <c r="E98" s="6">
        <f>(26.47)*(10.764)</f>
        <v>284.92307999999997</v>
      </c>
      <c r="F98" s="6">
        <v>0</v>
      </c>
      <c r="G98" s="6">
        <v>0</v>
      </c>
      <c r="H98" s="6">
        <f t="shared" si="0"/>
        <v>284.92307999999997</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customHeight="1" x14ac:dyDescent="0.3">
      <c r="A99" s="91">
        <f t="shared" si="1"/>
        <v>4</v>
      </c>
      <c r="B99" s="92"/>
      <c r="C99" s="51" t="s">
        <v>326</v>
      </c>
      <c r="D99" s="6" t="s">
        <v>327</v>
      </c>
      <c r="E99" s="6">
        <f>(36.51)*(10.764)</f>
        <v>392.99363999999997</v>
      </c>
      <c r="F99" s="6">
        <v>0</v>
      </c>
      <c r="G99" s="6">
        <v>0</v>
      </c>
      <c r="H99" s="6">
        <f t="shared" si="0"/>
        <v>392.99363999999997</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3">
      <c r="A100" s="91">
        <f t="shared" si="1"/>
        <v>5</v>
      </c>
      <c r="B100" s="92"/>
      <c r="C100" s="51" t="s">
        <v>326</v>
      </c>
      <c r="D100" s="6" t="s">
        <v>327</v>
      </c>
      <c r="E100" s="6">
        <f>(24.65)*(10.764)</f>
        <v>265.33259999999996</v>
      </c>
      <c r="F100" s="6">
        <v>0</v>
      </c>
      <c r="G100" s="6">
        <v>0</v>
      </c>
      <c r="H100" s="6">
        <f t="shared" si="0"/>
        <v>265.33259999999996</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3">
      <c r="A101" s="91">
        <f t="shared" si="1"/>
        <v>6</v>
      </c>
      <c r="B101" s="92"/>
      <c r="C101" s="51" t="s">
        <v>326</v>
      </c>
      <c r="D101" s="6" t="s">
        <v>327</v>
      </c>
      <c r="E101" s="6">
        <f>(21.95)*(10.764)</f>
        <v>236.26979999999998</v>
      </c>
      <c r="F101" s="6">
        <v>0</v>
      </c>
      <c r="G101" s="6">
        <v>0</v>
      </c>
      <c r="H101" s="6">
        <f t="shared" si="0"/>
        <v>236.26979999999998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3">
      <c r="A102" s="91">
        <f t="shared" si="1"/>
        <v>7</v>
      </c>
      <c r="B102" s="92"/>
      <c r="C102" s="51" t="s">
        <v>326</v>
      </c>
      <c r="D102" s="6" t="s">
        <v>327</v>
      </c>
      <c r="E102" s="6">
        <f>(42.34)*(10.764)</f>
        <v>455.74776000000003</v>
      </c>
      <c r="F102" s="6">
        <v>0</v>
      </c>
      <c r="G102" s="6">
        <v>0</v>
      </c>
      <c r="H102" s="6">
        <f t="shared" si="0"/>
        <v>455.74776000000003</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1" x14ac:dyDescent="0.3">
      <c r="A103" s="91">
        <f t="shared" si="1"/>
        <v>8</v>
      </c>
      <c r="B103" s="92"/>
      <c r="C103" s="51" t="s">
        <v>326</v>
      </c>
      <c r="D103" s="6" t="s">
        <v>327</v>
      </c>
      <c r="E103" s="6">
        <f>(40.06)*(10.764)</f>
        <v>431.20584000000002</v>
      </c>
      <c r="F103" s="6">
        <v>0</v>
      </c>
      <c r="G103" s="6">
        <v>0</v>
      </c>
      <c r="H103" s="6">
        <f t="shared" si="0"/>
        <v>431.20584000000002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1" x14ac:dyDescent="0.3">
      <c r="A104" s="91">
        <f t="shared" si="1"/>
        <v>9</v>
      </c>
      <c r="B104" s="92"/>
      <c r="C104" s="51" t="s">
        <v>326</v>
      </c>
      <c r="D104" s="6" t="s">
        <v>327</v>
      </c>
      <c r="E104" s="6">
        <f>(42.29)*(10.764)</f>
        <v>455.20955999999995</v>
      </c>
      <c r="F104" s="6">
        <v>0</v>
      </c>
      <c r="G104" s="6">
        <v>0</v>
      </c>
      <c r="H104" s="6">
        <f>E104+F104+(IF(G104&lt;101,G104,IF(G104&lt;201,G104/2,IF(G104&lt;=301,G104/3,G104/4))))</f>
        <v>455.20955999999995</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1" x14ac:dyDescent="0.3">
      <c r="A105" s="91">
        <f t="shared" si="1"/>
        <v>10</v>
      </c>
      <c r="B105" s="92"/>
      <c r="C105" s="51" t="s">
        <v>326</v>
      </c>
      <c r="D105" s="6" t="s">
        <v>327</v>
      </c>
      <c r="E105" s="6">
        <f>(33.72)*(10.764)</f>
        <v>362.96207999999996</v>
      </c>
      <c r="F105" s="6">
        <v>0</v>
      </c>
      <c r="G105" s="6">
        <v>0</v>
      </c>
      <c r="H105" s="6">
        <f t="shared" ref="H105:H111" si="2">E105+F105+(IF(G105&lt;101,G105,IF(G105&lt;201,G105/2,IF(G105&lt;=301,G105/3,G105/4))))</f>
        <v>362.96207999999996</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3">
      <c r="A106" s="91">
        <f t="shared" si="1"/>
        <v>11</v>
      </c>
      <c r="B106" s="92"/>
      <c r="C106" s="51" t="s">
        <v>326</v>
      </c>
      <c r="D106" s="6" t="s">
        <v>327</v>
      </c>
      <c r="E106" s="6">
        <f>20.5*(10.764)</f>
        <v>220.66199999999998</v>
      </c>
      <c r="F106" s="6">
        <v>0</v>
      </c>
      <c r="G106" s="6">
        <v>0</v>
      </c>
      <c r="H106" s="6">
        <f t="shared" si="2"/>
        <v>220.66199999999998</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3">
      <c r="A107" s="91">
        <f t="shared" si="1"/>
        <v>12</v>
      </c>
      <c r="B107" s="92"/>
      <c r="C107" s="51" t="s">
        <v>326</v>
      </c>
      <c r="D107" s="6" t="s">
        <v>327</v>
      </c>
      <c r="E107" s="6">
        <f>(25.11)*(10.764)</f>
        <v>270.28404</v>
      </c>
      <c r="F107" s="6">
        <v>0</v>
      </c>
      <c r="G107" s="6">
        <v>0</v>
      </c>
      <c r="H107" s="6">
        <f t="shared" si="2"/>
        <v>270.28404</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3">
      <c r="A108" s="91">
        <f t="shared" si="1"/>
        <v>13</v>
      </c>
      <c r="B108" s="92"/>
      <c r="C108" s="51" t="s">
        <v>326</v>
      </c>
      <c r="D108" s="6" t="s">
        <v>327</v>
      </c>
      <c r="E108" s="6">
        <f>(23.76)*(10.764)</f>
        <v>255.75264000000001</v>
      </c>
      <c r="F108" s="6">
        <v>0</v>
      </c>
      <c r="G108" s="6">
        <v>0</v>
      </c>
      <c r="H108" s="6">
        <f t="shared" si="2"/>
        <v>255.75264000000001</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customHeight="1" x14ac:dyDescent="0.3">
      <c r="A109" s="91">
        <f t="shared" si="1"/>
        <v>14</v>
      </c>
      <c r="B109" s="92"/>
      <c r="C109" s="51" t="s">
        <v>326</v>
      </c>
      <c r="D109" s="6" t="s">
        <v>327</v>
      </c>
      <c r="E109" s="6">
        <f>(22.55)*(10.764)</f>
        <v>242.72819999999999</v>
      </c>
      <c r="F109" s="6">
        <v>0</v>
      </c>
      <c r="G109" s="6">
        <v>0</v>
      </c>
      <c r="H109" s="6">
        <f t="shared" si="2"/>
        <v>242.72819999999999</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3">
      <c r="A110" s="91">
        <f t="shared" si="1"/>
        <v>15</v>
      </c>
      <c r="B110" s="92"/>
      <c r="C110" s="51" t="s">
        <v>326</v>
      </c>
      <c r="D110" s="6" t="s">
        <v>327</v>
      </c>
      <c r="E110" s="6">
        <f>(11.31)*(10.764)</f>
        <v>121.74083999999999</v>
      </c>
      <c r="F110" s="6">
        <v>0</v>
      </c>
      <c r="G110" s="6">
        <v>0</v>
      </c>
      <c r="H110" s="6">
        <f t="shared" si="2"/>
        <v>121.74083999999999</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1" x14ac:dyDescent="0.3">
      <c r="A111" s="91">
        <f t="shared" si="1"/>
        <v>16</v>
      </c>
      <c r="B111" s="92"/>
      <c r="C111" s="51" t="s">
        <v>326</v>
      </c>
      <c r="D111" s="6" t="s">
        <v>327</v>
      </c>
      <c r="E111" s="6">
        <f>(10.09)*(10.764)</f>
        <v>108.60875999999999</v>
      </c>
      <c r="F111" s="6">
        <v>0</v>
      </c>
      <c r="G111" s="6">
        <v>0</v>
      </c>
      <c r="H111" s="6">
        <f t="shared" si="2"/>
        <v>108.60875999999999</v>
      </c>
      <c r="I111" s="80">
        <f>4700000/H111</f>
        <v>43274.594056685673</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1" x14ac:dyDescent="0.3">
      <c r="A112" s="91">
        <f t="shared" si="1"/>
        <v>17</v>
      </c>
      <c r="B112" s="92"/>
      <c r="C112" s="51" t="s">
        <v>326</v>
      </c>
      <c r="D112" s="6" t="s">
        <v>327</v>
      </c>
      <c r="E112" s="6">
        <f>(15.76)*(10.764)</f>
        <v>169.64063999999999</v>
      </c>
      <c r="F112" s="6">
        <v>0</v>
      </c>
      <c r="G112" s="6">
        <v>0</v>
      </c>
      <c r="H112" s="6">
        <f>E112+F112+(IF(G112&lt;101,G112,IF(G112&lt;201,G112/2,IF(G112&lt;=301,G112/3,G112/4))))</f>
        <v>169.64063999999999</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1" x14ac:dyDescent="0.3">
      <c r="A113" s="91">
        <f t="shared" si="1"/>
        <v>18</v>
      </c>
      <c r="B113" s="92"/>
      <c r="C113" s="51" t="s">
        <v>326</v>
      </c>
      <c r="D113" s="6" t="s">
        <v>327</v>
      </c>
      <c r="E113" s="6">
        <f>(20.52)*(10.764)</f>
        <v>220.87727999999998</v>
      </c>
      <c r="F113" s="6">
        <v>0</v>
      </c>
      <c r="G113" s="6">
        <v>0</v>
      </c>
      <c r="H113" s="6">
        <f t="shared" ref="H113:H119" si="3">E113+F113+(IF(G113&lt;101,G113,IF(G113&lt;201,G113/2,IF(G113&lt;=301,G113/3,G113/4))))</f>
        <v>220.87727999999998</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3">
      <c r="A114" s="91">
        <f t="shared" si="1"/>
        <v>19</v>
      </c>
      <c r="B114" s="92"/>
      <c r="C114" s="51" t="s">
        <v>326</v>
      </c>
      <c r="D114" s="6" t="s">
        <v>327</v>
      </c>
      <c r="E114" s="6">
        <f>31.54*(10.764)</f>
        <v>339.49655999999999</v>
      </c>
      <c r="F114" s="6">
        <v>0</v>
      </c>
      <c r="G114" s="6">
        <v>0</v>
      </c>
      <c r="H114" s="6">
        <f t="shared" si="3"/>
        <v>339.49655999999999</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3">
      <c r="A115" s="91">
        <f t="shared" si="1"/>
        <v>20</v>
      </c>
      <c r="B115" s="92"/>
      <c r="C115" s="51" t="s">
        <v>326</v>
      </c>
      <c r="D115" s="6" t="s">
        <v>327</v>
      </c>
      <c r="E115" s="6">
        <f>(35.59)*(10.764)</f>
        <v>383.09075999999999</v>
      </c>
      <c r="F115" s="6">
        <v>0</v>
      </c>
      <c r="G115" s="6">
        <v>0</v>
      </c>
      <c r="H115" s="6">
        <f t="shared" si="3"/>
        <v>383.09075999999999</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3">
      <c r="A116" s="91">
        <f t="shared" si="1"/>
        <v>21</v>
      </c>
      <c r="B116" s="92"/>
      <c r="C116" s="51" t="s">
        <v>326</v>
      </c>
      <c r="D116" s="6" t="s">
        <v>327</v>
      </c>
      <c r="E116" s="6">
        <f>(22.96)*(10.764)</f>
        <v>247.14143999999999</v>
      </c>
      <c r="F116" s="6">
        <v>0</v>
      </c>
      <c r="G116" s="6">
        <v>0</v>
      </c>
      <c r="H116" s="6">
        <f t="shared" si="3"/>
        <v>247.14143999999999</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3">
      <c r="A117" s="91">
        <f t="shared" si="1"/>
        <v>22</v>
      </c>
      <c r="B117" s="92"/>
      <c r="C117" s="51" t="s">
        <v>326</v>
      </c>
      <c r="D117" s="6" t="s">
        <v>327</v>
      </c>
      <c r="E117" s="6">
        <f>(27.61)*(10.764)</f>
        <v>297.19403999999997</v>
      </c>
      <c r="F117" s="6">
        <v>0</v>
      </c>
      <c r="G117" s="6">
        <v>0</v>
      </c>
      <c r="H117" s="6">
        <f t="shared" si="3"/>
        <v>297.19403999999997</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3">
      <c r="A118" s="91">
        <f t="shared" si="1"/>
        <v>23</v>
      </c>
      <c r="B118" s="92"/>
      <c r="C118" s="51" t="s">
        <v>326</v>
      </c>
      <c r="D118" s="6" t="s">
        <v>327</v>
      </c>
      <c r="E118" s="6">
        <f>(21.74)*(10.764)</f>
        <v>234.00935999999996</v>
      </c>
      <c r="F118" s="6">
        <v>0</v>
      </c>
      <c r="G118" s="6">
        <v>0</v>
      </c>
      <c r="H118" s="6">
        <f t="shared" si="3"/>
        <v>234.00935999999996</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1" x14ac:dyDescent="0.3">
      <c r="A119" s="91">
        <f t="shared" si="1"/>
        <v>24</v>
      </c>
      <c r="B119" s="92"/>
      <c r="C119" s="51" t="s">
        <v>326</v>
      </c>
      <c r="D119" s="6" t="s">
        <v>327</v>
      </c>
      <c r="E119" s="6">
        <f>(19.58)*(10.764)</f>
        <v>210.75911999999997</v>
      </c>
      <c r="F119" s="6">
        <v>0</v>
      </c>
      <c r="G119" s="6">
        <v>0</v>
      </c>
      <c r="H119" s="6">
        <f t="shared" si="3"/>
        <v>210.75911999999997</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1" x14ac:dyDescent="0.3">
      <c r="A120" s="91">
        <f t="shared" si="1"/>
        <v>25</v>
      </c>
      <c r="B120" s="92"/>
      <c r="C120" s="51" t="s">
        <v>326</v>
      </c>
      <c r="D120" s="6" t="s">
        <v>327</v>
      </c>
      <c r="E120" s="6">
        <f>(16.49)*(10.764)</f>
        <v>177.49835999999996</v>
      </c>
      <c r="F120" s="6">
        <v>0</v>
      </c>
      <c r="G120" s="6">
        <v>0</v>
      </c>
      <c r="H120" s="6">
        <f>E120+F120+(IF(G120&lt;101,G120,IF(G120&lt;201,G120/2,IF(G120&lt;=301,G120/3,G120/4))))</f>
        <v>177.49835999999996</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x14ac:dyDescent="0.3">
      <c r="A121" s="91">
        <f t="shared" si="1"/>
        <v>26</v>
      </c>
      <c r="B121" s="92"/>
      <c r="C121" s="51" t="s">
        <v>326</v>
      </c>
      <c r="D121" s="6" t="s">
        <v>327</v>
      </c>
      <c r="E121" s="6">
        <f>(26.59)*(10.764)</f>
        <v>286.21475999999996</v>
      </c>
      <c r="F121" s="6">
        <v>0</v>
      </c>
      <c r="G121" s="6">
        <v>0</v>
      </c>
      <c r="H121" s="6">
        <f t="shared" ref="H121:H127" si="4">E121+F121+(IF(G121&lt;101,G121,IF(G121&lt;201,G121/2,IF(G121&lt;=301,G121/3,G121/4))))</f>
        <v>286.21475999999996</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3">
      <c r="A122" s="91">
        <f t="shared" si="1"/>
        <v>27</v>
      </c>
      <c r="B122" s="92"/>
      <c r="C122" s="51" t="s">
        <v>326</v>
      </c>
      <c r="D122" s="6" t="s">
        <v>327</v>
      </c>
      <c r="E122" s="6">
        <f>(24.43)*(10.764)</f>
        <v>262.96451999999999</v>
      </c>
      <c r="F122" s="6">
        <v>0</v>
      </c>
      <c r="G122" s="6">
        <v>0</v>
      </c>
      <c r="H122" s="6">
        <f t="shared" si="4"/>
        <v>262.96451999999999</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3">
      <c r="A123" s="91">
        <f t="shared" si="1"/>
        <v>28</v>
      </c>
      <c r="B123" s="92"/>
      <c r="C123" s="51" t="s">
        <v>326</v>
      </c>
      <c r="D123" s="6" t="s">
        <v>327</v>
      </c>
      <c r="E123" s="6">
        <f>(24.98)*(10.764)</f>
        <v>268.88472000000002</v>
      </c>
      <c r="F123" s="6">
        <v>0</v>
      </c>
      <c r="G123" s="6">
        <v>0</v>
      </c>
      <c r="H123" s="6">
        <f t="shared" si="4"/>
        <v>268.88472000000002</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3">
      <c r="A124" s="91">
        <f t="shared" si="1"/>
        <v>29</v>
      </c>
      <c r="B124" s="92"/>
      <c r="C124" s="51" t="s">
        <v>326</v>
      </c>
      <c r="D124" s="6" t="s">
        <v>327</v>
      </c>
      <c r="E124" s="6">
        <f>(21.6)*(10.764)</f>
        <v>232.50239999999999</v>
      </c>
      <c r="F124" s="6">
        <v>0</v>
      </c>
      <c r="G124" s="6">
        <v>0</v>
      </c>
      <c r="H124" s="6">
        <f t="shared" si="4"/>
        <v>232.50239999999999</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3">
      <c r="A125" s="91">
        <f t="shared" si="1"/>
        <v>30</v>
      </c>
      <c r="B125" s="92"/>
      <c r="C125" s="51" t="s">
        <v>326</v>
      </c>
      <c r="D125" s="6" t="s">
        <v>327</v>
      </c>
      <c r="E125" s="6">
        <f>(23.79)*(10.764)</f>
        <v>256.07556</v>
      </c>
      <c r="F125" s="6">
        <v>0</v>
      </c>
      <c r="G125" s="6">
        <v>0</v>
      </c>
      <c r="H125" s="6">
        <f t="shared" si="4"/>
        <v>256.07556</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3">
      <c r="A126" s="91">
        <f t="shared" si="1"/>
        <v>31</v>
      </c>
      <c r="B126" s="92"/>
      <c r="C126" s="51" t="s">
        <v>326</v>
      </c>
      <c r="D126" s="6" t="s">
        <v>327</v>
      </c>
      <c r="E126" s="6">
        <f>(21.9)*(10.764)</f>
        <v>235.73159999999996</v>
      </c>
      <c r="F126" s="6">
        <v>0</v>
      </c>
      <c r="G126" s="6">
        <v>0</v>
      </c>
      <c r="H126" s="6">
        <f t="shared" si="4"/>
        <v>235.73159999999996</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x14ac:dyDescent="0.3">
      <c r="A127" s="91">
        <f t="shared" si="1"/>
        <v>32</v>
      </c>
      <c r="B127" s="92"/>
      <c r="C127" s="51" t="s">
        <v>326</v>
      </c>
      <c r="D127" s="6" t="s">
        <v>327</v>
      </c>
      <c r="E127" s="6">
        <f>(31.64)*(10.764)</f>
        <v>340.57295999999997</v>
      </c>
      <c r="F127" s="6">
        <v>0</v>
      </c>
      <c r="G127" s="6">
        <v>0</v>
      </c>
      <c r="H127" s="6">
        <f t="shared" si="4"/>
        <v>340.57295999999997</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x14ac:dyDescent="0.3">
      <c r="A128" s="91">
        <f t="shared" si="1"/>
        <v>33</v>
      </c>
      <c r="B128" s="92"/>
      <c r="C128" s="51" t="s">
        <v>326</v>
      </c>
      <c r="D128" s="6" t="s">
        <v>327</v>
      </c>
      <c r="E128" s="6">
        <f>(29.95)*(10.764)</f>
        <v>322.3818</v>
      </c>
      <c r="F128" s="6">
        <v>0</v>
      </c>
      <c r="G128" s="6">
        <v>0</v>
      </c>
      <c r="H128" s="6">
        <f>E128+F128+(IF(G128&lt;101,G128,IF(G128&lt;201,G128/2,IF(G128&lt;=301,G128/3,G128/4))))</f>
        <v>322.3818</v>
      </c>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1" x14ac:dyDescent="0.3">
      <c r="A129" s="91">
        <f t="shared" si="1"/>
        <v>34</v>
      </c>
      <c r="B129" s="92"/>
      <c r="C129" s="51" t="s">
        <v>326</v>
      </c>
      <c r="D129" s="6" t="s">
        <v>327</v>
      </c>
      <c r="E129" s="6">
        <f>(28.58)*(10.764)</f>
        <v>307.63511999999997</v>
      </c>
      <c r="F129" s="6">
        <v>0</v>
      </c>
      <c r="G129" s="6">
        <v>0</v>
      </c>
      <c r="H129" s="6">
        <f t="shared" ref="H129:H135" si="5">E129+F129+(IF(G129&lt;101,G129,IF(G129&lt;201,G129/2,IF(G129&lt;=301,G129/3,G129/4))))</f>
        <v>307.63511999999997</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3">
      <c r="A130" s="91">
        <f t="shared" si="1"/>
        <v>35</v>
      </c>
      <c r="B130" s="92"/>
      <c r="C130" s="51" t="s">
        <v>326</v>
      </c>
      <c r="D130" s="6" t="s">
        <v>327</v>
      </c>
      <c r="E130" s="6">
        <f>(28.07)*(10.764)</f>
        <v>302.14547999999996</v>
      </c>
      <c r="F130" s="6">
        <v>0</v>
      </c>
      <c r="G130" s="6">
        <v>0</v>
      </c>
      <c r="H130" s="6">
        <f t="shared" si="5"/>
        <v>302.14547999999996</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3">
      <c r="A131" s="91">
        <f t="shared" si="1"/>
        <v>36</v>
      </c>
      <c r="B131" s="92"/>
      <c r="C131" s="51" t="s">
        <v>326</v>
      </c>
      <c r="D131" s="6" t="s">
        <v>327</v>
      </c>
      <c r="E131" s="6">
        <f>(28.58)*(10.764)</f>
        <v>307.63511999999997</v>
      </c>
      <c r="F131" s="6">
        <v>0</v>
      </c>
      <c r="G131" s="6">
        <v>0</v>
      </c>
      <c r="H131" s="6">
        <f t="shared" si="5"/>
        <v>307.63511999999997</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3">
      <c r="A132" s="91">
        <f t="shared" si="1"/>
        <v>37</v>
      </c>
      <c r="B132" s="92"/>
      <c r="C132" s="51" t="s">
        <v>326</v>
      </c>
      <c r="D132" s="6" t="s">
        <v>327</v>
      </c>
      <c r="E132" s="6">
        <f>31.09*(10.764)</f>
        <v>334.65276</v>
      </c>
      <c r="F132" s="6">
        <v>0</v>
      </c>
      <c r="G132" s="6">
        <v>0</v>
      </c>
      <c r="H132" s="6">
        <f t="shared" si="5"/>
        <v>334.65276</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3">
      <c r="A133" s="91">
        <f t="shared" si="1"/>
        <v>38</v>
      </c>
      <c r="B133" s="92"/>
      <c r="C133" s="51" t="s">
        <v>326</v>
      </c>
      <c r="D133" s="6" t="s">
        <v>327</v>
      </c>
      <c r="E133" s="6">
        <f>(11.74)*(10.764)</f>
        <v>126.36936</v>
      </c>
      <c r="F133" s="6">
        <v>0</v>
      </c>
      <c r="G133" s="6">
        <v>0</v>
      </c>
      <c r="H133" s="6">
        <f t="shared" si="5"/>
        <v>126.36936</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3">
      <c r="A134" s="91">
        <f t="shared" si="1"/>
        <v>39</v>
      </c>
      <c r="B134" s="92"/>
      <c r="C134" s="51" t="s">
        <v>326</v>
      </c>
      <c r="D134" s="6" t="s">
        <v>327</v>
      </c>
      <c r="E134" s="6">
        <f>(16.43)*(10.764)</f>
        <v>176.85252</v>
      </c>
      <c r="F134" s="6">
        <v>0</v>
      </c>
      <c r="G134" s="6">
        <v>0</v>
      </c>
      <c r="H134" s="6">
        <f t="shared" si="5"/>
        <v>176.85252</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x14ac:dyDescent="0.3">
      <c r="A135" s="91">
        <f t="shared" si="1"/>
        <v>40</v>
      </c>
      <c r="B135" s="92"/>
      <c r="C135" s="51" t="s">
        <v>326</v>
      </c>
      <c r="D135" s="6" t="s">
        <v>327</v>
      </c>
      <c r="E135" s="6">
        <f>(20.24)*(10.764)</f>
        <v>217.86335999999997</v>
      </c>
      <c r="F135" s="6">
        <v>0</v>
      </c>
      <c r="G135" s="6">
        <v>0</v>
      </c>
      <c r="H135" s="6">
        <f t="shared" si="5"/>
        <v>217.86335999999997</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x14ac:dyDescent="0.3">
      <c r="A136" s="91">
        <f t="shared" si="1"/>
        <v>41</v>
      </c>
      <c r="B136" s="92"/>
      <c r="C136" s="51" t="s">
        <v>326</v>
      </c>
      <c r="D136" s="6" t="s">
        <v>327</v>
      </c>
      <c r="E136" s="6">
        <f>(17.26)*(10.764)</f>
        <v>185.78664000000001</v>
      </c>
      <c r="F136" s="6">
        <v>0</v>
      </c>
      <c r="G136" s="6">
        <v>0</v>
      </c>
      <c r="H136" s="6">
        <f>E136+F136+(IF(G136&lt;101,G136,IF(G136&lt;201,G136/2,IF(G136&lt;=301,G136/3,G136/4))))</f>
        <v>185.78664000000001</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x14ac:dyDescent="0.3">
      <c r="A137" s="91">
        <f t="shared" si="1"/>
        <v>42</v>
      </c>
      <c r="B137" s="92"/>
      <c r="C137" s="51" t="s">
        <v>326</v>
      </c>
      <c r="D137" s="6" t="s">
        <v>327</v>
      </c>
      <c r="E137" s="6">
        <f>(17.26)*(10.764)</f>
        <v>185.78664000000001</v>
      </c>
      <c r="F137" s="6">
        <v>0</v>
      </c>
      <c r="G137" s="6">
        <v>0</v>
      </c>
      <c r="H137" s="6">
        <f t="shared" ref="H137:H143" si="6">E137+F137+(IF(G137&lt;101,G137,IF(G137&lt;201,G137/2,IF(G137&lt;=301,G137/3,G137/4))))</f>
        <v>185.78664000000001</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91">
        <f t="shared" si="1"/>
        <v>43</v>
      </c>
      <c r="B138" s="92"/>
      <c r="C138" s="51" t="s">
        <v>326</v>
      </c>
      <c r="D138" s="6" t="s">
        <v>327</v>
      </c>
      <c r="E138" s="6">
        <f>(18.41)*(10.764)</f>
        <v>198.16523999999998</v>
      </c>
      <c r="F138" s="6">
        <v>0</v>
      </c>
      <c r="G138" s="6">
        <v>0</v>
      </c>
      <c r="H138" s="6">
        <f t="shared" si="6"/>
        <v>198.16523999999998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91">
        <f t="shared" si="1"/>
        <v>44</v>
      </c>
      <c r="B139" s="92"/>
      <c r="C139" s="51" t="s">
        <v>326</v>
      </c>
      <c r="D139" s="6" t="s">
        <v>327</v>
      </c>
      <c r="E139" s="6">
        <f>(27.36)*(10.764)</f>
        <v>294.50304</v>
      </c>
      <c r="F139" s="6">
        <v>0</v>
      </c>
      <c r="G139" s="6">
        <v>0</v>
      </c>
      <c r="H139" s="6">
        <f t="shared" si="6"/>
        <v>294.50304</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91">
        <f t="shared" si="1"/>
        <v>45</v>
      </c>
      <c r="B140" s="92"/>
      <c r="C140" s="51" t="s">
        <v>326</v>
      </c>
      <c r="D140" s="6" t="s">
        <v>327</v>
      </c>
      <c r="E140" s="6">
        <f>(23.88)*(10.764)</f>
        <v>257.04431999999997</v>
      </c>
      <c r="F140" s="6">
        <v>0</v>
      </c>
      <c r="G140" s="6">
        <v>0</v>
      </c>
      <c r="H140" s="6">
        <f t="shared" si="6"/>
        <v>257.04431999999997</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
      <c r="A141" s="91">
        <f t="shared" si="1"/>
        <v>46</v>
      </c>
      <c r="B141" s="92"/>
      <c r="C141" s="51" t="s">
        <v>326</v>
      </c>
      <c r="D141" s="6" t="s">
        <v>327</v>
      </c>
      <c r="E141" s="6">
        <f>(23.88)*(10.764)</f>
        <v>257.04431999999997</v>
      </c>
      <c r="F141" s="6">
        <v>0</v>
      </c>
      <c r="G141" s="6">
        <v>0</v>
      </c>
      <c r="H141" s="6">
        <f t="shared" si="6"/>
        <v>257.04431999999997</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
      <c r="A142" s="91">
        <f t="shared" si="1"/>
        <v>47</v>
      </c>
      <c r="B142" s="92"/>
      <c r="C142" s="51" t="s">
        <v>326</v>
      </c>
      <c r="D142" s="6" t="s">
        <v>327</v>
      </c>
      <c r="E142" s="6">
        <f>(29.2)*(10.764)</f>
        <v>314.30879999999996</v>
      </c>
      <c r="F142" s="6">
        <v>0</v>
      </c>
      <c r="G142" s="6">
        <v>0</v>
      </c>
      <c r="H142" s="6">
        <f t="shared" si="6"/>
        <v>314.30879999999996</v>
      </c>
      <c r="I142" s="1">
        <v>25000</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
      <c r="A143" s="91">
        <f t="shared" si="1"/>
        <v>48</v>
      </c>
      <c r="B143" s="92"/>
      <c r="C143" s="51" t="s">
        <v>326</v>
      </c>
      <c r="D143" s="6" t="s">
        <v>327</v>
      </c>
      <c r="E143" s="6">
        <f>(25.7)*(10.764)</f>
        <v>276.63479999999998</v>
      </c>
      <c r="F143" s="6">
        <v>0</v>
      </c>
      <c r="G143" s="6">
        <v>0</v>
      </c>
      <c r="H143" s="6">
        <f t="shared" si="6"/>
        <v>276.63479999999998</v>
      </c>
      <c r="I143" s="1">
        <v>22</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x14ac:dyDescent="0.3">
      <c r="A144" s="91">
        <f t="shared" si="1"/>
        <v>49</v>
      </c>
      <c r="B144" s="92"/>
      <c r="C144" s="51" t="s">
        <v>326</v>
      </c>
      <c r="D144" s="6" t="s">
        <v>327</v>
      </c>
      <c r="E144" s="6">
        <f>(21.6)*(10.764)</f>
        <v>232.50239999999999</v>
      </c>
      <c r="F144" s="6">
        <v>0</v>
      </c>
      <c r="G144" s="6">
        <v>0</v>
      </c>
      <c r="H144" s="6">
        <f t="shared" ref="H144" si="7">E144+F144+(IF(G144&lt;101,G144,IF(G144&lt;201,G144/2,IF(G144&lt;=301,G144/3,G144/4))))</f>
        <v>232.50239999999999</v>
      </c>
      <c r="I144" s="1">
        <v>14500</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3">
      <c r="A145" s="88" t="s">
        <v>328</v>
      </c>
      <c r="B145" s="89"/>
      <c r="C145" s="89"/>
      <c r="D145" s="89"/>
      <c r="E145" s="89"/>
      <c r="F145" s="89"/>
      <c r="G145" s="89"/>
      <c r="H145" s="90"/>
      <c r="I145" s="1"/>
      <c r="J145" s="1"/>
      <c r="K145" s="1"/>
      <c r="L145" s="1"/>
      <c r="M145" s="1"/>
      <c r="N145" s="1"/>
      <c r="O145" s="1"/>
      <c r="P145" s="1"/>
      <c r="Q145" s="1"/>
      <c r="R145" s="1"/>
      <c r="S145" s="1"/>
      <c r="T145" s="23" t="str">
        <f t="shared" ref="T145:T152" ca="1" si="8">U145&amp;""&amp;",..,"&amp;""&amp;V145</f>
        <v>101,..,101</v>
      </c>
      <c r="U145" s="23">
        <f ca="1">(SUMPRODUCT(MID(0&amp;(LEFT(A145,SUM(LEN(A145)-LEN(SUBSTITUTE(A145,{"0","1","2","3"},""))))), LARGE(INDEX(ISNUMBER(--MID((LEFT(A145,SUM(LEN(A145)-LEN(SUBSTITUTE(A145,{"0","1","2","3"},""))))), ROW(INDIRECT("1:"&amp;LEN((LEFT(A145,SUM(LEN(A145)-LEN(SUBSTITUTE(A145,{"0","1","2","3"},"")))))))), 1)) * ROW(INDIRECT("1:"&amp;LEN((LEFT(A145,SUM(LEN(A145)-LEN(SUBSTITUTE(A145,{"0","1","2","3"},"")))))))), 0), ROW(INDIRECT("1:"&amp;LEN((LEFT(A145,SUM(LEN(A145)-LEN(SUBSTITUTE(A145,{"0","1","2","3"},"")))))))))+1, 1) * 10^ROW(INDIRECT("1:"&amp;LEN((LEFT(A145,SUM(LEN(A145)-LEN(SUBSTITUTE(A145,{"0","1","2","3"},""))))))))/10))*100+1</f>
        <v>101</v>
      </c>
      <c r="V145" s="23">
        <f ca="1">(SUMPRODUCT(MID(0&amp;(--TRIM(RIGHT(SUBSTITUTE(LEFT(A145,_xlfn.AGGREGATE(16,6,FIND({0,1,2,3,4,5,6,7,8,9},A145,ROW(INDIRECT("1:"&amp;LEN(A145)))),1)),"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",LEN(A145))),LEN(A145)))))))/10))*100+1</f>
        <v>101</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3">
      <c r="A146" s="81">
        <v>1</v>
      </c>
      <c r="B146" s="81"/>
      <c r="C146" s="51" t="s">
        <v>326</v>
      </c>
      <c r="D146" s="6" t="s">
        <v>327</v>
      </c>
      <c r="E146" s="6">
        <f>(18.97)*(10.764)</f>
        <v>204.19307999999998</v>
      </c>
      <c r="F146" s="6">
        <v>0</v>
      </c>
      <c r="G146" s="6">
        <v>0</v>
      </c>
      <c r="H146" s="6">
        <f>E146+F146+(IF(G146&lt;101,G146,IF(G146&lt;201,G146/2,IF(G146&lt;=301,G146/3,G146/4))))</f>
        <v>204.19307999999998</v>
      </c>
      <c r="I146" s="1"/>
      <c r="J146" s="1"/>
      <c r="K146" s="1"/>
      <c r="L146" s="1"/>
      <c r="M146" s="1"/>
      <c r="N146" s="1"/>
      <c r="O146" s="1"/>
      <c r="P146" s="1"/>
      <c r="Q146" s="1"/>
      <c r="R146" s="1"/>
      <c r="S146" s="1"/>
      <c r="T146" s="23" t="str">
        <f t="shared" ca="1" si="8"/>
        <v>102,..,102</v>
      </c>
      <c r="U146" s="23">
        <f ca="1">U145+1</f>
        <v>102</v>
      </c>
      <c r="V146" s="23">
        <f ca="1">V145+1</f>
        <v>102</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3">
      <c r="A147" s="81">
        <v>2</v>
      </c>
      <c r="B147" s="81"/>
      <c r="C147" s="51" t="s">
        <v>326</v>
      </c>
      <c r="D147" s="6" t="s">
        <v>327</v>
      </c>
      <c r="E147" s="6">
        <f>(21.15)*(10.764)</f>
        <v>227.65859999999998</v>
      </c>
      <c r="F147" s="6">
        <v>0</v>
      </c>
      <c r="G147" s="6">
        <v>0</v>
      </c>
      <c r="H147" s="6">
        <f t="shared" ref="H147:H153" si="9">E147+F147+(IF(G147&lt;101,G147,IF(G147&lt;201,G147/2,IF(G147&lt;=301,G147/3,G147/4))))</f>
        <v>227.65859999999998</v>
      </c>
      <c r="I147" s="1">
        <f>7500000/H147</f>
        <v>32944.06624656394</v>
      </c>
      <c r="J147" s="1"/>
      <c r="K147" s="1"/>
      <c r="L147" s="1"/>
      <c r="M147" s="1"/>
      <c r="N147" s="1"/>
      <c r="O147" s="1"/>
      <c r="P147" s="1"/>
      <c r="Q147" s="1"/>
      <c r="R147" s="1"/>
      <c r="S147" s="1"/>
      <c r="T147" s="23" t="str">
        <f t="shared" ca="1" si="8"/>
        <v>103,..,103</v>
      </c>
      <c r="U147" s="23">
        <f t="shared" ref="U147:U153" ca="1" si="10">U146+1</f>
        <v>103</v>
      </c>
      <c r="V147" s="23">
        <f t="shared" ref="V147:V153" ca="1" si="11">V146+1</f>
        <v>103</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3">
      <c r="A148" s="81">
        <v>3</v>
      </c>
      <c r="B148" s="81"/>
      <c r="C148" s="51" t="s">
        <v>326</v>
      </c>
      <c r="D148" s="6" t="s">
        <v>327</v>
      </c>
      <c r="E148" s="6">
        <f>(18.97)*(10.764)</f>
        <v>204.19307999999998</v>
      </c>
      <c r="F148" s="6">
        <v>0</v>
      </c>
      <c r="G148" s="6">
        <v>0</v>
      </c>
      <c r="H148" s="6">
        <f t="shared" si="9"/>
        <v>204.19307999999998</v>
      </c>
      <c r="I148" s="1"/>
      <c r="J148" s="1"/>
      <c r="K148" s="1"/>
      <c r="L148" s="1"/>
      <c r="M148" s="1"/>
      <c r="N148" s="1"/>
      <c r="O148" s="1"/>
      <c r="P148" s="1"/>
      <c r="Q148" s="1"/>
      <c r="R148" s="1"/>
      <c r="S148" s="1"/>
      <c r="T148" s="23" t="str">
        <f t="shared" ca="1" si="8"/>
        <v>104,..,104</v>
      </c>
      <c r="U148" s="23">
        <f t="shared" ca="1" si="10"/>
        <v>104</v>
      </c>
      <c r="V148" s="23">
        <f t="shared" ca="1" si="11"/>
        <v>104</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3">
      <c r="A149" s="81">
        <v>4</v>
      </c>
      <c r="B149" s="81"/>
      <c r="C149" s="51" t="s">
        <v>326</v>
      </c>
      <c r="D149" s="6" t="s">
        <v>327</v>
      </c>
      <c r="E149" s="6">
        <f>(18.66)*(10.764)</f>
        <v>200.85623999999999</v>
      </c>
      <c r="F149" s="6">
        <v>0</v>
      </c>
      <c r="G149" s="6">
        <v>0</v>
      </c>
      <c r="H149" s="6">
        <f t="shared" si="9"/>
        <v>200.85623999999999</v>
      </c>
      <c r="I149" s="1"/>
      <c r="J149" s="1"/>
      <c r="K149" s="1"/>
      <c r="L149" s="1"/>
      <c r="M149" s="1"/>
      <c r="N149" s="1"/>
      <c r="O149" s="1"/>
      <c r="P149" s="1"/>
      <c r="Q149" s="1"/>
      <c r="R149" s="1"/>
      <c r="S149" s="1"/>
      <c r="T149" s="23" t="str">
        <f t="shared" ca="1" si="8"/>
        <v>105,..,105</v>
      </c>
      <c r="U149" s="23">
        <f t="shared" ca="1" si="10"/>
        <v>105</v>
      </c>
      <c r="V149" s="23">
        <f t="shared" ca="1" si="11"/>
        <v>105</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
      <c r="A150" s="81">
        <v>5</v>
      </c>
      <c r="B150" s="81"/>
      <c r="C150" s="51" t="s">
        <v>326</v>
      </c>
      <c r="D150" s="6" t="s">
        <v>327</v>
      </c>
      <c r="E150" s="6">
        <f>(26.05)*(10.764)</f>
        <v>280.40219999999999</v>
      </c>
      <c r="F150" s="6">
        <v>0</v>
      </c>
      <c r="G150" s="6">
        <v>0</v>
      </c>
      <c r="H150" s="6">
        <f t="shared" si="9"/>
        <v>280.40219999999999</v>
      </c>
      <c r="I150" s="1"/>
      <c r="J150" s="1"/>
      <c r="K150" s="1"/>
      <c r="L150" s="1"/>
      <c r="M150" s="1"/>
      <c r="N150" s="1"/>
      <c r="O150" s="1"/>
      <c r="P150" s="1"/>
      <c r="Q150" s="1"/>
      <c r="R150" s="1"/>
      <c r="S150" s="1"/>
      <c r="T150" s="23" t="str">
        <f t="shared" ca="1" si="8"/>
        <v>106,..,106</v>
      </c>
      <c r="U150" s="23">
        <f t="shared" ca="1" si="10"/>
        <v>106</v>
      </c>
      <c r="V150" s="23">
        <f t="shared" ca="1" si="11"/>
        <v>106</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81">
        <v>6</v>
      </c>
      <c r="B151" s="81"/>
      <c r="C151" s="51" t="s">
        <v>326</v>
      </c>
      <c r="D151" s="6" t="s">
        <v>327</v>
      </c>
      <c r="E151" s="6">
        <f>(14.71)*(10.764)</f>
        <v>158.33843999999999</v>
      </c>
      <c r="F151" s="6">
        <v>0</v>
      </c>
      <c r="G151" s="6">
        <v>0</v>
      </c>
      <c r="H151" s="6">
        <f t="shared" si="9"/>
        <v>158.33843999999999</v>
      </c>
      <c r="I151" s="80">
        <f>4700000/H151</f>
        <v>29683.253163287452</v>
      </c>
      <c r="J151" s="1"/>
      <c r="K151" s="1"/>
      <c r="L151" s="1"/>
      <c r="M151" s="1"/>
      <c r="N151" s="1"/>
      <c r="O151" s="1"/>
      <c r="P151" s="1"/>
      <c r="Q151" s="1"/>
      <c r="R151" s="1"/>
      <c r="S151" s="1"/>
      <c r="T151" s="23" t="str">
        <f t="shared" ca="1" si="8"/>
        <v>107,..,107</v>
      </c>
      <c r="U151" s="23">
        <f t="shared" ca="1" si="10"/>
        <v>107</v>
      </c>
      <c r="V151" s="23">
        <f t="shared" ca="1" si="11"/>
        <v>107</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81">
        <v>7</v>
      </c>
      <c r="B152" s="81"/>
      <c r="C152" s="51" t="s">
        <v>326</v>
      </c>
      <c r="D152" s="6" t="s">
        <v>327</v>
      </c>
      <c r="E152" s="6">
        <f>(13.65)*(10.764)</f>
        <v>146.92859999999999</v>
      </c>
      <c r="F152" s="6">
        <v>0</v>
      </c>
      <c r="G152" s="6">
        <v>0</v>
      </c>
      <c r="H152" s="6">
        <f t="shared" si="9"/>
        <v>146.92859999999999</v>
      </c>
      <c r="I152" s="80">
        <f>4700000/H152</f>
        <v>31988.326302707577</v>
      </c>
      <c r="J152" s="1"/>
      <c r="K152" s="1"/>
      <c r="L152" s="1"/>
      <c r="M152" s="1"/>
      <c r="N152" s="1"/>
      <c r="O152" s="1"/>
      <c r="P152" s="1"/>
      <c r="Q152" s="1"/>
      <c r="R152" s="1"/>
      <c r="S152" s="1"/>
      <c r="T152" s="23" t="str">
        <f t="shared" ca="1" si="8"/>
        <v>108,..,108</v>
      </c>
      <c r="U152" s="23">
        <f t="shared" ca="1" si="10"/>
        <v>108</v>
      </c>
      <c r="V152" s="23">
        <f t="shared" ca="1" si="11"/>
        <v>108</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
      <c r="A153" s="81">
        <v>8</v>
      </c>
      <c r="B153" s="81"/>
      <c r="C153" s="51" t="s">
        <v>326</v>
      </c>
      <c r="D153" s="6" t="s">
        <v>327</v>
      </c>
      <c r="E153" s="6">
        <f>(33.65)*(10.764)</f>
        <v>362.20859999999999</v>
      </c>
      <c r="F153" s="6">
        <v>0</v>
      </c>
      <c r="G153" s="6">
        <v>0</v>
      </c>
      <c r="H153" s="6">
        <f t="shared" si="9"/>
        <v>362.20859999999999</v>
      </c>
      <c r="I153" s="1"/>
      <c r="J153" s="1"/>
      <c r="K153" s="1"/>
      <c r="L153" s="1"/>
      <c r="M153" s="1"/>
      <c r="N153" s="1"/>
      <c r="O153" s="1"/>
      <c r="P153" s="1"/>
      <c r="Q153" s="1"/>
      <c r="R153" s="1"/>
      <c r="S153" s="1"/>
      <c r="T153" s="23" t="str">
        <f t="shared" ref="T153:T161" ca="1" si="12">U153&amp;""&amp;",..,"&amp;""&amp;V153</f>
        <v>109,..,109</v>
      </c>
      <c r="U153" s="23">
        <f t="shared" ca="1" si="10"/>
        <v>109</v>
      </c>
      <c r="V153" s="23">
        <f t="shared" ca="1" si="11"/>
        <v>109</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81">
        <v>9</v>
      </c>
      <c r="B154" s="81"/>
      <c r="C154" s="51" t="s">
        <v>326</v>
      </c>
      <c r="D154" s="6" t="s">
        <v>327</v>
      </c>
      <c r="E154" s="6">
        <f>(30.32)*(10.764)</f>
        <v>326.36447999999996</v>
      </c>
      <c r="F154" s="6">
        <v>0</v>
      </c>
      <c r="G154" s="6">
        <v>0</v>
      </c>
      <c r="H154" s="6">
        <f t="shared" ref="H154" si="13">E154+F154+(IF(G154&lt;101,G154,IF(G154&lt;201,G154/2,IF(G154&lt;=301,G154/3,G154/4))))</f>
        <v>326.36447999999996</v>
      </c>
      <c r="I154" s="1"/>
      <c r="J154" s="1"/>
      <c r="K154" s="1"/>
      <c r="L154" s="1"/>
      <c r="M154" s="1"/>
      <c r="N154" s="1"/>
      <c r="O154" s="1"/>
      <c r="P154" s="1"/>
      <c r="Q154" s="1"/>
      <c r="R154" s="1"/>
      <c r="S154" s="1"/>
      <c r="T154" s="23" t="e">
        <f t="shared" ca="1" si="12"/>
        <v>#REF!</v>
      </c>
      <c r="U154" s="23" t="e">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#REF!</v>
      </c>
      <c r="V154" s="23">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901</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81">
        <v>10</v>
      </c>
      <c r="B155" s="81"/>
      <c r="C155" s="51" t="s">
        <v>326</v>
      </c>
      <c r="D155" s="6" t="s">
        <v>327</v>
      </c>
      <c r="E155" s="6">
        <f>(32.02)*(10.764)</f>
        <v>344.66327999999999</v>
      </c>
      <c r="F155" s="6">
        <v>0</v>
      </c>
      <c r="G155" s="6">
        <v>0</v>
      </c>
      <c r="H155" s="6">
        <f>E155+F155+(IF(G155&lt;101,G155,IF(G155&lt;201,G155/2,IF(G155&lt;=301,G155/3,G155/4))))</f>
        <v>344.66327999999999</v>
      </c>
      <c r="I155" s="1"/>
      <c r="J155" s="1"/>
      <c r="K155" s="1"/>
      <c r="L155" s="1"/>
      <c r="M155" s="1"/>
      <c r="N155" s="1"/>
      <c r="O155" s="1"/>
      <c r="P155" s="1"/>
      <c r="Q155" s="1"/>
      <c r="R155" s="1"/>
      <c r="S155" s="1"/>
      <c r="T155" s="23" t="e">
        <f t="shared" ca="1" si="12"/>
        <v>#REF!</v>
      </c>
      <c r="U155" s="23" t="e">
        <f ca="1">U154+1</f>
        <v>#REF!</v>
      </c>
      <c r="V155" s="23">
        <f ca="1">V154+1</f>
        <v>902</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81">
        <v>11</v>
      </c>
      <c r="B156" s="81"/>
      <c r="C156" s="51" t="s">
        <v>326</v>
      </c>
      <c r="D156" s="6" t="s">
        <v>327</v>
      </c>
      <c r="E156" s="6">
        <f>(25.11)*(10.764)</f>
        <v>270.28404</v>
      </c>
      <c r="F156" s="6">
        <v>0</v>
      </c>
      <c r="G156" s="6">
        <v>0</v>
      </c>
      <c r="H156" s="6">
        <f t="shared" ref="H156:H163" si="14">E156+F156+(IF(G156&lt;101,G156,IF(G156&lt;201,G156/2,IF(G156&lt;=301,G156/3,G156/4))))</f>
        <v>270.28404</v>
      </c>
      <c r="I156" s="1"/>
      <c r="J156" s="1"/>
      <c r="K156" s="1"/>
      <c r="L156" s="1"/>
      <c r="M156" s="1"/>
      <c r="N156" s="1"/>
      <c r="O156" s="1"/>
      <c r="P156" s="1"/>
      <c r="Q156" s="1"/>
      <c r="R156" s="1"/>
      <c r="S156" s="1"/>
      <c r="T156" s="23" t="e">
        <f t="shared" ca="1" si="12"/>
        <v>#REF!</v>
      </c>
      <c r="U156" s="23" t="e">
        <f t="shared" ref="U156:V162" ca="1" si="15">U155+1</f>
        <v>#REF!</v>
      </c>
      <c r="V156" s="23">
        <f t="shared" ca="1" si="15"/>
        <v>903</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
      <c r="A157" s="81">
        <v>12</v>
      </c>
      <c r="B157" s="81"/>
      <c r="C157" s="51" t="s">
        <v>326</v>
      </c>
      <c r="D157" s="6" t="s">
        <v>327</v>
      </c>
      <c r="E157" s="6">
        <f>(23.76)*(10.764)</f>
        <v>255.75264000000001</v>
      </c>
      <c r="F157" s="6">
        <v>0</v>
      </c>
      <c r="G157" s="6">
        <v>0</v>
      </c>
      <c r="H157" s="6">
        <f t="shared" si="14"/>
        <v>255.75264000000001</v>
      </c>
      <c r="I157" s="1"/>
      <c r="J157" s="1"/>
      <c r="K157" s="1"/>
      <c r="L157" s="1"/>
      <c r="M157" s="1"/>
      <c r="N157" s="1"/>
      <c r="O157" s="1"/>
      <c r="P157" s="1"/>
      <c r="Q157" s="1"/>
      <c r="R157" s="1"/>
      <c r="S157" s="1"/>
      <c r="T157" s="23" t="e">
        <f t="shared" ca="1" si="12"/>
        <v>#REF!</v>
      </c>
      <c r="U157" s="23" t="e">
        <f t="shared" ca="1" si="15"/>
        <v>#REF!</v>
      </c>
      <c r="V157" s="23">
        <f t="shared" ca="1" si="15"/>
        <v>904</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81">
        <v>13</v>
      </c>
      <c r="B158" s="81"/>
      <c r="C158" s="51" t="s">
        <v>326</v>
      </c>
      <c r="D158" s="6" t="s">
        <v>327</v>
      </c>
      <c r="E158" s="6">
        <f>(22.56)*(10.764)</f>
        <v>242.83583999999996</v>
      </c>
      <c r="F158" s="6">
        <v>0</v>
      </c>
      <c r="G158" s="6">
        <v>0</v>
      </c>
      <c r="H158" s="6">
        <f t="shared" si="14"/>
        <v>242.83583999999996</v>
      </c>
      <c r="I158" s="1"/>
      <c r="J158" s="1"/>
      <c r="K158" s="1"/>
      <c r="L158" s="1"/>
      <c r="M158" s="1"/>
      <c r="N158" s="1"/>
      <c r="O158" s="1"/>
      <c r="P158" s="1"/>
      <c r="Q158" s="1"/>
      <c r="R158" s="1"/>
      <c r="S158" s="1"/>
      <c r="T158" s="23" t="e">
        <f t="shared" ca="1" si="12"/>
        <v>#REF!</v>
      </c>
      <c r="U158" s="23" t="e">
        <f t="shared" ca="1" si="15"/>
        <v>#REF!</v>
      </c>
      <c r="V158" s="23">
        <f t="shared" ca="1" si="15"/>
        <v>905</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81">
        <v>14</v>
      </c>
      <c r="B159" s="81"/>
      <c r="C159" s="51" t="s">
        <v>326</v>
      </c>
      <c r="D159" s="6" t="s">
        <v>327</v>
      </c>
      <c r="E159" s="6">
        <f>(11.31)*(10.764)</f>
        <v>121.74083999999999</v>
      </c>
      <c r="F159" s="6">
        <v>0</v>
      </c>
      <c r="G159" s="6">
        <v>0</v>
      </c>
      <c r="H159" s="6">
        <f t="shared" si="14"/>
        <v>121.74083999999999</v>
      </c>
      <c r="I159" s="1"/>
      <c r="J159" s="1"/>
      <c r="K159" s="1"/>
      <c r="L159" s="1"/>
      <c r="M159" s="1"/>
      <c r="N159" s="1"/>
      <c r="O159" s="1"/>
      <c r="P159" s="1"/>
      <c r="Q159" s="1"/>
      <c r="R159" s="1"/>
      <c r="S159" s="1"/>
      <c r="T159" s="23" t="e">
        <f t="shared" ca="1" si="12"/>
        <v>#REF!</v>
      </c>
      <c r="U159" s="23" t="e">
        <f t="shared" ca="1" si="15"/>
        <v>#REF!</v>
      </c>
      <c r="V159" s="23">
        <f t="shared" ca="1" si="15"/>
        <v>906</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
      <c r="A160" s="81">
        <v>15</v>
      </c>
      <c r="B160" s="81"/>
      <c r="C160" s="51" t="s">
        <v>326</v>
      </c>
      <c r="D160" s="6" t="s">
        <v>327</v>
      </c>
      <c r="E160" s="6">
        <f>(7.45)*(10.764)</f>
        <v>80.191800000000001</v>
      </c>
      <c r="F160" s="6">
        <v>0</v>
      </c>
      <c r="G160" s="6">
        <v>0</v>
      </c>
      <c r="H160" s="6">
        <f t="shared" si="14"/>
        <v>80.191800000000001</v>
      </c>
      <c r="I160" s="1"/>
      <c r="J160" s="1"/>
      <c r="K160" s="1"/>
      <c r="L160" s="1"/>
      <c r="M160" s="1"/>
      <c r="N160" s="1"/>
      <c r="O160" s="1"/>
      <c r="P160" s="1"/>
      <c r="Q160" s="1"/>
      <c r="R160" s="1"/>
      <c r="S160" s="1"/>
      <c r="T160" s="23" t="e">
        <f t="shared" ca="1" si="12"/>
        <v>#REF!</v>
      </c>
      <c r="U160" s="23" t="e">
        <f t="shared" ca="1" si="15"/>
        <v>#REF!</v>
      </c>
      <c r="V160" s="23">
        <f t="shared" ca="1" si="15"/>
        <v>907</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81">
        <v>16</v>
      </c>
      <c r="B161" s="81"/>
      <c r="C161" s="51" t="s">
        <v>326</v>
      </c>
      <c r="D161" s="6" t="s">
        <v>327</v>
      </c>
      <c r="E161" s="6">
        <f>(9.75)*(10.764)</f>
        <v>104.949</v>
      </c>
      <c r="F161" s="6">
        <v>0</v>
      </c>
      <c r="G161" s="6">
        <v>0</v>
      </c>
      <c r="H161" s="6">
        <f t="shared" si="14"/>
        <v>104.949</v>
      </c>
      <c r="I161" s="80">
        <f>3000000/H161</f>
        <v>28585.312866249322</v>
      </c>
      <c r="J161" s="1"/>
      <c r="K161" s="1"/>
      <c r="L161" s="1"/>
      <c r="M161" s="1"/>
      <c r="N161" s="1"/>
      <c r="O161" s="1"/>
      <c r="P161" s="1"/>
      <c r="Q161" s="1"/>
      <c r="R161" s="1"/>
      <c r="S161" s="1"/>
      <c r="T161" s="23" t="e">
        <f t="shared" ca="1" si="12"/>
        <v>#REF!</v>
      </c>
      <c r="U161" s="23" t="e">
        <f t="shared" ca="1" si="15"/>
        <v>#REF!</v>
      </c>
      <c r="V161" s="23">
        <f t="shared" ca="1" si="15"/>
        <v>908</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81">
        <v>17</v>
      </c>
      <c r="B162" s="81"/>
      <c r="C162" s="51" t="s">
        <v>326</v>
      </c>
      <c r="D162" s="6" t="s">
        <v>327</v>
      </c>
      <c r="E162" s="6">
        <f>(20.18)*(10.764)</f>
        <v>217.21751999999998</v>
      </c>
      <c r="F162" s="6">
        <v>0</v>
      </c>
      <c r="G162" s="6">
        <v>0</v>
      </c>
      <c r="H162" s="6">
        <f t="shared" si="14"/>
        <v>217.21751999999998</v>
      </c>
      <c r="I162" s="1"/>
      <c r="J162" s="1"/>
      <c r="K162" s="1"/>
      <c r="L162" s="1"/>
      <c r="M162" s="1"/>
      <c r="N162" s="1"/>
      <c r="O162" s="1"/>
      <c r="P162" s="1"/>
      <c r="Q162" s="1"/>
      <c r="R162" s="1"/>
      <c r="S162" s="1"/>
      <c r="T162" s="23" t="e">
        <f t="shared" ref="T162:T179" ca="1" si="16">U162&amp;""&amp;",..,"&amp;""&amp;V162</f>
        <v>#REF!</v>
      </c>
      <c r="U162" s="23" t="e">
        <f t="shared" ca="1" si="15"/>
        <v>#REF!</v>
      </c>
      <c r="V162" s="23">
        <f t="shared" ca="1" si="15"/>
        <v>909</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
      <c r="A163" s="81">
        <v>18</v>
      </c>
      <c r="B163" s="81"/>
      <c r="C163" s="51" t="s">
        <v>326</v>
      </c>
      <c r="D163" s="6" t="s">
        <v>327</v>
      </c>
      <c r="E163" s="6">
        <f>(24.43)*(10.764)</f>
        <v>262.96451999999999</v>
      </c>
      <c r="F163" s="6">
        <v>0</v>
      </c>
      <c r="G163" s="6">
        <v>0</v>
      </c>
      <c r="H163" s="6">
        <f t="shared" si="14"/>
        <v>262.96451999999999</v>
      </c>
      <c r="I163" s="1"/>
      <c r="J163" s="1"/>
      <c r="K163" s="1"/>
      <c r="L163" s="1"/>
      <c r="M163" s="1"/>
      <c r="N163" s="1"/>
      <c r="O163" s="1"/>
      <c r="P163" s="1"/>
      <c r="Q163" s="1"/>
      <c r="R163" s="1"/>
      <c r="S163" s="1"/>
      <c r="T163" s="23" t="str">
        <f t="shared" ca="1" si="16"/>
        <v>101,..,1801</v>
      </c>
      <c r="U163" s="23">
        <f ca="1">(SUMPRODUCT(MID(0&amp;(LEFT(A163,SUM(LEN(A163)-LEN(SUBSTITUTE(A163,{"0","1","2","3"},""))))), LARGE(INDEX(ISNUMBER(--MID((LEFT(A163,SUM(LEN(A163)-LEN(SUBSTITUTE(A163,{"0","1","2","3"},""))))), ROW(INDIRECT("1:"&amp;LEN((LEFT(A163,SUM(LEN(A163)-LEN(SUBSTITUTE(A163,{"0","1","2","3"},"")))))))), 1)) * ROW(INDIRECT("1:"&amp;LEN((LEFT(A163,SUM(LEN(A163)-LEN(SUBSTITUTE(A163,{"0","1","2","3"},"")))))))), 0), ROW(INDIRECT("1:"&amp;LEN((LEFT(A163,SUM(LEN(A163)-LEN(SUBSTITUTE(A163,{"0","1","2","3"},"")))))))))+1, 1) * 10^ROW(INDIRECT("1:"&amp;LEN((LEFT(A163,SUM(LEN(A163)-LEN(SUBSTITUTE(A163,{"0","1","2","3"},""))))))))/10))*100+1</f>
        <v>101</v>
      </c>
      <c r="V163" s="23">
        <f ca="1">(SUMPRODUCT(MID(0&amp;(--TRIM(RIGHT(SUBSTITUTE(LEFT(A163,_xlfn.AGGREGATE(16,6,FIND({0,1,2,3,4,5,6,7,8,9},A163,ROW(INDIRECT("1:"&amp;LEN(A163)))),1)),"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",LEN(A163))),LEN(A163)))))))/10))*100+1</f>
        <v>1801</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
      <c r="A164" s="81">
        <v>19</v>
      </c>
      <c r="B164" s="81"/>
      <c r="C164" s="51" t="s">
        <v>326</v>
      </c>
      <c r="D164" s="6" t="s">
        <v>327</v>
      </c>
      <c r="E164" s="6">
        <f>(25.63)*(10.764)</f>
        <v>275.88131999999996</v>
      </c>
      <c r="F164" s="6">
        <v>0</v>
      </c>
      <c r="G164" s="6">
        <v>0</v>
      </c>
      <c r="H164" s="6">
        <f>E164+F164+(IF(G164&lt;101,G164,IF(G164&lt;201,G164/2,IF(G164&lt;=301,G164/3,G164/4))))</f>
        <v>275.88131999999996</v>
      </c>
      <c r="I164" s="1"/>
      <c r="J164" s="1"/>
      <c r="K164" s="1"/>
      <c r="L164" s="1"/>
      <c r="M164" s="1"/>
      <c r="N164" s="1"/>
      <c r="O164" s="1"/>
      <c r="P164" s="1"/>
      <c r="Q164" s="1"/>
      <c r="R164" s="1"/>
      <c r="S164" s="1"/>
      <c r="T164" s="23" t="str">
        <f t="shared" ca="1" si="16"/>
        <v>102,..,1802</v>
      </c>
      <c r="U164" s="23">
        <f ca="1">U163+1</f>
        <v>102</v>
      </c>
      <c r="V164" s="23">
        <f ca="1">V163+1</f>
        <v>1802</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
      <c r="A165" s="81">
        <v>20</v>
      </c>
      <c r="B165" s="81"/>
      <c r="C165" s="51" t="s">
        <v>326</v>
      </c>
      <c r="D165" s="6" t="s">
        <v>327</v>
      </c>
      <c r="E165" s="6">
        <f>(29.07)*(10.764)</f>
        <v>312.90947999999997</v>
      </c>
      <c r="F165" s="6">
        <v>0</v>
      </c>
      <c r="G165" s="6">
        <v>0</v>
      </c>
      <c r="H165" s="6">
        <f t="shared" ref="H165:H172" si="17">E165+F165+(IF(G165&lt;101,G165,IF(G165&lt;201,G165/2,IF(G165&lt;=301,G165/3,G165/4))))</f>
        <v>312.90947999999997</v>
      </c>
      <c r="I165" s="1"/>
      <c r="J165" s="1"/>
      <c r="K165" s="1"/>
      <c r="L165" s="1"/>
      <c r="M165" s="1"/>
      <c r="N165" s="1"/>
      <c r="O165" s="1"/>
      <c r="P165" s="1"/>
      <c r="Q165" s="1"/>
      <c r="R165" s="1"/>
      <c r="S165" s="1"/>
      <c r="T165" s="23" t="str">
        <f t="shared" ca="1" si="16"/>
        <v>103,..,1803</v>
      </c>
      <c r="U165" s="23">
        <f t="shared" ref="U165:V171" ca="1" si="18">U164+1</f>
        <v>103</v>
      </c>
      <c r="V165" s="23">
        <f t="shared" ca="1" si="18"/>
        <v>1803</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81">
        <v>21</v>
      </c>
      <c r="B166" s="81"/>
      <c r="C166" s="51" t="s">
        <v>326</v>
      </c>
      <c r="D166" s="6" t="s">
        <v>327</v>
      </c>
      <c r="E166" s="6">
        <f>(21.72)*(10.764)</f>
        <v>233.79407999999998</v>
      </c>
      <c r="F166" s="6">
        <v>0</v>
      </c>
      <c r="G166" s="6">
        <v>0</v>
      </c>
      <c r="H166" s="6">
        <f t="shared" si="17"/>
        <v>233.79407999999998</v>
      </c>
      <c r="I166" s="1"/>
      <c r="J166" s="1"/>
      <c r="K166" s="1"/>
      <c r="L166" s="1"/>
      <c r="M166" s="1"/>
      <c r="N166" s="1"/>
      <c r="O166" s="1"/>
      <c r="P166" s="1"/>
      <c r="Q166" s="1"/>
      <c r="R166" s="1"/>
      <c r="S166" s="1"/>
      <c r="T166" s="23" t="str">
        <f t="shared" ca="1" si="16"/>
        <v>104,..,1804</v>
      </c>
      <c r="U166" s="23">
        <f t="shared" ca="1" si="18"/>
        <v>104</v>
      </c>
      <c r="V166" s="23">
        <f t="shared" ca="1" si="18"/>
        <v>1804</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81">
        <v>22</v>
      </c>
      <c r="B167" s="81"/>
      <c r="C167" s="51" t="s">
        <v>326</v>
      </c>
      <c r="D167" s="6" t="s">
        <v>327</v>
      </c>
      <c r="E167" s="6">
        <f>(16.49)*(10.764)</f>
        <v>177.49835999999996</v>
      </c>
      <c r="F167" s="6">
        <v>0</v>
      </c>
      <c r="G167" s="6">
        <v>0</v>
      </c>
      <c r="H167" s="6">
        <f t="shared" si="17"/>
        <v>177.49835999999996</v>
      </c>
      <c r="I167" s="1"/>
      <c r="J167" s="1"/>
      <c r="K167" s="1"/>
      <c r="L167" s="1"/>
      <c r="M167" s="1"/>
      <c r="N167" s="1"/>
      <c r="O167" s="1"/>
      <c r="P167" s="1"/>
      <c r="Q167" s="1"/>
      <c r="R167" s="1"/>
      <c r="S167" s="1"/>
      <c r="T167" s="23" t="str">
        <f t="shared" ca="1" si="16"/>
        <v>105,..,1805</v>
      </c>
      <c r="U167" s="23">
        <f t="shared" ca="1" si="18"/>
        <v>105</v>
      </c>
      <c r="V167" s="23">
        <f t="shared" ca="1" si="18"/>
        <v>1805</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81">
        <v>23</v>
      </c>
      <c r="B168" s="81"/>
      <c r="C168" s="51" t="s">
        <v>326</v>
      </c>
      <c r="D168" s="6" t="s">
        <v>327</v>
      </c>
      <c r="E168" s="6">
        <f>(19.58)*(10.764)</f>
        <v>210.75911999999997</v>
      </c>
      <c r="F168" s="6">
        <v>0</v>
      </c>
      <c r="G168" s="6">
        <v>0</v>
      </c>
      <c r="H168" s="6">
        <f t="shared" si="17"/>
        <v>210.75911999999997</v>
      </c>
      <c r="I168" s="1"/>
      <c r="J168" s="1"/>
      <c r="K168" s="1"/>
      <c r="L168" s="1"/>
      <c r="M168" s="1"/>
      <c r="N168" s="1"/>
      <c r="O168" s="1"/>
      <c r="P168" s="1"/>
      <c r="Q168" s="1"/>
      <c r="R168" s="1"/>
      <c r="S168" s="1"/>
      <c r="T168" s="23" t="str">
        <f t="shared" ca="1" si="16"/>
        <v>106,..,1806</v>
      </c>
      <c r="U168" s="23">
        <f t="shared" ca="1" si="18"/>
        <v>106</v>
      </c>
      <c r="V168" s="23">
        <f t="shared" ca="1" si="18"/>
        <v>1806</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
      <c r="A169" s="81">
        <v>24</v>
      </c>
      <c r="B169" s="81"/>
      <c r="C169" s="51" t="s">
        <v>326</v>
      </c>
      <c r="D169" s="6" t="s">
        <v>327</v>
      </c>
      <c r="E169" s="6">
        <f>(16.49)*(10.764)</f>
        <v>177.49835999999996</v>
      </c>
      <c r="F169" s="6">
        <v>0</v>
      </c>
      <c r="G169" s="6">
        <v>0</v>
      </c>
      <c r="H169" s="6">
        <f t="shared" si="17"/>
        <v>177.49835999999996</v>
      </c>
      <c r="I169" s="1"/>
      <c r="J169" s="1"/>
      <c r="K169" s="1"/>
      <c r="L169" s="1"/>
      <c r="M169" s="1"/>
      <c r="N169" s="1"/>
      <c r="O169" s="1"/>
      <c r="P169" s="1"/>
      <c r="Q169" s="1"/>
      <c r="R169" s="1"/>
      <c r="S169" s="1"/>
      <c r="T169" s="23" t="str">
        <f t="shared" ca="1" si="16"/>
        <v>107,..,1807</v>
      </c>
      <c r="U169" s="23">
        <f t="shared" ca="1" si="18"/>
        <v>107</v>
      </c>
      <c r="V169" s="23">
        <f t="shared" ca="1" si="18"/>
        <v>1807</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
      <c r="A170" s="81">
        <v>25</v>
      </c>
      <c r="B170" s="81"/>
      <c r="C170" s="51" t="s">
        <v>326</v>
      </c>
      <c r="D170" s="6" t="s">
        <v>327</v>
      </c>
      <c r="E170" s="6">
        <f>(20.92)*(10.764)</f>
        <v>225.18288000000001</v>
      </c>
      <c r="F170" s="6">
        <v>0</v>
      </c>
      <c r="G170" s="6">
        <v>0</v>
      </c>
      <c r="H170" s="6">
        <f t="shared" si="17"/>
        <v>225.18288000000001</v>
      </c>
      <c r="I170" s="1"/>
      <c r="J170" s="1"/>
      <c r="K170" s="1"/>
      <c r="L170" s="1"/>
      <c r="M170" s="1"/>
      <c r="N170" s="1"/>
      <c r="O170" s="1"/>
      <c r="P170" s="1"/>
      <c r="Q170" s="1"/>
      <c r="R170" s="1"/>
      <c r="S170" s="1"/>
      <c r="T170" s="23" t="str">
        <f t="shared" ca="1" si="16"/>
        <v>108,..,1808</v>
      </c>
      <c r="U170" s="23">
        <f t="shared" ca="1" si="18"/>
        <v>108</v>
      </c>
      <c r="V170" s="23">
        <f t="shared" ca="1" si="18"/>
        <v>1808</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3">
      <c r="A171" s="81">
        <v>26</v>
      </c>
      <c r="B171" s="81"/>
      <c r="C171" s="51" t="s">
        <v>326</v>
      </c>
      <c r="D171" s="6" t="s">
        <v>327</v>
      </c>
      <c r="E171" s="6">
        <f>(55.54)*(10.764)</f>
        <v>597.83255999999994</v>
      </c>
      <c r="F171" s="6">
        <v>0</v>
      </c>
      <c r="G171" s="6">
        <v>0</v>
      </c>
      <c r="H171" s="6">
        <f t="shared" si="17"/>
        <v>597.83255999999994</v>
      </c>
      <c r="I171" s="1"/>
      <c r="J171" s="1"/>
      <c r="K171" s="1"/>
      <c r="L171" s="1"/>
      <c r="M171" s="1"/>
      <c r="N171" s="1"/>
      <c r="O171" s="1"/>
      <c r="P171" s="1"/>
      <c r="Q171" s="1"/>
      <c r="R171" s="1"/>
      <c r="S171" s="1"/>
      <c r="T171" s="23" t="str">
        <f t="shared" ca="1" si="16"/>
        <v>109,..,1809</v>
      </c>
      <c r="U171" s="23">
        <f t="shared" ca="1" si="18"/>
        <v>109</v>
      </c>
      <c r="V171" s="23">
        <f t="shared" ca="1" si="18"/>
        <v>1809</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
      <c r="A172" s="81">
        <v>27</v>
      </c>
      <c r="B172" s="81"/>
      <c r="C172" s="51" t="s">
        <v>326</v>
      </c>
      <c r="D172" s="6" t="s">
        <v>327</v>
      </c>
      <c r="E172" s="6">
        <f>(46.48)*(10.764)</f>
        <v>500.31071999999995</v>
      </c>
      <c r="F172" s="6">
        <v>0</v>
      </c>
      <c r="G172" s="6">
        <v>0</v>
      </c>
      <c r="H172" s="6">
        <f t="shared" si="17"/>
        <v>500.31071999999995</v>
      </c>
      <c r="I172" s="1"/>
      <c r="J172" s="1"/>
      <c r="K172" s="1"/>
      <c r="L172" s="1"/>
      <c r="M172" s="1"/>
      <c r="N172" s="1"/>
      <c r="O172" s="1"/>
      <c r="P172" s="1"/>
      <c r="Q172" s="1"/>
      <c r="R172" s="1"/>
      <c r="S172" s="1"/>
      <c r="T172" s="23" t="str">
        <f t="shared" ca="1" si="16"/>
        <v>201,..,2701</v>
      </c>
      <c r="U172" s="23">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201</v>
      </c>
      <c r="V172" s="23">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2701</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3">
      <c r="A173" s="81">
        <v>28</v>
      </c>
      <c r="B173" s="81"/>
      <c r="C173" s="51" t="s">
        <v>326</v>
      </c>
      <c r="D173" s="6" t="s">
        <v>327</v>
      </c>
      <c r="E173" s="6">
        <f>(30.23)*(10.764)</f>
        <v>325.39571999999998</v>
      </c>
      <c r="F173" s="6">
        <v>0</v>
      </c>
      <c r="G173" s="6">
        <v>0</v>
      </c>
      <c r="H173" s="6">
        <f>E173+F173+(IF(G173&lt;101,G173,IF(G173&lt;201,G173/2,IF(G173&lt;=301,G173/3,G173/4))))</f>
        <v>325.39571999999998</v>
      </c>
      <c r="I173" s="1"/>
      <c r="J173" s="1"/>
      <c r="K173" s="1"/>
      <c r="L173" s="1"/>
      <c r="M173" s="1"/>
      <c r="N173" s="1"/>
      <c r="O173" s="1"/>
      <c r="P173" s="1"/>
      <c r="Q173" s="1"/>
      <c r="R173" s="1"/>
      <c r="S173" s="1"/>
      <c r="T173" s="23" t="str">
        <f t="shared" ca="1" si="16"/>
        <v>202,..,2702</v>
      </c>
      <c r="U173" s="23">
        <f ca="1">U172+1</f>
        <v>202</v>
      </c>
      <c r="V173" s="23">
        <f ca="1">V172+1</f>
        <v>2702</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3">
      <c r="A174" s="81">
        <v>29</v>
      </c>
      <c r="B174" s="81"/>
      <c r="C174" s="51" t="s">
        <v>326</v>
      </c>
      <c r="D174" s="6" t="s">
        <v>327</v>
      </c>
      <c r="E174" s="6">
        <f>(19.39)*(10.764)</f>
        <v>208.71395999999999</v>
      </c>
      <c r="F174" s="6">
        <v>0</v>
      </c>
      <c r="G174" s="6">
        <v>0</v>
      </c>
      <c r="H174" s="6">
        <f t="shared" ref="H174:H181" si="19">E174+F174+(IF(G174&lt;101,G174,IF(G174&lt;201,G174/2,IF(G174&lt;=301,G174/3,G174/4))))</f>
        <v>208.71395999999999</v>
      </c>
      <c r="I174" s="1"/>
      <c r="J174" s="1"/>
      <c r="K174" s="1"/>
      <c r="L174" s="1"/>
      <c r="M174" s="1"/>
      <c r="N174" s="1"/>
      <c r="O174" s="1"/>
      <c r="P174" s="1"/>
      <c r="Q174" s="1"/>
      <c r="R174" s="1"/>
      <c r="S174" s="1"/>
      <c r="T174" s="23" t="str">
        <f t="shared" ca="1" si="16"/>
        <v>203,..,2703</v>
      </c>
      <c r="U174" s="23">
        <f t="shared" ref="U174:V174" ca="1" si="20">U173+1</f>
        <v>203</v>
      </c>
      <c r="V174" s="23">
        <f t="shared" ca="1" si="20"/>
        <v>2703</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3">
      <c r="A175" s="81">
        <v>30</v>
      </c>
      <c r="B175" s="81"/>
      <c r="C175" s="51" t="s">
        <v>326</v>
      </c>
      <c r="D175" s="6" t="s">
        <v>327</v>
      </c>
      <c r="E175" s="6">
        <f>(19.03)*(10.764)</f>
        <v>204.83892</v>
      </c>
      <c r="F175" s="6">
        <v>0</v>
      </c>
      <c r="G175" s="6">
        <v>0</v>
      </c>
      <c r="H175" s="6">
        <f t="shared" si="19"/>
        <v>204.83892</v>
      </c>
      <c r="I175" s="1"/>
      <c r="J175" s="1"/>
      <c r="K175" s="1"/>
      <c r="L175" s="1"/>
      <c r="M175" s="1"/>
      <c r="N175" s="1"/>
      <c r="O175" s="1"/>
      <c r="P175" s="1"/>
      <c r="Q175" s="1"/>
      <c r="R175" s="1"/>
      <c r="S175" s="1"/>
      <c r="T175" s="23" t="str">
        <f t="shared" ca="1" si="16"/>
        <v>204,..,2704</v>
      </c>
      <c r="U175" s="23">
        <f t="shared" ref="U175:V175" ca="1" si="21">U174+1</f>
        <v>204</v>
      </c>
      <c r="V175" s="23">
        <f t="shared" ca="1" si="21"/>
        <v>2704</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
      <c r="A176" s="81">
        <v>31</v>
      </c>
      <c r="B176" s="81"/>
      <c r="C176" s="51" t="s">
        <v>326</v>
      </c>
      <c r="D176" s="6" t="s">
        <v>327</v>
      </c>
      <c r="E176" s="6">
        <f>(18.64)*(10.764)</f>
        <v>200.64096000000001</v>
      </c>
      <c r="F176" s="6">
        <v>0</v>
      </c>
      <c r="G176" s="6">
        <v>0</v>
      </c>
      <c r="H176" s="6">
        <f t="shared" si="19"/>
        <v>200.64096000000001</v>
      </c>
      <c r="I176" s="1"/>
      <c r="J176" s="1"/>
      <c r="K176" s="1"/>
      <c r="L176" s="1"/>
      <c r="M176" s="1"/>
      <c r="N176" s="1"/>
      <c r="O176" s="1"/>
      <c r="P176" s="1"/>
      <c r="Q176" s="1"/>
      <c r="R176" s="1"/>
      <c r="S176" s="1"/>
      <c r="T176" s="23" t="str">
        <f t="shared" ca="1" si="16"/>
        <v>205,..,2705</v>
      </c>
      <c r="U176" s="23">
        <f t="shared" ref="U176:V176" ca="1" si="22">U175+1</f>
        <v>205</v>
      </c>
      <c r="V176" s="23">
        <f t="shared" ca="1" si="22"/>
        <v>2705</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3">
      <c r="A177" s="81">
        <v>32</v>
      </c>
      <c r="B177" s="81"/>
      <c r="C177" s="51" t="s">
        <v>326</v>
      </c>
      <c r="D177" s="6" t="s">
        <v>327</v>
      </c>
      <c r="E177" s="6">
        <f>(17.8)*(10.764)</f>
        <v>191.5992</v>
      </c>
      <c r="F177" s="6">
        <v>0</v>
      </c>
      <c r="G177" s="6">
        <v>0</v>
      </c>
      <c r="H177" s="6">
        <f t="shared" si="19"/>
        <v>191.5992</v>
      </c>
      <c r="I177" s="1"/>
      <c r="J177" s="1"/>
      <c r="K177" s="1"/>
      <c r="L177" s="1"/>
      <c r="M177" s="1"/>
      <c r="N177" s="1"/>
      <c r="O177" s="1"/>
      <c r="P177" s="1"/>
      <c r="Q177" s="1"/>
      <c r="R177" s="1"/>
      <c r="S177" s="1"/>
      <c r="T177" s="23" t="str">
        <f t="shared" ca="1" si="16"/>
        <v>206,..,2706</v>
      </c>
      <c r="U177" s="23">
        <f t="shared" ref="U177:V177" ca="1" si="23">U176+1</f>
        <v>206</v>
      </c>
      <c r="V177" s="23">
        <f t="shared" ca="1" si="23"/>
        <v>2706</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3">
      <c r="A178" s="81">
        <v>33</v>
      </c>
      <c r="B178" s="81"/>
      <c r="C178" s="51" t="s">
        <v>326</v>
      </c>
      <c r="D178" s="6" t="s">
        <v>327</v>
      </c>
      <c r="E178" s="6">
        <f>18.64*(10.764)</f>
        <v>200.64096000000001</v>
      </c>
      <c r="F178" s="6">
        <v>0</v>
      </c>
      <c r="G178" s="6">
        <v>0</v>
      </c>
      <c r="H178" s="6">
        <f t="shared" si="19"/>
        <v>200.64096000000001</v>
      </c>
      <c r="I178" s="1"/>
      <c r="J178" s="1"/>
      <c r="K178" s="1"/>
      <c r="L178" s="1"/>
      <c r="M178" s="1"/>
      <c r="N178" s="1"/>
      <c r="O178" s="1"/>
      <c r="P178" s="1"/>
      <c r="Q178" s="1"/>
      <c r="R178" s="1"/>
      <c r="S178" s="1"/>
      <c r="T178" s="23" t="str">
        <f t="shared" ca="1" si="16"/>
        <v>207,..,2707</v>
      </c>
      <c r="U178" s="23">
        <f t="shared" ref="U178:V178" ca="1" si="24">U177+1</f>
        <v>207</v>
      </c>
      <c r="V178" s="23">
        <f t="shared" ca="1" si="24"/>
        <v>2707</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3">
      <c r="A179" s="81">
        <v>34</v>
      </c>
      <c r="B179" s="81"/>
      <c r="C179" s="51" t="s">
        <v>326</v>
      </c>
      <c r="D179" s="6" t="s">
        <v>327</v>
      </c>
      <c r="E179" s="6">
        <f>(19.88)*(10.764)</f>
        <v>213.98831999999999</v>
      </c>
      <c r="F179" s="6">
        <v>0</v>
      </c>
      <c r="G179" s="6">
        <v>0</v>
      </c>
      <c r="H179" s="6">
        <f t="shared" si="19"/>
        <v>213.98831999999999</v>
      </c>
      <c r="I179" s="1"/>
      <c r="J179" s="1"/>
      <c r="K179" s="1"/>
      <c r="L179" s="1"/>
      <c r="M179" s="1"/>
      <c r="N179" s="1"/>
      <c r="O179" s="1"/>
      <c r="P179" s="1"/>
      <c r="Q179" s="1"/>
      <c r="R179" s="1"/>
      <c r="S179" s="1"/>
      <c r="T179" s="23" t="str">
        <f t="shared" ca="1" si="16"/>
        <v>208,..,2708</v>
      </c>
      <c r="U179" s="23">
        <f t="shared" ref="U179:V179" ca="1" si="25">U178+1</f>
        <v>208</v>
      </c>
      <c r="V179" s="23">
        <f t="shared" ca="1" si="25"/>
        <v>2708</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3">
      <c r="A180" s="81">
        <v>35</v>
      </c>
      <c r="B180" s="81"/>
      <c r="C180" s="51" t="s">
        <v>326</v>
      </c>
      <c r="D180" s="6" t="s">
        <v>327</v>
      </c>
      <c r="E180" s="6">
        <f>(16.43)*(10.764)</f>
        <v>176.85252</v>
      </c>
      <c r="F180" s="6">
        <v>0</v>
      </c>
      <c r="G180" s="6">
        <v>0</v>
      </c>
      <c r="H180" s="6">
        <f t="shared" si="19"/>
        <v>176.85252</v>
      </c>
      <c r="I180" s="1"/>
      <c r="J180" s="1"/>
      <c r="K180" s="1"/>
      <c r="L180" s="1"/>
      <c r="M180" s="1"/>
      <c r="N180" s="1"/>
      <c r="O180" s="1"/>
      <c r="P180" s="1"/>
      <c r="Q180" s="1"/>
      <c r="R180" s="1"/>
      <c r="S180" s="1"/>
      <c r="T180" s="23" t="str">
        <f t="shared" ref="T180:T188" ca="1" si="26">U180&amp;""&amp;",..,"&amp;""&amp;V180</f>
        <v>209,..,2709</v>
      </c>
      <c r="U180" s="23">
        <f t="shared" ref="U180:V180" ca="1" si="27">U179+1</f>
        <v>209</v>
      </c>
      <c r="V180" s="23">
        <f t="shared" ca="1" si="27"/>
        <v>2709</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3">
      <c r="A181" s="81">
        <v>36</v>
      </c>
      <c r="B181" s="81"/>
      <c r="C181" s="51" t="s">
        <v>326</v>
      </c>
      <c r="D181" s="6" t="s">
        <v>327</v>
      </c>
      <c r="E181" s="6">
        <f>(20.23)*(10.764)</f>
        <v>217.75572</v>
      </c>
      <c r="F181" s="6">
        <v>0</v>
      </c>
      <c r="G181" s="6">
        <v>0</v>
      </c>
      <c r="H181" s="6">
        <f t="shared" si="19"/>
        <v>217.75572</v>
      </c>
      <c r="I181" s="1"/>
      <c r="J181" s="1"/>
      <c r="K181" s="1"/>
      <c r="L181" s="1"/>
      <c r="M181" s="1"/>
      <c r="N181" s="1"/>
      <c r="O181" s="1"/>
      <c r="P181" s="1"/>
      <c r="Q181" s="1"/>
      <c r="R181" s="1"/>
      <c r="S181" s="1"/>
      <c r="T181" s="23" t="str">
        <f t="shared" ca="1" si="26"/>
        <v>301,..,3601</v>
      </c>
      <c r="U181" s="23">
        <f ca="1">(SUMPRODUCT(MID(0&amp;(LEFT(A181,SUM(LEN(A181)-LEN(SUBSTITUTE(A181,{"0","1","2","3"},""))))), LARGE(INDEX(ISNUMBER(--MID((LEFT(A181,SUM(LEN(A181)-LEN(SUBSTITUTE(A181,{"0","1","2","3"},""))))), ROW(INDIRECT("1:"&amp;LEN((LEFT(A181,SUM(LEN(A181)-LEN(SUBSTITUTE(A181,{"0","1","2","3"},"")))))))), 1)) * ROW(INDIRECT("1:"&amp;LEN((LEFT(A181,SUM(LEN(A181)-LEN(SUBSTITUTE(A181,{"0","1","2","3"},"")))))))), 0), ROW(INDIRECT("1:"&amp;LEN((LEFT(A181,SUM(LEN(A181)-LEN(SUBSTITUTE(A181,{"0","1","2","3"},"")))))))))+1, 1) * 10^ROW(INDIRECT("1:"&amp;LEN((LEFT(A181,SUM(LEN(A181)-LEN(SUBSTITUTE(A181,{"0","1","2","3"},""))))))))/10))*100+1</f>
        <v>301</v>
      </c>
      <c r="V181" s="23">
        <f ca="1">(SUMPRODUCT(MID(0&amp;(--TRIM(RIGHT(SUBSTITUTE(LEFT(A181,_xlfn.AGGREGATE(16,6,FIND({0,1,2,3,4,5,6,7,8,9},A181,ROW(INDIRECT("1:"&amp;LEN(A181)))),1)),"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",LEN(A181))),LEN(A181)))))))/10))*100+1</f>
        <v>3601</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3">
      <c r="A182" s="81">
        <v>37</v>
      </c>
      <c r="B182" s="81"/>
      <c r="C182" s="51" t="s">
        <v>326</v>
      </c>
      <c r="D182" s="6" t="s">
        <v>327</v>
      </c>
      <c r="E182" s="6">
        <f>(17.26)*(10.764)</f>
        <v>185.78664000000001</v>
      </c>
      <c r="F182" s="6">
        <v>0</v>
      </c>
      <c r="G182" s="6">
        <v>0</v>
      </c>
      <c r="H182" s="6">
        <f>E182+F182+(IF(G182&lt;101,G182,IF(G182&lt;201,G182/2,IF(G182&lt;=301,G182/3,G182/4))))</f>
        <v>185.78664000000001</v>
      </c>
      <c r="I182" s="1"/>
      <c r="J182" s="1"/>
      <c r="K182" s="1"/>
      <c r="L182" s="1"/>
      <c r="M182" s="1"/>
      <c r="N182" s="1"/>
      <c r="O182" s="1"/>
      <c r="P182" s="1"/>
      <c r="Q182" s="1"/>
      <c r="R182" s="1"/>
      <c r="S182" s="1"/>
      <c r="T182" s="23" t="str">
        <f t="shared" ca="1" si="26"/>
        <v>302,..,3602</v>
      </c>
      <c r="U182" s="23">
        <f ca="1">U181+1</f>
        <v>302</v>
      </c>
      <c r="V182" s="23">
        <f ca="1">V181+1</f>
        <v>3602</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3">
      <c r="A183" s="81">
        <v>38</v>
      </c>
      <c r="B183" s="81"/>
      <c r="C183" s="51" t="s">
        <v>326</v>
      </c>
      <c r="D183" s="6" t="s">
        <v>327</v>
      </c>
      <c r="E183" s="6">
        <f>(17.26)*(10.764)</f>
        <v>185.78664000000001</v>
      </c>
      <c r="F183" s="6">
        <v>0</v>
      </c>
      <c r="G183" s="6">
        <v>0</v>
      </c>
      <c r="H183" s="6">
        <f t="shared" ref="H183:H190" si="28">E183+F183+(IF(G183&lt;101,G183,IF(G183&lt;201,G183/2,IF(G183&lt;=301,G183/3,G183/4))))</f>
        <v>185.78664000000001</v>
      </c>
      <c r="I183" s="1"/>
      <c r="J183" s="1"/>
      <c r="K183" s="1"/>
      <c r="L183" s="1"/>
      <c r="M183" s="1"/>
      <c r="N183" s="1"/>
      <c r="O183" s="1"/>
      <c r="P183" s="1"/>
      <c r="Q183" s="1"/>
      <c r="R183" s="1"/>
      <c r="S183" s="1"/>
      <c r="T183" s="23" t="str">
        <f t="shared" ca="1" si="26"/>
        <v>303,..,3603</v>
      </c>
      <c r="U183" s="23">
        <f t="shared" ref="U183:V183" ca="1" si="29">U182+1</f>
        <v>303</v>
      </c>
      <c r="V183" s="23">
        <f t="shared" ca="1" si="29"/>
        <v>3603</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3">
      <c r="A184" s="81">
        <v>39</v>
      </c>
      <c r="B184" s="81"/>
      <c r="C184" s="51" t="s">
        <v>326</v>
      </c>
      <c r="D184" s="6" t="s">
        <v>327</v>
      </c>
      <c r="E184" s="6">
        <f>(18.41)*(10.764)</f>
        <v>198.16523999999998</v>
      </c>
      <c r="F184" s="6">
        <v>0</v>
      </c>
      <c r="G184" s="6">
        <v>0</v>
      </c>
      <c r="H184" s="6">
        <f t="shared" si="28"/>
        <v>198.16523999999998</v>
      </c>
      <c r="I184" s="1"/>
      <c r="J184" s="1"/>
      <c r="K184" s="1"/>
      <c r="L184" s="1"/>
      <c r="M184" s="1"/>
      <c r="N184" s="1"/>
      <c r="O184" s="1"/>
      <c r="P184" s="1"/>
      <c r="Q184" s="1"/>
      <c r="R184" s="1"/>
      <c r="S184" s="1"/>
      <c r="T184" s="23" t="str">
        <f t="shared" ca="1" si="26"/>
        <v>304,..,3604</v>
      </c>
      <c r="U184" s="23">
        <f t="shared" ref="U184:V184" ca="1" si="30">U183+1</f>
        <v>304</v>
      </c>
      <c r="V184" s="23">
        <f t="shared" ca="1" si="30"/>
        <v>3604</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
      <c r="A185" s="81">
        <v>40</v>
      </c>
      <c r="B185" s="81"/>
      <c r="C185" s="51" t="s">
        <v>326</v>
      </c>
      <c r="D185" s="6" t="s">
        <v>327</v>
      </c>
      <c r="E185" s="6">
        <f>(18.78)*(10.764)</f>
        <v>202.14792</v>
      </c>
      <c r="F185" s="6">
        <v>0</v>
      </c>
      <c r="G185" s="6">
        <v>0</v>
      </c>
      <c r="H185" s="6">
        <f t="shared" si="28"/>
        <v>202.14792</v>
      </c>
      <c r="I185" s="1"/>
      <c r="J185" s="1"/>
      <c r="K185" s="1"/>
      <c r="L185" s="1"/>
      <c r="M185" s="1"/>
      <c r="N185" s="1"/>
      <c r="O185" s="1"/>
      <c r="P185" s="1"/>
      <c r="Q185" s="1"/>
      <c r="R185" s="1"/>
      <c r="S185" s="1"/>
      <c r="T185" s="23" t="str">
        <f t="shared" ca="1" si="26"/>
        <v>305,..,3605</v>
      </c>
      <c r="U185" s="23">
        <f t="shared" ref="U185:V185" ca="1" si="31">U184+1</f>
        <v>305</v>
      </c>
      <c r="V185" s="23">
        <f t="shared" ca="1" si="31"/>
        <v>3605</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3">
      <c r="A186" s="81">
        <v>41</v>
      </c>
      <c r="B186" s="81"/>
      <c r="C186" s="51" t="s">
        <v>326</v>
      </c>
      <c r="D186" s="6" t="s">
        <v>327</v>
      </c>
      <c r="E186" s="6">
        <f>(18.62)*(10.764)</f>
        <v>200.42568</v>
      </c>
      <c r="F186" s="6">
        <v>0</v>
      </c>
      <c r="G186" s="6">
        <v>0</v>
      </c>
      <c r="H186" s="6">
        <f t="shared" si="28"/>
        <v>200.42568</v>
      </c>
      <c r="I186" s="1"/>
      <c r="J186" s="1"/>
      <c r="K186" s="1"/>
      <c r="L186" s="1"/>
      <c r="M186" s="1"/>
      <c r="N186" s="1"/>
      <c r="O186" s="1"/>
      <c r="P186" s="1"/>
      <c r="Q186" s="1"/>
      <c r="R186" s="1"/>
      <c r="S186" s="1"/>
      <c r="T186" s="23" t="str">
        <f t="shared" ca="1" si="26"/>
        <v>306,..,3606</v>
      </c>
      <c r="U186" s="23">
        <f t="shared" ref="U186:V186" ca="1" si="32">U185+1</f>
        <v>306</v>
      </c>
      <c r="V186" s="23">
        <f t="shared" ca="1" si="32"/>
        <v>3606</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3">
      <c r="A187" s="81">
        <v>42</v>
      </c>
      <c r="B187" s="81"/>
      <c r="C187" s="51" t="s">
        <v>326</v>
      </c>
      <c r="D187" s="6" t="s">
        <v>327</v>
      </c>
      <c r="E187" s="6">
        <f>(18.24)*(10.764)</f>
        <v>196.33535999999998</v>
      </c>
      <c r="F187" s="6">
        <v>0</v>
      </c>
      <c r="G187" s="6">
        <v>0</v>
      </c>
      <c r="H187" s="6">
        <f t="shared" si="28"/>
        <v>196.33535999999998</v>
      </c>
      <c r="I187" s="1"/>
      <c r="J187" s="1"/>
      <c r="K187" s="1"/>
      <c r="L187" s="1"/>
      <c r="M187" s="1"/>
      <c r="N187" s="1"/>
      <c r="O187" s="1"/>
      <c r="P187" s="1"/>
      <c r="Q187" s="1"/>
      <c r="R187" s="1"/>
      <c r="S187" s="1"/>
      <c r="T187" s="23" t="str">
        <f t="shared" ca="1" si="26"/>
        <v>307,..,3607</v>
      </c>
      <c r="U187" s="23">
        <f t="shared" ref="U187:V187" ca="1" si="33">U186+1</f>
        <v>307</v>
      </c>
      <c r="V187" s="23">
        <f t="shared" ca="1" si="33"/>
        <v>3607</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
      <c r="A188" s="81">
        <v>43</v>
      </c>
      <c r="B188" s="81"/>
      <c r="C188" s="51" t="s">
        <v>326</v>
      </c>
      <c r="D188" s="6" t="s">
        <v>327</v>
      </c>
      <c r="E188" s="6">
        <f>(17.09)*(10.764)</f>
        <v>183.95675999999997</v>
      </c>
      <c r="F188" s="6">
        <v>0</v>
      </c>
      <c r="G188" s="6">
        <v>0</v>
      </c>
      <c r="H188" s="6">
        <f t="shared" si="28"/>
        <v>183.95675999999997</v>
      </c>
      <c r="I188" s="1"/>
      <c r="J188" s="1"/>
      <c r="K188" s="1"/>
      <c r="L188" s="1"/>
      <c r="M188" s="1"/>
      <c r="N188" s="1"/>
      <c r="O188" s="1"/>
      <c r="P188" s="1"/>
      <c r="Q188" s="1"/>
      <c r="R188" s="1"/>
      <c r="S188" s="1"/>
      <c r="T188" s="23" t="str">
        <f t="shared" ca="1" si="26"/>
        <v>308,..,3608</v>
      </c>
      <c r="U188" s="23">
        <f t="shared" ref="U188:V188" ca="1" si="34">U187+1</f>
        <v>308</v>
      </c>
      <c r="V188" s="23">
        <f t="shared" ca="1" si="34"/>
        <v>3608</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3">
      <c r="A189" s="81">
        <v>44</v>
      </c>
      <c r="B189" s="81"/>
      <c r="C189" s="51" t="s">
        <v>326</v>
      </c>
      <c r="D189" s="6" t="s">
        <v>327</v>
      </c>
      <c r="E189" s="6">
        <f>(17.09)*(10.764)</f>
        <v>183.95675999999997</v>
      </c>
      <c r="F189" s="6">
        <v>0</v>
      </c>
      <c r="G189" s="6">
        <v>0</v>
      </c>
      <c r="H189" s="6">
        <f t="shared" si="28"/>
        <v>183.95675999999997</v>
      </c>
      <c r="I189" s="1"/>
      <c r="J189" s="1"/>
      <c r="K189" s="1"/>
      <c r="L189" s="1"/>
      <c r="M189" s="1"/>
      <c r="N189" s="1"/>
      <c r="O189" s="1"/>
      <c r="P189" s="1"/>
      <c r="Q189" s="1"/>
      <c r="R189" s="1"/>
      <c r="S189" s="1"/>
      <c r="T189" s="23" t="str">
        <f t="shared" ref="T189" ca="1" si="35">U189&amp;""&amp;",..,"&amp;""&amp;V189</f>
        <v>309,..,3609</v>
      </c>
      <c r="U189" s="23">
        <f t="shared" ref="U189:V190" ca="1" si="36">U188+1</f>
        <v>309</v>
      </c>
      <c r="V189" s="23">
        <f t="shared" ca="1" si="36"/>
        <v>3609</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3">
      <c r="A190" s="81">
        <v>45</v>
      </c>
      <c r="B190" s="81"/>
      <c r="C190" s="51" t="s">
        <v>326</v>
      </c>
      <c r="D190" s="6" t="s">
        <v>327</v>
      </c>
      <c r="E190" s="6">
        <f>(20.06)*(10.764)</f>
        <v>215.92583999999997</v>
      </c>
      <c r="F190" s="6">
        <v>0</v>
      </c>
      <c r="G190" s="6">
        <v>0</v>
      </c>
      <c r="H190" s="6">
        <f t="shared" si="28"/>
        <v>215.92583999999997</v>
      </c>
      <c r="I190" s="1"/>
      <c r="J190" s="1"/>
      <c r="K190" s="1"/>
      <c r="L190" s="1"/>
      <c r="M190" s="1"/>
      <c r="N190" s="1"/>
      <c r="O190" s="1"/>
      <c r="P190" s="1"/>
      <c r="Q190" s="1"/>
      <c r="R190" s="1"/>
      <c r="S190" s="1"/>
      <c r="T190" s="23" t="str">
        <f t="shared" ref="T190" ca="1" si="37">U190&amp;""&amp;",..,"&amp;""&amp;V190</f>
        <v>310,..,3610</v>
      </c>
      <c r="U190" s="23">
        <f t="shared" ca="1" si="36"/>
        <v>310</v>
      </c>
      <c r="V190" s="23">
        <f t="shared" ca="1" si="36"/>
        <v>3610</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1" x14ac:dyDescent="0.3">
      <c r="A191" s="81">
        <v>46</v>
      </c>
      <c r="B191" s="81"/>
      <c r="C191" s="51" t="s">
        <v>326</v>
      </c>
      <c r="D191" s="6" t="s">
        <v>327</v>
      </c>
      <c r="E191" s="6">
        <f>(16.76)*(10.764)</f>
        <v>180.40464</v>
      </c>
      <c r="F191" s="6">
        <v>0</v>
      </c>
      <c r="G191" s="6">
        <v>0</v>
      </c>
      <c r="H191" s="6">
        <f t="shared" ref="H191" si="38">E191+F191+(IF(G191&lt;101,G191,IF(G191&lt;201,G191/2,IF(G191&lt;=301,G191/3,G191/4))))</f>
        <v>180.40464</v>
      </c>
      <c r="I191" s="1">
        <f>1</f>
        <v>1</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3">
      <c r="A192" s="88" t="s">
        <v>329</v>
      </c>
      <c r="B192" s="89"/>
      <c r="C192" s="89"/>
      <c r="D192" s="89"/>
      <c r="E192" s="89"/>
      <c r="F192" s="89"/>
      <c r="G192" s="89"/>
      <c r="H192" s="90"/>
      <c r="I192" s="1"/>
      <c r="J192" s="1"/>
      <c r="K192" s="1"/>
      <c r="L192" s="1"/>
      <c r="M192" s="1"/>
      <c r="N192" s="1"/>
      <c r="O192" s="1"/>
      <c r="P192" s="1"/>
      <c r="Q192" s="1"/>
      <c r="R192" s="1"/>
      <c r="S192" s="1"/>
      <c r="T192" s="23" t="str">
        <f ca="1">U192&amp;""&amp;" to "&amp;""&amp;V192</f>
        <v>201 to 201</v>
      </c>
      <c r="U192" s="23">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201</v>
      </c>
      <c r="V192" s="23">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201</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3">
      <c r="A193" s="81">
        <v>1</v>
      </c>
      <c r="B193" s="81"/>
      <c r="C193" s="51" t="s">
        <v>326</v>
      </c>
      <c r="D193" s="6" t="s">
        <v>327</v>
      </c>
      <c r="E193" s="6">
        <f>(107.22)*(10.764)</f>
        <v>1154.11608</v>
      </c>
      <c r="F193" s="6">
        <v>0</v>
      </c>
      <c r="G193" s="6">
        <v>0</v>
      </c>
      <c r="H193" s="6">
        <f>E193+F193+(IF(G193&lt;101,G193,IF(G193&lt;201,G193/2,IF(G193&lt;=301,G193/3,G193/4))))</f>
        <v>1154.11608</v>
      </c>
      <c r="I193" s="1"/>
      <c r="J193" s="1"/>
      <c r="K193" s="1"/>
      <c r="L193" s="1"/>
      <c r="M193" s="1"/>
      <c r="N193" s="1"/>
      <c r="O193" s="1"/>
      <c r="P193" s="1"/>
      <c r="Q193" s="1"/>
      <c r="R193" s="1"/>
      <c r="S193" s="1"/>
      <c r="T193" s="23" t="str">
        <f t="shared" ref="T193:T199" ca="1" si="39">U193&amp;""&amp;" to "&amp;""&amp;V193</f>
        <v>202 to 202</v>
      </c>
      <c r="U193" s="23">
        <f ca="1">U192+1</f>
        <v>202</v>
      </c>
      <c r="V193" s="23">
        <f ca="1">V192+1</f>
        <v>202</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3">
      <c r="A194" s="81">
        <v>2</v>
      </c>
      <c r="B194" s="81"/>
      <c r="C194" s="51" t="s">
        <v>326</v>
      </c>
      <c r="D194" s="6" t="s">
        <v>327</v>
      </c>
      <c r="E194" s="6">
        <f>(81.18)*(10.764)</f>
        <v>873.82151999999996</v>
      </c>
      <c r="F194" s="6">
        <v>0</v>
      </c>
      <c r="G194" s="6">
        <v>0</v>
      </c>
      <c r="H194" s="6">
        <f t="shared" ref="H194:H200" si="40">E194+F194+(IF(G194&lt;101,G194,IF(G194&lt;201,G194/2,IF(G194&lt;=301,G194/3,G194/4))))</f>
        <v>873.82151999999996</v>
      </c>
      <c r="I194" s="1"/>
      <c r="J194" s="1"/>
      <c r="K194" s="1"/>
      <c r="L194" s="1"/>
      <c r="M194" s="1"/>
      <c r="N194" s="1"/>
      <c r="O194" s="1"/>
      <c r="P194" s="1"/>
      <c r="Q194" s="1"/>
      <c r="R194" s="1"/>
      <c r="S194" s="1"/>
      <c r="T194" s="23" t="str">
        <f t="shared" ca="1" si="39"/>
        <v>203 to 203</v>
      </c>
      <c r="U194" s="23">
        <f t="shared" ref="U194:U199" ca="1" si="41">U193+1</f>
        <v>203</v>
      </c>
      <c r="V194" s="23">
        <f t="shared" ref="V194:V199" ca="1" si="42">V193+1</f>
        <v>203</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3">
      <c r="A195" s="81">
        <v>3</v>
      </c>
      <c r="B195" s="81"/>
      <c r="C195" s="51" t="s">
        <v>326</v>
      </c>
      <c r="D195" s="6" t="s">
        <v>327</v>
      </c>
      <c r="E195" s="6">
        <f>(103.71)*(10.764)</f>
        <v>1116.3344399999999</v>
      </c>
      <c r="F195" s="6">
        <v>0</v>
      </c>
      <c r="G195" s="6">
        <v>0</v>
      </c>
      <c r="H195" s="6">
        <f t="shared" si="40"/>
        <v>1116.3344399999999</v>
      </c>
      <c r="I195" s="1"/>
      <c r="J195" s="1"/>
      <c r="K195" s="1"/>
      <c r="L195" s="1"/>
      <c r="M195" s="1"/>
      <c r="N195" s="1"/>
      <c r="O195" s="1"/>
      <c r="P195" s="1"/>
      <c r="Q195" s="1"/>
      <c r="R195" s="1"/>
      <c r="S195" s="1"/>
      <c r="T195" s="23" t="str">
        <f t="shared" ca="1" si="39"/>
        <v>204 to 204</v>
      </c>
      <c r="U195" s="23">
        <f t="shared" ca="1" si="41"/>
        <v>204</v>
      </c>
      <c r="V195" s="23">
        <f t="shared" ca="1" si="42"/>
        <v>204</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3">
      <c r="A196" s="81">
        <v>4</v>
      </c>
      <c r="B196" s="81"/>
      <c r="C196" s="51" t="s">
        <v>326</v>
      </c>
      <c r="D196" s="6" t="s">
        <v>327</v>
      </c>
      <c r="E196" s="6">
        <f>(18.66)*(10.764)</f>
        <v>200.85623999999999</v>
      </c>
      <c r="F196" s="6">
        <v>0</v>
      </c>
      <c r="G196" s="6">
        <v>0</v>
      </c>
      <c r="H196" s="6">
        <f t="shared" si="40"/>
        <v>200.85623999999999</v>
      </c>
      <c r="I196" s="1"/>
      <c r="J196" s="1"/>
      <c r="K196" s="1"/>
      <c r="L196" s="1"/>
      <c r="M196" s="1"/>
      <c r="N196" s="1"/>
      <c r="O196" s="1"/>
      <c r="P196" s="1"/>
      <c r="Q196" s="1"/>
      <c r="R196" s="1"/>
      <c r="S196" s="1"/>
      <c r="T196" s="23" t="str">
        <f t="shared" ca="1" si="39"/>
        <v>205 to 205</v>
      </c>
      <c r="U196" s="23">
        <f t="shared" ca="1" si="41"/>
        <v>205</v>
      </c>
      <c r="V196" s="23">
        <f t="shared" ca="1" si="42"/>
        <v>205</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3">
      <c r="A197" s="81">
        <v>5</v>
      </c>
      <c r="B197" s="81"/>
      <c r="C197" s="51" t="s">
        <v>326</v>
      </c>
      <c r="D197" s="6" t="s">
        <v>327</v>
      </c>
      <c r="E197" s="6">
        <f>(26.05)*(10.764)</f>
        <v>280.40219999999999</v>
      </c>
      <c r="F197" s="6">
        <v>0</v>
      </c>
      <c r="G197" s="6">
        <v>0</v>
      </c>
      <c r="H197" s="6">
        <f t="shared" si="40"/>
        <v>280.40219999999999</v>
      </c>
      <c r="I197" s="1"/>
      <c r="J197" s="1"/>
      <c r="K197" s="1"/>
      <c r="L197" s="1"/>
      <c r="M197" s="1"/>
      <c r="N197" s="1"/>
      <c r="O197" s="1"/>
      <c r="P197" s="1"/>
      <c r="Q197" s="1"/>
      <c r="R197" s="1"/>
      <c r="S197" s="1"/>
      <c r="T197" s="23" t="str">
        <f t="shared" ca="1" si="39"/>
        <v>206 to 206</v>
      </c>
      <c r="U197" s="23">
        <f t="shared" ca="1" si="41"/>
        <v>206</v>
      </c>
      <c r="V197" s="23">
        <f t="shared" ca="1" si="42"/>
        <v>206</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3">
      <c r="A198" s="81">
        <v>6</v>
      </c>
      <c r="B198" s="81"/>
      <c r="C198" s="51" t="s">
        <v>326</v>
      </c>
      <c r="D198" s="6" t="s">
        <v>327</v>
      </c>
      <c r="E198" s="6">
        <f>(14.71)*(10.764)</f>
        <v>158.33843999999999</v>
      </c>
      <c r="F198" s="6">
        <v>0</v>
      </c>
      <c r="G198" s="6">
        <v>0</v>
      </c>
      <c r="H198" s="6">
        <f t="shared" si="40"/>
        <v>158.33843999999999</v>
      </c>
      <c r="I198" s="1"/>
      <c r="J198" s="1"/>
      <c r="K198" s="1"/>
      <c r="L198" s="1"/>
      <c r="M198" s="1"/>
      <c r="N198" s="1"/>
      <c r="O198" s="1"/>
      <c r="P198" s="1"/>
      <c r="Q198" s="1"/>
      <c r="R198" s="1"/>
      <c r="S198" s="1"/>
      <c r="T198" s="23" t="str">
        <f t="shared" ca="1" si="39"/>
        <v>207 to 207</v>
      </c>
      <c r="U198" s="23">
        <f t="shared" ca="1" si="41"/>
        <v>207</v>
      </c>
      <c r="V198" s="23">
        <f t="shared" ca="1" si="42"/>
        <v>207</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3">
      <c r="A199" s="81">
        <v>7</v>
      </c>
      <c r="B199" s="81"/>
      <c r="C199" s="51" t="s">
        <v>326</v>
      </c>
      <c r="D199" s="6" t="s">
        <v>327</v>
      </c>
      <c r="E199" s="6">
        <f>(13.66)*(10.764)</f>
        <v>147.03623999999999</v>
      </c>
      <c r="F199" s="6">
        <v>0</v>
      </c>
      <c r="G199" s="6">
        <v>0</v>
      </c>
      <c r="H199" s="6">
        <f t="shared" si="40"/>
        <v>147.03623999999999</v>
      </c>
      <c r="I199" s="1"/>
      <c r="J199" s="1"/>
      <c r="K199" s="1"/>
      <c r="L199" s="1"/>
      <c r="M199" s="1"/>
      <c r="N199" s="1"/>
      <c r="O199" s="1"/>
      <c r="P199" s="1"/>
      <c r="Q199" s="1"/>
      <c r="R199" s="1"/>
      <c r="S199" s="1"/>
      <c r="T199" s="23" t="str">
        <f t="shared" ca="1" si="39"/>
        <v>208 to 208</v>
      </c>
      <c r="U199" s="23">
        <f t="shared" ca="1" si="41"/>
        <v>208</v>
      </c>
      <c r="V199" s="23">
        <f t="shared" ca="1" si="42"/>
        <v>208</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3">
      <c r="A200" s="81">
        <v>8</v>
      </c>
      <c r="B200" s="81"/>
      <c r="C200" s="51" t="s">
        <v>326</v>
      </c>
      <c r="D200" s="6" t="s">
        <v>327</v>
      </c>
      <c r="E200" s="6">
        <f>(33.85)*(10.764)</f>
        <v>364.3614</v>
      </c>
      <c r="F200" s="6">
        <v>0</v>
      </c>
      <c r="G200" s="6">
        <v>0</v>
      </c>
      <c r="H200" s="6">
        <f t="shared" si="40"/>
        <v>364.3614</v>
      </c>
      <c r="I200" s="1"/>
      <c r="J200" s="1"/>
      <c r="K200" s="1"/>
      <c r="L200" s="1"/>
      <c r="M200" s="1"/>
      <c r="N200" s="1"/>
      <c r="O200" s="1"/>
      <c r="P200" s="1"/>
      <c r="Q200" s="1"/>
      <c r="R200" s="1"/>
      <c r="S200" s="1"/>
      <c r="T200" s="23" t="e">
        <f ca="1">U200&amp;""&amp;" to "&amp;""&amp;V200</f>
        <v>#REF!</v>
      </c>
      <c r="U200" s="23" t="e">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#REF!</v>
      </c>
      <c r="V200" s="23">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801</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3">
      <c r="A201" s="81">
        <v>9</v>
      </c>
      <c r="B201" s="81"/>
      <c r="C201" s="51" t="s">
        <v>326</v>
      </c>
      <c r="D201" s="6" t="s">
        <v>327</v>
      </c>
      <c r="E201" s="6">
        <f>(30.32)*(10.764)</f>
        <v>326.36447999999996</v>
      </c>
      <c r="F201" s="6">
        <v>0</v>
      </c>
      <c r="G201" s="6">
        <v>0</v>
      </c>
      <c r="H201" s="6">
        <f>E201+F201+(IF(G201&lt;101,G201,IF(G201&lt;201,G201/2,IF(G201&lt;=301,G201/3,G201/4))))</f>
        <v>326.36447999999996</v>
      </c>
      <c r="I201" s="1"/>
      <c r="J201" s="1"/>
      <c r="K201" s="1"/>
      <c r="L201" s="1"/>
      <c r="M201" s="1"/>
      <c r="N201" s="1"/>
      <c r="O201" s="1"/>
      <c r="P201" s="1"/>
      <c r="Q201" s="1"/>
      <c r="R201" s="1"/>
      <c r="S201" s="1"/>
      <c r="T201" s="23" t="e">
        <f t="shared" ref="T201:T207" ca="1" si="43">U201&amp;""&amp;" to "&amp;""&amp;V201</f>
        <v>#REF!</v>
      </c>
      <c r="U201" s="23" t="e">
        <f ca="1">U200+1</f>
        <v>#REF!</v>
      </c>
      <c r="V201" s="23">
        <f ca="1">V200+1</f>
        <v>802</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3">
      <c r="A202" s="81">
        <v>10</v>
      </c>
      <c r="B202" s="81"/>
      <c r="C202" s="51" t="s">
        <v>326</v>
      </c>
      <c r="D202" s="6" t="s">
        <v>327</v>
      </c>
      <c r="E202" s="6">
        <f>(32.02)*(10.764)</f>
        <v>344.66327999999999</v>
      </c>
      <c r="F202" s="6">
        <v>0</v>
      </c>
      <c r="G202" s="6">
        <v>0</v>
      </c>
      <c r="H202" s="6">
        <f t="shared" ref="H202:H208" si="44">E202+F202+(IF(G202&lt;101,G202,IF(G202&lt;201,G202/2,IF(G202&lt;=301,G202/3,G202/4))))</f>
        <v>344.66327999999999</v>
      </c>
      <c r="I202" s="1"/>
      <c r="J202" s="1"/>
      <c r="K202" s="1"/>
      <c r="L202" s="1"/>
      <c r="M202" s="1"/>
      <c r="N202" s="1"/>
      <c r="O202" s="1"/>
      <c r="P202" s="1"/>
      <c r="Q202" s="1"/>
      <c r="R202" s="1"/>
      <c r="S202" s="1"/>
      <c r="T202" s="23" t="e">
        <f t="shared" ca="1" si="43"/>
        <v>#REF!</v>
      </c>
      <c r="U202" s="23" t="e">
        <f t="shared" ref="U202:V207" ca="1" si="45">U201+1</f>
        <v>#REF!</v>
      </c>
      <c r="V202" s="23">
        <f t="shared" ca="1" si="45"/>
        <v>803</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3">
      <c r="A203" s="81">
        <v>11</v>
      </c>
      <c r="B203" s="81"/>
      <c r="C203" s="51" t="s">
        <v>326</v>
      </c>
      <c r="D203" s="6" t="s">
        <v>327</v>
      </c>
      <c r="E203" s="6">
        <f>(25.11)*(10.764)</f>
        <v>270.28404</v>
      </c>
      <c r="F203" s="6">
        <v>0</v>
      </c>
      <c r="G203" s="6">
        <v>0</v>
      </c>
      <c r="H203" s="6">
        <f t="shared" si="44"/>
        <v>270.28404</v>
      </c>
      <c r="I203" s="1"/>
      <c r="J203" s="1"/>
      <c r="K203" s="1"/>
      <c r="L203" s="1"/>
      <c r="M203" s="1"/>
      <c r="N203" s="1"/>
      <c r="O203" s="1"/>
      <c r="P203" s="1"/>
      <c r="Q203" s="1"/>
      <c r="R203" s="1"/>
      <c r="S203" s="1"/>
      <c r="T203" s="23" t="e">
        <f t="shared" ca="1" si="43"/>
        <v>#REF!</v>
      </c>
      <c r="U203" s="23" t="e">
        <f t="shared" ca="1" si="45"/>
        <v>#REF!</v>
      </c>
      <c r="V203" s="23">
        <f t="shared" ca="1" si="45"/>
        <v>804</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
      <c r="A204" s="81">
        <v>12</v>
      </c>
      <c r="B204" s="81"/>
      <c r="C204" s="51" t="s">
        <v>326</v>
      </c>
      <c r="D204" s="6" t="s">
        <v>327</v>
      </c>
      <c r="E204" s="6">
        <f>(23.76)*(10.764)</f>
        <v>255.75264000000001</v>
      </c>
      <c r="F204" s="6">
        <v>0</v>
      </c>
      <c r="G204" s="6">
        <v>0</v>
      </c>
      <c r="H204" s="6">
        <f t="shared" si="44"/>
        <v>255.75264000000001</v>
      </c>
      <c r="I204" s="1"/>
      <c r="J204" s="1"/>
      <c r="K204" s="1"/>
      <c r="L204" s="1"/>
      <c r="M204" s="1"/>
      <c r="N204" s="1"/>
      <c r="O204" s="1"/>
      <c r="P204" s="1"/>
      <c r="Q204" s="1"/>
      <c r="R204" s="1"/>
      <c r="S204" s="1"/>
      <c r="T204" s="23" t="e">
        <f t="shared" ca="1" si="43"/>
        <v>#REF!</v>
      </c>
      <c r="U204" s="23" t="e">
        <f t="shared" ca="1" si="45"/>
        <v>#REF!</v>
      </c>
      <c r="V204" s="23">
        <f t="shared" ca="1" si="45"/>
        <v>805</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3">
      <c r="A205" s="81">
        <v>13</v>
      </c>
      <c r="B205" s="81"/>
      <c r="C205" s="51" t="s">
        <v>326</v>
      </c>
      <c r="D205" s="6" t="s">
        <v>327</v>
      </c>
      <c r="E205" s="6">
        <f>(22.56)*(10.764)</f>
        <v>242.83583999999996</v>
      </c>
      <c r="F205" s="6">
        <v>0</v>
      </c>
      <c r="G205" s="6">
        <v>0</v>
      </c>
      <c r="H205" s="6">
        <f t="shared" si="44"/>
        <v>242.83583999999996</v>
      </c>
      <c r="I205" s="1"/>
      <c r="J205" s="1"/>
      <c r="K205" s="1"/>
      <c r="L205" s="1"/>
      <c r="M205" s="1"/>
      <c r="N205" s="1"/>
      <c r="O205" s="1"/>
      <c r="P205" s="1"/>
      <c r="Q205" s="1"/>
      <c r="R205" s="1"/>
      <c r="S205" s="1"/>
      <c r="T205" s="23" t="e">
        <f t="shared" ca="1" si="43"/>
        <v>#REF!</v>
      </c>
      <c r="U205" s="23" t="e">
        <f t="shared" ca="1" si="45"/>
        <v>#REF!</v>
      </c>
      <c r="V205" s="23">
        <f t="shared" ca="1" si="45"/>
        <v>806</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3">
      <c r="A206" s="81">
        <v>14</v>
      </c>
      <c r="B206" s="81"/>
      <c r="C206" s="51" t="s">
        <v>326</v>
      </c>
      <c r="D206" s="6" t="s">
        <v>327</v>
      </c>
      <c r="E206" s="6">
        <f>(11.31)*(10.764)</f>
        <v>121.74083999999999</v>
      </c>
      <c r="F206" s="6">
        <v>0</v>
      </c>
      <c r="G206" s="6">
        <v>0</v>
      </c>
      <c r="H206" s="6">
        <f t="shared" si="44"/>
        <v>121.74083999999999</v>
      </c>
      <c r="I206" s="1"/>
      <c r="J206" s="1"/>
      <c r="K206" s="1"/>
      <c r="L206" s="1"/>
      <c r="M206" s="1"/>
      <c r="N206" s="1"/>
      <c r="O206" s="1"/>
      <c r="P206" s="1"/>
      <c r="Q206" s="1"/>
      <c r="R206" s="1"/>
      <c r="S206" s="1"/>
      <c r="T206" s="23" t="e">
        <f t="shared" ca="1" si="43"/>
        <v>#REF!</v>
      </c>
      <c r="U206" s="23" t="e">
        <f t="shared" ca="1" si="45"/>
        <v>#REF!</v>
      </c>
      <c r="V206" s="23">
        <f t="shared" ca="1" si="45"/>
        <v>807</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3">
      <c r="A207" s="81">
        <v>15</v>
      </c>
      <c r="B207" s="81"/>
      <c r="C207" s="51" t="s">
        <v>326</v>
      </c>
      <c r="D207" s="6" t="s">
        <v>327</v>
      </c>
      <c r="E207" s="6">
        <f>(7.45)*(10.764)</f>
        <v>80.191800000000001</v>
      </c>
      <c r="F207" s="6">
        <v>0</v>
      </c>
      <c r="G207" s="6">
        <v>0</v>
      </c>
      <c r="H207" s="6">
        <f t="shared" si="44"/>
        <v>80.191800000000001</v>
      </c>
      <c r="I207" s="1"/>
      <c r="J207" s="1"/>
      <c r="K207" s="1"/>
      <c r="L207" s="1"/>
      <c r="M207" s="1"/>
      <c r="N207" s="1"/>
      <c r="O207" s="1"/>
      <c r="P207" s="1"/>
      <c r="Q207" s="1"/>
      <c r="R207" s="1"/>
      <c r="S207" s="1"/>
      <c r="T207" s="23" t="e">
        <f t="shared" ca="1" si="43"/>
        <v>#REF!</v>
      </c>
      <c r="U207" s="23" t="e">
        <f t="shared" ca="1" si="45"/>
        <v>#REF!</v>
      </c>
      <c r="V207" s="23">
        <f t="shared" ca="1" si="45"/>
        <v>808</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3">
      <c r="A208" s="81">
        <v>16</v>
      </c>
      <c r="B208" s="81"/>
      <c r="C208" s="51" t="s">
        <v>326</v>
      </c>
      <c r="D208" s="6" t="s">
        <v>327</v>
      </c>
      <c r="E208" s="6">
        <f>(9.75)*(10.764)</f>
        <v>104.949</v>
      </c>
      <c r="F208" s="6">
        <v>0</v>
      </c>
      <c r="G208" s="6">
        <v>0</v>
      </c>
      <c r="H208" s="6">
        <f t="shared" si="44"/>
        <v>104.949</v>
      </c>
      <c r="I208" s="1"/>
      <c r="J208" s="1"/>
      <c r="K208" s="1"/>
      <c r="L208" s="1"/>
      <c r="M208" s="1"/>
      <c r="N208" s="1"/>
      <c r="O208" s="1"/>
      <c r="P208" s="1"/>
      <c r="Q208" s="1"/>
      <c r="R208" s="1"/>
      <c r="S208" s="1"/>
      <c r="T208" s="23" t="str">
        <f ca="1">U208&amp;""&amp;" to "&amp;""&amp;V208</f>
        <v>101 to 1601</v>
      </c>
      <c r="U208" s="23">
        <f ca="1">(SUMPRODUCT(MID(0&amp;(LEFT(A208,SUM(LEN(A208)-LEN(SUBSTITUTE(A208,{"0","1","2","3"},""))))), LARGE(INDEX(ISNUMBER(--MID((LEFT(A208,SUM(LEN(A208)-LEN(SUBSTITUTE(A208,{"0","1","2","3"},""))))), ROW(INDIRECT("1:"&amp;LEN((LEFT(A208,SUM(LEN(A208)-LEN(SUBSTITUTE(A208,{"0","1","2","3"},"")))))))), 1)) * ROW(INDIRECT("1:"&amp;LEN((LEFT(A208,SUM(LEN(A208)-LEN(SUBSTITUTE(A208,{"0","1","2","3"},"")))))))), 0), ROW(INDIRECT("1:"&amp;LEN((LEFT(A208,SUM(LEN(A208)-LEN(SUBSTITUTE(A208,{"0","1","2","3"},"")))))))))+1, 1) * 10^ROW(INDIRECT("1:"&amp;LEN((LEFT(A208,SUM(LEN(A208)-LEN(SUBSTITUTE(A208,{"0","1","2","3"},""))))))))/10))*100+1</f>
        <v>101</v>
      </c>
      <c r="V208" s="23">
        <f ca="1">(SUMPRODUCT(MID(0&amp;(--TRIM(RIGHT(SUBSTITUTE(LEFT(A208,_xlfn.AGGREGATE(16,6,FIND({0,1,2,3,4,5,6,7,8,9},A208,ROW(INDIRECT("1:"&amp;LEN(A208)))),1)),"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1601</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3">
      <c r="A209" s="81">
        <v>17</v>
      </c>
      <c r="B209" s="81"/>
      <c r="C209" s="51" t="s">
        <v>326</v>
      </c>
      <c r="D209" s="6" t="s">
        <v>327</v>
      </c>
      <c r="E209" s="6">
        <f>(20.18)*(10.764)</f>
        <v>217.21751999999998</v>
      </c>
      <c r="F209" s="6">
        <v>0</v>
      </c>
      <c r="G209" s="6">
        <v>0</v>
      </c>
      <c r="H209" s="6">
        <f>E209+F209+(IF(G209&lt;101,G209,IF(G209&lt;201,G209/2,IF(G209&lt;=301,G209/3,G209/4))))</f>
        <v>217.21751999999998</v>
      </c>
      <c r="I209" s="1"/>
      <c r="J209" s="1"/>
      <c r="K209" s="1"/>
      <c r="L209" s="1"/>
      <c r="M209" s="1"/>
      <c r="N209" s="1"/>
      <c r="O209" s="1"/>
      <c r="P209" s="1"/>
      <c r="Q209" s="1"/>
      <c r="R209" s="1"/>
      <c r="S209" s="1"/>
      <c r="T209" s="23" t="str">
        <f t="shared" ref="T209:T215" ca="1" si="46">U209&amp;""&amp;" to "&amp;""&amp;V209</f>
        <v>102 to 1602</v>
      </c>
      <c r="U209" s="23">
        <f ca="1">U208+1</f>
        <v>102</v>
      </c>
      <c r="V209" s="23">
        <f ca="1">V208+1</f>
        <v>1602</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3">
      <c r="A210" s="81">
        <v>18</v>
      </c>
      <c r="B210" s="81"/>
      <c r="C210" s="51" t="s">
        <v>326</v>
      </c>
      <c r="D210" s="6" t="s">
        <v>327</v>
      </c>
      <c r="E210" s="6">
        <f>(45.26)*(10.764)</f>
        <v>487.17863999999997</v>
      </c>
      <c r="F210" s="6">
        <v>0</v>
      </c>
      <c r="G210" s="6">
        <v>0</v>
      </c>
      <c r="H210" s="6">
        <f t="shared" ref="H210:H216" si="47">E210+F210+(IF(G210&lt;101,G210,IF(G210&lt;201,G210/2,IF(G210&lt;=301,G210/3,G210/4))))</f>
        <v>487.17863999999997</v>
      </c>
      <c r="I210" s="1"/>
      <c r="J210" s="1"/>
      <c r="K210" s="1"/>
      <c r="L210" s="1"/>
      <c r="M210" s="1"/>
      <c r="N210" s="1"/>
      <c r="O210" s="1"/>
      <c r="P210" s="1"/>
      <c r="Q210" s="1"/>
      <c r="R210" s="1"/>
      <c r="S210" s="1"/>
      <c r="T210" s="23" t="str">
        <f t="shared" ca="1" si="46"/>
        <v>103 to 1603</v>
      </c>
      <c r="U210" s="23">
        <f t="shared" ref="U210:V215" ca="1" si="48">U209+1</f>
        <v>103</v>
      </c>
      <c r="V210" s="23">
        <f t="shared" ca="1" si="48"/>
        <v>1603</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3">
      <c r="A211" s="81">
        <v>19</v>
      </c>
      <c r="B211" s="81"/>
      <c r="C211" s="51" t="s">
        <v>326</v>
      </c>
      <c r="D211" s="6" t="s">
        <v>327</v>
      </c>
      <c r="E211" s="6">
        <f>(46.7)*(10.764)</f>
        <v>502.67880000000002</v>
      </c>
      <c r="F211" s="6">
        <v>0</v>
      </c>
      <c r="G211" s="6">
        <v>0</v>
      </c>
      <c r="H211" s="6">
        <f t="shared" si="47"/>
        <v>502.67880000000002</v>
      </c>
      <c r="I211" s="1"/>
      <c r="J211" s="1"/>
      <c r="K211" s="1"/>
      <c r="L211" s="1"/>
      <c r="M211" s="1"/>
      <c r="N211" s="1"/>
      <c r="O211" s="1"/>
      <c r="P211" s="1"/>
      <c r="Q211" s="1"/>
      <c r="R211" s="1"/>
      <c r="S211" s="1"/>
      <c r="T211" s="23" t="str">
        <f t="shared" ca="1" si="46"/>
        <v>104 to 1604</v>
      </c>
      <c r="U211" s="23">
        <f t="shared" ca="1" si="48"/>
        <v>104</v>
      </c>
      <c r="V211" s="23">
        <f t="shared" ca="1" si="48"/>
        <v>1604</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3">
      <c r="A212" s="81">
        <v>20</v>
      </c>
      <c r="B212" s="81"/>
      <c r="C212" s="51" t="s">
        <v>326</v>
      </c>
      <c r="D212" s="6" t="s">
        <v>327</v>
      </c>
      <c r="E212" s="6">
        <f>(25.83)*(10.764)</f>
        <v>278.03411999999997</v>
      </c>
      <c r="F212" s="6">
        <v>0</v>
      </c>
      <c r="G212" s="6">
        <v>0</v>
      </c>
      <c r="H212" s="6">
        <f t="shared" si="47"/>
        <v>278.03411999999997</v>
      </c>
      <c r="I212" s="1"/>
      <c r="J212" s="1"/>
      <c r="K212" s="1"/>
      <c r="L212" s="1"/>
      <c r="M212" s="1"/>
      <c r="N212" s="1"/>
      <c r="O212" s="1"/>
      <c r="P212" s="1"/>
      <c r="Q212" s="1"/>
      <c r="R212" s="1"/>
      <c r="S212" s="1"/>
      <c r="T212" s="23" t="str">
        <f t="shared" ca="1" si="46"/>
        <v>105 to 1605</v>
      </c>
      <c r="U212" s="23">
        <f t="shared" ca="1" si="48"/>
        <v>105</v>
      </c>
      <c r="V212" s="23">
        <f t="shared" ca="1" si="48"/>
        <v>1605</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3">
      <c r="A213" s="81">
        <v>21</v>
      </c>
      <c r="B213" s="81"/>
      <c r="C213" s="51" t="s">
        <v>326</v>
      </c>
      <c r="D213" s="6" t="s">
        <v>327</v>
      </c>
      <c r="E213" s="6">
        <f>(29.07)*(10.764)</f>
        <v>312.90947999999997</v>
      </c>
      <c r="F213" s="6">
        <v>0</v>
      </c>
      <c r="G213" s="6">
        <v>0</v>
      </c>
      <c r="H213" s="6">
        <f t="shared" si="47"/>
        <v>312.90947999999997</v>
      </c>
      <c r="I213" s="1"/>
      <c r="J213" s="1"/>
      <c r="K213" s="1"/>
      <c r="L213" s="1"/>
      <c r="M213" s="1"/>
      <c r="N213" s="1"/>
      <c r="O213" s="1"/>
      <c r="P213" s="1"/>
      <c r="Q213" s="1"/>
      <c r="R213" s="1"/>
      <c r="S213" s="1"/>
      <c r="T213" s="23" t="str">
        <f t="shared" ca="1" si="46"/>
        <v>106 to 1606</v>
      </c>
      <c r="U213" s="23">
        <f t="shared" ca="1" si="48"/>
        <v>106</v>
      </c>
      <c r="V213" s="23">
        <f t="shared" ca="1" si="48"/>
        <v>1606</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3">
      <c r="A214" s="81">
        <v>22</v>
      </c>
      <c r="B214" s="81"/>
      <c r="C214" s="51" t="s">
        <v>326</v>
      </c>
      <c r="D214" s="6" t="s">
        <v>327</v>
      </c>
      <c r="E214" s="6">
        <f>(21.72)*(10.764)</f>
        <v>233.79407999999998</v>
      </c>
      <c r="F214" s="6">
        <v>0</v>
      </c>
      <c r="G214" s="6">
        <v>0</v>
      </c>
      <c r="H214" s="6">
        <f t="shared" si="47"/>
        <v>233.79407999999998</v>
      </c>
      <c r="I214" s="1"/>
      <c r="J214" s="1"/>
      <c r="K214" s="1"/>
      <c r="L214" s="1"/>
      <c r="M214" s="1"/>
      <c r="N214" s="1"/>
      <c r="O214" s="1"/>
      <c r="P214" s="1"/>
      <c r="Q214" s="1"/>
      <c r="R214" s="1"/>
      <c r="S214" s="1"/>
      <c r="T214" s="23" t="str">
        <f t="shared" ca="1" si="46"/>
        <v>107 to 1607</v>
      </c>
      <c r="U214" s="23">
        <f t="shared" ca="1" si="48"/>
        <v>107</v>
      </c>
      <c r="V214" s="23">
        <f t="shared" ca="1" si="48"/>
        <v>1607</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3">
      <c r="A215" s="81">
        <v>23</v>
      </c>
      <c r="B215" s="81"/>
      <c r="C215" s="51" t="s">
        <v>326</v>
      </c>
      <c r="D215" s="6" t="s">
        <v>327</v>
      </c>
      <c r="E215" s="6">
        <f>(16.49)*(10.764)</f>
        <v>177.49835999999996</v>
      </c>
      <c r="F215" s="6">
        <v>0</v>
      </c>
      <c r="G215" s="6">
        <v>0</v>
      </c>
      <c r="H215" s="6">
        <f t="shared" si="47"/>
        <v>177.49835999999996</v>
      </c>
      <c r="I215" s="1"/>
      <c r="J215" s="1"/>
      <c r="K215" s="1"/>
      <c r="L215" s="1"/>
      <c r="M215" s="1"/>
      <c r="N215" s="1"/>
      <c r="O215" s="1"/>
      <c r="P215" s="1"/>
      <c r="Q215" s="1"/>
      <c r="R215" s="1"/>
      <c r="S215" s="1"/>
      <c r="T215" s="23" t="str">
        <f t="shared" ca="1" si="46"/>
        <v>108 to 1608</v>
      </c>
      <c r="U215" s="23">
        <f t="shared" ca="1" si="48"/>
        <v>108</v>
      </c>
      <c r="V215" s="23">
        <f t="shared" ca="1" si="48"/>
        <v>1608</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3">
      <c r="A216" s="81">
        <v>24</v>
      </c>
      <c r="B216" s="81"/>
      <c r="C216" s="51" t="s">
        <v>326</v>
      </c>
      <c r="D216" s="6" t="s">
        <v>327</v>
      </c>
      <c r="E216" s="6">
        <f>(19.58)*(10.764)</f>
        <v>210.75911999999997</v>
      </c>
      <c r="F216" s="6">
        <v>0</v>
      </c>
      <c r="G216" s="6">
        <v>0</v>
      </c>
      <c r="H216" s="6">
        <f t="shared" si="47"/>
        <v>210.75911999999997</v>
      </c>
      <c r="I216" s="1"/>
      <c r="J216" s="1"/>
      <c r="K216" s="1"/>
      <c r="L216" s="1"/>
      <c r="M216" s="1"/>
      <c r="N216" s="1"/>
      <c r="O216" s="1"/>
      <c r="P216" s="1"/>
      <c r="Q216" s="1"/>
      <c r="R216" s="1"/>
      <c r="S216" s="1"/>
      <c r="T216" s="23" t="str">
        <f ca="1">U216&amp;""&amp;" to "&amp;""&amp;V216</f>
        <v>201 to 2401</v>
      </c>
      <c r="U216" s="23">
        <f ca="1">(SUMPRODUCT(MID(0&amp;(LEFT(A216,SUM(LEN(A216)-LEN(SUBSTITUTE(A216,{"0","1","2","3"},""))))), LARGE(INDEX(ISNUMBER(--MID((LEFT(A216,SUM(LEN(A216)-LEN(SUBSTITUTE(A216,{"0","1","2","3"},""))))), ROW(INDIRECT("1:"&amp;LEN((LEFT(A216,SUM(LEN(A216)-LEN(SUBSTITUTE(A216,{"0","1","2","3"},"")))))))), 1)) * ROW(INDIRECT("1:"&amp;LEN((LEFT(A216,SUM(LEN(A216)-LEN(SUBSTITUTE(A216,{"0","1","2","3"},"")))))))), 0), ROW(INDIRECT("1:"&amp;LEN((LEFT(A216,SUM(LEN(A216)-LEN(SUBSTITUTE(A216,{"0","1","2","3"},"")))))))))+1, 1) * 10^ROW(INDIRECT("1:"&amp;LEN((LEFT(A216,SUM(LEN(A216)-LEN(SUBSTITUTE(A216,{"0","1","2","3"},""))))))))/10))*100+1</f>
        <v>201</v>
      </c>
      <c r="V216" s="23">
        <f ca="1">(SUMPRODUCT(MID(0&amp;(--TRIM(RIGHT(SUBSTITUTE(LEFT(A216,_xlfn.AGGREGATE(16,6,FIND({0,1,2,3,4,5,6,7,8,9},A216,ROW(INDIRECT("1:"&amp;LEN(A216)))),1)),"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2401</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3">
      <c r="A217" s="81">
        <v>25</v>
      </c>
      <c r="B217" s="81"/>
      <c r="C217" s="51" t="s">
        <v>326</v>
      </c>
      <c r="D217" s="6" t="s">
        <v>327</v>
      </c>
      <c r="E217" s="6">
        <f>(16.49)*(10.764)</f>
        <v>177.49835999999996</v>
      </c>
      <c r="F217" s="6">
        <v>0</v>
      </c>
      <c r="G217" s="6">
        <v>0</v>
      </c>
      <c r="H217" s="6">
        <f>E217+F217+(IF(G217&lt;101,G217,IF(G217&lt;201,G217/2,IF(G217&lt;=301,G217/3,G217/4))))</f>
        <v>177.49835999999996</v>
      </c>
      <c r="I217" s="1"/>
      <c r="J217" s="1"/>
      <c r="K217" s="1"/>
      <c r="L217" s="1"/>
      <c r="M217" s="1"/>
      <c r="N217" s="1"/>
      <c r="O217" s="1"/>
      <c r="P217" s="1"/>
      <c r="Q217" s="1"/>
      <c r="R217" s="1"/>
      <c r="S217" s="1"/>
      <c r="T217" s="23" t="str">
        <f t="shared" ref="T217:T223" ca="1" si="49">U217&amp;""&amp;" to "&amp;""&amp;V217</f>
        <v>202 to 2402</v>
      </c>
      <c r="U217" s="23">
        <f ca="1">U216+1</f>
        <v>202</v>
      </c>
      <c r="V217" s="23">
        <f ca="1">V216+1</f>
        <v>2402</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3">
      <c r="A218" s="81">
        <v>26</v>
      </c>
      <c r="B218" s="81"/>
      <c r="C218" s="51" t="s">
        <v>326</v>
      </c>
      <c r="D218" s="6" t="s">
        <v>327</v>
      </c>
      <c r="E218" s="6">
        <f>(20.92)*(10.764)</f>
        <v>225.18288000000001</v>
      </c>
      <c r="F218" s="6">
        <v>0</v>
      </c>
      <c r="G218" s="6">
        <v>0</v>
      </c>
      <c r="H218" s="6">
        <f t="shared" ref="H218:H224" si="50">E218+F218+(IF(G218&lt;101,G218,IF(G218&lt;201,G218/2,IF(G218&lt;=301,G218/3,G218/4))))</f>
        <v>225.18288000000001</v>
      </c>
      <c r="I218" s="1"/>
      <c r="J218" s="1"/>
      <c r="K218" s="1"/>
      <c r="L218" s="1"/>
      <c r="M218" s="1"/>
      <c r="N218" s="1"/>
      <c r="O218" s="1"/>
      <c r="P218" s="1"/>
      <c r="Q218" s="1"/>
      <c r="R218" s="1"/>
      <c r="S218" s="1"/>
      <c r="T218" s="23" t="str">
        <f t="shared" ca="1" si="49"/>
        <v>203 to 2403</v>
      </c>
      <c r="U218" s="23">
        <f t="shared" ref="U218:V218" ca="1" si="51">U217+1</f>
        <v>203</v>
      </c>
      <c r="V218" s="23">
        <f t="shared" ca="1" si="51"/>
        <v>2403</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3">
      <c r="A219" s="81">
        <v>27</v>
      </c>
      <c r="B219" s="81"/>
      <c r="C219" s="51" t="s">
        <v>326</v>
      </c>
      <c r="D219" s="6" t="s">
        <v>327</v>
      </c>
      <c r="E219" s="6">
        <f>(55.52)*(10.764)</f>
        <v>597.61728000000005</v>
      </c>
      <c r="F219" s="6">
        <v>0</v>
      </c>
      <c r="G219" s="6">
        <v>0</v>
      </c>
      <c r="H219" s="6">
        <f t="shared" si="50"/>
        <v>597.61728000000005</v>
      </c>
      <c r="I219" s="1"/>
      <c r="J219" s="1"/>
      <c r="K219" s="1"/>
      <c r="L219" s="1"/>
      <c r="M219" s="1"/>
      <c r="N219" s="1"/>
      <c r="O219" s="1"/>
      <c r="P219" s="1"/>
      <c r="Q219" s="1"/>
      <c r="R219" s="1"/>
      <c r="S219" s="1"/>
      <c r="T219" s="23" t="str">
        <f t="shared" ca="1" si="49"/>
        <v>204 to 2404</v>
      </c>
      <c r="U219" s="23">
        <f t="shared" ref="U219:V219" ca="1" si="52">U218+1</f>
        <v>204</v>
      </c>
      <c r="V219" s="23">
        <f t="shared" ca="1" si="52"/>
        <v>2404</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3">
      <c r="A220" s="81">
        <v>28</v>
      </c>
      <c r="B220" s="81"/>
      <c r="C220" s="51" t="s">
        <v>326</v>
      </c>
      <c r="D220" s="6" t="s">
        <v>327</v>
      </c>
      <c r="E220" s="6">
        <f>(46.48)*(10.764)</f>
        <v>500.31071999999995</v>
      </c>
      <c r="F220" s="6">
        <v>0</v>
      </c>
      <c r="G220" s="6">
        <v>0</v>
      </c>
      <c r="H220" s="6">
        <f t="shared" si="50"/>
        <v>500.31071999999995</v>
      </c>
      <c r="I220" s="1"/>
      <c r="J220" s="1"/>
      <c r="K220" s="1"/>
      <c r="L220" s="1"/>
      <c r="M220" s="1"/>
      <c r="N220" s="1"/>
      <c r="O220" s="1"/>
      <c r="P220" s="1"/>
      <c r="Q220" s="1"/>
      <c r="R220" s="1"/>
      <c r="S220" s="1"/>
      <c r="T220" s="23" t="str">
        <f t="shared" ca="1" si="49"/>
        <v>205 to 2405</v>
      </c>
      <c r="U220" s="23">
        <f t="shared" ref="U220:V220" ca="1" si="53">U219+1</f>
        <v>205</v>
      </c>
      <c r="V220" s="23">
        <f t="shared" ca="1" si="53"/>
        <v>2405</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3">
      <c r="A221" s="81">
        <v>29</v>
      </c>
      <c r="B221" s="81"/>
      <c r="C221" s="51" t="s">
        <v>326</v>
      </c>
      <c r="D221" s="6" t="s">
        <v>327</v>
      </c>
      <c r="E221" s="6">
        <f>(30.23)*(10.764)</f>
        <v>325.39571999999998</v>
      </c>
      <c r="F221" s="6">
        <v>0</v>
      </c>
      <c r="G221" s="6">
        <v>0</v>
      </c>
      <c r="H221" s="6">
        <f t="shared" si="50"/>
        <v>325.39571999999998</v>
      </c>
      <c r="I221" s="1"/>
      <c r="J221" s="1"/>
      <c r="K221" s="1"/>
      <c r="L221" s="1"/>
      <c r="M221" s="1"/>
      <c r="N221" s="1"/>
      <c r="O221" s="1"/>
      <c r="P221" s="1"/>
      <c r="Q221" s="1"/>
      <c r="R221" s="1"/>
      <c r="S221" s="1"/>
      <c r="T221" s="23" t="str">
        <f t="shared" ca="1" si="49"/>
        <v>206 to 2406</v>
      </c>
      <c r="U221" s="23">
        <f t="shared" ref="U221:V221" ca="1" si="54">U220+1</f>
        <v>206</v>
      </c>
      <c r="V221" s="23">
        <f t="shared" ca="1" si="54"/>
        <v>2406</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3">
      <c r="A222" s="81">
        <v>30</v>
      </c>
      <c r="B222" s="81"/>
      <c r="C222" s="51" t="s">
        <v>326</v>
      </c>
      <c r="D222" s="6" t="s">
        <v>327</v>
      </c>
      <c r="E222" s="6">
        <f>(19.39)*(10.764)</f>
        <v>208.71395999999999</v>
      </c>
      <c r="F222" s="6">
        <v>0</v>
      </c>
      <c r="G222" s="6">
        <v>0</v>
      </c>
      <c r="H222" s="6">
        <f t="shared" si="50"/>
        <v>208.71395999999999</v>
      </c>
      <c r="I222" s="1"/>
      <c r="J222" s="1"/>
      <c r="K222" s="1"/>
      <c r="L222" s="1"/>
      <c r="M222" s="1"/>
      <c r="N222" s="1"/>
      <c r="O222" s="1"/>
      <c r="P222" s="1"/>
      <c r="Q222" s="1"/>
      <c r="R222" s="1"/>
      <c r="S222" s="1"/>
      <c r="T222" s="23" t="str">
        <f t="shared" ca="1" si="49"/>
        <v>207 to 2407</v>
      </c>
      <c r="U222" s="23">
        <f t="shared" ref="U222:V222" ca="1" si="55">U221+1</f>
        <v>207</v>
      </c>
      <c r="V222" s="23">
        <f t="shared" ca="1" si="55"/>
        <v>2407</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3">
      <c r="A223" s="81">
        <v>31</v>
      </c>
      <c r="B223" s="81"/>
      <c r="C223" s="51" t="s">
        <v>326</v>
      </c>
      <c r="D223" s="6" t="s">
        <v>327</v>
      </c>
      <c r="E223" s="6">
        <f>(19.03)*(10.764)</f>
        <v>204.83892</v>
      </c>
      <c r="F223" s="6">
        <v>0</v>
      </c>
      <c r="G223" s="6">
        <v>0</v>
      </c>
      <c r="H223" s="6">
        <f t="shared" si="50"/>
        <v>204.83892</v>
      </c>
      <c r="I223" s="1"/>
      <c r="J223" s="1"/>
      <c r="K223" s="1"/>
      <c r="L223" s="1"/>
      <c r="M223" s="1"/>
      <c r="N223" s="1"/>
      <c r="O223" s="1"/>
      <c r="P223" s="1"/>
      <c r="Q223" s="1"/>
      <c r="R223" s="1"/>
      <c r="S223" s="1"/>
      <c r="T223" s="23" t="str">
        <f t="shared" ca="1" si="49"/>
        <v>208 to 2408</v>
      </c>
      <c r="U223" s="23">
        <f t="shared" ref="U223:V223" ca="1" si="56">U222+1</f>
        <v>208</v>
      </c>
      <c r="V223" s="23">
        <f t="shared" ca="1" si="56"/>
        <v>2408</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3">
      <c r="A224" s="81">
        <v>32</v>
      </c>
      <c r="B224" s="81"/>
      <c r="C224" s="51" t="s">
        <v>326</v>
      </c>
      <c r="D224" s="6" t="s">
        <v>327</v>
      </c>
      <c r="E224" s="6">
        <f>(18.65)*(10.764)</f>
        <v>200.74859999999998</v>
      </c>
      <c r="F224" s="6">
        <v>0</v>
      </c>
      <c r="G224" s="6">
        <v>0</v>
      </c>
      <c r="H224" s="6">
        <f t="shared" si="50"/>
        <v>200.74859999999998</v>
      </c>
      <c r="I224" s="1"/>
      <c r="J224" s="1"/>
      <c r="K224" s="1"/>
      <c r="L224" s="1"/>
      <c r="M224" s="1"/>
      <c r="N224" s="1"/>
      <c r="O224" s="1"/>
      <c r="P224" s="1"/>
      <c r="Q224" s="1"/>
      <c r="R224" s="1"/>
      <c r="S224" s="1"/>
      <c r="T224" s="23" t="str">
        <f ca="1">U224&amp;""&amp;" to "&amp;""&amp;V224</f>
        <v>3201 to 3201</v>
      </c>
      <c r="U224" s="23">
        <f ca="1">(SUMPRODUCT(MID(0&amp;(LEFT(A224,SUM(LEN(A224)-LEN(SUBSTITUTE(A224,{"0","1","2","3"},""))))), LARGE(INDEX(ISNUMBER(--MID((LEFT(A224,SUM(LEN(A224)-LEN(SUBSTITUTE(A224,{"0","1","2","3"},""))))), ROW(INDIRECT("1:"&amp;LEN((LEFT(A224,SUM(LEN(A224)-LEN(SUBSTITUTE(A224,{"0","1","2","3"},"")))))))), 1)) * ROW(INDIRECT("1:"&amp;LEN((LEFT(A224,SUM(LEN(A224)-LEN(SUBSTITUTE(A224,{"0","1","2","3"},"")))))))), 0), ROW(INDIRECT("1:"&amp;LEN((LEFT(A224,SUM(LEN(A224)-LEN(SUBSTITUTE(A224,{"0","1","2","3"},"")))))))))+1, 1) * 10^ROW(INDIRECT("1:"&amp;LEN((LEFT(A224,SUM(LEN(A224)-LEN(SUBSTITUTE(A224,{"0","1","2","3"},""))))))))/10))*100+1</f>
        <v>3201</v>
      </c>
      <c r="V224" s="23">
        <f ca="1">(SUMPRODUCT(MID(0&amp;(--TRIM(RIGHT(SUBSTITUTE(LEFT(A224,_xlfn.AGGREGATE(16,6,FIND({0,1,2,3,4,5,6,7,8,9},A224,ROW(INDIRECT("1:"&amp;LEN(A224)))),1)),"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",LEN(A224))),LEN(A224)))))))/10))*100+1</f>
        <v>3201</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3">
      <c r="A225" s="81">
        <v>33</v>
      </c>
      <c r="B225" s="81"/>
      <c r="C225" s="51" t="s">
        <v>326</v>
      </c>
      <c r="D225" s="6" t="s">
        <v>327</v>
      </c>
      <c r="E225" s="6">
        <f>(17.8)*(10.764)</f>
        <v>191.5992</v>
      </c>
      <c r="F225" s="6">
        <v>0</v>
      </c>
      <c r="G225" s="6">
        <v>0</v>
      </c>
      <c r="H225" s="6">
        <f>E225+F225+(IF(G225&lt;101,G225,IF(G225&lt;201,G225/2,IF(G225&lt;=301,G225/3,G225/4))))</f>
        <v>191.5992</v>
      </c>
      <c r="I225" s="1"/>
      <c r="J225" s="1"/>
      <c r="K225" s="1"/>
      <c r="L225" s="1"/>
      <c r="M225" s="1"/>
      <c r="N225" s="1"/>
      <c r="O225" s="1"/>
      <c r="P225" s="1"/>
      <c r="Q225" s="1"/>
      <c r="R225" s="1"/>
      <c r="S225" s="1"/>
      <c r="T225" s="23" t="str">
        <f t="shared" ref="T225:T231" ca="1" si="57">U225&amp;""&amp;" to "&amp;""&amp;V225</f>
        <v>3202 to 3202</v>
      </c>
      <c r="U225" s="23">
        <f ca="1">U224+1</f>
        <v>3202</v>
      </c>
      <c r="V225" s="23">
        <f ca="1">V224+1</f>
        <v>3202</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3">
      <c r="A226" s="81">
        <v>34</v>
      </c>
      <c r="B226" s="81"/>
      <c r="C226" s="51" t="s">
        <v>326</v>
      </c>
      <c r="D226" s="6" t="s">
        <v>327</v>
      </c>
      <c r="E226" s="6">
        <f>(16.65)*(10.764)</f>
        <v>179.22059999999996</v>
      </c>
      <c r="F226" s="6">
        <v>0</v>
      </c>
      <c r="G226" s="6">
        <v>0</v>
      </c>
      <c r="H226" s="6">
        <f t="shared" ref="H226:H232" si="58">E226+F226+(IF(G226&lt;101,G226,IF(G226&lt;201,G226/2,IF(G226&lt;=301,G226/3,G226/4))))</f>
        <v>179.22059999999996</v>
      </c>
      <c r="I226" s="1"/>
      <c r="J226" s="1"/>
      <c r="K226" s="1"/>
      <c r="L226" s="1"/>
      <c r="M226" s="1"/>
      <c r="N226" s="1"/>
      <c r="O226" s="1"/>
      <c r="P226" s="1"/>
      <c r="Q226" s="1"/>
      <c r="R226" s="1"/>
      <c r="S226" s="1"/>
      <c r="T226" s="23" t="str">
        <f t="shared" ca="1" si="57"/>
        <v>3203 to 3203</v>
      </c>
      <c r="U226" s="23">
        <f t="shared" ref="U226:V226" ca="1" si="59">U225+1</f>
        <v>3203</v>
      </c>
      <c r="V226" s="23">
        <f t="shared" ca="1" si="59"/>
        <v>3203</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3">
      <c r="A227" s="81">
        <v>35</v>
      </c>
      <c r="B227" s="81"/>
      <c r="C227" s="51" t="s">
        <v>326</v>
      </c>
      <c r="D227" s="6" t="s">
        <v>327</v>
      </c>
      <c r="E227" s="6">
        <f>(19.76)*(10.764)</f>
        <v>212.69664</v>
      </c>
      <c r="F227" s="6">
        <v>0</v>
      </c>
      <c r="G227" s="6">
        <v>0</v>
      </c>
      <c r="H227" s="6">
        <f t="shared" si="58"/>
        <v>212.69664</v>
      </c>
      <c r="I227" s="1"/>
      <c r="J227" s="1"/>
      <c r="K227" s="1"/>
      <c r="L227" s="1"/>
      <c r="M227" s="1"/>
      <c r="N227" s="1"/>
      <c r="O227" s="1"/>
      <c r="P227" s="1"/>
      <c r="Q227" s="1"/>
      <c r="R227" s="1"/>
      <c r="S227" s="1"/>
      <c r="T227" s="23" t="str">
        <f t="shared" ca="1" si="57"/>
        <v>3204 to 3204</v>
      </c>
      <c r="U227" s="23">
        <f t="shared" ref="U227:V227" ca="1" si="60">U226+1</f>
        <v>3204</v>
      </c>
      <c r="V227" s="23">
        <f t="shared" ca="1" si="60"/>
        <v>3204</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3">
      <c r="A228" s="81">
        <v>36</v>
      </c>
      <c r="B228" s="81"/>
      <c r="C228" s="51" t="s">
        <v>326</v>
      </c>
      <c r="D228" s="6" t="s">
        <v>327</v>
      </c>
      <c r="E228" s="6">
        <f>(16.43)*(10.764)</f>
        <v>176.85252</v>
      </c>
      <c r="F228" s="6">
        <v>0</v>
      </c>
      <c r="G228" s="6">
        <v>0</v>
      </c>
      <c r="H228" s="6">
        <f t="shared" si="58"/>
        <v>176.85252</v>
      </c>
      <c r="I228" s="1"/>
      <c r="J228" s="1"/>
      <c r="K228" s="1"/>
      <c r="L228" s="1"/>
      <c r="M228" s="1"/>
      <c r="N228" s="1"/>
      <c r="O228" s="1"/>
      <c r="P228" s="1"/>
      <c r="Q228" s="1"/>
      <c r="R228" s="1"/>
      <c r="S228" s="1"/>
      <c r="T228" s="23" t="str">
        <f t="shared" ca="1" si="57"/>
        <v>3205 to 3205</v>
      </c>
      <c r="U228" s="23">
        <f t="shared" ref="U228:V228" ca="1" si="61">U227+1</f>
        <v>3205</v>
      </c>
      <c r="V228" s="23">
        <f t="shared" ca="1" si="61"/>
        <v>3205</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3">
      <c r="A229" s="81">
        <v>37</v>
      </c>
      <c r="B229" s="81"/>
      <c r="C229" s="51" t="s">
        <v>326</v>
      </c>
      <c r="D229" s="6" t="s">
        <v>327</v>
      </c>
      <c r="E229" s="6">
        <f>(20.23)*(10.764)</f>
        <v>217.75572</v>
      </c>
      <c r="F229" s="6">
        <v>0</v>
      </c>
      <c r="G229" s="6">
        <v>0</v>
      </c>
      <c r="H229" s="6">
        <f t="shared" si="58"/>
        <v>217.75572</v>
      </c>
      <c r="I229" s="1"/>
      <c r="J229" s="1"/>
      <c r="K229" s="1"/>
      <c r="L229" s="1"/>
      <c r="M229" s="1"/>
      <c r="N229" s="1"/>
      <c r="O229" s="1"/>
      <c r="P229" s="1"/>
      <c r="Q229" s="1"/>
      <c r="R229" s="1"/>
      <c r="S229" s="1"/>
      <c r="T229" s="23" t="str">
        <f t="shared" ca="1" si="57"/>
        <v>3206 to 3206</v>
      </c>
      <c r="U229" s="23">
        <f t="shared" ref="U229:V229" ca="1" si="62">U228+1</f>
        <v>3206</v>
      </c>
      <c r="V229" s="23">
        <f t="shared" ca="1" si="62"/>
        <v>3206</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3">
      <c r="A230" s="81">
        <v>38</v>
      </c>
      <c r="B230" s="81"/>
      <c r="C230" s="51" t="s">
        <v>326</v>
      </c>
      <c r="D230" s="6" t="s">
        <v>327</v>
      </c>
      <c r="E230" s="6">
        <f>(17.25)*(10.764)</f>
        <v>185.679</v>
      </c>
      <c r="F230" s="6">
        <v>0</v>
      </c>
      <c r="G230" s="6">
        <v>0</v>
      </c>
      <c r="H230" s="6">
        <f t="shared" si="58"/>
        <v>185.679</v>
      </c>
      <c r="I230" s="1"/>
      <c r="J230" s="1"/>
      <c r="K230" s="1"/>
      <c r="L230" s="1"/>
      <c r="M230" s="1"/>
      <c r="N230" s="1"/>
      <c r="O230" s="1"/>
      <c r="P230" s="1"/>
      <c r="Q230" s="1"/>
      <c r="R230" s="1"/>
      <c r="S230" s="1"/>
      <c r="T230" s="23" t="str">
        <f t="shared" ca="1" si="57"/>
        <v>3207 to 3207</v>
      </c>
      <c r="U230" s="23">
        <f t="shared" ref="U230:V230" ca="1" si="63">U229+1</f>
        <v>3207</v>
      </c>
      <c r="V230" s="23">
        <f t="shared" ca="1" si="63"/>
        <v>3207</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3">
      <c r="A231" s="81">
        <v>39</v>
      </c>
      <c r="B231" s="81"/>
      <c r="C231" s="51" t="s">
        <v>326</v>
      </c>
      <c r="D231" s="6" t="s">
        <v>327</v>
      </c>
      <c r="E231" s="6">
        <f>(17.25)*(10.764)</f>
        <v>185.679</v>
      </c>
      <c r="F231" s="6">
        <v>0</v>
      </c>
      <c r="G231" s="6">
        <v>0</v>
      </c>
      <c r="H231" s="6">
        <f t="shared" si="58"/>
        <v>185.679</v>
      </c>
      <c r="I231" s="1"/>
      <c r="J231" s="1"/>
      <c r="K231" s="1"/>
      <c r="L231" s="1"/>
      <c r="M231" s="1"/>
      <c r="N231" s="1"/>
      <c r="O231" s="1"/>
      <c r="P231" s="1"/>
      <c r="Q231" s="1"/>
      <c r="R231" s="1"/>
      <c r="S231" s="1"/>
      <c r="T231" s="23" t="str">
        <f t="shared" ca="1" si="57"/>
        <v>3208 to 3208</v>
      </c>
      <c r="U231" s="23">
        <f t="shared" ref="U231:V231" ca="1" si="64">U230+1</f>
        <v>3208</v>
      </c>
      <c r="V231" s="23">
        <f t="shared" ca="1" si="64"/>
        <v>3208</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3">
      <c r="A232" s="81">
        <v>40</v>
      </c>
      <c r="B232" s="81"/>
      <c r="C232" s="51" t="s">
        <v>326</v>
      </c>
      <c r="D232" s="6" t="s">
        <v>327</v>
      </c>
      <c r="E232" s="6">
        <f>(18.41)*(10.764)</f>
        <v>198.16523999999998</v>
      </c>
      <c r="F232" s="6">
        <v>0</v>
      </c>
      <c r="G232" s="6">
        <v>0</v>
      </c>
      <c r="H232" s="6">
        <f t="shared" si="58"/>
        <v>198.16523999999998</v>
      </c>
      <c r="I232" s="1"/>
      <c r="J232" s="1"/>
      <c r="K232" s="1"/>
      <c r="L232" s="1"/>
      <c r="M232" s="1"/>
      <c r="N232" s="1"/>
      <c r="O232" s="1"/>
      <c r="P232" s="1"/>
      <c r="Q232" s="1"/>
      <c r="R232" s="1"/>
      <c r="S232" s="1"/>
      <c r="T232" s="23" t="str">
        <f ca="1">U232&amp;""&amp;" to "&amp;""&amp;V232</f>
        <v>401 to 4001</v>
      </c>
      <c r="U232" s="23">
        <f ca="1">(SUMPRODUCT(MID(0&amp;(LEFT(A232,SUM(LEN(A232)-LEN(SUBSTITUTE(A232,{"0","1","2","3"},""))))), LARGE(INDEX(ISNUMBER(--MID((LEFT(A232,SUM(LEN(A232)-LEN(SUBSTITUTE(A232,{"0","1","2","3"},""))))), ROW(INDIRECT("1:"&amp;LEN((LEFT(A232,SUM(LEN(A232)-LEN(SUBSTITUTE(A232,{"0","1","2","3"},"")))))))), 1)) * ROW(INDIRECT("1:"&amp;LEN((LEFT(A232,SUM(LEN(A232)-LEN(SUBSTITUTE(A232,{"0","1","2","3"},"")))))))), 0), ROW(INDIRECT("1:"&amp;LEN((LEFT(A232,SUM(LEN(A232)-LEN(SUBSTITUTE(A232,{"0","1","2","3"},"")))))))))+1, 1) * 10^ROW(INDIRECT("1:"&amp;LEN((LEFT(A232,SUM(LEN(A232)-LEN(SUBSTITUTE(A232,{"0","1","2","3"},""))))))))/10))*100+1</f>
        <v>401</v>
      </c>
      <c r="V232" s="23">
        <f ca="1">(SUMPRODUCT(MID(0&amp;(--TRIM(RIGHT(SUBSTITUTE(LEFT(A232,_xlfn.AGGREGATE(16,6,FIND({0,1,2,3,4,5,6,7,8,9},A232,ROW(INDIRECT("1:"&amp;LEN(A232)))),1)),"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4001</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3">
      <c r="A233" s="81">
        <v>41</v>
      </c>
      <c r="B233" s="81"/>
      <c r="C233" s="51" t="s">
        <v>326</v>
      </c>
      <c r="D233" s="6" t="s">
        <v>327</v>
      </c>
      <c r="E233" s="6">
        <f>(33.23)*(10.764)</f>
        <v>357.68771999999996</v>
      </c>
      <c r="F233" s="6">
        <v>0</v>
      </c>
      <c r="G233" s="6">
        <v>0</v>
      </c>
      <c r="H233" s="6">
        <f>E233+F233+(IF(G233&lt;101,G233,IF(G233&lt;201,G233/2,IF(G233&lt;=301,G233/3,G233/4))))</f>
        <v>357.68771999999996</v>
      </c>
      <c r="I233" s="1"/>
      <c r="J233" s="1"/>
      <c r="K233" s="1"/>
      <c r="L233" s="1"/>
      <c r="M233" s="1"/>
      <c r="N233" s="1"/>
      <c r="O233" s="1"/>
      <c r="P233" s="1"/>
      <c r="Q233" s="1"/>
      <c r="R233" s="1"/>
      <c r="S233" s="1"/>
      <c r="T233" s="23" t="str">
        <f t="shared" ref="T233:T238" ca="1" si="65">U233&amp;""&amp;" to "&amp;""&amp;V233</f>
        <v>402 to 4002</v>
      </c>
      <c r="U233" s="23">
        <f ca="1">U232+1</f>
        <v>402</v>
      </c>
      <c r="V233" s="23">
        <f ca="1">V232+1</f>
        <v>4002</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3">
      <c r="A234" s="81">
        <v>42</v>
      </c>
      <c r="B234" s="81"/>
      <c r="C234" s="51" t="s">
        <v>326</v>
      </c>
      <c r="D234" s="6" t="s">
        <v>327</v>
      </c>
      <c r="E234" s="6">
        <f>(27.4)*(10.764)</f>
        <v>294.93359999999996</v>
      </c>
      <c r="F234" s="6">
        <v>0</v>
      </c>
      <c r="G234" s="6">
        <v>0</v>
      </c>
      <c r="H234" s="6">
        <f t="shared" ref="H234:H239" si="66">E234+F234+(IF(G234&lt;101,G234,IF(G234&lt;201,G234/2,IF(G234&lt;=301,G234/3,G234/4))))</f>
        <v>294.93359999999996</v>
      </c>
      <c r="I234" s="1"/>
      <c r="J234" s="1"/>
      <c r="K234" s="1"/>
      <c r="L234" s="1"/>
      <c r="M234" s="1"/>
      <c r="N234" s="1"/>
      <c r="O234" s="1"/>
      <c r="P234" s="1"/>
      <c r="Q234" s="1"/>
      <c r="R234" s="1"/>
      <c r="S234" s="1"/>
      <c r="T234" s="23" t="str">
        <f t="shared" ca="1" si="65"/>
        <v>403 to 4003</v>
      </c>
      <c r="U234" s="23">
        <f t="shared" ref="U234:V234" ca="1" si="67">U233+1</f>
        <v>403</v>
      </c>
      <c r="V234" s="23">
        <f t="shared" ca="1" si="67"/>
        <v>4003</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3">
      <c r="A235" s="81">
        <v>43</v>
      </c>
      <c r="B235" s="81"/>
      <c r="C235" s="51" t="s">
        <v>326</v>
      </c>
      <c r="D235" s="6" t="s">
        <v>327</v>
      </c>
      <c r="E235" s="6">
        <f>(18.24)*(10.764)</f>
        <v>196.33535999999998</v>
      </c>
      <c r="F235" s="6">
        <v>0</v>
      </c>
      <c r="G235" s="6">
        <v>0</v>
      </c>
      <c r="H235" s="6">
        <f t="shared" si="66"/>
        <v>196.33535999999998</v>
      </c>
      <c r="I235" s="1"/>
      <c r="J235" s="1"/>
      <c r="K235" s="1"/>
      <c r="L235" s="1"/>
      <c r="M235" s="1"/>
      <c r="N235" s="1"/>
      <c r="O235" s="1"/>
      <c r="P235" s="1"/>
      <c r="Q235" s="1"/>
      <c r="R235" s="1"/>
      <c r="S235" s="1"/>
      <c r="T235" s="23" t="str">
        <f t="shared" ca="1" si="65"/>
        <v>404 to 4004</v>
      </c>
      <c r="U235" s="23">
        <f t="shared" ref="U235:V235" ca="1" si="68">U234+1</f>
        <v>404</v>
      </c>
      <c r="V235" s="23">
        <f t="shared" ca="1" si="68"/>
        <v>4004</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3">
      <c r="A236" s="81">
        <v>44</v>
      </c>
      <c r="B236" s="81"/>
      <c r="C236" s="51" t="s">
        <v>326</v>
      </c>
      <c r="D236" s="6" t="s">
        <v>327</v>
      </c>
      <c r="E236" s="6">
        <f>(17.09)*(10.764)</f>
        <v>183.95675999999997</v>
      </c>
      <c r="F236" s="6">
        <v>0</v>
      </c>
      <c r="G236" s="6">
        <v>0</v>
      </c>
      <c r="H236" s="6">
        <f t="shared" si="66"/>
        <v>183.95675999999997</v>
      </c>
      <c r="I236" s="1"/>
      <c r="J236" s="1"/>
      <c r="K236" s="1"/>
      <c r="L236" s="1"/>
      <c r="M236" s="1"/>
      <c r="N236" s="1"/>
      <c r="O236" s="1"/>
      <c r="P236" s="1"/>
      <c r="Q236" s="1"/>
      <c r="R236" s="1"/>
      <c r="S236" s="1"/>
      <c r="T236" s="23" t="str">
        <f t="shared" ca="1" si="65"/>
        <v>405 to 4005</v>
      </c>
      <c r="U236" s="23">
        <f t="shared" ref="U236:V236" ca="1" si="69">U235+1</f>
        <v>405</v>
      </c>
      <c r="V236" s="23">
        <f t="shared" ca="1" si="69"/>
        <v>4005</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3">
      <c r="A237" s="81">
        <v>45</v>
      </c>
      <c r="B237" s="81"/>
      <c r="C237" s="51" t="s">
        <v>326</v>
      </c>
      <c r="D237" s="6" t="s">
        <v>327</v>
      </c>
      <c r="E237" s="6">
        <f>(17.09)*(10.764)</f>
        <v>183.95675999999997</v>
      </c>
      <c r="F237" s="6">
        <v>0</v>
      </c>
      <c r="G237" s="6">
        <v>0</v>
      </c>
      <c r="H237" s="6">
        <f t="shared" si="66"/>
        <v>183.95675999999997</v>
      </c>
      <c r="I237" s="1"/>
      <c r="J237" s="1"/>
      <c r="K237" s="1"/>
      <c r="L237" s="1"/>
      <c r="M237" s="1"/>
      <c r="N237" s="1"/>
      <c r="O237" s="1"/>
      <c r="P237" s="1"/>
      <c r="Q237" s="1"/>
      <c r="R237" s="1"/>
      <c r="S237" s="1"/>
      <c r="T237" s="23" t="str">
        <f t="shared" ca="1" si="65"/>
        <v>406 to 4006</v>
      </c>
      <c r="U237" s="23">
        <f t="shared" ref="U237:V237" ca="1" si="70">U236+1</f>
        <v>406</v>
      </c>
      <c r="V237" s="23">
        <f t="shared" ca="1" si="70"/>
        <v>4006</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3">
      <c r="A238" s="81">
        <v>46</v>
      </c>
      <c r="B238" s="81"/>
      <c r="C238" s="51" t="s">
        <v>326</v>
      </c>
      <c r="D238" s="6" t="s">
        <v>327</v>
      </c>
      <c r="E238" s="6">
        <f>(20.06)*(10.764)</f>
        <v>215.92583999999997</v>
      </c>
      <c r="F238" s="6">
        <v>0</v>
      </c>
      <c r="G238" s="6">
        <v>0</v>
      </c>
      <c r="H238" s="6">
        <f t="shared" si="66"/>
        <v>215.92583999999997</v>
      </c>
      <c r="I238" s="1"/>
      <c r="J238" s="1"/>
      <c r="K238" s="1"/>
      <c r="L238" s="1"/>
      <c r="M238" s="1"/>
      <c r="N238" s="1"/>
      <c r="O238" s="1"/>
      <c r="P238" s="1"/>
      <c r="Q238" s="1"/>
      <c r="R238" s="1"/>
      <c r="S238" s="1"/>
      <c r="T238" s="23" t="str">
        <f t="shared" ca="1" si="65"/>
        <v>407 to 4007</v>
      </c>
      <c r="U238" s="23">
        <f t="shared" ref="U238:V238" ca="1" si="71">U237+1</f>
        <v>407</v>
      </c>
      <c r="V238" s="23">
        <f t="shared" ca="1" si="71"/>
        <v>4007</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1" x14ac:dyDescent="0.3">
      <c r="A239" s="81">
        <v>47</v>
      </c>
      <c r="B239" s="81"/>
      <c r="C239" s="51" t="s">
        <v>326</v>
      </c>
      <c r="D239" s="6" t="s">
        <v>327</v>
      </c>
      <c r="E239" s="6">
        <f>(16.78)*(10.764)</f>
        <v>180.61992000000001</v>
      </c>
      <c r="F239" s="6">
        <v>0</v>
      </c>
      <c r="G239" s="6">
        <v>0</v>
      </c>
      <c r="H239" s="6">
        <f t="shared" si="66"/>
        <v>180.61992000000001</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1" x14ac:dyDescent="0.3">
      <c r="A240" s="88" t="s">
        <v>330</v>
      </c>
      <c r="B240" s="89"/>
      <c r="C240" s="89"/>
      <c r="D240" s="89"/>
      <c r="E240" s="89"/>
      <c r="F240" s="89"/>
      <c r="G240" s="89"/>
      <c r="H240" s="90"/>
      <c r="I240" s="1">
        <f>3+3+1</f>
        <v>7</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3">
      <c r="A241" s="88" t="s">
        <v>331</v>
      </c>
      <c r="B241" s="89"/>
      <c r="C241" s="89"/>
      <c r="D241" s="89"/>
      <c r="E241" s="89"/>
      <c r="F241" s="89"/>
      <c r="G241" s="89"/>
      <c r="H241" s="90"/>
      <c r="I241" s="1"/>
      <c r="J241" s="1"/>
      <c r="K241" s="1"/>
      <c r="L241" s="1"/>
      <c r="M241" s="1"/>
      <c r="N241" s="1"/>
      <c r="O241" s="1"/>
      <c r="P241" s="1"/>
      <c r="Q241" s="1"/>
      <c r="R241" s="1"/>
      <c r="S241" s="1"/>
      <c r="T241" s="23" t="str">
        <f ca="1">U241&amp;""&amp;" &amp; "&amp;""&amp;V241</f>
        <v>301 &amp; 1101</v>
      </c>
      <c r="U241" s="23">
        <f ca="1">(SUMPRODUCT(MID(0&amp;(LEFT(A241,SUM(LEN(A241)-LEN(SUBSTITUTE(A241,{"0","1","2","3"},""))))), LARGE(INDEX(ISNUMBER(--MID((LEFT(A241,SUM(LEN(A241)-LEN(SUBSTITUTE(A241,{"0","1","2","3"},""))))), ROW(INDIRECT("1:"&amp;LEN((LEFT(A241,SUM(LEN(A241)-LEN(SUBSTITUTE(A241,{"0","1","2","3"},"")))))))), 1)) * ROW(INDIRECT("1:"&amp;LEN((LEFT(A241,SUM(LEN(A241)-LEN(SUBSTITUTE(A241,{"0","1","2","3"},"")))))))), 0), ROW(INDIRECT("1:"&amp;LEN((LEFT(A241,SUM(LEN(A241)-LEN(SUBSTITUTE(A241,{"0","1","2","3"},"")))))))))+1, 1) * 10^ROW(INDIRECT("1:"&amp;LEN((LEFT(A241,SUM(LEN(A241)-LEN(SUBSTITUTE(A241,{"0","1","2","3"},""))))))))/10))*100+1</f>
        <v>301</v>
      </c>
      <c r="V241" s="23">
        <f ca="1">(SUMPRODUCT(MID(0&amp;(--TRIM(RIGHT(SUBSTITUTE(LEFT(A241,_xlfn.AGGREGATE(16,6,FIND({0,1,2,3,4,5,6,7,8,9},A241,ROW(INDIRECT("1:"&amp;LEN(A241)))),1))," ",REPT(" ",LEN(A241))),LEN(A241)))), LARGE(INDEX(ISNUMBER(--MID((--TRIM(RIGHT(SUBSTITUTE(LEFT(A241,_xlfn.AGGREGATE(16,6,FIND({0,1,2,3,4,5,6,7,8,9},A241,ROW(INDIRECT("1:"&amp;LEN(A241)))),1))," ",REPT(" ",LEN(A241))),LEN(A241)))), ROW(INDIRECT("1:"&amp;LEN((--TRIM(RIGHT(SUBSTITUTE(LEFT(A241,_xlfn.AGGREGATE(16,6,FIND({0,1,2,3,4,5,6,7,8,9},A241,ROW(INDIRECT("1:"&amp;LEN(A241)))),1))," ",REPT(" ",LEN(A241))),LEN(A241))))))), 1)) * ROW(INDIRECT("1:"&amp;LEN((--TRIM(RIGHT(SUBSTITUTE(LEFT(A241,_xlfn.AGGREGATE(16,6,FIND({0,1,2,3,4,5,6,7,8,9},A241,ROW(INDIRECT("1:"&amp;LEN(A241)))),1))," ",REPT(" ",LEN(A241))),LEN(A241))))))), 0), ROW(INDIRECT("1:"&amp;LEN((--TRIM(RIGHT(SUBSTITUTE(LEFT(A241,_xlfn.AGGREGATE(16,6,FIND({0,1,2,3,4,5,6,7,8,9},A241,ROW(INDIRECT("1:"&amp;LEN(A241)))),1))," ",REPT(" ",LEN(A241))),LEN(A241))))))))+1, 1) * 10^ROW(INDIRECT("1:"&amp;LEN((--TRIM(RIGHT(SUBSTITUTE(LEFT(A241,_xlfn.AGGREGATE(16,6,FIND({0,1,2,3,4,5,6,7,8,9},A241,ROW(INDIRECT("1:"&amp;LEN(A241)))),1))," ",REPT(" ",LEN(A241))),LEN(A241)))))))/10))*100+1</f>
        <v>1101</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3">
      <c r="A242" s="81">
        <v>1</v>
      </c>
      <c r="B242" s="81"/>
      <c r="C242" s="51" t="s">
        <v>326</v>
      </c>
      <c r="D242" s="6" t="s">
        <v>332</v>
      </c>
      <c r="E242" s="6">
        <f>(47.74)*(10.764)</f>
        <v>513.87335999999993</v>
      </c>
      <c r="F242" s="6">
        <v>0</v>
      </c>
      <c r="G242" s="6">
        <v>0</v>
      </c>
      <c r="H242" s="6">
        <f>E242+F242+(IF(G242&lt;101,G242,IF(G242&lt;201,G242/2,IF(G242&lt;=301,G242/3,G242/4))))</f>
        <v>513.87335999999993</v>
      </c>
      <c r="I242" s="1"/>
      <c r="J242" s="1"/>
      <c r="K242" s="1"/>
      <c r="L242" s="1"/>
      <c r="M242" s="1"/>
      <c r="N242" s="1"/>
      <c r="O242" s="1"/>
      <c r="P242" s="1"/>
      <c r="Q242" s="1"/>
      <c r="R242" s="1"/>
      <c r="S242" s="1"/>
      <c r="T242" s="23" t="str">
        <f t="shared" ref="T242:T248" ca="1" si="72">U242&amp;""&amp;" &amp; "&amp;""&amp;V242</f>
        <v>302 &amp; 1102</v>
      </c>
      <c r="U242" s="23">
        <f ca="1">U241+1</f>
        <v>302</v>
      </c>
      <c r="V242" s="23">
        <f ca="1">V241+1</f>
        <v>1102</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3">
      <c r="A243" s="81">
        <v>2</v>
      </c>
      <c r="B243" s="81"/>
      <c r="C243" s="51" t="s">
        <v>326</v>
      </c>
      <c r="D243" s="6" t="s">
        <v>332</v>
      </c>
      <c r="E243" s="6">
        <f>(30.25)*(10.764)</f>
        <v>325.61099999999999</v>
      </c>
      <c r="F243" s="6">
        <v>0</v>
      </c>
      <c r="G243" s="6">
        <v>0</v>
      </c>
      <c r="H243" s="6">
        <f t="shared" ref="H243:H249" si="73">E243+F243+(IF(G243&lt;101,G243,IF(G243&lt;201,G243/2,IF(G243&lt;=301,G243/3,G243/4))))</f>
        <v>325.61099999999999</v>
      </c>
      <c r="I243" s="1"/>
      <c r="J243" s="1"/>
      <c r="K243" s="1"/>
      <c r="L243" s="1"/>
      <c r="M243" s="1"/>
      <c r="N243" s="1"/>
      <c r="O243" s="1"/>
      <c r="P243" s="1"/>
      <c r="Q243" s="1"/>
      <c r="R243" s="1"/>
      <c r="S243" s="1"/>
      <c r="T243" s="23" t="str">
        <f t="shared" ca="1" si="72"/>
        <v>303 &amp; 1103</v>
      </c>
      <c r="U243" s="23">
        <f t="shared" ref="U243:U248" ca="1" si="74">U242+1</f>
        <v>303</v>
      </c>
      <c r="V243" s="23">
        <f t="shared" ref="V243:V248" ca="1" si="75">V242+1</f>
        <v>1103</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3">
      <c r="A244" s="81">
        <v>3</v>
      </c>
      <c r="B244" s="81"/>
      <c r="C244" s="51" t="s">
        <v>326</v>
      </c>
      <c r="D244" s="6" t="s">
        <v>332</v>
      </c>
      <c r="E244" s="6">
        <f>30.44*(10.764)</f>
        <v>327.65616</v>
      </c>
      <c r="F244" s="6">
        <v>0</v>
      </c>
      <c r="G244" s="6">
        <v>0</v>
      </c>
      <c r="H244" s="6">
        <f t="shared" si="73"/>
        <v>327.65616</v>
      </c>
      <c r="I244" s="1"/>
      <c r="J244" s="1"/>
      <c r="K244" s="1"/>
      <c r="L244" s="1"/>
      <c r="M244" s="1"/>
      <c r="N244" s="1"/>
      <c r="O244" s="1"/>
      <c r="P244" s="1"/>
      <c r="Q244" s="1"/>
      <c r="R244" s="1"/>
      <c r="S244" s="1"/>
      <c r="T244" s="23" t="str">
        <f t="shared" ca="1" si="72"/>
        <v>304 &amp; 1104</v>
      </c>
      <c r="U244" s="23">
        <f t="shared" ca="1" si="74"/>
        <v>304</v>
      </c>
      <c r="V244" s="23">
        <f t="shared" ca="1" si="75"/>
        <v>1104</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3">
      <c r="A245" s="81">
        <v>4</v>
      </c>
      <c r="B245" s="81"/>
      <c r="C245" s="51" t="s">
        <v>326</v>
      </c>
      <c r="D245" s="6" t="s">
        <v>332</v>
      </c>
      <c r="E245" s="6">
        <f>(20.88)*(10.764)</f>
        <v>224.75231999999997</v>
      </c>
      <c r="F245" s="6">
        <v>0</v>
      </c>
      <c r="G245" s="6">
        <v>0</v>
      </c>
      <c r="H245" s="6">
        <f t="shared" si="73"/>
        <v>224.75231999999997</v>
      </c>
      <c r="I245" s="1">
        <f>4700000/H245</f>
        <v>20911.908718005674</v>
      </c>
      <c r="J245" s="1"/>
      <c r="K245" s="1"/>
      <c r="L245" s="1"/>
      <c r="M245" s="1"/>
      <c r="N245" s="1"/>
      <c r="O245" s="1"/>
      <c r="P245" s="1"/>
      <c r="Q245" s="1"/>
      <c r="R245" s="1"/>
      <c r="S245" s="1"/>
      <c r="T245" s="23" t="str">
        <f t="shared" ca="1" si="72"/>
        <v>305 &amp; 1105</v>
      </c>
      <c r="U245" s="23">
        <f t="shared" ca="1" si="74"/>
        <v>305</v>
      </c>
      <c r="V245" s="23">
        <f t="shared" ca="1" si="75"/>
        <v>1105</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3">
      <c r="A246" s="81">
        <v>5</v>
      </c>
      <c r="B246" s="81"/>
      <c r="C246" s="51" t="s">
        <v>326</v>
      </c>
      <c r="D246" s="6" t="s">
        <v>332</v>
      </c>
      <c r="E246" s="6">
        <f>(29.88)*(10.764)</f>
        <v>321.62831999999997</v>
      </c>
      <c r="F246" s="6">
        <v>0</v>
      </c>
      <c r="G246" s="6">
        <v>0</v>
      </c>
      <c r="H246" s="6">
        <f t="shared" si="73"/>
        <v>321.62831999999997</v>
      </c>
      <c r="I246" s="1"/>
      <c r="J246" s="1"/>
      <c r="K246" s="1"/>
      <c r="L246" s="1"/>
      <c r="M246" s="1"/>
      <c r="N246" s="1"/>
      <c r="O246" s="1"/>
      <c r="P246" s="1"/>
      <c r="Q246" s="1"/>
      <c r="R246" s="1"/>
      <c r="S246" s="1"/>
      <c r="T246" s="23" t="str">
        <f t="shared" ca="1" si="72"/>
        <v>306 &amp; 1106</v>
      </c>
      <c r="U246" s="23">
        <f t="shared" ca="1" si="74"/>
        <v>306</v>
      </c>
      <c r="V246" s="23">
        <f t="shared" ca="1" si="75"/>
        <v>1106</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3">
      <c r="A247" s="81">
        <v>6</v>
      </c>
      <c r="B247" s="81"/>
      <c r="C247" s="51" t="s">
        <v>326</v>
      </c>
      <c r="D247" s="6" t="s">
        <v>332</v>
      </c>
      <c r="E247" s="6">
        <f>(26.5)*(10.764)</f>
        <v>285.24599999999998</v>
      </c>
      <c r="F247" s="6">
        <v>0</v>
      </c>
      <c r="G247" s="6">
        <v>0</v>
      </c>
      <c r="H247" s="6">
        <f t="shared" si="73"/>
        <v>285.24599999999998</v>
      </c>
      <c r="I247" s="1"/>
      <c r="J247" s="1"/>
      <c r="K247" s="1"/>
      <c r="L247" s="1"/>
      <c r="M247" s="1"/>
      <c r="N247" s="1"/>
      <c r="O247" s="1"/>
      <c r="P247" s="1"/>
      <c r="Q247" s="1"/>
      <c r="R247" s="1"/>
      <c r="S247" s="1"/>
      <c r="T247" s="23" t="str">
        <f t="shared" ca="1" si="72"/>
        <v>307 &amp; 1107</v>
      </c>
      <c r="U247" s="23">
        <f t="shared" ca="1" si="74"/>
        <v>307</v>
      </c>
      <c r="V247" s="23">
        <f t="shared" ca="1" si="75"/>
        <v>1107</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3">
      <c r="A248" s="81">
        <v>7</v>
      </c>
      <c r="B248" s="81"/>
      <c r="C248" s="51" t="s">
        <v>326</v>
      </c>
      <c r="D248" s="6" t="s">
        <v>332</v>
      </c>
      <c r="E248" s="6">
        <f>(28)*(10.764)</f>
        <v>301.392</v>
      </c>
      <c r="F248" s="6">
        <v>0</v>
      </c>
      <c r="G248" s="6">
        <v>0</v>
      </c>
      <c r="H248" s="6">
        <f t="shared" si="73"/>
        <v>301.392</v>
      </c>
      <c r="I248" s="1"/>
      <c r="J248" s="1"/>
      <c r="K248" s="1"/>
      <c r="L248" s="1"/>
      <c r="M248" s="1"/>
      <c r="N248" s="1"/>
      <c r="O248" s="1"/>
      <c r="P248" s="1"/>
      <c r="Q248" s="1"/>
      <c r="R248" s="1"/>
      <c r="S248" s="1"/>
      <c r="T248" s="23" t="str">
        <f t="shared" ca="1" si="72"/>
        <v>308 &amp; 1108</v>
      </c>
      <c r="U248" s="23">
        <f t="shared" ca="1" si="74"/>
        <v>308</v>
      </c>
      <c r="V248" s="23">
        <f t="shared" ca="1" si="75"/>
        <v>1108</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3">
      <c r="A249" s="81">
        <v>8</v>
      </c>
      <c r="B249" s="81"/>
      <c r="C249" s="51" t="s">
        <v>326</v>
      </c>
      <c r="D249" s="6" t="s">
        <v>332</v>
      </c>
      <c r="E249" s="6">
        <f>(26.5)*(10.764)</f>
        <v>285.24599999999998</v>
      </c>
      <c r="F249" s="6">
        <v>0</v>
      </c>
      <c r="G249" s="6">
        <v>0</v>
      </c>
      <c r="H249" s="6">
        <f t="shared" si="73"/>
        <v>285.24599999999998</v>
      </c>
      <c r="I249" s="1"/>
      <c r="J249" s="1"/>
      <c r="K249" s="1"/>
      <c r="L249" s="1"/>
      <c r="M249" s="1"/>
      <c r="N249" s="1"/>
      <c r="O249" s="1"/>
      <c r="P249" s="1"/>
      <c r="Q249" s="1"/>
      <c r="R249" s="1"/>
      <c r="S249" s="1"/>
      <c r="T249" s="23" t="e">
        <f ca="1">U249&amp;""&amp;" &amp; "&amp;""&amp;V249</f>
        <v>#REF!</v>
      </c>
      <c r="U249" s="23" t="e">
        <f ca="1">(SUMPRODUCT(MID(0&amp;(LEFT(A249,SUM(LEN(A249)-LEN(SUBSTITUTE(A249,{"0","1","2","3"},""))))), LARGE(INDEX(ISNUMBER(--MID((LEFT(A249,SUM(LEN(A249)-LEN(SUBSTITUTE(A249,{"0","1","2","3"},""))))), ROW(INDIRECT("1:"&amp;LEN((LEFT(A249,SUM(LEN(A249)-LEN(SUBSTITUTE(A249,{"0","1","2","3"},"")))))))), 1)) * ROW(INDIRECT("1:"&amp;LEN((LEFT(A249,SUM(LEN(A249)-LEN(SUBSTITUTE(A249,{"0","1","2","3"},"")))))))), 0), ROW(INDIRECT("1:"&amp;LEN((LEFT(A249,SUM(LEN(A249)-LEN(SUBSTITUTE(A249,{"0","1","2","3"},"")))))))))+1, 1) * 10^ROW(INDIRECT("1:"&amp;LEN((LEFT(A249,SUM(LEN(A249)-LEN(SUBSTITUTE(A249,{"0","1","2","3"},""))))))))/10))*100+1</f>
        <v>#REF!</v>
      </c>
      <c r="V249" s="23">
        <f ca="1">(SUMPRODUCT(MID(0&amp;(--TRIM(RIGHT(SUBSTITUTE(LEFT(A249,_xlfn.AGGREGATE(16,6,FIND({0,1,2,3,4,5,6,7,8,9},A249,ROW(INDIRECT("1:"&amp;LEN(A249)))),1))," ",REPT(" ",LEN(A249))),LEN(A249)))), LARGE(INDEX(ISNUMBER(--MID((--TRIM(RIGHT(SUBSTITUTE(LEFT(A249,_xlfn.AGGREGATE(16,6,FIND({0,1,2,3,4,5,6,7,8,9},A249,ROW(INDIRECT("1:"&amp;LEN(A249)))),1))," ",REPT(" ",LEN(A249))),LEN(A249)))), ROW(INDIRECT("1:"&amp;LEN((--TRIM(RIGHT(SUBSTITUTE(LEFT(A249,_xlfn.AGGREGATE(16,6,FIND({0,1,2,3,4,5,6,7,8,9},A249,ROW(INDIRECT("1:"&amp;LEN(A249)))),1))," ",REPT(" ",LEN(A249))),LEN(A249))))))), 1)) * ROW(INDIRECT("1:"&amp;LEN((--TRIM(RIGHT(SUBSTITUTE(LEFT(A249,_xlfn.AGGREGATE(16,6,FIND({0,1,2,3,4,5,6,7,8,9},A249,ROW(INDIRECT("1:"&amp;LEN(A249)))),1))," ",REPT(" ",LEN(A249))),LEN(A249))))))), 0), ROW(INDIRECT("1:"&amp;LEN((--TRIM(RIGHT(SUBSTITUTE(LEFT(A249,_xlfn.AGGREGATE(16,6,FIND({0,1,2,3,4,5,6,7,8,9},A249,ROW(INDIRECT("1:"&amp;LEN(A249)))),1))," ",REPT(" ",LEN(A249))),LEN(A249))))))))+1, 1) * 10^ROW(INDIRECT("1:"&amp;LEN((--TRIM(RIGHT(SUBSTITUTE(LEFT(A249,_xlfn.AGGREGATE(16,6,FIND({0,1,2,3,4,5,6,7,8,9},A249,ROW(INDIRECT("1:"&amp;LEN(A249)))),1))," ",REPT(" ",LEN(A249))),LEN(A249)))))))/10))*100+1</f>
        <v>801</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3">
      <c r="A250" s="81">
        <v>9</v>
      </c>
      <c r="B250" s="81"/>
      <c r="C250" s="51" t="s">
        <v>326</v>
      </c>
      <c r="D250" s="6" t="s">
        <v>332</v>
      </c>
      <c r="E250" s="6">
        <f>(31)*(10.764)</f>
        <v>333.68399999999997</v>
      </c>
      <c r="F250" s="6">
        <v>0</v>
      </c>
      <c r="G250" s="6">
        <v>0</v>
      </c>
      <c r="H250" s="6">
        <f>E250+F250+(IF(G250&lt;101,G250,IF(G250&lt;201,G250/2,IF(G250&lt;=301,G250/3,G250/4))))</f>
        <v>333.68399999999997</v>
      </c>
      <c r="I250" s="1"/>
      <c r="J250" s="1"/>
      <c r="K250" s="1"/>
      <c r="L250" s="1"/>
      <c r="M250" s="1"/>
      <c r="N250" s="1"/>
      <c r="O250" s="1"/>
      <c r="P250" s="1"/>
      <c r="Q250" s="1"/>
      <c r="R250" s="1"/>
      <c r="S250" s="1"/>
      <c r="T250" s="23" t="e">
        <f t="shared" ref="T250:T256" ca="1" si="76">U250&amp;""&amp;" &amp; "&amp;""&amp;V250</f>
        <v>#REF!</v>
      </c>
      <c r="U250" s="23" t="e">
        <f ca="1">U249+1</f>
        <v>#REF!</v>
      </c>
      <c r="V250" s="23">
        <f ca="1">V249+1</f>
        <v>802</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3">
      <c r="A251" s="81">
        <v>10</v>
      </c>
      <c r="B251" s="81"/>
      <c r="C251" s="51" t="s">
        <v>326</v>
      </c>
      <c r="D251" s="6" t="s">
        <v>332</v>
      </c>
      <c r="E251" s="6">
        <f>(20.88)*(10.764)</f>
        <v>224.75231999999997</v>
      </c>
      <c r="F251" s="6">
        <v>0</v>
      </c>
      <c r="G251" s="6">
        <v>0</v>
      </c>
      <c r="H251" s="6">
        <f t="shared" ref="H251:H257" si="77">E251+F251+(IF(G251&lt;101,G251,IF(G251&lt;201,G251/2,IF(G251&lt;=301,G251/3,G251/4))))</f>
        <v>224.75231999999997</v>
      </c>
      <c r="I251" s="1"/>
      <c r="J251" s="1"/>
      <c r="K251" s="1"/>
      <c r="L251" s="1"/>
      <c r="M251" s="1"/>
      <c r="N251" s="1"/>
      <c r="O251" s="1"/>
      <c r="P251" s="1"/>
      <c r="Q251" s="1"/>
      <c r="R251" s="1"/>
      <c r="S251" s="1"/>
      <c r="T251" s="23" t="e">
        <f t="shared" ca="1" si="76"/>
        <v>#REF!</v>
      </c>
      <c r="U251" s="23" t="e">
        <f t="shared" ref="U251:V256" ca="1" si="78">U250+1</f>
        <v>#REF!</v>
      </c>
      <c r="V251" s="23">
        <f t="shared" ca="1" si="78"/>
        <v>803</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3">
      <c r="A252" s="81">
        <v>11</v>
      </c>
      <c r="B252" s="81"/>
      <c r="C252" s="51" t="s">
        <v>326</v>
      </c>
      <c r="D252" s="6" t="s">
        <v>332</v>
      </c>
      <c r="E252" s="6">
        <f>(25.38)*(10.764)</f>
        <v>273.19031999999999</v>
      </c>
      <c r="F252" s="6">
        <v>0</v>
      </c>
      <c r="G252" s="6">
        <v>0</v>
      </c>
      <c r="H252" s="6">
        <f t="shared" si="77"/>
        <v>273.19031999999999</v>
      </c>
      <c r="I252" s="1"/>
      <c r="J252" s="1"/>
      <c r="K252" s="1"/>
      <c r="L252" s="1"/>
      <c r="M252" s="1"/>
      <c r="N252" s="1"/>
      <c r="O252" s="1"/>
      <c r="P252" s="1"/>
      <c r="Q252" s="1"/>
      <c r="R252" s="1"/>
      <c r="S252" s="1"/>
      <c r="T252" s="23" t="e">
        <f t="shared" ca="1" si="76"/>
        <v>#REF!</v>
      </c>
      <c r="U252" s="23" t="e">
        <f t="shared" ca="1" si="78"/>
        <v>#REF!</v>
      </c>
      <c r="V252" s="23">
        <f t="shared" ca="1" si="78"/>
        <v>804</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3">
      <c r="A253" s="81">
        <v>12</v>
      </c>
      <c r="B253" s="81"/>
      <c r="C253" s="51" t="s">
        <v>326</v>
      </c>
      <c r="D253" s="6" t="s">
        <v>332</v>
      </c>
      <c r="E253" s="6">
        <f>(22.38)*(10.764)</f>
        <v>240.89831999999998</v>
      </c>
      <c r="F253" s="6">
        <v>0</v>
      </c>
      <c r="G253" s="6">
        <v>0</v>
      </c>
      <c r="H253" s="6">
        <f t="shared" si="77"/>
        <v>240.89831999999998</v>
      </c>
      <c r="I253" s="1"/>
      <c r="J253" s="1"/>
      <c r="K253" s="1"/>
      <c r="L253" s="1"/>
      <c r="M253" s="1"/>
      <c r="N253" s="1"/>
      <c r="O253" s="1"/>
      <c r="P253" s="1"/>
      <c r="Q253" s="1"/>
      <c r="R253" s="1"/>
      <c r="S253" s="1"/>
      <c r="T253" s="23" t="e">
        <f t="shared" ca="1" si="76"/>
        <v>#REF!</v>
      </c>
      <c r="U253" s="23" t="e">
        <f t="shared" ca="1" si="78"/>
        <v>#REF!</v>
      </c>
      <c r="V253" s="23">
        <f t="shared" ca="1" si="78"/>
        <v>805</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3">
      <c r="A254" s="81">
        <v>13</v>
      </c>
      <c r="B254" s="81"/>
      <c r="C254" s="51" t="s">
        <v>326</v>
      </c>
      <c r="D254" s="6" t="s">
        <v>332</v>
      </c>
      <c r="E254" s="6">
        <f>(25.75)*(10.764)</f>
        <v>277.173</v>
      </c>
      <c r="F254" s="6">
        <v>0</v>
      </c>
      <c r="G254" s="6">
        <v>0</v>
      </c>
      <c r="H254" s="6">
        <f t="shared" si="77"/>
        <v>277.173</v>
      </c>
      <c r="I254" s="1"/>
      <c r="J254" s="1"/>
      <c r="K254" s="1"/>
      <c r="L254" s="1"/>
      <c r="M254" s="1"/>
      <c r="N254" s="1"/>
      <c r="O254" s="1"/>
      <c r="P254" s="1"/>
      <c r="Q254" s="1"/>
      <c r="R254" s="1"/>
      <c r="S254" s="1"/>
      <c r="T254" s="23" t="e">
        <f t="shared" ca="1" si="76"/>
        <v>#REF!</v>
      </c>
      <c r="U254" s="23" t="e">
        <f t="shared" ca="1" si="78"/>
        <v>#REF!</v>
      </c>
      <c r="V254" s="23">
        <f t="shared" ca="1" si="78"/>
        <v>806</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3">
      <c r="A255" s="81">
        <v>14</v>
      </c>
      <c r="B255" s="81"/>
      <c r="C255" s="51" t="s">
        <v>326</v>
      </c>
      <c r="D255" s="6" t="s">
        <v>332</v>
      </c>
      <c r="E255" s="6">
        <f>(39.63)*(10.764)</f>
        <v>426.57731999999999</v>
      </c>
      <c r="F255" s="6">
        <v>0</v>
      </c>
      <c r="G255" s="6">
        <v>0</v>
      </c>
      <c r="H255" s="6">
        <f t="shared" si="77"/>
        <v>426.57731999999999</v>
      </c>
      <c r="I255" s="1"/>
      <c r="J255" s="1"/>
      <c r="K255" s="1"/>
      <c r="L255" s="1"/>
      <c r="M255" s="1"/>
      <c r="N255" s="1"/>
      <c r="O255" s="1"/>
      <c r="P255" s="1"/>
      <c r="Q255" s="1"/>
      <c r="R255" s="1"/>
      <c r="S255" s="1"/>
      <c r="T255" s="23" t="e">
        <f t="shared" ca="1" si="76"/>
        <v>#REF!</v>
      </c>
      <c r="U255" s="23" t="e">
        <f t="shared" ca="1" si="78"/>
        <v>#REF!</v>
      </c>
      <c r="V255" s="23">
        <f t="shared" ca="1" si="78"/>
        <v>807</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3">
      <c r="A256" s="81">
        <v>15</v>
      </c>
      <c r="B256" s="81"/>
      <c r="C256" s="51" t="s">
        <v>326</v>
      </c>
      <c r="D256" s="6" t="s">
        <v>332</v>
      </c>
      <c r="E256" s="6">
        <f>(22.83)*(10.764)</f>
        <v>245.74211999999997</v>
      </c>
      <c r="F256" s="6">
        <v>0</v>
      </c>
      <c r="G256" s="6">
        <v>0</v>
      </c>
      <c r="H256" s="6">
        <f t="shared" si="77"/>
        <v>245.74211999999997</v>
      </c>
      <c r="I256" s="1"/>
      <c r="J256" s="1"/>
      <c r="K256" s="1"/>
      <c r="L256" s="1"/>
      <c r="M256" s="1"/>
      <c r="N256" s="1"/>
      <c r="O256" s="1"/>
      <c r="P256" s="1"/>
      <c r="Q256" s="1"/>
      <c r="R256" s="1"/>
      <c r="S256" s="1"/>
      <c r="T256" s="23" t="e">
        <f t="shared" ca="1" si="76"/>
        <v>#REF!</v>
      </c>
      <c r="U256" s="23" t="e">
        <f t="shared" ca="1" si="78"/>
        <v>#REF!</v>
      </c>
      <c r="V256" s="23">
        <f t="shared" ca="1" si="78"/>
        <v>808</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3">
      <c r="A257" s="81">
        <v>16</v>
      </c>
      <c r="B257" s="81"/>
      <c r="C257" s="51" t="s">
        <v>326</v>
      </c>
      <c r="D257" s="6" t="s">
        <v>332</v>
      </c>
      <c r="E257" s="6">
        <f>(33.83)*(10.764)</f>
        <v>364.14611999999994</v>
      </c>
      <c r="F257" s="6">
        <v>0</v>
      </c>
      <c r="G257" s="6">
        <v>0</v>
      </c>
      <c r="H257" s="6">
        <f t="shared" si="77"/>
        <v>364.14611999999994</v>
      </c>
      <c r="I257" s="1"/>
      <c r="J257" s="1"/>
      <c r="K257" s="1"/>
      <c r="L257" s="1"/>
      <c r="M257" s="1"/>
      <c r="N257" s="1"/>
      <c r="O257" s="1"/>
      <c r="P257" s="1"/>
      <c r="Q257" s="1"/>
      <c r="R257" s="1"/>
      <c r="S257" s="1"/>
      <c r="T257" s="23" t="str">
        <f ca="1">U257&amp;""&amp;" &amp; "&amp;""&amp;V257</f>
        <v>101 &amp; 1601</v>
      </c>
      <c r="U257" s="23">
        <f ca="1">(SUMPRODUCT(MID(0&amp;(LEFT(A257,SUM(LEN(A257)-LEN(SUBSTITUTE(A257,{"0","1","2","3"},""))))), LARGE(INDEX(ISNUMBER(--MID((LEFT(A257,SUM(LEN(A257)-LEN(SUBSTITUTE(A257,{"0","1","2","3"},""))))), ROW(INDIRECT("1:"&amp;LEN((LEFT(A257,SUM(LEN(A257)-LEN(SUBSTITUTE(A257,{"0","1","2","3"},"")))))))), 1)) * ROW(INDIRECT("1:"&amp;LEN((LEFT(A257,SUM(LEN(A257)-LEN(SUBSTITUTE(A257,{"0","1","2","3"},"")))))))), 0), ROW(INDIRECT("1:"&amp;LEN((LEFT(A257,SUM(LEN(A257)-LEN(SUBSTITUTE(A257,{"0","1","2","3"},"")))))))))+1, 1) * 10^ROW(INDIRECT("1:"&amp;LEN((LEFT(A257,SUM(LEN(A257)-LEN(SUBSTITUTE(A257,{"0","1","2","3"},""))))))))/10))*100+1</f>
        <v>101</v>
      </c>
      <c r="V257" s="23">
        <f ca="1">(SUMPRODUCT(MID(0&amp;(--TRIM(RIGHT(SUBSTITUTE(LEFT(A257,_xlfn.AGGREGATE(16,6,FIND({0,1,2,3,4,5,6,7,8,9},A257,ROW(INDIRECT("1:"&amp;LEN(A257)))),1))," ",REPT(" ",LEN(A257))),LEN(A257)))), LARGE(INDEX(ISNUMBER(--MID((--TRIM(RIGHT(SUBSTITUTE(LEFT(A257,_xlfn.AGGREGATE(16,6,FIND({0,1,2,3,4,5,6,7,8,9},A257,ROW(INDIRECT("1:"&amp;LEN(A257)))),1))," ",REPT(" ",LEN(A257))),LEN(A257)))), ROW(INDIRECT("1:"&amp;LEN((--TRIM(RIGHT(SUBSTITUTE(LEFT(A257,_xlfn.AGGREGATE(16,6,FIND({0,1,2,3,4,5,6,7,8,9},A257,ROW(INDIRECT("1:"&amp;LEN(A257)))),1))," ",REPT(" ",LEN(A257))),LEN(A257))))))), 1)) * ROW(INDIRECT("1:"&amp;LEN((--TRIM(RIGHT(SUBSTITUTE(LEFT(A257,_xlfn.AGGREGATE(16,6,FIND({0,1,2,3,4,5,6,7,8,9},A257,ROW(INDIRECT("1:"&amp;LEN(A257)))),1))," ",REPT(" ",LEN(A257))),LEN(A257))))))), 0), ROW(INDIRECT("1:"&amp;LEN((--TRIM(RIGHT(SUBSTITUTE(LEFT(A257,_xlfn.AGGREGATE(16,6,FIND({0,1,2,3,4,5,6,7,8,9},A257,ROW(INDIRECT("1:"&amp;LEN(A257)))),1))," ",REPT(" ",LEN(A257))),LEN(A257))))))))+1, 1) * 10^ROW(INDIRECT("1:"&amp;LEN((--TRIM(RIGHT(SUBSTITUTE(LEFT(A257,_xlfn.AGGREGATE(16,6,FIND({0,1,2,3,4,5,6,7,8,9},A257,ROW(INDIRECT("1:"&amp;LEN(A257)))),1))," ",REPT(" ",LEN(A257))),LEN(A257)))))))/10))*100+1</f>
        <v>1601</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3">
      <c r="A258" s="81">
        <v>17</v>
      </c>
      <c r="B258" s="81"/>
      <c r="C258" s="51" t="s">
        <v>326</v>
      </c>
      <c r="D258" s="6" t="s">
        <v>332</v>
      </c>
      <c r="E258" s="6">
        <f>(28.94)*(10.764)</f>
        <v>311.51015999999998</v>
      </c>
      <c r="F258" s="6">
        <v>0</v>
      </c>
      <c r="G258" s="6">
        <v>0</v>
      </c>
      <c r="H258" s="6">
        <f>E258+F258+(IF(G258&lt;101,G258,IF(G258&lt;201,G258/2,IF(G258&lt;=301,G258/3,G258/4))))</f>
        <v>311.51015999999998</v>
      </c>
      <c r="I258" s="1"/>
      <c r="J258" s="1"/>
      <c r="K258" s="1"/>
      <c r="L258" s="1"/>
      <c r="M258" s="1"/>
      <c r="N258" s="1"/>
      <c r="O258" s="1"/>
      <c r="P258" s="1"/>
      <c r="Q258" s="1"/>
      <c r="R258" s="1"/>
      <c r="S258" s="1"/>
      <c r="T258" s="23" t="str">
        <f t="shared" ref="T258:T263" ca="1" si="79">U258&amp;""&amp;" &amp; "&amp;""&amp;V258</f>
        <v>102 &amp; 1602</v>
      </c>
      <c r="U258" s="23">
        <f ca="1">U257+1</f>
        <v>102</v>
      </c>
      <c r="V258" s="23">
        <f ca="1">V257+1</f>
        <v>1602</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3">
      <c r="A259" s="81">
        <v>18</v>
      </c>
      <c r="B259" s="81"/>
      <c r="C259" s="51" t="s">
        <v>326</v>
      </c>
      <c r="D259" s="6" t="s">
        <v>332</v>
      </c>
      <c r="E259" s="6">
        <f>(30.57)*(10.764)</f>
        <v>329.05547999999999</v>
      </c>
      <c r="F259" s="6">
        <v>0</v>
      </c>
      <c r="G259" s="6">
        <v>0</v>
      </c>
      <c r="H259" s="6">
        <f t="shared" ref="H259:H264" si="80">E259+F259+(IF(G259&lt;101,G259,IF(G259&lt;201,G259/2,IF(G259&lt;=301,G259/3,G259/4))))</f>
        <v>329.05547999999999</v>
      </c>
      <c r="I259" s="1"/>
      <c r="J259" s="1"/>
      <c r="K259" s="1"/>
      <c r="L259" s="1"/>
      <c r="M259" s="1"/>
      <c r="N259" s="1"/>
      <c r="O259" s="1"/>
      <c r="P259" s="1"/>
      <c r="Q259" s="1"/>
      <c r="R259" s="1"/>
      <c r="S259" s="1"/>
      <c r="T259" s="23" t="str">
        <f t="shared" ca="1" si="79"/>
        <v>103 &amp; 1603</v>
      </c>
      <c r="U259" s="23">
        <f t="shared" ref="U259:V259" ca="1" si="81">U258+1</f>
        <v>103</v>
      </c>
      <c r="V259" s="23">
        <f t="shared" ca="1" si="81"/>
        <v>1603</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3">
      <c r="A260" s="81">
        <v>19</v>
      </c>
      <c r="B260" s="81"/>
      <c r="C260" s="51" t="s">
        <v>326</v>
      </c>
      <c r="D260" s="6" t="s">
        <v>332</v>
      </c>
      <c r="E260" s="6">
        <f>(28.95)*(10.764)</f>
        <v>311.61779999999999</v>
      </c>
      <c r="F260" s="6">
        <v>0</v>
      </c>
      <c r="G260" s="6">
        <v>0</v>
      </c>
      <c r="H260" s="6">
        <f t="shared" si="80"/>
        <v>311.61779999999999</v>
      </c>
      <c r="I260" s="1"/>
      <c r="J260" s="1"/>
      <c r="K260" s="1"/>
      <c r="L260" s="1"/>
      <c r="M260" s="1"/>
      <c r="N260" s="1"/>
      <c r="O260" s="1"/>
      <c r="P260" s="1"/>
      <c r="Q260" s="1"/>
      <c r="R260" s="1"/>
      <c r="S260" s="1"/>
      <c r="T260" s="23" t="str">
        <f t="shared" ca="1" si="79"/>
        <v>104 &amp; 1604</v>
      </c>
      <c r="U260" s="23">
        <f t="shared" ref="U260:V260" ca="1" si="82">U259+1</f>
        <v>104</v>
      </c>
      <c r="V260" s="23">
        <f t="shared" ca="1" si="82"/>
        <v>1604</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3">
      <c r="A261" s="81">
        <v>20</v>
      </c>
      <c r="B261" s="81"/>
      <c r="C261" s="51" t="s">
        <v>326</v>
      </c>
      <c r="D261" s="6" t="s">
        <v>332</v>
      </c>
      <c r="E261" s="6">
        <f>(32.61)*(10.764)</f>
        <v>351.01403999999997</v>
      </c>
      <c r="F261" s="6">
        <v>0</v>
      </c>
      <c r="G261" s="6">
        <v>0</v>
      </c>
      <c r="H261" s="6">
        <f t="shared" si="80"/>
        <v>351.01403999999997</v>
      </c>
      <c r="I261" s="1"/>
      <c r="J261" s="1"/>
      <c r="K261" s="1"/>
      <c r="L261" s="1"/>
      <c r="M261" s="1"/>
      <c r="N261" s="1"/>
      <c r="O261" s="1"/>
      <c r="P261" s="1"/>
      <c r="Q261" s="1"/>
      <c r="R261" s="1"/>
      <c r="S261" s="1"/>
      <c r="T261" s="23" t="str">
        <f t="shared" ca="1" si="79"/>
        <v>105 &amp; 1605</v>
      </c>
      <c r="U261" s="23">
        <f t="shared" ref="U261:V261" ca="1" si="83">U260+1</f>
        <v>105</v>
      </c>
      <c r="V261" s="23">
        <f t="shared" ca="1" si="83"/>
        <v>1605</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3">
      <c r="A262" s="81">
        <v>21</v>
      </c>
      <c r="B262" s="81"/>
      <c r="C262" s="51" t="s">
        <v>326</v>
      </c>
      <c r="D262" s="6" t="s">
        <v>332</v>
      </c>
      <c r="E262" s="6">
        <f>(21.31)*(10.764)</f>
        <v>229.38083999999998</v>
      </c>
      <c r="F262" s="6">
        <v>0</v>
      </c>
      <c r="G262" s="6">
        <v>0</v>
      </c>
      <c r="H262" s="6">
        <f t="shared" si="80"/>
        <v>229.38083999999998</v>
      </c>
      <c r="I262" s="1"/>
      <c r="J262" s="1"/>
      <c r="K262" s="1"/>
      <c r="L262" s="1"/>
      <c r="M262" s="1"/>
      <c r="N262" s="1"/>
      <c r="O262" s="1"/>
      <c r="P262" s="1"/>
      <c r="Q262" s="1"/>
      <c r="R262" s="1"/>
      <c r="S262" s="1"/>
      <c r="T262" s="23" t="str">
        <f t="shared" ca="1" si="79"/>
        <v>106 &amp; 1606</v>
      </c>
      <c r="U262" s="23">
        <f t="shared" ref="U262:V262" ca="1" si="84">U261+1</f>
        <v>106</v>
      </c>
      <c r="V262" s="23">
        <f t="shared" ca="1" si="84"/>
        <v>1606</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3">
      <c r="A263" s="81">
        <v>22</v>
      </c>
      <c r="B263" s="81"/>
      <c r="C263" s="51" t="s">
        <v>326</v>
      </c>
      <c r="D263" s="6" t="s">
        <v>332</v>
      </c>
      <c r="E263" s="6">
        <f>(23.65)*(10.764)</f>
        <v>254.56859999999998</v>
      </c>
      <c r="F263" s="6">
        <v>0</v>
      </c>
      <c r="G263" s="6">
        <v>0</v>
      </c>
      <c r="H263" s="6">
        <f t="shared" si="80"/>
        <v>254.56859999999998</v>
      </c>
      <c r="I263" s="1"/>
      <c r="J263" s="1"/>
      <c r="K263" s="1"/>
      <c r="L263" s="1"/>
      <c r="M263" s="1"/>
      <c r="N263" s="1"/>
      <c r="O263" s="1"/>
      <c r="P263" s="1"/>
      <c r="Q263" s="1"/>
      <c r="R263" s="1"/>
      <c r="S263" s="1"/>
      <c r="T263" s="23" t="str">
        <f t="shared" ca="1" si="79"/>
        <v>107 &amp; 1607</v>
      </c>
      <c r="U263" s="23">
        <f t="shared" ref="U263:V263" ca="1" si="85">U262+1</f>
        <v>107</v>
      </c>
      <c r="V263" s="23">
        <f t="shared" ca="1" si="85"/>
        <v>1607</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1" x14ac:dyDescent="0.3">
      <c r="A264" s="81">
        <v>23</v>
      </c>
      <c r="B264" s="81"/>
      <c r="C264" s="51" t="s">
        <v>326</v>
      </c>
      <c r="D264" s="6" t="s">
        <v>332</v>
      </c>
      <c r="E264" s="6">
        <f>(35.72)*(10.764)</f>
        <v>384.49007999999998</v>
      </c>
      <c r="F264" s="6">
        <v>0</v>
      </c>
      <c r="G264" s="6">
        <v>0</v>
      </c>
      <c r="H264" s="6">
        <f t="shared" si="80"/>
        <v>384.49007999999998</v>
      </c>
      <c r="I264" s="1">
        <f>2</f>
        <v>2</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3">
      <c r="A265" s="88" t="s">
        <v>333</v>
      </c>
      <c r="B265" s="89"/>
      <c r="C265" s="89"/>
      <c r="D265" s="89"/>
      <c r="E265" s="89"/>
      <c r="F265" s="89"/>
      <c r="G265" s="89"/>
      <c r="H265" s="90"/>
      <c r="I265" s="1"/>
      <c r="J265" s="1"/>
      <c r="K265" s="1"/>
      <c r="L265" s="1"/>
      <c r="M265" s="1"/>
      <c r="N265" s="1"/>
      <c r="O265" s="1"/>
      <c r="P265" s="1"/>
      <c r="Q265" s="1"/>
      <c r="R265" s="1"/>
      <c r="S265" s="1"/>
      <c r="T265" s="23" t="str">
        <f ca="1">U265&amp;""&amp;" &amp; "&amp;""&amp;V265</f>
        <v>601 &amp; 1001</v>
      </c>
      <c r="U265" s="23">
        <f ca="1">(SUMPRODUCT(MID(0&amp;(LEFT(A265,SUM(LEN(A265)-LEN(SUBSTITUTE(A265,{"0","1","2","3"},""))))), LARGE(INDEX(ISNUMBER(--MID((LEFT(A265,SUM(LEN(A265)-LEN(SUBSTITUTE(A265,{"0","1","2","3"},""))))), ROW(INDIRECT("1:"&amp;LEN((LEFT(A265,SUM(LEN(A265)-LEN(SUBSTITUTE(A265,{"0","1","2","3"},"")))))))), 1)) * ROW(INDIRECT("1:"&amp;LEN((LEFT(A265,SUM(LEN(A265)-LEN(SUBSTITUTE(A265,{"0","1","2","3"},"")))))))), 0), ROW(INDIRECT("1:"&amp;LEN((LEFT(A265,SUM(LEN(A265)-LEN(SUBSTITUTE(A265,{"0","1","2","3"},"")))))))))+1, 1) * 10^ROW(INDIRECT("1:"&amp;LEN((LEFT(A265,SUM(LEN(A265)-LEN(SUBSTITUTE(A265,{"0","1","2","3"},""))))))))/10))*100+1</f>
        <v>601</v>
      </c>
      <c r="V265" s="23">
        <f ca="1">(SUMPRODUCT(MID(0&amp;(--TRIM(RIGHT(SUBSTITUTE(LEFT(A265,_xlfn.AGGREGATE(16,6,FIND({0,1,2,3,4,5,6,7,8,9},A265,ROW(INDIRECT("1:"&amp;LEN(A265)))),1))," ",REPT(" ",LEN(A265))),LEN(A265)))), LARGE(INDEX(ISNUMBER(--MID((--TRIM(RIGHT(SUBSTITUTE(LEFT(A265,_xlfn.AGGREGATE(16,6,FIND({0,1,2,3,4,5,6,7,8,9},A265,ROW(INDIRECT("1:"&amp;LEN(A265)))),1))," ",REPT(" ",LEN(A265))),LEN(A265)))), ROW(INDIRECT("1:"&amp;LEN((--TRIM(RIGHT(SUBSTITUTE(LEFT(A265,_xlfn.AGGREGATE(16,6,FIND({0,1,2,3,4,5,6,7,8,9},A265,ROW(INDIRECT("1:"&amp;LEN(A265)))),1))," ",REPT(" ",LEN(A265))),LEN(A265))))))), 1)) * ROW(INDIRECT("1:"&amp;LEN((--TRIM(RIGHT(SUBSTITUTE(LEFT(A265,_xlfn.AGGREGATE(16,6,FIND({0,1,2,3,4,5,6,7,8,9},A265,ROW(INDIRECT("1:"&amp;LEN(A265)))),1))," ",REPT(" ",LEN(A265))),LEN(A265))))))), 0), ROW(INDIRECT("1:"&amp;LEN((--TRIM(RIGHT(SUBSTITUTE(LEFT(A265,_xlfn.AGGREGATE(16,6,FIND({0,1,2,3,4,5,6,7,8,9},A265,ROW(INDIRECT("1:"&amp;LEN(A265)))),1))," ",REPT(" ",LEN(A265))),LEN(A265))))))))+1, 1) * 10^ROW(INDIRECT("1:"&amp;LEN((--TRIM(RIGHT(SUBSTITUTE(LEFT(A265,_xlfn.AGGREGATE(16,6,FIND({0,1,2,3,4,5,6,7,8,9},A265,ROW(INDIRECT("1:"&amp;LEN(A265)))),1))," ",REPT(" ",LEN(A265))),LEN(A265)))))))/10))*100+1</f>
        <v>1001</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3">
      <c r="A266" s="81">
        <v>1</v>
      </c>
      <c r="B266" s="81"/>
      <c r="C266" s="51" t="s">
        <v>326</v>
      </c>
      <c r="D266" s="6" t="s">
        <v>332</v>
      </c>
      <c r="E266" s="6">
        <f>(47.74)*(10.764)</f>
        <v>513.87335999999993</v>
      </c>
      <c r="F266" s="6">
        <v>0</v>
      </c>
      <c r="G266" s="6">
        <v>0</v>
      </c>
      <c r="H266" s="6">
        <f>E266+F266+(IF(G266&lt;101,G266,IF(G266&lt;201,G266/2,IF(G266&lt;=301,G266/3,G266/4))))</f>
        <v>513.87335999999993</v>
      </c>
      <c r="I266" s="1"/>
      <c r="J266" s="1"/>
      <c r="K266" s="1"/>
      <c r="L266" s="1"/>
      <c r="M266" s="1"/>
      <c r="N266" s="1"/>
      <c r="O266" s="1"/>
      <c r="P266" s="1"/>
      <c r="Q266" s="1"/>
      <c r="R266" s="1"/>
      <c r="S266" s="1"/>
      <c r="T266" s="23" t="str">
        <f t="shared" ref="T266:T272" ca="1" si="86">U266&amp;""&amp;" &amp; "&amp;""&amp;V266</f>
        <v>602 &amp; 1002</v>
      </c>
      <c r="U266" s="23">
        <f ca="1">U265+1</f>
        <v>602</v>
      </c>
      <c r="V266" s="23">
        <f ca="1">V265+1</f>
        <v>1002</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3">
      <c r="A267" s="81">
        <v>2</v>
      </c>
      <c r="B267" s="81"/>
      <c r="C267" s="51" t="s">
        <v>326</v>
      </c>
      <c r="D267" s="6" t="s">
        <v>332</v>
      </c>
      <c r="E267" s="6">
        <f>(30.25)*(10.764)</f>
        <v>325.61099999999999</v>
      </c>
      <c r="F267" s="6">
        <v>0</v>
      </c>
      <c r="G267" s="6">
        <v>0</v>
      </c>
      <c r="H267" s="6">
        <f t="shared" ref="H267:H273" si="87">E267+F267+(IF(G267&lt;101,G267,IF(G267&lt;201,G267/2,IF(G267&lt;=301,G267/3,G267/4))))</f>
        <v>325.61099999999999</v>
      </c>
      <c r="I267" s="1"/>
      <c r="J267" s="1"/>
      <c r="K267" s="1"/>
      <c r="L267" s="1"/>
      <c r="M267" s="1"/>
      <c r="N267" s="1"/>
      <c r="O267" s="1"/>
      <c r="P267" s="1"/>
      <c r="Q267" s="1"/>
      <c r="R267" s="1"/>
      <c r="S267" s="1"/>
      <c r="T267" s="23" t="str">
        <f t="shared" ca="1" si="86"/>
        <v>603 &amp; 1003</v>
      </c>
      <c r="U267" s="23">
        <f t="shared" ref="U267:V272" ca="1" si="88">U266+1</f>
        <v>603</v>
      </c>
      <c r="V267" s="23">
        <f t="shared" ca="1" si="88"/>
        <v>1003</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3">
      <c r="A268" s="81">
        <v>3</v>
      </c>
      <c r="B268" s="81"/>
      <c r="C268" s="51" t="s">
        <v>326</v>
      </c>
      <c r="D268" s="6" t="s">
        <v>332</v>
      </c>
      <c r="E268" s="6">
        <f>30.44*(10.764)</f>
        <v>327.65616</v>
      </c>
      <c r="F268" s="6">
        <v>0</v>
      </c>
      <c r="G268" s="6">
        <v>0</v>
      </c>
      <c r="H268" s="6">
        <f t="shared" si="87"/>
        <v>327.65616</v>
      </c>
      <c r="I268" s="1"/>
      <c r="J268" s="1"/>
      <c r="K268" s="1"/>
      <c r="L268" s="1"/>
      <c r="M268" s="1"/>
      <c r="N268" s="1"/>
      <c r="O268" s="1"/>
      <c r="P268" s="1"/>
      <c r="Q268" s="1"/>
      <c r="R268" s="1"/>
      <c r="S268" s="1"/>
      <c r="T268" s="23" t="str">
        <f t="shared" ca="1" si="86"/>
        <v>604 &amp; 1004</v>
      </c>
      <c r="U268" s="23">
        <f t="shared" ca="1" si="88"/>
        <v>604</v>
      </c>
      <c r="V268" s="23">
        <f t="shared" ca="1" si="88"/>
        <v>1004</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3">
      <c r="A269" s="81">
        <v>4</v>
      </c>
      <c r="B269" s="81"/>
      <c r="C269" s="51" t="s">
        <v>326</v>
      </c>
      <c r="D269" s="6" t="s">
        <v>332</v>
      </c>
      <c r="E269" s="6">
        <f>(20.88)*(10.764)</f>
        <v>224.75231999999997</v>
      </c>
      <c r="F269" s="6">
        <v>0</v>
      </c>
      <c r="G269" s="6">
        <v>0</v>
      </c>
      <c r="H269" s="6">
        <f t="shared" si="87"/>
        <v>224.75231999999997</v>
      </c>
      <c r="I269" s="1"/>
      <c r="J269" s="1"/>
      <c r="K269" s="1"/>
      <c r="L269" s="1"/>
      <c r="M269" s="1"/>
      <c r="N269" s="1"/>
      <c r="O269" s="1"/>
      <c r="P269" s="1"/>
      <c r="Q269" s="1"/>
      <c r="R269" s="1"/>
      <c r="S269" s="1"/>
      <c r="T269" s="23" t="str">
        <f t="shared" ca="1" si="86"/>
        <v>605 &amp; 1005</v>
      </c>
      <c r="U269" s="23">
        <f t="shared" ca="1" si="88"/>
        <v>605</v>
      </c>
      <c r="V269" s="23">
        <f t="shared" ca="1" si="88"/>
        <v>1005</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3">
      <c r="A270" s="81">
        <v>5</v>
      </c>
      <c r="B270" s="81"/>
      <c r="C270" s="51" t="s">
        <v>326</v>
      </c>
      <c r="D270" s="6" t="s">
        <v>332</v>
      </c>
      <c r="E270" s="6">
        <f>(29.88)*(10.764)</f>
        <v>321.62831999999997</v>
      </c>
      <c r="F270" s="6">
        <v>0</v>
      </c>
      <c r="G270" s="6">
        <v>0</v>
      </c>
      <c r="H270" s="6">
        <f t="shared" si="87"/>
        <v>321.62831999999997</v>
      </c>
      <c r="I270" s="1"/>
      <c r="J270" s="1"/>
      <c r="K270" s="1"/>
      <c r="L270" s="1"/>
      <c r="M270" s="1"/>
      <c r="N270" s="1"/>
      <c r="O270" s="1"/>
      <c r="P270" s="1"/>
      <c r="Q270" s="1"/>
      <c r="R270" s="1"/>
      <c r="S270" s="1"/>
      <c r="T270" s="23" t="str">
        <f t="shared" ca="1" si="86"/>
        <v>606 &amp; 1006</v>
      </c>
      <c r="U270" s="23">
        <f t="shared" ca="1" si="88"/>
        <v>606</v>
      </c>
      <c r="V270" s="23">
        <f t="shared" ca="1" si="88"/>
        <v>1006</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3">
      <c r="A271" s="81">
        <v>6</v>
      </c>
      <c r="B271" s="81"/>
      <c r="C271" s="51" t="s">
        <v>326</v>
      </c>
      <c r="D271" s="6" t="s">
        <v>332</v>
      </c>
      <c r="E271" s="6">
        <f>(26.5)*(10.764)</f>
        <v>285.24599999999998</v>
      </c>
      <c r="F271" s="6">
        <v>0</v>
      </c>
      <c r="G271" s="6">
        <v>0</v>
      </c>
      <c r="H271" s="6">
        <f t="shared" si="87"/>
        <v>285.24599999999998</v>
      </c>
      <c r="I271" s="1"/>
      <c r="J271" s="1"/>
      <c r="K271" s="1"/>
      <c r="L271" s="1"/>
      <c r="M271" s="1"/>
      <c r="N271" s="1"/>
      <c r="O271" s="1"/>
      <c r="P271" s="1"/>
      <c r="Q271" s="1"/>
      <c r="R271" s="1"/>
      <c r="S271" s="1"/>
      <c r="T271" s="23" t="str">
        <f t="shared" ca="1" si="86"/>
        <v>607 &amp; 1007</v>
      </c>
      <c r="U271" s="23">
        <f t="shared" ca="1" si="88"/>
        <v>607</v>
      </c>
      <c r="V271" s="23">
        <f t="shared" ca="1" si="88"/>
        <v>1007</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3">
      <c r="A272" s="81">
        <v>7</v>
      </c>
      <c r="B272" s="81"/>
      <c r="C272" s="51" t="s">
        <v>326</v>
      </c>
      <c r="D272" s="6" t="s">
        <v>332</v>
      </c>
      <c r="E272" s="6">
        <f>(28)*(10.764)</f>
        <v>301.392</v>
      </c>
      <c r="F272" s="6">
        <v>0</v>
      </c>
      <c r="G272" s="6">
        <v>0</v>
      </c>
      <c r="H272" s="6">
        <f t="shared" si="87"/>
        <v>301.392</v>
      </c>
      <c r="I272" s="1"/>
      <c r="J272" s="1"/>
      <c r="K272" s="1"/>
      <c r="L272" s="1"/>
      <c r="M272" s="1"/>
      <c r="N272" s="1"/>
      <c r="O272" s="1"/>
      <c r="P272" s="1"/>
      <c r="Q272" s="1"/>
      <c r="R272" s="1"/>
      <c r="S272" s="1"/>
      <c r="T272" s="23" t="str">
        <f t="shared" ca="1" si="86"/>
        <v>608 &amp; 1008</v>
      </c>
      <c r="U272" s="23">
        <f t="shared" ca="1" si="88"/>
        <v>608</v>
      </c>
      <c r="V272" s="23">
        <f t="shared" ca="1" si="88"/>
        <v>1008</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3">
      <c r="A273" s="81">
        <v>8</v>
      </c>
      <c r="B273" s="81"/>
      <c r="C273" s="51" t="s">
        <v>326</v>
      </c>
      <c r="D273" s="6" t="s">
        <v>332</v>
      </c>
      <c r="E273" s="6">
        <f>(26.5)*(10.764)</f>
        <v>285.24599999999998</v>
      </c>
      <c r="F273" s="6">
        <v>0</v>
      </c>
      <c r="G273" s="6">
        <v>0</v>
      </c>
      <c r="H273" s="6">
        <f t="shared" si="87"/>
        <v>285.24599999999998</v>
      </c>
      <c r="I273" s="1"/>
      <c r="J273" s="1"/>
      <c r="K273" s="1"/>
      <c r="L273" s="1"/>
      <c r="M273" s="1"/>
      <c r="N273" s="1"/>
      <c r="O273" s="1"/>
      <c r="P273" s="1"/>
      <c r="Q273" s="1"/>
      <c r="R273" s="1"/>
      <c r="S273" s="1"/>
      <c r="T273" s="23" t="e">
        <f ca="1">U273&amp;""&amp;" &amp; "&amp;""&amp;V273</f>
        <v>#REF!</v>
      </c>
      <c r="U273" s="23" t="e">
        <f ca="1">(SUMPRODUCT(MID(0&amp;(LEFT(A273,SUM(LEN(A273)-LEN(SUBSTITUTE(A273,{"0","1","2","3"},""))))), LARGE(INDEX(ISNUMBER(--MID((LEFT(A273,SUM(LEN(A273)-LEN(SUBSTITUTE(A273,{"0","1","2","3"},""))))), ROW(INDIRECT("1:"&amp;LEN((LEFT(A273,SUM(LEN(A273)-LEN(SUBSTITUTE(A273,{"0","1","2","3"},"")))))))), 1)) * ROW(INDIRECT("1:"&amp;LEN((LEFT(A273,SUM(LEN(A273)-LEN(SUBSTITUTE(A273,{"0","1","2","3"},"")))))))), 0), ROW(INDIRECT("1:"&amp;LEN((LEFT(A273,SUM(LEN(A273)-LEN(SUBSTITUTE(A273,{"0","1","2","3"},"")))))))))+1, 1) * 10^ROW(INDIRECT("1:"&amp;LEN((LEFT(A273,SUM(LEN(A273)-LEN(SUBSTITUTE(A273,{"0","1","2","3"},""))))))))/10))*100+1</f>
        <v>#REF!</v>
      </c>
      <c r="V273" s="23">
        <f ca="1">(SUMPRODUCT(MID(0&amp;(--TRIM(RIGHT(SUBSTITUTE(LEFT(A273,_xlfn.AGGREGATE(16,6,FIND({0,1,2,3,4,5,6,7,8,9},A273,ROW(INDIRECT("1:"&amp;LEN(A273)))),1))," ",REPT(" ",LEN(A273))),LEN(A273)))), LARGE(INDEX(ISNUMBER(--MID((--TRIM(RIGHT(SUBSTITUTE(LEFT(A273,_xlfn.AGGREGATE(16,6,FIND({0,1,2,3,4,5,6,7,8,9},A273,ROW(INDIRECT("1:"&amp;LEN(A273)))),1))," ",REPT(" ",LEN(A273))),LEN(A273)))), ROW(INDIRECT("1:"&amp;LEN((--TRIM(RIGHT(SUBSTITUTE(LEFT(A273,_xlfn.AGGREGATE(16,6,FIND({0,1,2,3,4,5,6,7,8,9},A273,ROW(INDIRECT("1:"&amp;LEN(A273)))),1))," ",REPT(" ",LEN(A273))),LEN(A273))))))), 1)) * ROW(INDIRECT("1:"&amp;LEN((--TRIM(RIGHT(SUBSTITUTE(LEFT(A273,_xlfn.AGGREGATE(16,6,FIND({0,1,2,3,4,5,6,7,8,9},A273,ROW(INDIRECT("1:"&amp;LEN(A273)))),1))," ",REPT(" ",LEN(A273))),LEN(A273))))))), 0), ROW(INDIRECT("1:"&amp;LEN((--TRIM(RIGHT(SUBSTITUTE(LEFT(A273,_xlfn.AGGREGATE(16,6,FIND({0,1,2,3,4,5,6,7,8,9},A273,ROW(INDIRECT("1:"&amp;LEN(A273)))),1))," ",REPT(" ",LEN(A273))),LEN(A273))))))))+1, 1) * 10^ROW(INDIRECT("1:"&amp;LEN((--TRIM(RIGHT(SUBSTITUTE(LEFT(A273,_xlfn.AGGREGATE(16,6,FIND({0,1,2,3,4,5,6,7,8,9},A273,ROW(INDIRECT("1:"&amp;LEN(A273)))),1))," ",REPT(" ",LEN(A273))),LEN(A273)))))))/10))*100+1</f>
        <v>801</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3">
      <c r="A274" s="81">
        <v>9</v>
      </c>
      <c r="B274" s="81"/>
      <c r="C274" s="51" t="s">
        <v>326</v>
      </c>
      <c r="D274" s="6" t="s">
        <v>332</v>
      </c>
      <c r="E274" s="6">
        <f>(31)*(10.764)</f>
        <v>333.68399999999997</v>
      </c>
      <c r="F274" s="6">
        <v>0</v>
      </c>
      <c r="G274" s="6">
        <v>0</v>
      </c>
      <c r="H274" s="6">
        <f>E274+F274+(IF(G274&lt;101,G274,IF(G274&lt;201,G274/2,IF(G274&lt;=301,G274/3,G274/4))))</f>
        <v>333.68399999999997</v>
      </c>
      <c r="I274" s="1"/>
      <c r="J274" s="1"/>
      <c r="K274" s="1"/>
      <c r="L274" s="1"/>
      <c r="M274" s="1"/>
      <c r="N274" s="1"/>
      <c r="O274" s="1"/>
      <c r="P274" s="1"/>
      <c r="Q274" s="1"/>
      <c r="R274" s="1"/>
      <c r="S274" s="1"/>
      <c r="T274" s="23" t="e">
        <f t="shared" ref="T274:T280" ca="1" si="89">U274&amp;""&amp;" &amp; "&amp;""&amp;V274</f>
        <v>#REF!</v>
      </c>
      <c r="U274" s="23" t="e">
        <f ca="1">U273+1</f>
        <v>#REF!</v>
      </c>
      <c r="V274" s="23">
        <f ca="1">V273+1</f>
        <v>802</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3">
      <c r="A275" s="81">
        <v>10</v>
      </c>
      <c r="B275" s="81"/>
      <c r="C275" s="51" t="s">
        <v>326</v>
      </c>
      <c r="D275" s="6" t="s">
        <v>332</v>
      </c>
      <c r="E275" s="6">
        <f>(20.88)*(10.764)</f>
        <v>224.75231999999997</v>
      </c>
      <c r="F275" s="6">
        <v>0</v>
      </c>
      <c r="G275" s="6">
        <v>0</v>
      </c>
      <c r="H275" s="6">
        <f t="shared" ref="H275:H281" si="90">E275+F275+(IF(G275&lt;101,G275,IF(G275&lt;201,G275/2,IF(G275&lt;=301,G275/3,G275/4))))</f>
        <v>224.75231999999997</v>
      </c>
      <c r="I275" s="1"/>
      <c r="J275" s="1"/>
      <c r="K275" s="1"/>
      <c r="L275" s="1"/>
      <c r="M275" s="1"/>
      <c r="N275" s="1"/>
      <c r="O275" s="1"/>
      <c r="P275" s="1"/>
      <c r="Q275" s="1"/>
      <c r="R275" s="1"/>
      <c r="S275" s="1"/>
      <c r="T275" s="23" t="e">
        <f t="shared" ca="1" si="89"/>
        <v>#REF!</v>
      </c>
      <c r="U275" s="23" t="e">
        <f t="shared" ref="U275:V275" ca="1" si="91">U274+1</f>
        <v>#REF!</v>
      </c>
      <c r="V275" s="23">
        <f t="shared" ca="1" si="91"/>
        <v>803</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3">
      <c r="A276" s="81">
        <v>11</v>
      </c>
      <c r="B276" s="81"/>
      <c r="C276" s="51" t="s">
        <v>326</v>
      </c>
      <c r="D276" s="6" t="s">
        <v>332</v>
      </c>
      <c r="E276" s="6">
        <f>(25.39)*(10.764)</f>
        <v>273.29795999999999</v>
      </c>
      <c r="F276" s="6">
        <v>0</v>
      </c>
      <c r="G276" s="6">
        <v>0</v>
      </c>
      <c r="H276" s="6">
        <f t="shared" si="90"/>
        <v>273.29795999999999</v>
      </c>
      <c r="I276" s="1"/>
      <c r="J276" s="1"/>
      <c r="K276" s="1"/>
      <c r="L276" s="1"/>
      <c r="M276" s="1"/>
      <c r="N276" s="1"/>
      <c r="O276" s="1"/>
      <c r="P276" s="1"/>
      <c r="Q276" s="1"/>
      <c r="R276" s="1"/>
      <c r="S276" s="1"/>
      <c r="T276" s="23" t="e">
        <f t="shared" ca="1" si="89"/>
        <v>#REF!</v>
      </c>
      <c r="U276" s="23" t="e">
        <f t="shared" ref="U276:V276" ca="1" si="92">U275+1</f>
        <v>#REF!</v>
      </c>
      <c r="V276" s="23">
        <f t="shared" ca="1" si="92"/>
        <v>804</v>
      </c>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3">
      <c r="A277" s="81">
        <v>12</v>
      </c>
      <c r="B277" s="81"/>
      <c r="C277" s="51" t="s">
        <v>326</v>
      </c>
      <c r="D277" s="6" t="s">
        <v>332</v>
      </c>
      <c r="E277" s="6">
        <f>(22.38)*(10.764)</f>
        <v>240.89831999999998</v>
      </c>
      <c r="F277" s="6">
        <v>0</v>
      </c>
      <c r="G277" s="6">
        <v>0</v>
      </c>
      <c r="H277" s="6">
        <f t="shared" si="90"/>
        <v>240.89831999999998</v>
      </c>
      <c r="I277" s="1"/>
      <c r="J277" s="1"/>
      <c r="K277" s="1"/>
      <c r="L277" s="1"/>
      <c r="M277" s="1"/>
      <c r="N277" s="1"/>
      <c r="O277" s="1"/>
      <c r="P277" s="1"/>
      <c r="Q277" s="1"/>
      <c r="R277" s="1"/>
      <c r="S277" s="1"/>
      <c r="T277" s="23" t="e">
        <f t="shared" ca="1" si="89"/>
        <v>#REF!</v>
      </c>
      <c r="U277" s="23" t="e">
        <f t="shared" ref="U277:V277" ca="1" si="93">U276+1</f>
        <v>#REF!</v>
      </c>
      <c r="V277" s="23">
        <f t="shared" ca="1" si="93"/>
        <v>805</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3">
      <c r="A278" s="81">
        <v>13</v>
      </c>
      <c r="B278" s="81"/>
      <c r="C278" s="51" t="s">
        <v>326</v>
      </c>
      <c r="D278" s="6" t="s">
        <v>332</v>
      </c>
      <c r="E278" s="6">
        <f>(25.75)*(10.764)</f>
        <v>277.173</v>
      </c>
      <c r="F278" s="6">
        <v>0</v>
      </c>
      <c r="G278" s="6">
        <v>0</v>
      </c>
      <c r="H278" s="6">
        <f t="shared" si="90"/>
        <v>277.173</v>
      </c>
      <c r="I278" s="1"/>
      <c r="J278" s="1"/>
      <c r="K278" s="1"/>
      <c r="L278" s="1"/>
      <c r="M278" s="1"/>
      <c r="N278" s="1"/>
      <c r="O278" s="1"/>
      <c r="P278" s="1"/>
      <c r="Q278" s="1"/>
      <c r="R278" s="1"/>
      <c r="S278" s="1"/>
      <c r="T278" s="23" t="e">
        <f t="shared" ca="1" si="89"/>
        <v>#REF!</v>
      </c>
      <c r="U278" s="23" t="e">
        <f t="shared" ref="U278:V278" ca="1" si="94">U277+1</f>
        <v>#REF!</v>
      </c>
      <c r="V278" s="23">
        <f t="shared" ca="1" si="94"/>
        <v>806</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3">
      <c r="A279" s="81">
        <v>14</v>
      </c>
      <c r="B279" s="81"/>
      <c r="C279" s="51" t="s">
        <v>326</v>
      </c>
      <c r="D279" s="6" t="s">
        <v>332</v>
      </c>
      <c r="E279" s="6">
        <f>(39.63)*(10.764)</f>
        <v>426.57731999999999</v>
      </c>
      <c r="F279" s="6">
        <v>0</v>
      </c>
      <c r="G279" s="6">
        <v>0</v>
      </c>
      <c r="H279" s="6">
        <f t="shared" si="90"/>
        <v>426.57731999999999</v>
      </c>
      <c r="I279" s="1"/>
      <c r="J279" s="1"/>
      <c r="K279" s="1"/>
      <c r="L279" s="1"/>
      <c r="M279" s="1"/>
      <c r="N279" s="1"/>
      <c r="O279" s="1"/>
      <c r="P279" s="1"/>
      <c r="Q279" s="1"/>
      <c r="R279" s="1"/>
      <c r="S279" s="1"/>
      <c r="T279" s="23" t="e">
        <f t="shared" ca="1" si="89"/>
        <v>#REF!</v>
      </c>
      <c r="U279" s="23" t="e">
        <f t="shared" ref="U279:V279" ca="1" si="95">U278+1</f>
        <v>#REF!</v>
      </c>
      <c r="V279" s="23">
        <f t="shared" ca="1" si="95"/>
        <v>807</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3">
      <c r="A280" s="81">
        <v>15</v>
      </c>
      <c r="B280" s="81"/>
      <c r="C280" s="51" t="s">
        <v>326</v>
      </c>
      <c r="D280" s="6" t="s">
        <v>332</v>
      </c>
      <c r="E280" s="6">
        <f>(22.83)*(10.764)</f>
        <v>245.74211999999997</v>
      </c>
      <c r="F280" s="6">
        <v>0</v>
      </c>
      <c r="G280" s="6">
        <v>0</v>
      </c>
      <c r="H280" s="6">
        <f t="shared" si="90"/>
        <v>245.74211999999997</v>
      </c>
      <c r="I280" s="1"/>
      <c r="J280" s="1"/>
      <c r="K280" s="1"/>
      <c r="L280" s="1"/>
      <c r="M280" s="1"/>
      <c r="N280" s="1"/>
      <c r="O280" s="1"/>
      <c r="P280" s="1"/>
      <c r="Q280" s="1"/>
      <c r="R280" s="1"/>
      <c r="S280" s="1"/>
      <c r="T280" s="23" t="e">
        <f t="shared" ca="1" si="89"/>
        <v>#REF!</v>
      </c>
      <c r="U280" s="23" t="e">
        <f t="shared" ref="U280:V280" ca="1" si="96">U279+1</f>
        <v>#REF!</v>
      </c>
      <c r="V280" s="23">
        <f t="shared" ca="1" si="96"/>
        <v>808</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3">
      <c r="A281" s="81">
        <v>16</v>
      </c>
      <c r="B281" s="81"/>
      <c r="C281" s="51" t="s">
        <v>326</v>
      </c>
      <c r="D281" s="6" t="s">
        <v>332</v>
      </c>
      <c r="E281" s="6">
        <f>(33.83)*(10.764)</f>
        <v>364.14611999999994</v>
      </c>
      <c r="F281" s="6">
        <v>0</v>
      </c>
      <c r="G281" s="6">
        <v>0</v>
      </c>
      <c r="H281" s="6">
        <f t="shared" si="90"/>
        <v>364.14611999999994</v>
      </c>
      <c r="I281" s="1"/>
      <c r="J281" s="1"/>
      <c r="K281" s="1"/>
      <c r="L281" s="1"/>
      <c r="M281" s="1"/>
      <c r="N281" s="1"/>
      <c r="O281" s="1"/>
      <c r="P281" s="1"/>
      <c r="Q281" s="1"/>
      <c r="R281" s="1"/>
      <c r="S281" s="1"/>
      <c r="T281" s="23" t="str">
        <f ca="1">U281&amp;""&amp;" &amp; "&amp;""&amp;V281</f>
        <v>101 &amp; 1601</v>
      </c>
      <c r="U281" s="23">
        <f ca="1">(SUMPRODUCT(MID(0&amp;(LEFT(A281,SUM(LEN(A281)-LEN(SUBSTITUTE(A281,{"0","1","2","3"},""))))), LARGE(INDEX(ISNUMBER(--MID((LEFT(A281,SUM(LEN(A281)-LEN(SUBSTITUTE(A281,{"0","1","2","3"},""))))), ROW(INDIRECT("1:"&amp;LEN((LEFT(A281,SUM(LEN(A281)-LEN(SUBSTITUTE(A281,{"0","1","2","3"},"")))))))), 1)) * ROW(INDIRECT("1:"&amp;LEN((LEFT(A281,SUM(LEN(A281)-LEN(SUBSTITUTE(A281,{"0","1","2","3"},"")))))))), 0), ROW(INDIRECT("1:"&amp;LEN((LEFT(A281,SUM(LEN(A281)-LEN(SUBSTITUTE(A281,{"0","1","2","3"},"")))))))))+1, 1) * 10^ROW(INDIRECT("1:"&amp;LEN((LEFT(A281,SUM(LEN(A281)-LEN(SUBSTITUTE(A281,{"0","1","2","3"},""))))))))/10))*100+1</f>
        <v>101</v>
      </c>
      <c r="V281" s="23">
        <f ca="1">(SUMPRODUCT(MID(0&amp;(--TRIM(RIGHT(SUBSTITUTE(LEFT(A281,_xlfn.AGGREGATE(16,6,FIND({0,1,2,3,4,5,6,7,8,9},A281,ROW(INDIRECT("1:"&amp;LEN(A281)))),1))," ",REPT(" ",LEN(A281))),LEN(A281)))), LARGE(INDEX(ISNUMBER(--MID((--TRIM(RIGHT(SUBSTITUTE(LEFT(A281,_xlfn.AGGREGATE(16,6,FIND({0,1,2,3,4,5,6,7,8,9},A281,ROW(INDIRECT("1:"&amp;LEN(A281)))),1))," ",REPT(" ",LEN(A281))),LEN(A281)))), ROW(INDIRECT("1:"&amp;LEN((--TRIM(RIGHT(SUBSTITUTE(LEFT(A281,_xlfn.AGGREGATE(16,6,FIND({0,1,2,3,4,5,6,7,8,9},A281,ROW(INDIRECT("1:"&amp;LEN(A281)))),1))," ",REPT(" ",LEN(A281))),LEN(A281))))))), 1)) * ROW(INDIRECT("1:"&amp;LEN((--TRIM(RIGHT(SUBSTITUTE(LEFT(A281,_xlfn.AGGREGATE(16,6,FIND({0,1,2,3,4,5,6,7,8,9},A281,ROW(INDIRECT("1:"&amp;LEN(A281)))),1))," ",REPT(" ",LEN(A281))),LEN(A281))))))), 0), ROW(INDIRECT("1:"&amp;LEN((--TRIM(RIGHT(SUBSTITUTE(LEFT(A281,_xlfn.AGGREGATE(16,6,FIND({0,1,2,3,4,5,6,7,8,9},A281,ROW(INDIRECT("1:"&amp;LEN(A281)))),1))," ",REPT(" ",LEN(A281))),LEN(A281))))))))+1, 1) * 10^ROW(INDIRECT("1:"&amp;LEN((--TRIM(RIGHT(SUBSTITUTE(LEFT(A281,_xlfn.AGGREGATE(16,6,FIND({0,1,2,3,4,5,6,7,8,9},A281,ROW(INDIRECT("1:"&amp;LEN(A281)))),1))," ",REPT(" ",LEN(A281))),LEN(A281)))))))/10))*100+1</f>
        <v>1601</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3">
      <c r="A282" s="81">
        <v>17</v>
      </c>
      <c r="B282" s="81"/>
      <c r="C282" s="51" t="s">
        <v>326</v>
      </c>
      <c r="D282" s="6" t="s">
        <v>332</v>
      </c>
      <c r="E282" s="6">
        <f>(28.94)*(10.764)</f>
        <v>311.51015999999998</v>
      </c>
      <c r="F282" s="6">
        <v>0</v>
      </c>
      <c r="G282" s="6">
        <v>0</v>
      </c>
      <c r="H282" s="6">
        <f>E282+F282+(IF(G282&lt;101,G282,IF(G282&lt;201,G282/2,IF(G282&lt;=301,G282/3,G282/4))))</f>
        <v>311.51015999999998</v>
      </c>
      <c r="I282" s="1"/>
      <c r="J282" s="1"/>
      <c r="K282" s="1"/>
      <c r="L282" s="1"/>
      <c r="M282" s="1"/>
      <c r="N282" s="1"/>
      <c r="O282" s="1"/>
      <c r="P282" s="1"/>
      <c r="Q282" s="1"/>
      <c r="R282" s="1"/>
      <c r="S282" s="1"/>
      <c r="T282" s="23" t="str">
        <f t="shared" ref="T282:T287" ca="1" si="97">U282&amp;""&amp;" &amp; "&amp;""&amp;V282</f>
        <v>102 &amp; 1602</v>
      </c>
      <c r="U282" s="23">
        <f ca="1">U281+1</f>
        <v>102</v>
      </c>
      <c r="V282" s="23">
        <f ca="1">V281+1</f>
        <v>1602</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3">
      <c r="A283" s="81">
        <v>18</v>
      </c>
      <c r="B283" s="81"/>
      <c r="C283" s="51" t="s">
        <v>326</v>
      </c>
      <c r="D283" s="6" t="s">
        <v>332</v>
      </c>
      <c r="E283" s="6">
        <f>(30.57)*(10.764)</f>
        <v>329.05547999999999</v>
      </c>
      <c r="F283" s="6">
        <v>0</v>
      </c>
      <c r="G283" s="6">
        <v>0</v>
      </c>
      <c r="H283" s="6">
        <f t="shared" ref="H283:H286" si="98">E283+F283+(IF(G283&lt;101,G283,IF(G283&lt;201,G283/2,IF(G283&lt;=301,G283/3,G283/4))))</f>
        <v>329.05547999999999</v>
      </c>
      <c r="I283" s="1"/>
      <c r="J283" s="1"/>
      <c r="K283" s="1"/>
      <c r="L283" s="1"/>
      <c r="M283" s="1"/>
      <c r="N283" s="1"/>
      <c r="O283" s="1"/>
      <c r="P283" s="1"/>
      <c r="Q283" s="1"/>
      <c r="R283" s="1"/>
      <c r="S283" s="1"/>
      <c r="T283" s="23" t="str">
        <f t="shared" ca="1" si="97"/>
        <v>103 &amp; 1603</v>
      </c>
      <c r="U283" s="23">
        <f t="shared" ref="U283:V283" ca="1" si="99">U282+1</f>
        <v>103</v>
      </c>
      <c r="V283" s="23">
        <f t="shared" ca="1" si="99"/>
        <v>1603</v>
      </c>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3">
      <c r="A284" s="81">
        <v>19</v>
      </c>
      <c r="B284" s="81"/>
      <c r="C284" s="51" t="s">
        <v>326</v>
      </c>
      <c r="D284" s="6" t="s">
        <v>332</v>
      </c>
      <c r="E284" s="6">
        <f>(28.95)*(10.764)</f>
        <v>311.61779999999999</v>
      </c>
      <c r="F284" s="6">
        <v>0</v>
      </c>
      <c r="G284" s="6">
        <v>0</v>
      </c>
      <c r="H284" s="6">
        <f t="shared" si="98"/>
        <v>311.61779999999999</v>
      </c>
      <c r="I284" s="1"/>
      <c r="J284" s="1"/>
      <c r="K284" s="1"/>
      <c r="L284" s="1"/>
      <c r="M284" s="1"/>
      <c r="N284" s="1"/>
      <c r="O284" s="1"/>
      <c r="P284" s="1"/>
      <c r="Q284" s="1"/>
      <c r="R284" s="1"/>
      <c r="S284" s="1"/>
      <c r="T284" s="23" t="str">
        <f t="shared" ca="1" si="97"/>
        <v>104 &amp; 1604</v>
      </c>
      <c r="U284" s="23">
        <f t="shared" ref="U284:V284" ca="1" si="100">U283+1</f>
        <v>104</v>
      </c>
      <c r="V284" s="23">
        <f t="shared" ca="1" si="100"/>
        <v>1604</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3">
      <c r="A285" s="81">
        <v>20</v>
      </c>
      <c r="B285" s="81"/>
      <c r="C285" s="51" t="s">
        <v>326</v>
      </c>
      <c r="D285" s="6" t="s">
        <v>332</v>
      </c>
      <c r="E285" s="6">
        <f>(32.61)*(10.764)</f>
        <v>351.01403999999997</v>
      </c>
      <c r="F285" s="6">
        <v>0</v>
      </c>
      <c r="G285" s="6">
        <v>0</v>
      </c>
      <c r="H285" s="6">
        <f t="shared" si="98"/>
        <v>351.01403999999997</v>
      </c>
      <c r="I285" s="1"/>
      <c r="J285" s="1"/>
      <c r="K285" s="1"/>
      <c r="L285" s="1"/>
      <c r="M285" s="1"/>
      <c r="N285" s="1"/>
      <c r="O285" s="1"/>
      <c r="P285" s="1"/>
      <c r="Q285" s="1"/>
      <c r="R285" s="1"/>
      <c r="S285" s="1"/>
      <c r="T285" s="23" t="str">
        <f t="shared" ca="1" si="97"/>
        <v>105 &amp; 1605</v>
      </c>
      <c r="U285" s="23">
        <f t="shared" ref="U285:V285" ca="1" si="101">U284+1</f>
        <v>105</v>
      </c>
      <c r="V285" s="23">
        <f t="shared" ca="1" si="101"/>
        <v>1605</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3">
      <c r="A286" s="81">
        <v>21</v>
      </c>
      <c r="B286" s="81"/>
      <c r="C286" s="51" t="s">
        <v>326</v>
      </c>
      <c r="D286" s="6" t="s">
        <v>332</v>
      </c>
      <c r="E286" s="6">
        <f>(21.31)*(10.764)</f>
        <v>229.38083999999998</v>
      </c>
      <c r="F286" s="6">
        <v>0</v>
      </c>
      <c r="G286" s="6">
        <v>0</v>
      </c>
      <c r="H286" s="6">
        <f t="shared" si="98"/>
        <v>229.38083999999998</v>
      </c>
      <c r="I286" s="1"/>
      <c r="J286" s="1"/>
      <c r="K286" s="1"/>
      <c r="L286" s="1"/>
      <c r="M286" s="1"/>
      <c r="N286" s="1"/>
      <c r="O286" s="1"/>
      <c r="P286" s="1"/>
      <c r="Q286" s="1"/>
      <c r="R286" s="1"/>
      <c r="S286" s="1"/>
      <c r="T286" s="23" t="str">
        <f t="shared" ca="1" si="97"/>
        <v>106 &amp; 1606</v>
      </c>
      <c r="U286" s="23">
        <f t="shared" ref="U286:V286" ca="1" si="102">U285+1</f>
        <v>106</v>
      </c>
      <c r="V286" s="23">
        <f t="shared" ca="1" si="102"/>
        <v>1606</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3">
      <c r="A287" s="81">
        <v>22</v>
      </c>
      <c r="B287" s="81"/>
      <c r="C287" s="51" t="s">
        <v>326</v>
      </c>
      <c r="D287" s="82" t="s">
        <v>334</v>
      </c>
      <c r="E287" s="83"/>
      <c r="F287" s="83"/>
      <c r="G287" s="83"/>
      <c r="H287" s="84"/>
      <c r="I287" s="1"/>
      <c r="J287" s="1"/>
      <c r="K287" s="1"/>
      <c r="L287" s="1"/>
      <c r="M287" s="1"/>
      <c r="N287" s="1"/>
      <c r="O287" s="1"/>
      <c r="P287" s="1"/>
      <c r="Q287" s="1"/>
      <c r="R287" s="1"/>
      <c r="S287" s="1"/>
      <c r="T287" s="23" t="str">
        <f t="shared" ca="1" si="97"/>
        <v>107 &amp; 1607</v>
      </c>
      <c r="U287" s="23">
        <f t="shared" ref="U287:V287" ca="1" si="103">U286+1</f>
        <v>107</v>
      </c>
      <c r="V287" s="23">
        <f t="shared" ca="1" si="103"/>
        <v>1607</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ht="21" x14ac:dyDescent="0.3">
      <c r="A288" s="81">
        <v>23</v>
      </c>
      <c r="B288" s="81"/>
      <c r="C288" s="51" t="s">
        <v>326</v>
      </c>
      <c r="D288" s="85"/>
      <c r="E288" s="86"/>
      <c r="F288" s="86"/>
      <c r="G288" s="86"/>
      <c r="H288" s="87"/>
    </row>
    <row r="289" spans="1:8" ht="21" x14ac:dyDescent="0.3">
      <c r="A289" s="108" t="s">
        <v>68</v>
      </c>
      <c r="B289" s="108"/>
      <c r="C289" s="108"/>
      <c r="D289" s="108"/>
      <c r="E289" s="108"/>
      <c r="F289" s="108"/>
      <c r="G289" s="108"/>
      <c r="H289" s="108"/>
    </row>
    <row r="290" spans="1:8" ht="21" x14ac:dyDescent="0.3">
      <c r="A290" s="2" t="s">
        <v>230</v>
      </c>
      <c r="B290" s="121" t="s">
        <v>366</v>
      </c>
      <c r="C290" s="133"/>
      <c r="D290" s="133"/>
      <c r="E290" s="133"/>
      <c r="F290" s="133"/>
      <c r="G290" s="133"/>
      <c r="H290" s="122"/>
    </row>
    <row r="291" spans="1:8" ht="21" x14ac:dyDescent="0.3">
      <c r="A291" s="2" t="s">
        <v>230</v>
      </c>
      <c r="B291" s="121" t="s">
        <v>231</v>
      </c>
      <c r="C291" s="133"/>
      <c r="D291" s="133"/>
      <c r="E291" s="133"/>
      <c r="F291" s="133"/>
      <c r="G291" s="133"/>
      <c r="H291" s="122"/>
    </row>
    <row r="292" spans="1:8" ht="21" x14ac:dyDescent="0.3">
      <c r="A292" s="2" t="s">
        <v>230</v>
      </c>
      <c r="B292" s="121" t="s">
        <v>358</v>
      </c>
      <c r="C292" s="133"/>
      <c r="D292" s="133"/>
      <c r="E292" s="133"/>
      <c r="F292" s="133"/>
      <c r="G292" s="133"/>
      <c r="H292" s="122"/>
    </row>
    <row r="293" spans="1:8" ht="21" x14ac:dyDescent="0.3">
      <c r="A293" s="2" t="s">
        <v>230</v>
      </c>
      <c r="B293" s="121" t="s">
        <v>232</v>
      </c>
      <c r="C293" s="133"/>
      <c r="D293" s="133"/>
      <c r="E293" s="133"/>
      <c r="F293" s="133"/>
      <c r="G293" s="133"/>
      <c r="H293" s="122"/>
    </row>
    <row r="294" spans="1:8" ht="21" x14ac:dyDescent="0.3">
      <c r="A294" s="2" t="s">
        <v>230</v>
      </c>
      <c r="B294" s="121" t="s">
        <v>233</v>
      </c>
      <c r="C294" s="133"/>
      <c r="D294" s="133"/>
      <c r="E294" s="133"/>
      <c r="F294" s="133"/>
      <c r="G294" s="133"/>
      <c r="H294" s="122"/>
    </row>
    <row r="295" spans="1:8" ht="21" x14ac:dyDescent="0.3">
      <c r="A295" s="2" t="s">
        <v>230</v>
      </c>
      <c r="B295" s="121" t="s">
        <v>343</v>
      </c>
      <c r="C295" s="133"/>
      <c r="D295" s="133"/>
      <c r="E295" s="133"/>
      <c r="F295" s="133"/>
      <c r="G295" s="133"/>
      <c r="H295" s="122"/>
    </row>
    <row r="296" spans="1:8" ht="21" x14ac:dyDescent="0.3">
      <c r="A296" s="2" t="s">
        <v>230</v>
      </c>
      <c r="B296" s="121" t="s">
        <v>342</v>
      </c>
      <c r="C296" s="133"/>
      <c r="D296" s="133"/>
      <c r="E296" s="133"/>
      <c r="F296" s="133"/>
      <c r="G296" s="133"/>
      <c r="H296" s="122"/>
    </row>
    <row r="297" spans="1:8" ht="21" x14ac:dyDescent="0.3">
      <c r="A297" s="132" t="s">
        <v>74</v>
      </c>
      <c r="B297" s="132"/>
      <c r="C297" s="132"/>
      <c r="D297" s="132"/>
      <c r="E297" s="132"/>
      <c r="F297" s="132"/>
      <c r="G297" s="132"/>
      <c r="H297" s="132"/>
    </row>
    <row r="298" spans="1:8" ht="21" x14ac:dyDescent="0.3">
      <c r="A298" s="102" t="s">
        <v>69</v>
      </c>
      <c r="B298" s="102"/>
      <c r="C298" s="102"/>
      <c r="D298" s="121" t="str">
        <f>C3</f>
        <v>Runwal Shopping Arcade 2 - R Galleria 2</v>
      </c>
      <c r="E298" s="133"/>
      <c r="F298" s="133"/>
      <c r="G298" s="133"/>
      <c r="H298" s="122"/>
    </row>
    <row r="299" spans="1:8" ht="65.25" customHeight="1" x14ac:dyDescent="0.3">
      <c r="A299" s="102" t="s">
        <v>103</v>
      </c>
      <c r="B299" s="102"/>
      <c r="C299" s="102"/>
      <c r="D299" s="121" t="str">
        <f>C11</f>
        <v>Runwal Shopping Arcade 2 - R Galleria 2, Survey No.93(P), near Runwal My City, Runwal My City Road, Usarghar Gaon, Sandap, Datiwali East, Kalyan, Thane - 400612.</v>
      </c>
      <c r="E299" s="133"/>
      <c r="F299" s="133"/>
      <c r="G299" s="133"/>
      <c r="H299" s="122"/>
    </row>
    <row r="300" spans="1:8" ht="21" x14ac:dyDescent="0.3">
      <c r="A300" s="143" t="s">
        <v>109</v>
      </c>
      <c r="B300" s="143"/>
      <c r="C300" s="143"/>
      <c r="D300" s="121" t="str">
        <f>G3</f>
        <v>12/09/2025 @ 04:49PM</v>
      </c>
      <c r="E300" s="133"/>
      <c r="F300" s="133"/>
      <c r="G300" s="133"/>
      <c r="H300" s="122"/>
    </row>
    <row r="301" spans="1:8" ht="21" x14ac:dyDescent="0.3">
      <c r="A301" s="10"/>
      <c r="B301" s="11"/>
      <c r="C301" s="11"/>
      <c r="D301" s="11"/>
      <c r="E301" s="11"/>
      <c r="F301" s="11"/>
      <c r="G301" s="11"/>
      <c r="H301" s="7"/>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2"/>
      <c r="B326" s="13"/>
      <c r="C326" s="13"/>
      <c r="D326" s="13"/>
      <c r="E326" s="13"/>
      <c r="F326" s="13"/>
      <c r="G326" s="13"/>
      <c r="H326" s="8"/>
    </row>
    <row r="327" spans="1:8" ht="21" x14ac:dyDescent="0.3">
      <c r="A327" s="12"/>
      <c r="B327" s="13"/>
      <c r="C327" s="13"/>
      <c r="D327" s="13"/>
      <c r="E327" s="13"/>
      <c r="F327" s="13"/>
      <c r="G327" s="13"/>
      <c r="H327" s="8"/>
    </row>
    <row r="328" spans="1:8" ht="21" x14ac:dyDescent="0.3">
      <c r="A328" s="12"/>
      <c r="B328" s="13"/>
      <c r="C328" s="13"/>
      <c r="D328" s="13"/>
      <c r="E328" s="13"/>
      <c r="F328" s="13"/>
      <c r="G328" s="13"/>
      <c r="H328" s="8"/>
    </row>
    <row r="329" spans="1:8" ht="21" x14ac:dyDescent="0.3">
      <c r="A329" s="12"/>
      <c r="B329" s="13"/>
      <c r="C329" s="13"/>
      <c r="D329" s="13"/>
      <c r="E329" s="13"/>
      <c r="F329" s="13"/>
      <c r="G329" s="13"/>
      <c r="H329" s="8"/>
    </row>
    <row r="330" spans="1:8" ht="21" x14ac:dyDescent="0.3">
      <c r="A330" s="12"/>
      <c r="B330" s="13"/>
      <c r="C330" s="13"/>
      <c r="D330" s="13"/>
      <c r="E330" s="13"/>
      <c r="F330" s="13"/>
      <c r="G330" s="13"/>
      <c r="H330" s="8"/>
    </row>
    <row r="331" spans="1:8" ht="21" x14ac:dyDescent="0.3">
      <c r="A331" s="12"/>
      <c r="B331" s="13"/>
      <c r="C331" s="13"/>
      <c r="D331" s="13"/>
      <c r="E331" s="13"/>
      <c r="F331" s="13"/>
      <c r="G331" s="13"/>
      <c r="H331" s="8"/>
    </row>
    <row r="332" spans="1:8" ht="21" x14ac:dyDescent="0.3">
      <c r="A332" s="12"/>
      <c r="B332" s="13"/>
      <c r="C332" s="13"/>
      <c r="D332" s="13"/>
      <c r="E332" s="13"/>
      <c r="F332" s="13"/>
      <c r="G332" s="13"/>
      <c r="H332" s="8"/>
    </row>
    <row r="333" spans="1:8" ht="21" x14ac:dyDescent="0.3">
      <c r="A333" s="12"/>
      <c r="B333" s="13"/>
      <c r="C333" s="13"/>
      <c r="D333" s="13"/>
      <c r="E333" s="13"/>
      <c r="F333" s="13"/>
      <c r="G333" s="13"/>
      <c r="H333" s="8"/>
    </row>
    <row r="334" spans="1:8" ht="21" x14ac:dyDescent="0.3">
      <c r="A334" s="12"/>
      <c r="B334" s="13"/>
      <c r="C334" s="13"/>
      <c r="D334" s="13"/>
      <c r="E334" s="13"/>
      <c r="F334" s="13"/>
      <c r="G334" s="13"/>
      <c r="H334" s="8"/>
    </row>
    <row r="335" spans="1:8" ht="21" x14ac:dyDescent="0.3">
      <c r="A335" s="12"/>
      <c r="B335" s="13"/>
      <c r="C335" s="13"/>
      <c r="D335" s="13"/>
      <c r="E335" s="13"/>
      <c r="F335" s="13"/>
      <c r="G335" s="13"/>
      <c r="H335" s="8"/>
    </row>
    <row r="336" spans="1:8" ht="21" x14ac:dyDescent="0.3">
      <c r="A336" s="12"/>
      <c r="B336" s="13"/>
      <c r="C336" s="13"/>
      <c r="D336" s="13"/>
      <c r="E336" s="13"/>
      <c r="F336" s="13"/>
      <c r="G336" s="13"/>
      <c r="H336" s="8"/>
    </row>
    <row r="337" spans="1:8" ht="21" x14ac:dyDescent="0.3">
      <c r="A337" s="14"/>
      <c r="B337" s="15"/>
      <c r="C337" s="15"/>
      <c r="D337" s="15"/>
      <c r="E337" s="15"/>
      <c r="F337" s="15"/>
      <c r="G337" s="15"/>
      <c r="H337" s="9"/>
    </row>
    <row r="338" spans="1:8" ht="21" x14ac:dyDescent="0.3">
      <c r="A338" s="108" t="s">
        <v>155</v>
      </c>
      <c r="B338" s="108"/>
      <c r="C338" s="108"/>
      <c r="D338" s="108"/>
      <c r="E338" s="108"/>
      <c r="F338" s="108"/>
      <c r="G338" s="108"/>
      <c r="H338" s="108"/>
    </row>
    <row r="339" spans="1:8" ht="21" x14ac:dyDescent="0.3">
      <c r="A339" s="10"/>
      <c r="B339" s="11"/>
      <c r="C339" s="11"/>
      <c r="D339" s="11"/>
      <c r="E339" s="11"/>
      <c r="F339" s="11"/>
      <c r="G339" s="11"/>
      <c r="H339" s="7"/>
    </row>
    <row r="340" spans="1:8" ht="21" x14ac:dyDescent="0.3">
      <c r="A340" s="12"/>
      <c r="B340" s="13"/>
      <c r="C340" s="13"/>
      <c r="D340" s="13"/>
      <c r="E340" s="13"/>
      <c r="F340" s="13"/>
      <c r="G340" s="13"/>
      <c r="H340" s="8"/>
    </row>
    <row r="341" spans="1:8" ht="21" x14ac:dyDescent="0.3">
      <c r="A341" s="12"/>
      <c r="B341" s="13"/>
      <c r="C341" s="13"/>
      <c r="D341" s="13"/>
      <c r="E341" s="13"/>
      <c r="F341" s="13"/>
      <c r="G341" s="13"/>
      <c r="H341" s="8"/>
    </row>
    <row r="342" spans="1:8" ht="21" x14ac:dyDescent="0.3">
      <c r="A342" s="12"/>
      <c r="B342" s="13"/>
      <c r="C342" s="13"/>
      <c r="D342" s="13"/>
      <c r="E342" s="13"/>
      <c r="F342" s="13"/>
      <c r="G342" s="13"/>
      <c r="H342" s="8"/>
    </row>
    <row r="343" spans="1:8" ht="21" x14ac:dyDescent="0.3">
      <c r="A343" s="12"/>
      <c r="B343" s="13"/>
      <c r="C343" s="13"/>
      <c r="D343" s="13"/>
      <c r="E343" s="13"/>
      <c r="F343" s="13"/>
      <c r="G343" s="13"/>
      <c r="H343" s="8"/>
    </row>
    <row r="344" spans="1:8" ht="21" x14ac:dyDescent="0.3">
      <c r="A344" s="12"/>
      <c r="B344" s="13"/>
      <c r="C344" s="13"/>
      <c r="D344" s="13"/>
      <c r="E344" s="13"/>
      <c r="F344" s="13"/>
      <c r="G344" s="13"/>
      <c r="H344" s="8"/>
    </row>
    <row r="345" spans="1:8" ht="21" x14ac:dyDescent="0.3">
      <c r="A345" s="12"/>
      <c r="B345" s="13"/>
      <c r="C345" s="13"/>
      <c r="D345" s="13"/>
      <c r="E345" s="13"/>
      <c r="F345" s="13"/>
      <c r="G345" s="13"/>
      <c r="H345" s="8"/>
    </row>
    <row r="346" spans="1:8" ht="21" x14ac:dyDescent="0.3">
      <c r="A346" s="12"/>
      <c r="B346" s="13"/>
      <c r="C346" s="13"/>
      <c r="D346" s="13"/>
      <c r="E346" s="13"/>
      <c r="F346" s="13"/>
      <c r="G346" s="13"/>
      <c r="H346" s="8"/>
    </row>
    <row r="347" spans="1:8" ht="21" x14ac:dyDescent="0.3">
      <c r="A347" s="12"/>
      <c r="B347" s="13"/>
      <c r="C347" s="13"/>
      <c r="D347" s="13"/>
      <c r="E347" s="13"/>
      <c r="F347" s="13"/>
      <c r="G347" s="13"/>
      <c r="H347" s="8"/>
    </row>
    <row r="348" spans="1:8" ht="21" x14ac:dyDescent="0.3">
      <c r="A348" s="12"/>
      <c r="B348" s="13"/>
      <c r="C348" s="13"/>
      <c r="D348" s="13"/>
      <c r="E348" s="13"/>
      <c r="F348" s="13"/>
      <c r="G348" s="13"/>
      <c r="H348" s="8"/>
    </row>
    <row r="349" spans="1:8" ht="21" x14ac:dyDescent="0.3">
      <c r="A349" s="12"/>
      <c r="B349" s="13"/>
      <c r="C349" s="13"/>
      <c r="D349" s="13"/>
      <c r="E349" s="13"/>
      <c r="F349" s="13"/>
      <c r="G349" s="13"/>
      <c r="H349" s="8"/>
    </row>
    <row r="350" spans="1:8" ht="21" x14ac:dyDescent="0.3">
      <c r="A350" s="12"/>
      <c r="B350" s="13"/>
      <c r="C350" s="13"/>
      <c r="D350" s="13"/>
      <c r="E350" s="13"/>
      <c r="F350" s="13"/>
      <c r="G350" s="13"/>
      <c r="H350" s="8"/>
    </row>
    <row r="351" spans="1:8" ht="21" x14ac:dyDescent="0.3">
      <c r="A351" s="12"/>
      <c r="B351" s="13"/>
      <c r="C351" s="13"/>
      <c r="D351" s="13"/>
      <c r="E351" s="13"/>
      <c r="F351" s="13"/>
      <c r="G351" s="13"/>
      <c r="H351" s="8"/>
    </row>
    <row r="352" spans="1:8" ht="21" x14ac:dyDescent="0.3">
      <c r="A352" s="12"/>
      <c r="B352" s="13"/>
      <c r="C352" s="13"/>
      <c r="D352" s="13"/>
      <c r="E352" s="13"/>
      <c r="F352" s="13"/>
      <c r="G352" s="13"/>
      <c r="H352" s="8"/>
    </row>
    <row r="353" spans="1:8" ht="21" x14ac:dyDescent="0.3">
      <c r="A353" s="12"/>
      <c r="B353" s="13"/>
      <c r="C353" s="13"/>
      <c r="D353" s="13"/>
      <c r="E353" s="13"/>
      <c r="F353" s="13"/>
      <c r="G353" s="13"/>
      <c r="H353" s="8"/>
    </row>
    <row r="354" spans="1:8" ht="21" x14ac:dyDescent="0.3">
      <c r="A354" s="12"/>
      <c r="B354" s="13"/>
      <c r="C354" s="13"/>
      <c r="D354" s="13"/>
      <c r="E354" s="13"/>
      <c r="F354" s="13"/>
      <c r="G354" s="13"/>
      <c r="H354" s="8"/>
    </row>
    <row r="355" spans="1:8" ht="21" x14ac:dyDescent="0.3">
      <c r="A355" s="12"/>
      <c r="B355" s="13"/>
      <c r="C355" s="13"/>
      <c r="D355" s="13"/>
      <c r="E355" s="13"/>
      <c r="F355" s="13"/>
      <c r="G355" s="13"/>
      <c r="H355" s="8"/>
    </row>
    <row r="356" spans="1:8" ht="21" x14ac:dyDescent="0.3">
      <c r="A356" s="12"/>
      <c r="B356" s="13"/>
      <c r="C356" s="13"/>
      <c r="D356" s="13"/>
      <c r="E356" s="13"/>
      <c r="F356" s="13"/>
      <c r="G356" s="13"/>
      <c r="H356" s="8"/>
    </row>
    <row r="357" spans="1:8" ht="21" x14ac:dyDescent="0.3">
      <c r="A357" s="12"/>
      <c r="B357" s="13"/>
      <c r="C357" s="13"/>
      <c r="D357" s="13"/>
      <c r="E357" s="13"/>
      <c r="F357" s="13"/>
      <c r="G357" s="13"/>
      <c r="H357" s="8"/>
    </row>
    <row r="358" spans="1:8" ht="21" x14ac:dyDescent="0.3">
      <c r="A358" s="12"/>
      <c r="B358" s="13"/>
      <c r="C358" s="13"/>
      <c r="D358" s="13"/>
      <c r="E358" s="13"/>
      <c r="F358" s="13"/>
      <c r="G358" s="13"/>
      <c r="H358" s="8"/>
    </row>
    <row r="359" spans="1:8" ht="21" x14ac:dyDescent="0.3">
      <c r="A359" s="12"/>
      <c r="B359" s="13"/>
      <c r="C359" s="13"/>
      <c r="D359" s="13"/>
      <c r="E359" s="13"/>
      <c r="F359" s="13"/>
      <c r="G359" s="13"/>
      <c r="H359" s="8"/>
    </row>
    <row r="360" spans="1:8" ht="21" x14ac:dyDescent="0.3">
      <c r="A360" s="12"/>
      <c r="B360" s="13"/>
      <c r="C360" s="13"/>
      <c r="D360" s="13"/>
      <c r="E360" s="13"/>
      <c r="F360" s="13"/>
      <c r="G360" s="13"/>
      <c r="H360" s="8"/>
    </row>
    <row r="361" spans="1:8" ht="21" x14ac:dyDescent="0.3">
      <c r="A361" s="12"/>
      <c r="B361" s="13"/>
      <c r="C361" s="13"/>
      <c r="D361" s="13"/>
      <c r="E361" s="13"/>
      <c r="F361" s="13"/>
      <c r="G361" s="13"/>
      <c r="H361" s="8"/>
    </row>
    <row r="362" spans="1:8" ht="21" x14ac:dyDescent="0.3">
      <c r="A362" s="12"/>
      <c r="B362" s="13"/>
      <c r="C362" s="13"/>
      <c r="D362" s="13"/>
      <c r="E362" s="13"/>
      <c r="F362" s="13"/>
      <c r="G362" s="13"/>
      <c r="H362" s="8"/>
    </row>
    <row r="363" spans="1:8" ht="21" x14ac:dyDescent="0.3">
      <c r="A363" s="12"/>
      <c r="B363" s="13"/>
      <c r="C363" s="13"/>
      <c r="D363" s="13"/>
      <c r="E363" s="13"/>
      <c r="F363" s="13"/>
      <c r="G363" s="13"/>
      <c r="H363" s="8"/>
    </row>
    <row r="364" spans="1:8" ht="21" x14ac:dyDescent="0.3">
      <c r="A364" s="12"/>
      <c r="B364" s="13"/>
      <c r="C364" s="13"/>
      <c r="D364" s="13"/>
      <c r="E364" s="13"/>
      <c r="F364" s="13"/>
      <c r="G364" s="13"/>
      <c r="H364" s="8"/>
    </row>
    <row r="365" spans="1:8" ht="21" x14ac:dyDescent="0.3">
      <c r="A365" s="12"/>
      <c r="B365" s="13"/>
      <c r="C365" s="13"/>
      <c r="D365" s="13"/>
      <c r="E365" s="13"/>
      <c r="F365" s="13"/>
      <c r="G365" s="13"/>
      <c r="H365" s="8"/>
    </row>
    <row r="366" spans="1:8" ht="21" x14ac:dyDescent="0.3">
      <c r="A366" s="12"/>
      <c r="B366" s="13"/>
      <c r="C366" s="13"/>
      <c r="D366" s="13"/>
      <c r="E366" s="13"/>
      <c r="F366" s="13"/>
      <c r="G366" s="13"/>
      <c r="H366" s="8"/>
    </row>
    <row r="367" spans="1:8" ht="21" x14ac:dyDescent="0.3">
      <c r="A367" s="12"/>
      <c r="B367" s="13"/>
      <c r="C367" s="13"/>
      <c r="D367" s="13"/>
      <c r="E367" s="13"/>
      <c r="F367" s="13"/>
      <c r="G367" s="13"/>
      <c r="H367" s="8"/>
    </row>
    <row r="368" spans="1:8" ht="21" x14ac:dyDescent="0.3">
      <c r="A368" s="12"/>
      <c r="B368" s="13"/>
      <c r="C368" s="13"/>
      <c r="D368" s="13"/>
      <c r="E368" s="13"/>
      <c r="F368" s="13"/>
      <c r="G368" s="13"/>
      <c r="H368" s="8"/>
    </row>
    <row r="369" spans="1:8" ht="21" x14ac:dyDescent="0.3">
      <c r="A369" s="12"/>
      <c r="B369" s="13"/>
      <c r="C369" s="13"/>
      <c r="D369" s="13"/>
      <c r="E369" s="13"/>
      <c r="F369" s="13"/>
      <c r="G369" s="13"/>
      <c r="H369" s="8"/>
    </row>
    <row r="370" spans="1:8" ht="21" x14ac:dyDescent="0.3">
      <c r="A370" s="12"/>
      <c r="B370" s="13"/>
      <c r="C370" s="13"/>
      <c r="D370" s="13"/>
      <c r="E370" s="13"/>
      <c r="F370" s="13"/>
      <c r="G370" s="13"/>
      <c r="H370" s="8"/>
    </row>
    <row r="371" spans="1:8" ht="21" x14ac:dyDescent="0.3">
      <c r="A371" s="12"/>
      <c r="B371" s="13"/>
      <c r="C371" s="13"/>
      <c r="D371" s="13"/>
      <c r="E371" s="13"/>
      <c r="F371" s="13"/>
      <c r="G371" s="13"/>
      <c r="H371" s="8"/>
    </row>
    <row r="372" spans="1:8" ht="21" x14ac:dyDescent="0.3">
      <c r="A372" s="12"/>
      <c r="B372" s="13"/>
      <c r="C372" s="13"/>
      <c r="D372" s="13"/>
      <c r="E372" s="13"/>
      <c r="F372" s="13"/>
      <c r="G372" s="13"/>
      <c r="H372" s="8"/>
    </row>
    <row r="373" spans="1:8" ht="21" x14ac:dyDescent="0.3">
      <c r="A373" s="12"/>
      <c r="B373" s="13"/>
      <c r="C373" s="13"/>
      <c r="D373" s="13"/>
      <c r="E373" s="13"/>
      <c r="F373" s="13"/>
      <c r="G373" s="13"/>
      <c r="H373" s="8"/>
    </row>
    <row r="374" spans="1:8" ht="21" x14ac:dyDescent="0.3">
      <c r="A374" s="12"/>
      <c r="B374" s="13"/>
      <c r="C374" s="13"/>
      <c r="D374" s="13"/>
      <c r="E374" s="13"/>
      <c r="F374" s="13"/>
      <c r="G374" s="13"/>
      <c r="H374" s="8"/>
    </row>
    <row r="375" spans="1:8" ht="21" x14ac:dyDescent="0.3">
      <c r="A375" s="12"/>
      <c r="B375" s="13"/>
      <c r="C375" s="13"/>
      <c r="D375" s="13"/>
      <c r="E375" s="13"/>
      <c r="F375" s="13"/>
      <c r="G375" s="13"/>
      <c r="H375" s="8"/>
    </row>
    <row r="376" spans="1:8" ht="21" x14ac:dyDescent="0.3">
      <c r="A376" s="12"/>
      <c r="B376" s="13"/>
      <c r="C376" s="13"/>
      <c r="D376" s="13"/>
      <c r="E376" s="13"/>
      <c r="F376" s="13"/>
      <c r="G376" s="13"/>
      <c r="H376" s="8"/>
    </row>
    <row r="377" spans="1:8" ht="21" x14ac:dyDescent="0.3">
      <c r="A377" s="12"/>
      <c r="B377" s="13"/>
      <c r="C377" s="13"/>
      <c r="D377" s="13"/>
      <c r="E377" s="13"/>
      <c r="F377" s="13"/>
      <c r="G377" s="13"/>
      <c r="H377" s="8"/>
    </row>
    <row r="378" spans="1:8" ht="21" x14ac:dyDescent="0.3">
      <c r="A378" s="12"/>
      <c r="B378" s="13"/>
      <c r="C378" s="13"/>
      <c r="D378" s="13"/>
      <c r="E378" s="13"/>
      <c r="F378" s="13"/>
      <c r="G378" s="13"/>
      <c r="H378" s="8"/>
    </row>
    <row r="379" spans="1:8" ht="21" x14ac:dyDescent="0.3">
      <c r="A379" s="12"/>
      <c r="B379" s="13"/>
      <c r="C379" s="13"/>
      <c r="D379" s="13"/>
      <c r="E379" s="13"/>
      <c r="F379" s="13"/>
      <c r="G379" s="13"/>
      <c r="H379" s="8"/>
    </row>
    <row r="380" spans="1:8" ht="21" x14ac:dyDescent="0.3">
      <c r="A380" s="14"/>
      <c r="B380" s="15"/>
      <c r="C380" s="15"/>
      <c r="D380" s="15"/>
      <c r="E380" s="15"/>
      <c r="F380" s="15"/>
      <c r="G380" s="15"/>
      <c r="H380" s="9"/>
    </row>
    <row r="381" spans="1:8" ht="21" x14ac:dyDescent="0.3">
      <c r="A381" s="116" t="s">
        <v>75</v>
      </c>
      <c r="B381" s="117"/>
      <c r="C381" s="117"/>
      <c r="D381" s="117"/>
      <c r="E381" s="117"/>
      <c r="F381" s="117"/>
      <c r="G381" s="117"/>
      <c r="H381" s="118"/>
    </row>
    <row r="382" spans="1:8" ht="21" x14ac:dyDescent="0.3">
      <c r="A382" s="10"/>
      <c r="B382" s="11"/>
      <c r="C382" s="11"/>
      <c r="D382" s="11"/>
      <c r="E382" s="11"/>
      <c r="F382" s="11"/>
      <c r="G382" s="11"/>
      <c r="H382" s="7"/>
    </row>
    <row r="383" spans="1:8" ht="21" x14ac:dyDescent="0.3">
      <c r="A383" s="12"/>
      <c r="B383" s="13"/>
      <c r="C383" s="13"/>
      <c r="D383" s="13"/>
      <c r="E383" s="13"/>
      <c r="F383" s="13"/>
      <c r="G383" s="13"/>
      <c r="H383" s="8"/>
    </row>
    <row r="384" spans="1:8" ht="21" x14ac:dyDescent="0.3">
      <c r="A384" s="12"/>
      <c r="B384" s="13"/>
      <c r="C384" s="13"/>
      <c r="D384" s="13"/>
      <c r="E384" s="13"/>
      <c r="F384" s="13"/>
      <c r="G384" s="13"/>
      <c r="H384" s="8"/>
    </row>
    <row r="385" spans="1:8" ht="21" x14ac:dyDescent="0.3">
      <c r="A385" s="12"/>
      <c r="B385" s="13"/>
      <c r="C385" s="13"/>
      <c r="D385" s="13"/>
      <c r="E385" s="13"/>
      <c r="F385" s="13"/>
      <c r="G385" s="13"/>
      <c r="H385" s="8"/>
    </row>
    <row r="386" spans="1:8" ht="21" x14ac:dyDescent="0.3">
      <c r="A386" s="12"/>
      <c r="B386" s="13"/>
      <c r="C386" s="13"/>
      <c r="D386" s="13"/>
      <c r="E386" s="13"/>
      <c r="F386" s="13"/>
      <c r="G386" s="13"/>
      <c r="H386" s="8"/>
    </row>
    <row r="387" spans="1:8" ht="21" x14ac:dyDescent="0.3">
      <c r="A387" s="12"/>
      <c r="B387" s="13"/>
      <c r="C387" s="13"/>
      <c r="D387" s="13"/>
      <c r="E387" s="13"/>
      <c r="F387" s="13"/>
      <c r="G387" s="13"/>
      <c r="H387" s="8"/>
    </row>
    <row r="388" spans="1:8" ht="21" x14ac:dyDescent="0.3">
      <c r="A388" s="12"/>
      <c r="B388" s="13"/>
      <c r="C388" s="13"/>
      <c r="D388" s="13"/>
      <c r="E388" s="13"/>
      <c r="F388" s="13"/>
      <c r="G388" s="13"/>
      <c r="H388" s="8"/>
    </row>
    <row r="389" spans="1:8" ht="21" x14ac:dyDescent="0.3">
      <c r="A389" s="12"/>
      <c r="B389" s="13"/>
      <c r="C389" s="13"/>
      <c r="D389" s="13"/>
      <c r="E389" s="13"/>
      <c r="F389" s="13"/>
      <c r="G389" s="13"/>
      <c r="H389" s="8"/>
    </row>
    <row r="390" spans="1:8" ht="21" x14ac:dyDescent="0.3">
      <c r="A390" s="12"/>
      <c r="B390" s="13"/>
      <c r="C390" s="13"/>
      <c r="D390" s="13"/>
      <c r="E390" s="13"/>
      <c r="F390" s="13"/>
      <c r="G390" s="13"/>
      <c r="H390" s="8"/>
    </row>
    <row r="391" spans="1:8" ht="21" x14ac:dyDescent="0.3">
      <c r="A391" s="12"/>
      <c r="B391" s="13"/>
      <c r="C391" s="13"/>
      <c r="D391" s="13"/>
      <c r="E391" s="13"/>
      <c r="F391" s="13"/>
      <c r="G391" s="13"/>
      <c r="H391" s="8"/>
    </row>
    <row r="392" spans="1:8" ht="21" x14ac:dyDescent="0.3">
      <c r="A392" s="12"/>
      <c r="B392" s="13"/>
      <c r="C392" s="13"/>
      <c r="D392" s="13"/>
      <c r="E392" s="13"/>
      <c r="F392" s="13"/>
      <c r="G392" s="13"/>
      <c r="H392" s="8"/>
    </row>
    <row r="393" spans="1:8" ht="21" x14ac:dyDescent="0.3">
      <c r="A393" s="12"/>
      <c r="B393" s="13"/>
      <c r="C393" s="13"/>
      <c r="D393" s="13"/>
      <c r="E393" s="13"/>
      <c r="F393" s="13"/>
      <c r="G393" s="13"/>
      <c r="H393" s="8"/>
    </row>
    <row r="394" spans="1:8" ht="21" x14ac:dyDescent="0.3">
      <c r="A394" s="12"/>
      <c r="B394" s="13"/>
      <c r="C394" s="13"/>
      <c r="D394" s="13"/>
      <c r="E394" s="13"/>
      <c r="F394" s="13"/>
      <c r="G394" s="13"/>
      <c r="H394" s="8"/>
    </row>
    <row r="395" spans="1:8" ht="21" x14ac:dyDescent="0.3">
      <c r="A395" s="12"/>
      <c r="B395" s="13"/>
      <c r="C395" s="13"/>
      <c r="D395" s="13"/>
      <c r="E395" s="13"/>
      <c r="F395" s="13"/>
      <c r="G395" s="13"/>
      <c r="H395" s="8"/>
    </row>
    <row r="396" spans="1:8" ht="21" x14ac:dyDescent="0.3">
      <c r="A396" s="12"/>
      <c r="B396" s="13"/>
      <c r="C396" s="13"/>
      <c r="D396" s="13"/>
      <c r="E396" s="13"/>
      <c r="F396" s="13"/>
      <c r="G396" s="13"/>
      <c r="H396" s="8"/>
    </row>
    <row r="397" spans="1:8" ht="21" x14ac:dyDescent="0.3">
      <c r="A397" s="12"/>
      <c r="B397" s="13"/>
      <c r="C397" s="13"/>
      <c r="D397" s="13"/>
      <c r="E397" s="13"/>
      <c r="F397" s="13"/>
      <c r="G397" s="13"/>
      <c r="H397" s="8"/>
    </row>
    <row r="398" spans="1:8" ht="21" x14ac:dyDescent="0.3">
      <c r="A398" s="12"/>
      <c r="B398" s="13"/>
      <c r="C398" s="13"/>
      <c r="D398" s="13"/>
      <c r="E398" s="13"/>
      <c r="F398" s="13"/>
      <c r="G398" s="13"/>
      <c r="H398" s="8"/>
    </row>
    <row r="399" spans="1:8" ht="21" x14ac:dyDescent="0.3">
      <c r="A399" s="12"/>
      <c r="B399" s="13"/>
      <c r="C399" s="13"/>
      <c r="D399" s="13"/>
      <c r="E399" s="13"/>
      <c r="F399" s="13"/>
      <c r="G399" s="13"/>
      <c r="H399" s="8"/>
    </row>
    <row r="400" spans="1:8" ht="21" x14ac:dyDescent="0.3">
      <c r="A400" s="12"/>
      <c r="B400" s="13"/>
      <c r="C400" s="13"/>
      <c r="D400" s="13"/>
      <c r="E400" s="13"/>
      <c r="F400" s="13"/>
      <c r="G400" s="13"/>
      <c r="H400" s="8"/>
    </row>
    <row r="401" spans="1:8" ht="21" x14ac:dyDescent="0.3">
      <c r="A401" s="12"/>
      <c r="B401" s="13"/>
      <c r="C401" s="13"/>
      <c r="D401" s="13"/>
      <c r="E401" s="13"/>
      <c r="F401" s="13"/>
      <c r="G401" s="13"/>
      <c r="H401" s="8"/>
    </row>
    <row r="402" spans="1:8" ht="21" x14ac:dyDescent="0.3">
      <c r="A402" s="12"/>
      <c r="B402" s="13"/>
      <c r="C402" s="13"/>
      <c r="D402" s="13"/>
      <c r="E402" s="13"/>
      <c r="F402" s="13"/>
      <c r="G402" s="13"/>
      <c r="H402" s="8"/>
    </row>
    <row r="403" spans="1:8" ht="21" x14ac:dyDescent="0.3">
      <c r="A403" s="12"/>
      <c r="B403" s="13"/>
      <c r="C403" s="13"/>
      <c r="D403" s="13"/>
      <c r="E403" s="13"/>
      <c r="F403" s="13"/>
      <c r="G403" s="13"/>
      <c r="H403" s="8"/>
    </row>
    <row r="404" spans="1:8" ht="21" x14ac:dyDescent="0.3">
      <c r="A404" s="12"/>
      <c r="B404" s="13"/>
      <c r="C404" s="13"/>
      <c r="D404" s="13"/>
      <c r="E404" s="13"/>
      <c r="F404" s="13"/>
      <c r="G404" s="13"/>
      <c r="H404" s="8"/>
    </row>
    <row r="405" spans="1:8" ht="21" x14ac:dyDescent="0.3">
      <c r="A405" s="12"/>
      <c r="B405" s="13"/>
      <c r="C405" s="13"/>
      <c r="D405" s="13"/>
      <c r="E405" s="13"/>
      <c r="F405" s="13"/>
      <c r="G405" s="13"/>
      <c r="H405" s="8"/>
    </row>
    <row r="406" spans="1:8" ht="21" x14ac:dyDescent="0.3">
      <c r="A406" s="12"/>
      <c r="B406" s="13"/>
      <c r="C406" s="13"/>
      <c r="D406" s="13"/>
      <c r="E406" s="13"/>
      <c r="F406" s="13"/>
      <c r="G406" s="13"/>
      <c r="H406" s="8"/>
    </row>
    <row r="407" spans="1:8" ht="21" x14ac:dyDescent="0.3">
      <c r="A407" s="108" t="s">
        <v>24</v>
      </c>
      <c r="B407" s="108"/>
      <c r="C407" s="108"/>
      <c r="D407" s="108"/>
      <c r="E407" s="108"/>
      <c r="F407" s="108"/>
      <c r="G407" s="108"/>
      <c r="H407" s="108"/>
    </row>
    <row r="408" spans="1:8" ht="21" x14ac:dyDescent="0.3">
      <c r="A408" s="134" t="s">
        <v>76</v>
      </c>
      <c r="B408" s="135"/>
      <c r="C408" s="135"/>
      <c r="D408" s="135"/>
      <c r="E408" s="135"/>
      <c r="F408" s="135"/>
      <c r="G408" s="135"/>
      <c r="H408" s="136"/>
    </row>
    <row r="409" spans="1:8" ht="21" x14ac:dyDescent="0.3">
      <c r="A409" s="137" t="s">
        <v>77</v>
      </c>
      <c r="B409" s="138"/>
      <c r="C409" s="138"/>
      <c r="D409" s="138"/>
      <c r="E409" s="138"/>
      <c r="F409" s="138"/>
      <c r="G409" s="138"/>
      <c r="H409" s="139"/>
    </row>
    <row r="410" spans="1:8" ht="41.25" customHeight="1" x14ac:dyDescent="0.3">
      <c r="A410" s="137" t="s">
        <v>78</v>
      </c>
      <c r="B410" s="138"/>
      <c r="C410" s="138"/>
      <c r="D410" s="138"/>
      <c r="E410" s="138"/>
      <c r="F410" s="138"/>
      <c r="G410" s="138"/>
      <c r="H410" s="139"/>
    </row>
    <row r="411" spans="1:8" ht="47.25" customHeight="1" x14ac:dyDescent="0.3">
      <c r="A411" s="137" t="s">
        <v>79</v>
      </c>
      <c r="B411" s="138"/>
      <c r="C411" s="138"/>
      <c r="D411" s="138"/>
      <c r="E411" s="138"/>
      <c r="F411" s="138"/>
      <c r="G411" s="138"/>
      <c r="H411" s="139"/>
    </row>
    <row r="412" spans="1:8" ht="21" x14ac:dyDescent="0.3">
      <c r="A412" s="137" t="s">
        <v>80</v>
      </c>
      <c r="B412" s="138"/>
      <c r="C412" s="138"/>
      <c r="D412" s="138"/>
      <c r="E412" s="138"/>
      <c r="F412" s="138"/>
      <c r="G412" s="138"/>
      <c r="H412" s="139"/>
    </row>
    <row r="413" spans="1:8" ht="21" x14ac:dyDescent="0.3">
      <c r="A413" s="137" t="s">
        <v>81</v>
      </c>
      <c r="B413" s="138"/>
      <c r="C413" s="138"/>
      <c r="D413" s="138"/>
      <c r="E413" s="138"/>
      <c r="F413" s="138"/>
      <c r="G413" s="138"/>
      <c r="H413" s="139"/>
    </row>
    <row r="414" spans="1:8" ht="65.25" customHeight="1" x14ac:dyDescent="0.3">
      <c r="A414" s="137" t="s">
        <v>82</v>
      </c>
      <c r="B414" s="138"/>
      <c r="C414" s="138"/>
      <c r="D414" s="138"/>
      <c r="E414" s="138"/>
      <c r="F414" s="138"/>
      <c r="G414" s="138"/>
      <c r="H414" s="139"/>
    </row>
    <row r="415" spans="1:8" ht="21" x14ac:dyDescent="0.3">
      <c r="A415" s="137" t="s">
        <v>83</v>
      </c>
      <c r="B415" s="138"/>
      <c r="C415" s="138"/>
      <c r="D415" s="138"/>
      <c r="E415" s="138"/>
      <c r="F415" s="138"/>
      <c r="G415" s="138"/>
      <c r="H415" s="139"/>
    </row>
    <row r="416" spans="1:8" ht="21" x14ac:dyDescent="0.3">
      <c r="A416" s="140" t="s">
        <v>84</v>
      </c>
      <c r="B416" s="141"/>
      <c r="C416" s="141"/>
      <c r="D416" s="141"/>
      <c r="E416" s="141"/>
      <c r="F416" s="141"/>
      <c r="G416" s="141"/>
      <c r="H416" s="142"/>
    </row>
    <row r="417" spans="1:8" ht="73.8" customHeight="1" x14ac:dyDescent="0.3">
      <c r="A417" s="144" t="s">
        <v>30</v>
      </c>
      <c r="B417" s="145"/>
      <c r="C417" s="146" t="s">
        <v>359</v>
      </c>
      <c r="D417" s="147"/>
      <c r="E417" s="144" t="s">
        <v>9</v>
      </c>
      <c r="F417" s="145"/>
      <c r="G417" s="131"/>
      <c r="H417" s="131"/>
    </row>
  </sheetData>
  <mergeCells count="453">
    <mergeCell ref="A56:B56"/>
    <mergeCell ref="C54:F54"/>
    <mergeCell ref="C53:F53"/>
    <mergeCell ref="C55:F55"/>
    <mergeCell ref="C56:F56"/>
    <mergeCell ref="G73:H73"/>
    <mergeCell ref="A48:B48"/>
    <mergeCell ref="A50:B50"/>
    <mergeCell ref="A54:B54"/>
    <mergeCell ref="A53:B53"/>
    <mergeCell ref="A49:B49"/>
    <mergeCell ref="C48:H48"/>
    <mergeCell ref="C49:F49"/>
    <mergeCell ref="C50:F50"/>
    <mergeCell ref="C51:F51"/>
    <mergeCell ref="A51:B52"/>
    <mergeCell ref="C52:H52"/>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G36:H36"/>
    <mergeCell ref="G35:H35"/>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G31:H31"/>
    <mergeCell ref="C14:D14"/>
    <mergeCell ref="C15:D15"/>
    <mergeCell ref="C16:D16"/>
    <mergeCell ref="C17:D17"/>
    <mergeCell ref="A14:B14"/>
    <mergeCell ref="A15:B15"/>
    <mergeCell ref="A16:B16"/>
    <mergeCell ref="A17:B17"/>
    <mergeCell ref="A18:B18"/>
    <mergeCell ref="E17:F17"/>
    <mergeCell ref="E18:F18"/>
    <mergeCell ref="E19:F19"/>
    <mergeCell ref="C18:D18"/>
    <mergeCell ref="C19:D19"/>
    <mergeCell ref="A23:B23"/>
    <mergeCell ref="A24:B24"/>
    <mergeCell ref="E20:F20"/>
    <mergeCell ref="E21:F21"/>
    <mergeCell ref="E22:F22"/>
    <mergeCell ref="A19:B19"/>
    <mergeCell ref="A20:B20"/>
    <mergeCell ref="A21:B21"/>
    <mergeCell ref="A22:B22"/>
    <mergeCell ref="C20:D20"/>
    <mergeCell ref="C21:D21"/>
    <mergeCell ref="C22:D22"/>
    <mergeCell ref="C24:H24"/>
    <mergeCell ref="C23:H23"/>
    <mergeCell ref="G22:H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62:B62"/>
    <mergeCell ref="C27:D27"/>
    <mergeCell ref="A69:B69"/>
    <mergeCell ref="A70:B70"/>
    <mergeCell ref="A71:B71"/>
    <mergeCell ref="A72:B72"/>
    <mergeCell ref="A146:B146"/>
    <mergeCell ref="A74:H74"/>
    <mergeCell ref="G75:H75"/>
    <mergeCell ref="G6:H6"/>
    <mergeCell ref="A5:H5"/>
    <mergeCell ref="A33:H33"/>
    <mergeCell ref="G30:H30"/>
    <mergeCell ref="G29:H29"/>
    <mergeCell ref="A13:H13"/>
    <mergeCell ref="C26:D26"/>
    <mergeCell ref="A63:B63"/>
    <mergeCell ref="A64:B64"/>
    <mergeCell ref="A66:B66"/>
    <mergeCell ref="E14:F14"/>
    <mergeCell ref="E15:F15"/>
    <mergeCell ref="E16:F16"/>
    <mergeCell ref="A221:B221"/>
    <mergeCell ref="A222:B222"/>
    <mergeCell ref="A232:B232"/>
    <mergeCell ref="A233:B233"/>
    <mergeCell ref="A234:B234"/>
    <mergeCell ref="A235:B235"/>
    <mergeCell ref="A236:B236"/>
    <mergeCell ref="A237:B237"/>
    <mergeCell ref="A238:B238"/>
    <mergeCell ref="A223:B223"/>
    <mergeCell ref="A155:B155"/>
    <mergeCell ref="A156:B156"/>
    <mergeCell ref="A157:B157"/>
    <mergeCell ref="A158:B158"/>
    <mergeCell ref="A159:B159"/>
    <mergeCell ref="A208:B208"/>
    <mergeCell ref="A209:B209"/>
    <mergeCell ref="A210:B210"/>
    <mergeCell ref="A211:B211"/>
    <mergeCell ref="B291:H291"/>
    <mergeCell ref="B290:H290"/>
    <mergeCell ref="B294:H294"/>
    <mergeCell ref="B293:H293"/>
    <mergeCell ref="B292:H292"/>
    <mergeCell ref="B296:H296"/>
    <mergeCell ref="A197:B197"/>
    <mergeCell ref="A198:B198"/>
    <mergeCell ref="A199:B199"/>
    <mergeCell ref="A248:B248"/>
    <mergeCell ref="A249:B249"/>
    <mergeCell ref="A245:B245"/>
    <mergeCell ref="A246:B246"/>
    <mergeCell ref="A247:B247"/>
    <mergeCell ref="A241:H241"/>
    <mergeCell ref="A212:B212"/>
    <mergeCell ref="A213:B213"/>
    <mergeCell ref="A244:B244"/>
    <mergeCell ref="A289:H289"/>
    <mergeCell ref="B295:H295"/>
    <mergeCell ref="A217:B217"/>
    <mergeCell ref="A218:B218"/>
    <mergeCell ref="A219:B219"/>
    <mergeCell ref="A220:B220"/>
    <mergeCell ref="G417:H417"/>
    <mergeCell ref="A297:H297"/>
    <mergeCell ref="D299:H299"/>
    <mergeCell ref="A408:H408"/>
    <mergeCell ref="A414:H414"/>
    <mergeCell ref="A415:H415"/>
    <mergeCell ref="A416:H416"/>
    <mergeCell ref="A409:H409"/>
    <mergeCell ref="A410:H410"/>
    <mergeCell ref="A411:H411"/>
    <mergeCell ref="A412:H412"/>
    <mergeCell ref="A299:C299"/>
    <mergeCell ref="A407:H407"/>
    <mergeCell ref="A413:H413"/>
    <mergeCell ref="A381:H381"/>
    <mergeCell ref="D298:H298"/>
    <mergeCell ref="A300:C300"/>
    <mergeCell ref="D300:H300"/>
    <mergeCell ref="A338:H338"/>
    <mergeCell ref="E417:F417"/>
    <mergeCell ref="A417:B417"/>
    <mergeCell ref="C417:D417"/>
    <mergeCell ref="A1:H1"/>
    <mergeCell ref="A298:C298"/>
    <mergeCell ref="G27:H27"/>
    <mergeCell ref="G28:H28"/>
    <mergeCell ref="A37:H37"/>
    <mergeCell ref="A44:H44"/>
    <mergeCell ref="A47:H47"/>
    <mergeCell ref="A86:H86"/>
    <mergeCell ref="G82:H82"/>
    <mergeCell ref="G7:H7"/>
    <mergeCell ref="G45:H45"/>
    <mergeCell ref="A25:H25"/>
    <mergeCell ref="G26:H26"/>
    <mergeCell ref="G20:H20"/>
    <mergeCell ref="G21:H21"/>
    <mergeCell ref="A9:A11"/>
    <mergeCell ref="A194:B194"/>
    <mergeCell ref="G14:H14"/>
    <mergeCell ref="G16:H16"/>
    <mergeCell ref="G17:H17"/>
    <mergeCell ref="G15:H15"/>
    <mergeCell ref="G18:H18"/>
    <mergeCell ref="G19:H19"/>
    <mergeCell ref="G46:H46"/>
    <mergeCell ref="A96:B96"/>
    <mergeCell ref="A150:B150"/>
    <mergeCell ref="A152:B152"/>
    <mergeCell ref="A153:B153"/>
    <mergeCell ref="A148:B148"/>
    <mergeCell ref="A192:H192"/>
    <mergeCell ref="A147:B147"/>
    <mergeCell ref="A145:H145"/>
    <mergeCell ref="A97:B97"/>
    <mergeCell ref="A98:B98"/>
    <mergeCell ref="A99:B99"/>
    <mergeCell ref="A100:B100"/>
    <mergeCell ref="A137:B137"/>
    <mergeCell ref="A138:B138"/>
    <mergeCell ref="A139:B139"/>
    <mergeCell ref="A140:B140"/>
    <mergeCell ref="A141:B141"/>
    <mergeCell ref="A142:B142"/>
    <mergeCell ref="A143:B143"/>
    <mergeCell ref="A144:B144"/>
    <mergeCell ref="A128:B128"/>
    <mergeCell ref="A151:B151"/>
    <mergeCell ref="A149:B149"/>
    <mergeCell ref="A154:B154"/>
    <mergeCell ref="G79:H79"/>
    <mergeCell ref="G85:H85"/>
    <mergeCell ref="A80:H80"/>
    <mergeCell ref="E75:F75"/>
    <mergeCell ref="A79:B79"/>
    <mergeCell ref="A75:B75"/>
    <mergeCell ref="C75:D75"/>
    <mergeCell ref="C76:D76"/>
    <mergeCell ref="C79:D79"/>
    <mergeCell ref="E79:F79"/>
    <mergeCell ref="A81:F81"/>
    <mergeCell ref="A82:F82"/>
    <mergeCell ref="G81:H81"/>
    <mergeCell ref="A85:F85"/>
    <mergeCell ref="A76:B76"/>
    <mergeCell ref="A83:F83"/>
    <mergeCell ref="G83:H83"/>
    <mergeCell ref="A84:F84"/>
    <mergeCell ref="A77:B77"/>
    <mergeCell ref="C77:D77"/>
    <mergeCell ref="A78:B78"/>
    <mergeCell ref="C78:D78"/>
    <mergeCell ref="E76:F78"/>
    <mergeCell ref="G76:H78"/>
    <mergeCell ref="G61:H72"/>
    <mergeCell ref="A57:H57"/>
    <mergeCell ref="A60:B60"/>
    <mergeCell ref="A61:B61"/>
    <mergeCell ref="E60:F60"/>
    <mergeCell ref="E58:F58"/>
    <mergeCell ref="E59:F59"/>
    <mergeCell ref="A58:C59"/>
    <mergeCell ref="A67:B67"/>
    <mergeCell ref="A65:B65"/>
    <mergeCell ref="A68:B68"/>
    <mergeCell ref="E61:F72"/>
    <mergeCell ref="G84:H84"/>
    <mergeCell ref="A104:B104"/>
    <mergeCell ref="A105:B105"/>
    <mergeCell ref="A106:B106"/>
    <mergeCell ref="A107:B107"/>
    <mergeCell ref="A108:B108"/>
    <mergeCell ref="A109:B109"/>
    <mergeCell ref="A45:B45"/>
    <mergeCell ref="A46:B46"/>
    <mergeCell ref="D46:F46"/>
    <mergeCell ref="D45:F45"/>
    <mergeCell ref="A55:B55"/>
    <mergeCell ref="A73:F73"/>
    <mergeCell ref="A91:H91"/>
    <mergeCell ref="E87:F87"/>
    <mergeCell ref="E88:F88"/>
    <mergeCell ref="E89:F89"/>
    <mergeCell ref="E90:F90"/>
    <mergeCell ref="A87:B87"/>
    <mergeCell ref="A88:B88"/>
    <mergeCell ref="A89:B89"/>
    <mergeCell ref="C87:D87"/>
    <mergeCell ref="A90:B90"/>
    <mergeCell ref="C88:D88"/>
    <mergeCell ref="G87:H87"/>
    <mergeCell ref="A125:B125"/>
    <mergeCell ref="A126:B126"/>
    <mergeCell ref="A127:B127"/>
    <mergeCell ref="A110:B110"/>
    <mergeCell ref="A111:B111"/>
    <mergeCell ref="A112:B112"/>
    <mergeCell ref="A113:B113"/>
    <mergeCell ref="A114:B114"/>
    <mergeCell ref="A115:B115"/>
    <mergeCell ref="A116:B116"/>
    <mergeCell ref="A117:B117"/>
    <mergeCell ref="A118:B118"/>
    <mergeCell ref="A94:H94"/>
    <mergeCell ref="A93:H93"/>
    <mergeCell ref="A95:H95"/>
    <mergeCell ref="G88:H88"/>
    <mergeCell ref="G89:H89"/>
    <mergeCell ref="G90:H90"/>
    <mergeCell ref="C90:D90"/>
    <mergeCell ref="C89:D89"/>
    <mergeCell ref="A101:B101"/>
    <mergeCell ref="A102:B102"/>
    <mergeCell ref="A103:B103"/>
    <mergeCell ref="A129:B129"/>
    <mergeCell ref="A130:B130"/>
    <mergeCell ref="A131:B131"/>
    <mergeCell ref="A132:B132"/>
    <mergeCell ref="A133:B133"/>
    <mergeCell ref="A134:B134"/>
    <mergeCell ref="A135:B135"/>
    <mergeCell ref="A136:B136"/>
    <mergeCell ref="A119:B119"/>
    <mergeCell ref="A120:B120"/>
    <mergeCell ref="A121:B121"/>
    <mergeCell ref="A122:B122"/>
    <mergeCell ref="A123:B123"/>
    <mergeCell ref="A124:B124"/>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201:B201"/>
    <mergeCell ref="A202:B202"/>
    <mergeCell ref="A203:B203"/>
    <mergeCell ref="A204:B204"/>
    <mergeCell ref="A196:B196"/>
    <mergeCell ref="A205:B205"/>
    <mergeCell ref="A206:B206"/>
    <mergeCell ref="A207:B207"/>
    <mergeCell ref="A195:B195"/>
    <mergeCell ref="A200:B200"/>
    <mergeCell ref="A193:B193"/>
    <mergeCell ref="A214:B214"/>
    <mergeCell ref="A215:B215"/>
    <mergeCell ref="A216:B216"/>
    <mergeCell ref="A224:B224"/>
    <mergeCell ref="A225:B225"/>
    <mergeCell ref="A226:B226"/>
    <mergeCell ref="A227:B227"/>
    <mergeCell ref="A228:B228"/>
    <mergeCell ref="A229:B229"/>
    <mergeCell ref="A230:B230"/>
    <mergeCell ref="A231:B231"/>
    <mergeCell ref="A258:B258"/>
    <mergeCell ref="A239:B239"/>
    <mergeCell ref="A259:B259"/>
    <mergeCell ref="A260:B260"/>
    <mergeCell ref="A261:B261"/>
    <mergeCell ref="A262:B262"/>
    <mergeCell ref="A263:B263"/>
    <mergeCell ref="A264:B264"/>
    <mergeCell ref="A265:H265"/>
    <mergeCell ref="A240:H240"/>
    <mergeCell ref="A250:B250"/>
    <mergeCell ref="A251:B251"/>
    <mergeCell ref="A252:B252"/>
    <mergeCell ref="A253:B253"/>
    <mergeCell ref="A254:B254"/>
    <mergeCell ref="A255:B255"/>
    <mergeCell ref="A256:B256"/>
    <mergeCell ref="A257:B257"/>
    <mergeCell ref="A242:B242"/>
    <mergeCell ref="A243:B243"/>
    <mergeCell ref="A266:B266"/>
    <mergeCell ref="A267:B267"/>
    <mergeCell ref="A268:B268"/>
    <mergeCell ref="A269:B269"/>
    <mergeCell ref="A270:B270"/>
    <mergeCell ref="A271:B271"/>
    <mergeCell ref="A272:B272"/>
    <mergeCell ref="A273:B273"/>
    <mergeCell ref="A274:B274"/>
    <mergeCell ref="A284:B284"/>
    <mergeCell ref="A285:B285"/>
    <mergeCell ref="A286:B286"/>
    <mergeCell ref="A287:B287"/>
    <mergeCell ref="A288:B288"/>
    <mergeCell ref="D287:H288"/>
    <mergeCell ref="A275:B275"/>
    <mergeCell ref="A276:B276"/>
    <mergeCell ref="A277:B277"/>
    <mergeCell ref="A278:B278"/>
    <mergeCell ref="A279:B279"/>
    <mergeCell ref="A280:B280"/>
    <mergeCell ref="A281:B281"/>
    <mergeCell ref="A282:B282"/>
    <mergeCell ref="A283:B283"/>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79" xr:uid="{00000000-0002-0000-0000-000002000000}">
      <formula1>"300000,350000,400000,500000,600000,700000,800000,900000,1000000,1200000,1400000,1500000,1600000"</formula1>
    </dataValidation>
    <dataValidation type="list" allowBlank="1" showInputMessage="1" showErrorMessage="1" sqref="F92"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92" xr:uid="{00000000-0002-0000-0000-000006000000}">
      <formula1>"Sale /         Rehab /           PAP,Sale / Mhada,Sale / Landowner"</formula1>
    </dataValidation>
  </dataValidations>
  <hyperlinks>
    <hyperlink ref="C23" r:id="rId1" xr:uid="{00000000-0004-0000-0000-000000000000}"/>
    <hyperlink ref="I24" r:id="rId2" xr:uid="{00000000-0004-0000-0000-000001000000}"/>
  </hyperlinks>
  <printOptions horizontalCentered="1"/>
  <pageMargins left="0.27559055118110237" right="0.27559055118110237" top="0.70866141732283472" bottom="0.47244094488188981" header="0.15748031496062992" footer="0.15748031496062992"/>
  <pageSetup scale="72" fitToHeight="0" orientation="portrait" r:id="rId3"/>
  <headerFooter>
    <oddHeader>&amp;C&amp;25&amp;G</oddHeader>
    <oddFooter>&amp;L&amp;"Times New Roman,Bold"&amp;16Ref No: &amp;F&amp;R&amp;"Times New Roman,Bold"&amp;16&amp;P</oddFooter>
  </headerFooter>
  <rowBreaks count="5" manualBreakCount="5">
    <brk id="46" max="7" man="1"/>
    <brk id="79" max="7" man="1"/>
    <brk id="296" max="7" man="1"/>
    <brk id="337" max="7" man="1"/>
    <brk id="380"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08" t="s">
        <v>67</v>
      </c>
      <c r="B3" s="108"/>
      <c r="C3" s="108"/>
      <c r="D3" s="108"/>
      <c r="E3" s="108"/>
      <c r="F3" s="108"/>
      <c r="G3" s="108"/>
      <c r="H3" s="108"/>
      <c r="I3" s="108"/>
    </row>
    <row r="4" spans="1:11" s="1" customFormat="1" ht="20.25" customHeight="1" x14ac:dyDescent="0.4">
      <c r="A4" s="186">
        <v>1</v>
      </c>
      <c r="B4" s="186"/>
      <c r="C4" s="186"/>
      <c r="D4" s="187" t="s">
        <v>4</v>
      </c>
      <c r="E4" s="30" t="s">
        <v>114</v>
      </c>
      <c r="F4" s="110" t="s">
        <v>101</v>
      </c>
      <c r="G4" s="110"/>
      <c r="H4" s="30" t="s">
        <v>115</v>
      </c>
      <c r="I4" s="30" t="s">
        <v>116</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86"/>
      <c r="B5" s="186"/>
      <c r="C5" s="186"/>
      <c r="D5" s="187"/>
      <c r="E5" s="30">
        <v>3</v>
      </c>
      <c r="F5" s="110">
        <v>1</v>
      </c>
      <c r="G5" s="110"/>
      <c r="H5" s="30">
        <v>0</v>
      </c>
      <c r="I5" s="30">
        <f ca="1">--TRIM(RIGHT(SUBSTITUTE(LEFT(A4,_xlfn.AGGREGATE(16,6,FIND({0,1,2,3,4,5,6,7,8,9},A4,ROW(INDIRECT("1:"&amp;LEN(A4)))),1))," ",REPT(" ",LEN(A4))),LEN(A4)))</f>
        <v>1</v>
      </c>
      <c r="J5" s="17" t="s">
        <v>120</v>
      </c>
      <c r="K5" s="18"/>
    </row>
    <row r="6" spans="1:11" s="1" customFormat="1" ht="20.25" customHeight="1" x14ac:dyDescent="0.4">
      <c r="A6" s="109" t="s">
        <v>118</v>
      </c>
      <c r="B6" s="109"/>
      <c r="C6" s="109" t="s">
        <v>128</v>
      </c>
      <c r="D6" s="109"/>
      <c r="E6" s="28" t="s">
        <v>129</v>
      </c>
      <c r="F6" s="109" t="s">
        <v>119</v>
      </c>
      <c r="G6" s="109"/>
      <c r="H6" s="29" t="s">
        <v>117</v>
      </c>
      <c r="I6" s="29"/>
      <c r="J6" s="20" t="s">
        <v>130</v>
      </c>
      <c r="K6" s="19">
        <f ca="1">I5*25%</f>
        <v>0.25</v>
      </c>
    </row>
    <row r="7" spans="1:11" s="1" customFormat="1" ht="20.25" customHeight="1" x14ac:dyDescent="0.4">
      <c r="A7" s="107" t="s">
        <v>131</v>
      </c>
      <c r="B7" s="107"/>
      <c r="C7" s="110">
        <f ca="1">K8</f>
        <v>1</v>
      </c>
      <c r="D7" s="110"/>
      <c r="E7" s="5">
        <f ca="1">((100/I5)*C7)/100</f>
        <v>1</v>
      </c>
      <c r="F7" s="107">
        <f ca="1">(((C7/I5*5)+(C8/I5*20)+(25/(F5+H5+I5)*C9)+(5/(I5)*C10)+(2.5/(I5)*C11)+(2.5/(I5)*C12)+(5/I5*C13)+(10/I5*C14)+(2.5/I5*C15)+(2.5/I5*C16)+(10/I5*C17)+(10/I5*C18))/100)</f>
        <v>0.25</v>
      </c>
      <c r="G7" s="107"/>
      <c r="H7" s="107" t="str">
        <f ca="1">J4</f>
        <v>Excavation work Completed. Plinth work completed</v>
      </c>
      <c r="I7" s="107"/>
      <c r="J7" s="20" t="s">
        <v>121</v>
      </c>
      <c r="K7" s="24">
        <f ca="1">I5*50%</f>
        <v>0.5</v>
      </c>
    </row>
    <row r="8" spans="1:11" s="1" customFormat="1" ht="21" x14ac:dyDescent="0.4">
      <c r="A8" s="107" t="s">
        <v>102</v>
      </c>
      <c r="B8" s="107"/>
      <c r="C8" s="185">
        <f ca="1">K16</f>
        <v>1</v>
      </c>
      <c r="D8" s="110"/>
      <c r="E8" s="5">
        <f ca="1">((100/I5)*C8)/100</f>
        <v>1</v>
      </c>
      <c r="F8" s="107"/>
      <c r="G8" s="107"/>
      <c r="H8" s="107"/>
      <c r="I8" s="107"/>
      <c r="J8" s="20" t="s">
        <v>122</v>
      </c>
      <c r="K8" s="24">
        <f ca="1">I5</f>
        <v>1</v>
      </c>
    </row>
    <row r="9" spans="1:11" s="1" customFormat="1" ht="21" customHeight="1" x14ac:dyDescent="0.4">
      <c r="A9" s="107" t="s">
        <v>132</v>
      </c>
      <c r="B9" s="107"/>
      <c r="C9" s="110">
        <v>0</v>
      </c>
      <c r="D9" s="110"/>
      <c r="E9" s="5">
        <f ca="1">((100/(F5+H5+I5))*C9)/100</f>
        <v>0</v>
      </c>
      <c r="F9" s="107"/>
      <c r="G9" s="107"/>
      <c r="H9" s="107"/>
      <c r="I9" s="107"/>
      <c r="J9" s="20" t="s">
        <v>123</v>
      </c>
      <c r="K9" s="25">
        <f ca="1">(IF(E5&gt;1,(I5/(E5+2)),I5*0.2))</f>
        <v>0.2</v>
      </c>
    </row>
    <row r="10" spans="1:11" s="1" customFormat="1" ht="21" customHeight="1" x14ac:dyDescent="0.4">
      <c r="A10" s="107" t="s">
        <v>133</v>
      </c>
      <c r="B10" s="107"/>
      <c r="C10" s="110">
        <v>0</v>
      </c>
      <c r="D10" s="110"/>
      <c r="E10" s="5">
        <f ca="1">((100/I5)*C10)/100</f>
        <v>0</v>
      </c>
      <c r="F10" s="107"/>
      <c r="G10" s="107"/>
      <c r="H10" s="107"/>
      <c r="I10" s="107"/>
      <c r="J10" s="20" t="s">
        <v>124</v>
      </c>
      <c r="K10" s="25">
        <f ca="1">(IF(E5&gt;1,(I5/(E5+2)+K9),I5*0.2+K9))</f>
        <v>0.4</v>
      </c>
    </row>
    <row r="11" spans="1:11" s="1" customFormat="1" ht="21" customHeight="1" x14ac:dyDescent="0.4">
      <c r="A11" s="112" t="s">
        <v>134</v>
      </c>
      <c r="B11" s="113"/>
      <c r="C11" s="110">
        <v>0</v>
      </c>
      <c r="D11" s="110"/>
      <c r="E11" s="5">
        <f ca="1">((100/I5)*C11)/100</f>
        <v>0</v>
      </c>
      <c r="F11" s="107"/>
      <c r="G11" s="107"/>
      <c r="H11" s="107"/>
      <c r="I11" s="107"/>
      <c r="J11" s="20" t="s">
        <v>135</v>
      </c>
      <c r="K11" s="25">
        <f ca="1">(IF(E5&gt;1,(I5/(E5+2)+K10),0))</f>
        <v>0.60000000000000009</v>
      </c>
    </row>
    <row r="12" spans="1:11" s="1" customFormat="1" ht="21" customHeight="1" x14ac:dyDescent="0.4">
      <c r="A12" s="112" t="s">
        <v>163</v>
      </c>
      <c r="B12" s="113"/>
      <c r="C12" s="110">
        <v>0</v>
      </c>
      <c r="D12" s="110"/>
      <c r="E12" s="5">
        <f ca="1">((100/I5)*C12)/100</f>
        <v>0</v>
      </c>
      <c r="F12" s="107"/>
      <c r="G12" s="107"/>
      <c r="H12" s="107"/>
      <c r="I12" s="107"/>
      <c r="J12" s="20" t="s">
        <v>136</v>
      </c>
      <c r="K12" s="25">
        <f ca="1">(IF(E5&gt;2,(I5/(E5+2)+K11),0))</f>
        <v>0.8</v>
      </c>
    </row>
    <row r="13" spans="1:11" s="1" customFormat="1" ht="57.75" customHeight="1" x14ac:dyDescent="0.4">
      <c r="A13" s="112" t="s">
        <v>160</v>
      </c>
      <c r="B13" s="113"/>
      <c r="C13" s="110">
        <v>0</v>
      </c>
      <c r="D13" s="110"/>
      <c r="E13" s="5">
        <f ca="1">((100/(I5))*C13)/100</f>
        <v>0</v>
      </c>
      <c r="F13" s="107"/>
      <c r="G13" s="107"/>
      <c r="H13" s="107"/>
      <c r="I13" s="107"/>
      <c r="J13" s="20" t="s">
        <v>138</v>
      </c>
      <c r="K13" s="26">
        <f>(IF(E5&gt;3,(I5/(E5+2)+K12),0))</f>
        <v>0</v>
      </c>
    </row>
    <row r="14" spans="1:11" s="1" customFormat="1" ht="21" x14ac:dyDescent="0.4">
      <c r="A14" s="107" t="s">
        <v>137</v>
      </c>
      <c r="B14" s="107"/>
      <c r="C14" s="110">
        <v>0</v>
      </c>
      <c r="D14" s="110"/>
      <c r="E14" s="5">
        <f ca="1">((100/(I5))*C14)/100</f>
        <v>0</v>
      </c>
      <c r="F14" s="107"/>
      <c r="G14" s="107"/>
      <c r="H14" s="107"/>
      <c r="I14" s="107"/>
      <c r="J14" s="20" t="s">
        <v>139</v>
      </c>
      <c r="K14" s="25">
        <f>(IF(E5&gt;4,(I5/(E5+2)+K13),0))</f>
        <v>0</v>
      </c>
    </row>
    <row r="15" spans="1:11" s="1" customFormat="1" ht="21" customHeight="1" x14ac:dyDescent="0.4">
      <c r="A15" s="107" t="s">
        <v>162</v>
      </c>
      <c r="B15" s="107"/>
      <c r="C15" s="110">
        <v>0</v>
      </c>
      <c r="D15" s="110"/>
      <c r="E15" s="5">
        <f ca="1">((100/I5)*C15)/100</f>
        <v>0</v>
      </c>
      <c r="F15" s="107"/>
      <c r="G15" s="107"/>
      <c r="H15" s="107"/>
      <c r="I15" s="107"/>
      <c r="J15" s="20" t="s">
        <v>125</v>
      </c>
      <c r="K15" s="25">
        <f>(IF(E5=1,(I5/(E5+3)+K10),IF(E5=0,(I5*0.3+K10),IF(E5&gt;1,0))))</f>
        <v>0</v>
      </c>
    </row>
    <row r="16" spans="1:11" s="1" customFormat="1" ht="21.6" thickBot="1" x14ac:dyDescent="0.45">
      <c r="A16" s="107" t="s">
        <v>161</v>
      </c>
      <c r="B16" s="107"/>
      <c r="C16" s="110">
        <v>0</v>
      </c>
      <c r="D16" s="110"/>
      <c r="E16" s="5">
        <f ca="1">((100/I5)*C16)/100</f>
        <v>0</v>
      </c>
      <c r="F16" s="107"/>
      <c r="G16" s="107"/>
      <c r="H16" s="107"/>
      <c r="I16" s="107"/>
      <c r="J16" s="22" t="s">
        <v>126</v>
      </c>
      <c r="K16" s="27">
        <f ca="1">(IF(E5&gt;1.5,(I5/(E5+2)+K10+MAX(0,K11-K10)+MAX(0,K12-K11)+MAX(0,K13-K12)+MAX(0,K14-K13)+MAX(0,K15-K14)),IF(E5=1,(I5/(E5+3)+K15),IF(E5=0,I5*0.3+K15))))</f>
        <v>1</v>
      </c>
    </row>
    <row r="17" spans="1:9" s="1" customFormat="1" ht="21" x14ac:dyDescent="0.3">
      <c r="A17" s="107" t="s">
        <v>140</v>
      </c>
      <c r="B17" s="107"/>
      <c r="C17" s="110">
        <v>0</v>
      </c>
      <c r="D17" s="110"/>
      <c r="E17" s="5">
        <f ca="1">((100/(I5))*C17)/100</f>
        <v>0</v>
      </c>
      <c r="F17" s="107"/>
      <c r="G17" s="107"/>
      <c r="H17" s="107"/>
      <c r="I17" s="107"/>
    </row>
    <row r="18" spans="1:9" s="1" customFormat="1" ht="21" x14ac:dyDescent="0.3">
      <c r="A18" s="107" t="s">
        <v>141</v>
      </c>
      <c r="B18" s="107"/>
      <c r="C18" s="110">
        <v>0</v>
      </c>
      <c r="D18" s="110"/>
      <c r="E18" s="5">
        <f ca="1">((100/(I5))*C18)/100</f>
        <v>0</v>
      </c>
      <c r="F18" s="107"/>
      <c r="G18" s="107"/>
      <c r="H18" s="107"/>
      <c r="I18" s="107"/>
    </row>
    <row r="23" spans="1:9" x14ac:dyDescent="0.3">
      <c r="B23" s="184" t="s">
        <v>164</v>
      </c>
      <c r="C23" s="184"/>
      <c r="D23" s="184"/>
      <c r="E23" s="184"/>
      <c r="F23" s="184"/>
      <c r="G23" s="184"/>
    </row>
    <row r="24" spans="1:9" ht="14.4" customHeight="1" x14ac:dyDescent="0.3">
      <c r="B24" s="179" t="s">
        <v>165</v>
      </c>
      <c r="C24" s="179" t="s">
        <v>166</v>
      </c>
      <c r="D24" s="182" t="s">
        <v>167</v>
      </c>
      <c r="E24" s="183" t="s">
        <v>168</v>
      </c>
      <c r="F24" s="180" t="s">
        <v>169</v>
      </c>
      <c r="G24" s="179" t="s">
        <v>170</v>
      </c>
    </row>
    <row r="25" spans="1:9" x14ac:dyDescent="0.3">
      <c r="B25" s="179"/>
      <c r="C25" s="179"/>
      <c r="D25" s="182"/>
      <c r="E25" s="183"/>
      <c r="F25" s="180"/>
      <c r="G25" s="179"/>
    </row>
    <row r="26" spans="1:9" x14ac:dyDescent="0.3">
      <c r="B26" s="35" t="s">
        <v>171</v>
      </c>
      <c r="C26" s="36">
        <v>10</v>
      </c>
      <c r="D26" s="36">
        <v>1</v>
      </c>
      <c r="E26" s="37"/>
      <c r="F26" s="38">
        <f>((E26/D26)*0.05)*100</f>
        <v>0</v>
      </c>
      <c r="G26" s="38">
        <f t="shared" ref="G26:G37" si="0">((E26/D26)*(C26/100))*100</f>
        <v>0</v>
      </c>
    </row>
    <row r="27" spans="1:9" x14ac:dyDescent="0.3">
      <c r="B27" s="35" t="s">
        <v>172</v>
      </c>
      <c r="C27" s="37">
        <v>10</v>
      </c>
      <c r="D27" s="37">
        <v>1</v>
      </c>
      <c r="E27" s="37"/>
      <c r="F27" s="38">
        <f>((E27/D27)*0.05)*100</f>
        <v>0</v>
      </c>
      <c r="G27" s="38">
        <f t="shared" si="0"/>
        <v>0</v>
      </c>
    </row>
    <row r="28" spans="1:9" x14ac:dyDescent="0.3">
      <c r="B28" s="35" t="s">
        <v>173</v>
      </c>
      <c r="C28" s="37">
        <v>15</v>
      </c>
      <c r="D28" s="37">
        <v>1</v>
      </c>
      <c r="E28" s="37"/>
      <c r="F28" s="38">
        <f>((E28/D28)*0.15)*100</f>
        <v>0</v>
      </c>
      <c r="G28" s="38">
        <f t="shared" si="0"/>
        <v>0</v>
      </c>
    </row>
    <row r="29" spans="1:9" x14ac:dyDescent="0.3">
      <c r="B29" s="39" t="s">
        <v>174</v>
      </c>
      <c r="C29" s="37">
        <v>25</v>
      </c>
      <c r="D29" s="37">
        <v>40</v>
      </c>
      <c r="E29" s="37"/>
      <c r="F29" s="38">
        <f>((E29/D29)*0.25)*100</f>
        <v>0</v>
      </c>
      <c r="G29" s="38">
        <f t="shared" si="0"/>
        <v>0</v>
      </c>
    </row>
    <row r="30" spans="1:9" x14ac:dyDescent="0.3">
      <c r="B30" s="39" t="s">
        <v>175</v>
      </c>
      <c r="C30" s="37">
        <v>5</v>
      </c>
      <c r="D30" s="37">
        <v>39</v>
      </c>
      <c r="E30" s="37"/>
      <c r="F30" s="38">
        <f>((E30/D30)*0.05)*100</f>
        <v>0</v>
      </c>
      <c r="G30" s="38">
        <f t="shared" si="0"/>
        <v>0</v>
      </c>
    </row>
    <row r="31" spans="1:9" ht="28.8" x14ac:dyDescent="0.3">
      <c r="B31" s="39" t="s">
        <v>176</v>
      </c>
      <c r="C31" s="37">
        <v>2.5</v>
      </c>
      <c r="D31" s="37">
        <v>39</v>
      </c>
      <c r="E31" s="37"/>
      <c r="F31" s="38">
        <f>((E31/D31)*0.025)*100</f>
        <v>0</v>
      </c>
      <c r="G31" s="38">
        <f t="shared" si="0"/>
        <v>0</v>
      </c>
    </row>
    <row r="32" spans="1:9" ht="28.8" x14ac:dyDescent="0.3">
      <c r="B32" s="39" t="s">
        <v>177</v>
      </c>
      <c r="C32" s="37">
        <v>2.5</v>
      </c>
      <c r="D32" s="37">
        <v>39</v>
      </c>
      <c r="E32" s="37"/>
      <c r="F32" s="38">
        <f>((E32/D32)*0.025)*100</f>
        <v>0</v>
      </c>
      <c r="G32" s="38">
        <f t="shared" si="0"/>
        <v>0</v>
      </c>
    </row>
    <row r="33" spans="1:7" ht="43.2" x14ac:dyDescent="0.3">
      <c r="B33" s="40" t="s">
        <v>178</v>
      </c>
      <c r="C33" s="37">
        <v>5</v>
      </c>
      <c r="D33" s="37">
        <v>39</v>
      </c>
      <c r="E33" s="37"/>
      <c r="F33" s="38">
        <f>((E33/D33)*0.05)*100</f>
        <v>0</v>
      </c>
      <c r="G33" s="38">
        <f t="shared" si="0"/>
        <v>0</v>
      </c>
    </row>
    <row r="34" spans="1:7" ht="28.8" x14ac:dyDescent="0.3">
      <c r="B34" s="40" t="s">
        <v>179</v>
      </c>
      <c r="C34" s="37">
        <v>5</v>
      </c>
      <c r="D34" s="37">
        <v>39</v>
      </c>
      <c r="E34" s="37"/>
      <c r="F34" s="38">
        <f>((E34/D34)*0.1)*100</f>
        <v>0</v>
      </c>
      <c r="G34" s="38">
        <f t="shared" si="0"/>
        <v>0</v>
      </c>
    </row>
    <row r="35" spans="1:7" ht="28.8" x14ac:dyDescent="0.3">
      <c r="B35" s="40" t="s">
        <v>180</v>
      </c>
      <c r="C35" s="37">
        <v>5</v>
      </c>
      <c r="D35" s="37">
        <v>39</v>
      </c>
      <c r="E35" s="37"/>
      <c r="F35" s="38">
        <f>((E35/D35)*0.05)*100</f>
        <v>0</v>
      </c>
      <c r="G35" s="38">
        <f t="shared" si="0"/>
        <v>0</v>
      </c>
    </row>
    <row r="36" spans="1:7" ht="43.2" x14ac:dyDescent="0.3">
      <c r="B36" s="40" t="s">
        <v>181</v>
      </c>
      <c r="C36" s="37">
        <v>10</v>
      </c>
      <c r="D36" s="37">
        <v>39</v>
      </c>
      <c r="E36" s="37"/>
      <c r="F36" s="38">
        <f>((E36/D36)*0.1)*100</f>
        <v>0</v>
      </c>
      <c r="G36" s="38">
        <f t="shared" si="0"/>
        <v>0</v>
      </c>
    </row>
    <row r="37" spans="1:7" ht="43.2" x14ac:dyDescent="0.3">
      <c r="B37" s="40" t="s">
        <v>182</v>
      </c>
      <c r="C37" s="37">
        <v>5</v>
      </c>
      <c r="D37" s="37">
        <v>39</v>
      </c>
      <c r="E37" s="37"/>
      <c r="F37" s="38">
        <f>((E37/D37)*0.1)*100</f>
        <v>0</v>
      </c>
      <c r="G37" s="38">
        <f t="shared" si="0"/>
        <v>0</v>
      </c>
    </row>
    <row r="38" spans="1:7" ht="15.6" x14ac:dyDescent="0.3">
      <c r="B38" s="41" t="s">
        <v>183</v>
      </c>
      <c r="C38" s="42">
        <f>SUM(C26:C37)</f>
        <v>100</v>
      </c>
      <c r="D38" s="41"/>
      <c r="E38" s="41"/>
      <c r="F38" s="42">
        <f>SUM(F26:F37)</f>
        <v>0</v>
      </c>
      <c r="G38" s="42">
        <f>SUM(G26:G37)</f>
        <v>0</v>
      </c>
    </row>
    <row r="39" spans="1:7" x14ac:dyDescent="0.3">
      <c r="B39" s="180" t="s">
        <v>184</v>
      </c>
      <c r="C39" s="180"/>
      <c r="D39" s="180"/>
      <c r="E39" s="180"/>
      <c r="F39" s="180"/>
      <c r="G39" s="180"/>
    </row>
    <row r="40" spans="1:7" x14ac:dyDescent="0.3">
      <c r="B40" s="181" t="s">
        <v>185</v>
      </c>
      <c r="C40" s="181"/>
      <c r="D40" s="181"/>
      <c r="E40" s="181" t="s">
        <v>186</v>
      </c>
      <c r="F40" s="181"/>
      <c r="G40" s="181"/>
    </row>
    <row r="41" spans="1:7" x14ac:dyDescent="0.3">
      <c r="B41" s="177" t="s">
        <v>187</v>
      </c>
      <c r="C41" s="177"/>
      <c r="D41" s="177"/>
      <c r="E41" s="177" t="s">
        <v>188</v>
      </c>
      <c r="F41" s="177"/>
      <c r="G41" s="177"/>
    </row>
    <row r="42" spans="1:7" x14ac:dyDescent="0.3">
      <c r="B42" s="177" t="s">
        <v>189</v>
      </c>
      <c r="C42" s="177"/>
      <c r="D42" s="177"/>
      <c r="E42" s="177" t="s">
        <v>190</v>
      </c>
      <c r="F42" s="177"/>
      <c r="G42" s="177"/>
    </row>
    <row r="43" spans="1:7" x14ac:dyDescent="0.3">
      <c r="B43" s="178" t="s">
        <v>191</v>
      </c>
      <c r="C43" s="178"/>
      <c r="D43" s="178"/>
      <c r="E43" s="178" t="s">
        <v>192</v>
      </c>
      <c r="F43" s="178"/>
      <c r="G43" s="178"/>
    </row>
    <row r="45" spans="1:7" ht="15" thickBot="1" x14ac:dyDescent="0.35"/>
    <row r="46" spans="1:7" ht="16.8" thickTop="1" thickBot="1" x14ac:dyDescent="0.35">
      <c r="A46" s="43" t="s">
        <v>193</v>
      </c>
      <c r="B46" s="43" t="s">
        <v>165</v>
      </c>
      <c r="C46" s="44" t="s">
        <v>194</v>
      </c>
      <c r="D46" s="44" t="s">
        <v>195</v>
      </c>
      <c r="E46" s="44" t="s">
        <v>196</v>
      </c>
    </row>
    <row r="47" spans="1:7" ht="30" thickTop="1" thickBot="1" x14ac:dyDescent="0.35">
      <c r="A47" s="45">
        <v>1</v>
      </c>
      <c r="B47" s="46" t="s">
        <v>197</v>
      </c>
      <c r="C47" s="47">
        <v>0</v>
      </c>
      <c r="D47" s="48">
        <v>0.1</v>
      </c>
      <c r="E47" s="47">
        <v>0.1</v>
      </c>
    </row>
    <row r="48" spans="1:7" ht="15.6" thickTop="1" thickBot="1" x14ac:dyDescent="0.35">
      <c r="A48" s="45">
        <v>2</v>
      </c>
      <c r="B48" s="46" t="s">
        <v>198</v>
      </c>
      <c r="C48" s="47" t="s">
        <v>199</v>
      </c>
      <c r="D48" s="48" t="s">
        <v>200</v>
      </c>
      <c r="E48" s="47">
        <v>0.3</v>
      </c>
    </row>
    <row r="49" spans="1:5" ht="58.8" thickTop="1" thickBot="1" x14ac:dyDescent="0.35">
      <c r="A49" s="45">
        <v>3</v>
      </c>
      <c r="B49" s="46" t="s">
        <v>201</v>
      </c>
      <c r="C49" s="47" t="s">
        <v>202</v>
      </c>
      <c r="D49" s="48" t="s">
        <v>203</v>
      </c>
      <c r="E49" s="47">
        <v>0.45</v>
      </c>
    </row>
    <row r="50" spans="1:5" ht="73.2" thickTop="1" thickBot="1" x14ac:dyDescent="0.35">
      <c r="A50" s="45">
        <v>4</v>
      </c>
      <c r="B50" s="46" t="s">
        <v>204</v>
      </c>
      <c r="C50" s="47" t="s">
        <v>205</v>
      </c>
      <c r="D50" s="48" t="s">
        <v>206</v>
      </c>
      <c r="E50" s="47">
        <v>0.7</v>
      </c>
    </row>
    <row r="51" spans="1:5" ht="58.8" thickTop="1" thickBot="1" x14ac:dyDescent="0.35">
      <c r="A51" s="45">
        <v>5</v>
      </c>
      <c r="B51" s="46" t="s">
        <v>207</v>
      </c>
      <c r="C51" s="47" t="s">
        <v>208</v>
      </c>
      <c r="D51" s="48" t="s">
        <v>209</v>
      </c>
      <c r="E51" s="47">
        <v>0.75</v>
      </c>
    </row>
    <row r="52" spans="1:5" ht="73.2" thickTop="1" thickBot="1" x14ac:dyDescent="0.35">
      <c r="A52" s="45">
        <v>6</v>
      </c>
      <c r="B52" s="46" t="s">
        <v>210</v>
      </c>
      <c r="C52" s="47" t="s">
        <v>211</v>
      </c>
      <c r="D52" s="48" t="s">
        <v>212</v>
      </c>
      <c r="E52" s="47">
        <v>0.8</v>
      </c>
    </row>
    <row r="53" spans="1:5" ht="102" thickTop="1" thickBot="1" x14ac:dyDescent="0.35">
      <c r="A53" s="45">
        <v>7</v>
      </c>
      <c r="B53" s="46" t="s">
        <v>213</v>
      </c>
      <c r="C53" s="47" t="s">
        <v>214</v>
      </c>
      <c r="D53" s="48" t="s">
        <v>215</v>
      </c>
      <c r="E53" s="47">
        <v>0.85</v>
      </c>
    </row>
    <row r="54" spans="1:5" ht="174" thickTop="1" thickBot="1" x14ac:dyDescent="0.35">
      <c r="A54" s="45">
        <v>8</v>
      </c>
      <c r="B54" s="46" t="s">
        <v>216</v>
      </c>
      <c r="C54" s="47" t="s">
        <v>217</v>
      </c>
      <c r="D54" s="48" t="s">
        <v>218</v>
      </c>
      <c r="E54" s="47">
        <v>0.95</v>
      </c>
    </row>
    <row r="55" spans="1:5" ht="87.6" thickTop="1" thickBot="1" x14ac:dyDescent="0.35">
      <c r="A55" s="45">
        <v>9</v>
      </c>
      <c r="B55" s="46" t="s">
        <v>219</v>
      </c>
      <c r="C55" s="47" t="s">
        <v>220</v>
      </c>
      <c r="D55" s="48" t="s">
        <v>221</v>
      </c>
      <c r="E55" s="47">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7">
        <v>1</v>
      </c>
      <c r="C2" s="54" t="s">
        <v>237</v>
      </c>
    </row>
    <row r="3" spans="2:3" x14ac:dyDescent="0.3">
      <c r="B3" s="37">
        <v>2</v>
      </c>
      <c r="C3" s="55" t="s">
        <v>238</v>
      </c>
    </row>
    <row r="4" spans="2:3" x14ac:dyDescent="0.3">
      <c r="B4" s="37">
        <v>3</v>
      </c>
      <c r="C4" s="37" t="s">
        <v>239</v>
      </c>
    </row>
    <row r="5" spans="2:3" x14ac:dyDescent="0.3">
      <c r="B5" s="37">
        <v>4</v>
      </c>
      <c r="C5" s="55" t="s">
        <v>240</v>
      </c>
    </row>
    <row r="6" spans="2:3" x14ac:dyDescent="0.3">
      <c r="B6" s="37">
        <v>5</v>
      </c>
      <c r="C6" s="37" t="s">
        <v>241</v>
      </c>
    </row>
    <row r="7" spans="2:3" x14ac:dyDescent="0.3">
      <c r="B7" s="37">
        <v>6</v>
      </c>
      <c r="C7" s="55" t="s">
        <v>242</v>
      </c>
    </row>
    <row r="8" spans="2:3" ht="72" x14ac:dyDescent="0.3">
      <c r="B8" s="37">
        <v>7</v>
      </c>
      <c r="C8" s="55" t="s">
        <v>243</v>
      </c>
    </row>
    <row r="9" spans="2:3" x14ac:dyDescent="0.3">
      <c r="B9" s="37">
        <v>8</v>
      </c>
      <c r="C9" s="37" t="s">
        <v>244</v>
      </c>
    </row>
    <row r="10" spans="2:3" x14ac:dyDescent="0.3">
      <c r="B10" s="37">
        <v>9</v>
      </c>
      <c r="C10" s="37" t="s">
        <v>245</v>
      </c>
    </row>
    <row r="11" spans="2:3" x14ac:dyDescent="0.3">
      <c r="B11" s="37">
        <v>10</v>
      </c>
      <c r="C11" s="37" t="s">
        <v>246</v>
      </c>
    </row>
    <row r="12" spans="2:3" x14ac:dyDescent="0.3">
      <c r="B12" s="37">
        <v>11</v>
      </c>
      <c r="C12" s="37" t="s">
        <v>247</v>
      </c>
    </row>
    <row r="13" spans="2:3" x14ac:dyDescent="0.3">
      <c r="B13" s="37">
        <v>12</v>
      </c>
      <c r="C13" s="37" t="s">
        <v>248</v>
      </c>
    </row>
    <row r="14" spans="2:3" x14ac:dyDescent="0.3">
      <c r="B14" s="37">
        <v>13</v>
      </c>
      <c r="C14" s="37" t="s">
        <v>249</v>
      </c>
    </row>
    <row r="15" spans="2:3" x14ac:dyDescent="0.3">
      <c r="B15" s="37">
        <v>14</v>
      </c>
      <c r="C15" s="37" t="s">
        <v>239</v>
      </c>
    </row>
    <row r="16" spans="2:3" x14ac:dyDescent="0.3">
      <c r="B16" s="37">
        <v>15</v>
      </c>
      <c r="C16" s="37" t="s">
        <v>234</v>
      </c>
    </row>
    <row r="17" spans="2:3" x14ac:dyDescent="0.3">
      <c r="B17" s="56">
        <v>16</v>
      </c>
      <c r="C17" s="57" t="s">
        <v>250</v>
      </c>
    </row>
    <row r="18" spans="2:3" x14ac:dyDescent="0.3">
      <c r="B18" s="58">
        <v>17</v>
      </c>
      <c r="C18" s="57" t="s">
        <v>251</v>
      </c>
    </row>
    <row r="19" spans="2:3" x14ac:dyDescent="0.3">
      <c r="B19" s="59">
        <v>18</v>
      </c>
      <c r="C19" s="37" t="s">
        <v>252</v>
      </c>
    </row>
    <row r="20" spans="2:3" x14ac:dyDescent="0.3">
      <c r="B20" s="58">
        <v>19</v>
      </c>
      <c r="C20" s="37" t="s">
        <v>253</v>
      </c>
    </row>
    <row r="21" spans="2:3" x14ac:dyDescent="0.3">
      <c r="B21" s="37">
        <v>20</v>
      </c>
      <c r="C21" s="37" t="s">
        <v>254</v>
      </c>
    </row>
    <row r="22" spans="2:3" x14ac:dyDescent="0.3">
      <c r="B22" s="58">
        <v>21</v>
      </c>
      <c r="C22" s="37" t="s">
        <v>252</v>
      </c>
    </row>
    <row r="23" spans="2:3" s="61" customFormat="1" ht="28.8" x14ac:dyDescent="0.3">
      <c r="B23" s="60">
        <v>22</v>
      </c>
      <c r="C23" s="54" t="s">
        <v>255</v>
      </c>
    </row>
    <row r="24" spans="2:3" s="61" customFormat="1" ht="28.8" x14ac:dyDescent="0.3">
      <c r="B24" s="62">
        <v>23</v>
      </c>
      <c r="C24" s="54" t="s">
        <v>256</v>
      </c>
    </row>
    <row r="25" spans="2:3" x14ac:dyDescent="0.3">
      <c r="B25" s="37">
        <v>24</v>
      </c>
      <c r="C25" s="37" t="s">
        <v>257</v>
      </c>
    </row>
    <row r="26" spans="2:3" x14ac:dyDescent="0.3">
      <c r="B26" s="58">
        <v>25</v>
      </c>
      <c r="C26" s="37" t="s">
        <v>258</v>
      </c>
    </row>
    <row r="27" spans="2:3" x14ac:dyDescent="0.3">
      <c r="B27" s="62">
        <v>26</v>
      </c>
      <c r="C27" s="37" t="s">
        <v>259</v>
      </c>
    </row>
    <row r="28" spans="2:3" x14ac:dyDescent="0.3">
      <c r="B28" s="58">
        <v>27</v>
      </c>
      <c r="C28" s="37" t="s">
        <v>260</v>
      </c>
    </row>
    <row r="29" spans="2:3" ht="43.2" x14ac:dyDescent="0.3">
      <c r="B29" s="63">
        <v>28</v>
      </c>
      <c r="C29" s="55" t="s">
        <v>261</v>
      </c>
    </row>
    <row r="30" spans="2:3" x14ac:dyDescent="0.3">
      <c r="B30" s="62">
        <v>29</v>
      </c>
      <c r="C30" s="37" t="s">
        <v>262</v>
      </c>
    </row>
    <row r="31" spans="2:3" ht="28.8" x14ac:dyDescent="0.3">
      <c r="B31" s="62">
        <v>30</v>
      </c>
      <c r="C31" s="55" t="s">
        <v>290</v>
      </c>
    </row>
    <row r="32" spans="2:3" x14ac:dyDescent="0.3">
      <c r="B32" s="62">
        <v>31</v>
      </c>
      <c r="C32" s="37" t="s">
        <v>291</v>
      </c>
    </row>
    <row r="33" spans="2:3" x14ac:dyDescent="0.3">
      <c r="B33" s="62">
        <v>32</v>
      </c>
      <c r="C33" s="37" t="s">
        <v>292</v>
      </c>
    </row>
    <row r="34" spans="2:3" ht="28.8" x14ac:dyDescent="0.3">
      <c r="B34" s="62">
        <v>33</v>
      </c>
      <c r="C34" s="57" t="s">
        <v>293</v>
      </c>
    </row>
    <row r="35" spans="2:3" x14ac:dyDescent="0.3">
      <c r="B35" s="62">
        <v>34</v>
      </c>
      <c r="C35" s="37"/>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4"/>
    <col min="2" max="2" width="12.33203125" style="64" customWidth="1"/>
    <col min="3" max="16384" width="9.109375" style="64"/>
  </cols>
  <sheetData>
    <row r="2" spans="1:12" x14ac:dyDescent="0.3">
      <c r="B2" s="65" t="s">
        <v>263</v>
      </c>
      <c r="C2" s="188"/>
      <c r="D2" s="188"/>
    </row>
    <row r="3" spans="1:12" x14ac:dyDescent="0.3">
      <c r="D3" s="66"/>
      <c r="E3" s="66"/>
      <c r="F3" s="66"/>
      <c r="G3" s="66"/>
      <c r="H3" s="66"/>
      <c r="I3" s="66"/>
    </row>
    <row r="4" spans="1:12" x14ac:dyDescent="0.3">
      <c r="A4" s="65" t="s">
        <v>264</v>
      </c>
      <c r="B4" s="53" t="s">
        <v>265</v>
      </c>
      <c r="C4" s="189" t="s">
        <v>266</v>
      </c>
      <c r="D4" s="189"/>
      <c r="E4" s="189"/>
      <c r="F4" s="53"/>
      <c r="G4" s="190" t="s">
        <v>267</v>
      </c>
      <c r="H4" s="190"/>
      <c r="I4" s="190"/>
      <c r="J4" s="191" t="s">
        <v>268</v>
      </c>
      <c r="K4" s="191"/>
      <c r="L4" s="191"/>
    </row>
    <row r="5" spans="1:12" x14ac:dyDescent="0.3">
      <c r="A5" s="65"/>
      <c r="B5" s="53"/>
      <c r="C5" s="53" t="s">
        <v>269</v>
      </c>
      <c r="D5" s="53" t="s">
        <v>270</v>
      </c>
      <c r="E5" s="53" t="s">
        <v>271</v>
      </c>
      <c r="F5" s="53"/>
      <c r="G5" s="53" t="s">
        <v>269</v>
      </c>
      <c r="H5" s="53" t="s">
        <v>270</v>
      </c>
      <c r="I5" s="53" t="s">
        <v>271</v>
      </c>
      <c r="J5" s="53" t="s">
        <v>269</v>
      </c>
      <c r="K5" s="53" t="s">
        <v>270</v>
      </c>
      <c r="L5" s="53" t="s">
        <v>271</v>
      </c>
    </row>
    <row r="6" spans="1:12" x14ac:dyDescent="0.3">
      <c r="B6" s="52" t="s">
        <v>272</v>
      </c>
      <c r="C6" s="52"/>
      <c r="D6" s="52"/>
      <c r="E6" s="52">
        <f>C6*D6</f>
        <v>0</v>
      </c>
      <c r="F6" s="52" t="s">
        <v>273</v>
      </c>
      <c r="G6" s="52"/>
      <c r="H6" s="52"/>
      <c r="I6" s="52">
        <f>G6*H6</f>
        <v>0</v>
      </c>
      <c r="J6" s="52"/>
      <c r="K6" s="52"/>
      <c r="L6" s="52">
        <f>J6*K6</f>
        <v>0</v>
      </c>
    </row>
    <row r="7" spans="1:12" x14ac:dyDescent="0.3">
      <c r="B7" s="52"/>
      <c r="C7" s="52"/>
      <c r="D7" s="52"/>
      <c r="E7" s="52">
        <f t="shared" ref="E7:E41" si="0">C7*D7</f>
        <v>0</v>
      </c>
      <c r="F7" s="52" t="s">
        <v>273</v>
      </c>
      <c r="G7" s="52"/>
      <c r="H7" s="52"/>
      <c r="I7" s="52">
        <f t="shared" ref="I7:I35" si="1">G7*H7</f>
        <v>0</v>
      </c>
      <c r="J7" s="52"/>
      <c r="K7" s="52"/>
      <c r="L7" s="52">
        <f t="shared" ref="L7:L35" si="2">J7*K7</f>
        <v>0</v>
      </c>
    </row>
    <row r="8" spans="1:12" x14ac:dyDescent="0.3">
      <c r="B8" s="52"/>
      <c r="C8" s="52"/>
      <c r="D8" s="52"/>
      <c r="E8" s="52">
        <f t="shared" si="0"/>
        <v>0</v>
      </c>
      <c r="F8" s="52"/>
      <c r="G8" s="52"/>
      <c r="H8" s="52"/>
      <c r="I8" s="52">
        <f t="shared" si="1"/>
        <v>0</v>
      </c>
      <c r="J8" s="52"/>
      <c r="K8" s="52"/>
      <c r="L8" s="52">
        <f t="shared" si="2"/>
        <v>0</v>
      </c>
    </row>
    <row r="9" spans="1:12" x14ac:dyDescent="0.3">
      <c r="B9" s="52"/>
      <c r="C9" s="52"/>
      <c r="D9" s="52"/>
      <c r="E9" s="52">
        <f t="shared" si="0"/>
        <v>0</v>
      </c>
      <c r="F9" s="52" t="s">
        <v>274</v>
      </c>
      <c r="G9" s="52"/>
      <c r="H9" s="52"/>
      <c r="I9" s="52">
        <f t="shared" si="1"/>
        <v>0</v>
      </c>
      <c r="J9" s="52"/>
      <c r="K9" s="52"/>
      <c r="L9" s="52">
        <f t="shared" si="2"/>
        <v>0</v>
      </c>
    </row>
    <row r="10" spans="1:12" x14ac:dyDescent="0.3">
      <c r="B10" s="52" t="s">
        <v>275</v>
      </c>
      <c r="C10" s="52"/>
      <c r="D10" s="52"/>
      <c r="E10" s="52">
        <f t="shared" si="0"/>
        <v>0</v>
      </c>
      <c r="F10" s="52" t="s">
        <v>274</v>
      </c>
      <c r="G10" s="52"/>
      <c r="H10" s="52"/>
      <c r="I10" s="52">
        <f t="shared" si="1"/>
        <v>0</v>
      </c>
      <c r="J10" s="52"/>
      <c r="K10" s="52"/>
      <c r="L10" s="52">
        <f t="shared" si="2"/>
        <v>0</v>
      </c>
    </row>
    <row r="11" spans="1:12" x14ac:dyDescent="0.3">
      <c r="B11" s="52"/>
      <c r="C11" s="52"/>
      <c r="D11" s="52"/>
      <c r="E11" s="52">
        <f t="shared" si="0"/>
        <v>0</v>
      </c>
      <c r="F11" s="52" t="s">
        <v>276</v>
      </c>
      <c r="G11" s="52"/>
      <c r="H11" s="52"/>
      <c r="I11" s="52">
        <f t="shared" si="1"/>
        <v>0</v>
      </c>
      <c r="J11" s="52"/>
      <c r="K11" s="52"/>
      <c r="L11" s="52">
        <f t="shared" si="2"/>
        <v>0</v>
      </c>
    </row>
    <row r="12" spans="1:12" x14ac:dyDescent="0.3">
      <c r="B12" s="52"/>
      <c r="C12" s="52"/>
      <c r="D12" s="52"/>
      <c r="E12" s="52">
        <f t="shared" si="0"/>
        <v>0</v>
      </c>
      <c r="F12" s="52"/>
      <c r="G12" s="52"/>
      <c r="H12" s="52"/>
      <c r="I12" s="52">
        <f t="shared" si="1"/>
        <v>0</v>
      </c>
      <c r="J12" s="52"/>
      <c r="K12" s="52"/>
      <c r="L12" s="52">
        <f t="shared" si="2"/>
        <v>0</v>
      </c>
    </row>
    <row r="13" spans="1:12" x14ac:dyDescent="0.3">
      <c r="B13" s="52"/>
      <c r="C13" s="52"/>
      <c r="D13" s="52"/>
      <c r="E13" s="52">
        <f t="shared" si="0"/>
        <v>0</v>
      </c>
      <c r="F13" s="52"/>
      <c r="G13" s="52"/>
      <c r="H13" s="52"/>
      <c r="I13" s="52">
        <f t="shared" si="1"/>
        <v>0</v>
      </c>
      <c r="J13" s="52"/>
      <c r="K13" s="52"/>
      <c r="L13" s="52">
        <f t="shared" si="2"/>
        <v>0</v>
      </c>
    </row>
    <row r="14" spans="1:12" x14ac:dyDescent="0.3">
      <c r="B14" s="52" t="s">
        <v>277</v>
      </c>
      <c r="C14" s="52"/>
      <c r="D14" s="52"/>
      <c r="E14" s="52">
        <f t="shared" si="0"/>
        <v>0</v>
      </c>
      <c r="F14" s="52" t="s">
        <v>274</v>
      </c>
      <c r="G14" s="52"/>
      <c r="H14" s="52"/>
      <c r="I14" s="52">
        <f t="shared" si="1"/>
        <v>0</v>
      </c>
      <c r="J14" s="52"/>
      <c r="K14" s="52"/>
      <c r="L14" s="52">
        <f t="shared" si="2"/>
        <v>0</v>
      </c>
    </row>
    <row r="15" spans="1:12" x14ac:dyDescent="0.3">
      <c r="B15" s="52"/>
      <c r="C15" s="52"/>
      <c r="D15" s="52"/>
      <c r="E15" s="52">
        <f t="shared" si="0"/>
        <v>0</v>
      </c>
      <c r="F15" s="52" t="s">
        <v>276</v>
      </c>
      <c r="G15" s="52"/>
      <c r="H15" s="52"/>
      <c r="I15" s="52">
        <f t="shared" si="1"/>
        <v>0</v>
      </c>
      <c r="J15" s="52"/>
      <c r="K15" s="52"/>
      <c r="L15" s="52">
        <f t="shared" si="2"/>
        <v>0</v>
      </c>
    </row>
    <row r="16" spans="1:12" x14ac:dyDescent="0.3">
      <c r="B16" s="52"/>
      <c r="C16" s="52"/>
      <c r="D16" s="52"/>
      <c r="E16" s="52">
        <f t="shared" si="0"/>
        <v>0</v>
      </c>
      <c r="F16" s="52"/>
      <c r="G16" s="52"/>
      <c r="H16" s="52"/>
      <c r="I16" s="52">
        <f t="shared" si="1"/>
        <v>0</v>
      </c>
      <c r="J16" s="52"/>
      <c r="K16" s="52"/>
      <c r="L16" s="52">
        <f t="shared" si="2"/>
        <v>0</v>
      </c>
    </row>
    <row r="17" spans="2:12" x14ac:dyDescent="0.3">
      <c r="B17" s="52"/>
      <c r="C17" s="52"/>
      <c r="D17" s="52"/>
      <c r="E17" s="52">
        <f t="shared" si="0"/>
        <v>0</v>
      </c>
      <c r="F17" s="52"/>
      <c r="G17" s="52"/>
      <c r="H17" s="52"/>
      <c r="I17" s="52">
        <f t="shared" si="1"/>
        <v>0</v>
      </c>
      <c r="J17" s="52"/>
      <c r="K17" s="52"/>
      <c r="L17" s="52">
        <f t="shared" si="2"/>
        <v>0</v>
      </c>
    </row>
    <row r="18" spans="2:12" x14ac:dyDescent="0.3">
      <c r="B18" s="52" t="s">
        <v>278</v>
      </c>
      <c r="C18" s="52"/>
      <c r="D18" s="52"/>
      <c r="E18" s="52">
        <f t="shared" si="0"/>
        <v>0</v>
      </c>
      <c r="F18" s="52" t="s">
        <v>274</v>
      </c>
      <c r="G18" s="52"/>
      <c r="H18" s="52"/>
      <c r="I18" s="52">
        <f t="shared" si="1"/>
        <v>0</v>
      </c>
      <c r="J18" s="52"/>
      <c r="K18" s="52"/>
      <c r="L18" s="52">
        <f t="shared" si="2"/>
        <v>0</v>
      </c>
    </row>
    <row r="19" spans="2:12" x14ac:dyDescent="0.3">
      <c r="B19" s="52"/>
      <c r="C19" s="52"/>
      <c r="D19" s="52"/>
      <c r="E19" s="52">
        <f t="shared" si="0"/>
        <v>0</v>
      </c>
      <c r="F19" s="52" t="s">
        <v>276</v>
      </c>
      <c r="G19" s="52"/>
      <c r="H19" s="52"/>
      <c r="I19" s="52">
        <f t="shared" si="1"/>
        <v>0</v>
      </c>
      <c r="J19" s="52"/>
      <c r="K19" s="52"/>
      <c r="L19" s="52">
        <f t="shared" si="2"/>
        <v>0</v>
      </c>
    </row>
    <row r="20" spans="2:12" x14ac:dyDescent="0.3">
      <c r="B20" s="52"/>
      <c r="C20" s="52"/>
      <c r="D20" s="52"/>
      <c r="E20" s="52">
        <f t="shared" si="0"/>
        <v>0</v>
      </c>
      <c r="F20" s="52"/>
      <c r="G20" s="52"/>
      <c r="H20" s="52"/>
      <c r="I20" s="52">
        <f t="shared" si="1"/>
        <v>0</v>
      </c>
      <c r="J20" s="52"/>
      <c r="K20" s="52"/>
      <c r="L20" s="52">
        <f t="shared" si="2"/>
        <v>0</v>
      </c>
    </row>
    <row r="21" spans="2:12" x14ac:dyDescent="0.3">
      <c r="B21" s="52" t="s">
        <v>279</v>
      </c>
      <c r="C21" s="52"/>
      <c r="D21" s="52"/>
      <c r="E21" s="52">
        <f t="shared" si="0"/>
        <v>0</v>
      </c>
      <c r="F21" s="52" t="s">
        <v>274</v>
      </c>
      <c r="G21" s="52"/>
      <c r="H21" s="52"/>
      <c r="I21" s="52">
        <f t="shared" si="1"/>
        <v>0</v>
      </c>
      <c r="J21" s="52"/>
      <c r="K21" s="52"/>
      <c r="L21" s="52">
        <f t="shared" si="2"/>
        <v>0</v>
      </c>
    </row>
    <row r="22" spans="2:12" x14ac:dyDescent="0.3">
      <c r="B22" s="52"/>
      <c r="C22" s="52"/>
      <c r="D22" s="52"/>
      <c r="E22" s="52">
        <f t="shared" si="0"/>
        <v>0</v>
      </c>
      <c r="F22" s="52" t="s">
        <v>276</v>
      </c>
      <c r="G22" s="52"/>
      <c r="H22" s="52"/>
      <c r="I22" s="52">
        <f t="shared" si="1"/>
        <v>0</v>
      </c>
      <c r="J22" s="52"/>
      <c r="K22" s="52"/>
      <c r="L22" s="52">
        <f t="shared" si="2"/>
        <v>0</v>
      </c>
    </row>
    <row r="23" spans="2:12" x14ac:dyDescent="0.3">
      <c r="B23" s="52"/>
      <c r="C23" s="52"/>
      <c r="D23" s="52"/>
      <c r="E23" s="52">
        <f t="shared" si="0"/>
        <v>0</v>
      </c>
      <c r="F23" s="52"/>
      <c r="G23" s="52"/>
      <c r="H23" s="52"/>
      <c r="I23" s="52">
        <f t="shared" si="1"/>
        <v>0</v>
      </c>
      <c r="J23" s="52"/>
      <c r="K23" s="52"/>
      <c r="L23" s="52">
        <f t="shared" si="2"/>
        <v>0</v>
      </c>
    </row>
    <row r="24" spans="2:12" x14ac:dyDescent="0.3">
      <c r="B24" s="52" t="s">
        <v>280</v>
      </c>
      <c r="C24" s="52"/>
      <c r="D24" s="52"/>
      <c r="E24" s="52">
        <f t="shared" si="0"/>
        <v>0</v>
      </c>
      <c r="F24" s="52" t="s">
        <v>281</v>
      </c>
      <c r="G24" s="52"/>
      <c r="H24" s="52"/>
      <c r="I24" s="52">
        <f t="shared" si="1"/>
        <v>0</v>
      </c>
      <c r="J24" s="52"/>
      <c r="K24" s="52"/>
      <c r="L24" s="52">
        <f t="shared" si="2"/>
        <v>0</v>
      </c>
    </row>
    <row r="25" spans="2:12" x14ac:dyDescent="0.3">
      <c r="B25" s="52"/>
      <c r="C25" s="52"/>
      <c r="D25" s="52"/>
      <c r="E25" s="52">
        <f t="shared" si="0"/>
        <v>0</v>
      </c>
      <c r="F25" s="52" t="s">
        <v>281</v>
      </c>
      <c r="G25" s="52"/>
      <c r="H25" s="52"/>
      <c r="I25" s="52">
        <f t="shared" si="1"/>
        <v>0</v>
      </c>
      <c r="J25" s="52"/>
      <c r="K25" s="52"/>
      <c r="L25" s="52">
        <f t="shared" si="2"/>
        <v>0</v>
      </c>
    </row>
    <row r="26" spans="2:12" x14ac:dyDescent="0.3">
      <c r="B26" s="52"/>
      <c r="C26" s="52"/>
      <c r="D26" s="52"/>
      <c r="E26" s="52">
        <f t="shared" si="0"/>
        <v>0</v>
      </c>
      <c r="F26" s="52" t="s">
        <v>281</v>
      </c>
      <c r="G26" s="52"/>
      <c r="H26" s="52"/>
      <c r="I26" s="52">
        <f t="shared" si="1"/>
        <v>0</v>
      </c>
      <c r="J26" s="52"/>
      <c r="K26" s="52"/>
      <c r="L26" s="52">
        <f t="shared" si="2"/>
        <v>0</v>
      </c>
    </row>
    <row r="27" spans="2:12" x14ac:dyDescent="0.3">
      <c r="B27" s="52"/>
      <c r="C27" s="52"/>
      <c r="D27" s="52"/>
      <c r="E27" s="52">
        <f t="shared" si="0"/>
        <v>0</v>
      </c>
      <c r="F27" s="52" t="s">
        <v>281</v>
      </c>
      <c r="G27" s="52"/>
      <c r="H27" s="52"/>
      <c r="I27" s="52">
        <f t="shared" si="1"/>
        <v>0</v>
      </c>
      <c r="J27" s="52"/>
      <c r="K27" s="52"/>
      <c r="L27" s="52">
        <f t="shared" si="2"/>
        <v>0</v>
      </c>
    </row>
    <row r="28" spans="2:12" x14ac:dyDescent="0.3">
      <c r="B28" s="52" t="s">
        <v>282</v>
      </c>
      <c r="C28" s="52"/>
      <c r="D28" s="52"/>
      <c r="E28" s="52">
        <f t="shared" si="0"/>
        <v>0</v>
      </c>
      <c r="F28" s="52" t="s">
        <v>281</v>
      </c>
      <c r="G28" s="52"/>
      <c r="H28" s="52"/>
      <c r="I28" s="52">
        <f t="shared" si="1"/>
        <v>0</v>
      </c>
      <c r="J28" s="52"/>
      <c r="K28" s="52"/>
      <c r="L28" s="52">
        <f t="shared" si="2"/>
        <v>0</v>
      </c>
    </row>
    <row r="29" spans="2:12" x14ac:dyDescent="0.3">
      <c r="B29" s="52" t="s">
        <v>283</v>
      </c>
      <c r="C29" s="52"/>
      <c r="D29" s="52"/>
      <c r="E29" s="52">
        <f t="shared" si="0"/>
        <v>0</v>
      </c>
      <c r="F29" s="52" t="s">
        <v>281</v>
      </c>
      <c r="G29" s="52"/>
      <c r="H29" s="52"/>
      <c r="I29" s="52">
        <f t="shared" si="1"/>
        <v>0</v>
      </c>
      <c r="J29" s="52"/>
      <c r="K29" s="52"/>
      <c r="L29" s="52">
        <f t="shared" si="2"/>
        <v>0</v>
      </c>
    </row>
    <row r="30" spans="2:12" x14ac:dyDescent="0.3">
      <c r="B30" s="52" t="s">
        <v>284</v>
      </c>
      <c r="C30" s="52"/>
      <c r="D30" s="52"/>
      <c r="E30" s="52">
        <f t="shared" si="0"/>
        <v>0</v>
      </c>
      <c r="F30" s="52"/>
      <c r="G30" s="52"/>
      <c r="H30" s="52"/>
      <c r="I30" s="52">
        <f t="shared" si="1"/>
        <v>0</v>
      </c>
      <c r="J30" s="52"/>
      <c r="K30" s="52"/>
      <c r="L30" s="52">
        <f t="shared" si="2"/>
        <v>0</v>
      </c>
    </row>
    <row r="31" spans="2:12" x14ac:dyDescent="0.3">
      <c r="B31" s="52"/>
      <c r="C31" s="52"/>
      <c r="D31" s="52"/>
      <c r="E31" s="52">
        <f t="shared" si="0"/>
        <v>0</v>
      </c>
      <c r="F31" s="52"/>
      <c r="G31" s="52"/>
      <c r="H31" s="52"/>
      <c r="I31" s="52">
        <f t="shared" si="1"/>
        <v>0</v>
      </c>
      <c r="J31" s="52"/>
      <c r="K31" s="52"/>
      <c r="L31" s="52">
        <f t="shared" si="2"/>
        <v>0</v>
      </c>
    </row>
    <row r="32" spans="2:12" x14ac:dyDescent="0.3">
      <c r="B32" s="52"/>
      <c r="C32" s="52"/>
      <c r="D32" s="52"/>
      <c r="E32" s="52">
        <f t="shared" si="0"/>
        <v>0</v>
      </c>
      <c r="F32" s="52"/>
      <c r="G32" s="52"/>
      <c r="H32" s="52"/>
      <c r="I32" s="52">
        <f t="shared" si="1"/>
        <v>0</v>
      </c>
      <c r="J32" s="52"/>
      <c r="K32" s="52"/>
      <c r="L32" s="52">
        <f t="shared" si="2"/>
        <v>0</v>
      </c>
    </row>
    <row r="33" spans="2:12" x14ac:dyDescent="0.3">
      <c r="B33" s="52" t="s">
        <v>285</v>
      </c>
      <c r="C33" s="52"/>
      <c r="D33" s="52"/>
      <c r="E33" s="52">
        <f t="shared" si="0"/>
        <v>0</v>
      </c>
      <c r="F33" s="52"/>
      <c r="G33" s="52"/>
      <c r="H33" s="52"/>
      <c r="I33" s="52">
        <f t="shared" si="1"/>
        <v>0</v>
      </c>
      <c r="J33" s="52"/>
      <c r="K33" s="52"/>
      <c r="L33" s="52">
        <f t="shared" si="2"/>
        <v>0</v>
      </c>
    </row>
    <row r="34" spans="2:12" x14ac:dyDescent="0.3">
      <c r="B34" s="52" t="s">
        <v>286</v>
      </c>
      <c r="C34" s="52"/>
      <c r="D34" s="52"/>
      <c r="E34" s="52">
        <f t="shared" si="0"/>
        <v>0</v>
      </c>
      <c r="F34" s="52"/>
      <c r="G34" s="52"/>
      <c r="H34" s="52"/>
      <c r="I34" s="52">
        <f t="shared" si="1"/>
        <v>0</v>
      </c>
      <c r="J34" s="52"/>
      <c r="K34" s="52"/>
      <c r="L34" s="52">
        <f t="shared" si="2"/>
        <v>0</v>
      </c>
    </row>
    <row r="35" spans="2:12" x14ac:dyDescent="0.3">
      <c r="B35" s="52" t="s">
        <v>287</v>
      </c>
      <c r="C35" s="52"/>
      <c r="D35" s="52"/>
      <c r="E35" s="52">
        <f t="shared" si="0"/>
        <v>0</v>
      </c>
      <c r="F35" s="52"/>
      <c r="G35" s="52"/>
      <c r="H35" s="52"/>
      <c r="I35" s="52">
        <f t="shared" si="1"/>
        <v>0</v>
      </c>
      <c r="J35" s="52"/>
      <c r="K35" s="52"/>
      <c r="L35" s="52">
        <f t="shared" si="2"/>
        <v>0</v>
      </c>
    </row>
    <row r="36" spans="2:12" x14ac:dyDescent="0.3">
      <c r="B36" s="52" t="s">
        <v>288</v>
      </c>
      <c r="C36" s="52"/>
      <c r="D36" s="52"/>
      <c r="E36" s="52">
        <f t="shared" si="0"/>
        <v>0</v>
      </c>
      <c r="F36" s="52"/>
      <c r="G36" s="52"/>
      <c r="H36" s="52"/>
      <c r="I36" s="52">
        <f>G36*H36</f>
        <v>0</v>
      </c>
      <c r="J36" s="52"/>
      <c r="K36" s="52"/>
      <c r="L36" s="52">
        <f>J36*K36</f>
        <v>0</v>
      </c>
    </row>
    <row r="37" spans="2:12" x14ac:dyDescent="0.3">
      <c r="B37" s="52"/>
      <c r="C37" s="52"/>
      <c r="D37" s="52"/>
      <c r="E37" s="52">
        <f t="shared" si="0"/>
        <v>0</v>
      </c>
      <c r="F37" s="52"/>
      <c r="G37" s="52"/>
      <c r="H37" s="52"/>
      <c r="I37" s="52">
        <f t="shared" ref="I37:I38" si="3">G37*H37</f>
        <v>0</v>
      </c>
      <c r="J37" s="52"/>
      <c r="K37" s="52"/>
      <c r="L37" s="52">
        <f t="shared" ref="L37:L38" si="4">J37*K37</f>
        <v>0</v>
      </c>
    </row>
    <row r="38" spans="2:12" x14ac:dyDescent="0.3">
      <c r="B38" s="52" t="s">
        <v>289</v>
      </c>
      <c r="C38" s="52"/>
      <c r="D38" s="52"/>
      <c r="E38" s="52">
        <f t="shared" si="0"/>
        <v>0</v>
      </c>
      <c r="F38" s="52"/>
      <c r="G38" s="52"/>
      <c r="H38" s="52"/>
      <c r="I38" s="52">
        <f t="shared" si="3"/>
        <v>0</v>
      </c>
      <c r="J38" s="52"/>
      <c r="K38" s="52"/>
      <c r="L38" s="52">
        <f t="shared" si="4"/>
        <v>0</v>
      </c>
    </row>
    <row r="39" spans="2:12" x14ac:dyDescent="0.3">
      <c r="B39" s="52"/>
      <c r="C39" s="52"/>
      <c r="D39" s="52"/>
      <c r="E39" s="52">
        <f t="shared" si="0"/>
        <v>0</v>
      </c>
      <c r="F39" s="52"/>
      <c r="G39" s="52"/>
      <c r="H39" s="52"/>
      <c r="I39" s="52">
        <f>G39*H39</f>
        <v>0</v>
      </c>
      <c r="J39" s="52"/>
      <c r="K39" s="52"/>
      <c r="L39" s="52">
        <f>J39*K39</f>
        <v>0</v>
      </c>
    </row>
    <row r="40" spans="2:12" x14ac:dyDescent="0.3">
      <c r="B40" s="52"/>
      <c r="C40" s="52"/>
      <c r="D40" s="52"/>
      <c r="E40" s="52">
        <f t="shared" si="0"/>
        <v>0</v>
      </c>
      <c r="F40" s="52"/>
      <c r="G40" s="52"/>
      <c r="H40" s="52"/>
      <c r="I40" s="52">
        <f>G40*H40</f>
        <v>0</v>
      </c>
      <c r="J40" s="52"/>
      <c r="K40" s="52"/>
      <c r="L40" s="52">
        <f>J40*K40</f>
        <v>0</v>
      </c>
    </row>
    <row r="41" spans="2:12" x14ac:dyDescent="0.3">
      <c r="B41" s="52"/>
      <c r="C41" s="52"/>
      <c r="D41" s="52"/>
      <c r="E41" s="52">
        <f t="shared" si="0"/>
        <v>0</v>
      </c>
      <c r="F41" s="52"/>
      <c r="G41" s="52"/>
      <c r="H41" s="52"/>
      <c r="I41" s="52">
        <f>G41*H41</f>
        <v>0</v>
      </c>
      <c r="J41" s="52"/>
      <c r="K41" s="52"/>
      <c r="L41" s="52">
        <f>J41*K41</f>
        <v>0</v>
      </c>
    </row>
    <row r="42" spans="2:12" x14ac:dyDescent="0.3">
      <c r="B42" s="52" t="s">
        <v>150</v>
      </c>
      <c r="C42" s="52"/>
      <c r="D42" s="52">
        <f>E42*10.764</f>
        <v>0</v>
      </c>
      <c r="E42" s="67">
        <f>SUM(E6:E41)</f>
        <v>0</v>
      </c>
      <c r="F42" s="52"/>
      <c r="G42" s="52"/>
      <c r="H42" s="52">
        <f>I42*10.764</f>
        <v>0</v>
      </c>
      <c r="I42" s="68">
        <f>SUM(I6:I41)</f>
        <v>0</v>
      </c>
      <c r="J42" s="52"/>
      <c r="K42" s="52">
        <f>L42*10.764</f>
        <v>0</v>
      </c>
      <c r="L42" s="69">
        <f>SUM(L6:L41)</f>
        <v>0</v>
      </c>
    </row>
    <row r="44" spans="2:12" x14ac:dyDescent="0.3">
      <c r="D44" s="64">
        <f>D42+H42</f>
        <v>0</v>
      </c>
      <c r="E44" s="6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2025-09-15T09:56:11Z</cp:lastPrinted>
  <dcterms:created xsi:type="dcterms:W3CDTF">2010-11-23T11:42:48Z</dcterms:created>
  <dcterms:modified xsi:type="dcterms:W3CDTF">2025-09-15T10:00:44Z</dcterms:modified>
</cp:coreProperties>
</file>