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51\Downloads\19365 - A V SMART CITY PHASE 1 - P\"/>
    </mc:Choice>
  </mc:AlternateContent>
  <bookViews>
    <workbookView xWindow="0" yWindow="0" windowWidth="19200" windowHeight="6645" tabRatio="725"/>
  </bookViews>
  <sheets>
    <sheet name="Report" sheetId="1" r:id="rId1"/>
    <sheet name="valuation" sheetId="5" r:id="rId2"/>
    <sheet name="Research" sheetId="4" r:id="rId3"/>
    <sheet name="Remarks" sheetId="6" r:id="rId4"/>
    <sheet name="Area Calculation" sheetId="7" r:id="rId5"/>
  </sheets>
  <definedNames>
    <definedName name="_xlnm.Print_Area" localSheetId="0">Report!$A$1:$H$582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38" i="1" l="1"/>
  <c r="G337" i="1"/>
  <c r="G383" i="1"/>
  <c r="G382" i="1"/>
  <c r="A292" i="1" l="1"/>
  <c r="A293" i="1" s="1"/>
  <c r="A294" i="1" s="1"/>
  <c r="A295" i="1" s="1"/>
  <c r="A296" i="1" s="1"/>
  <c r="A297" i="1" s="1"/>
  <c r="A298" i="1" s="1"/>
  <c r="A299" i="1" s="1"/>
  <c r="G267" i="1"/>
  <c r="A266" i="1"/>
  <c r="A267" i="1" s="1"/>
  <c r="A268" i="1" s="1"/>
  <c r="A269" i="1" s="1"/>
  <c r="A270" i="1" s="1"/>
  <c r="A271" i="1" s="1"/>
  <c r="A272" i="1" s="1"/>
  <c r="A273" i="1" s="1"/>
  <c r="G400" i="1" l="1"/>
  <c r="G399" i="1"/>
  <c r="G398" i="1"/>
  <c r="G397" i="1"/>
  <c r="G381" i="1"/>
  <c r="G380" i="1"/>
  <c r="G365" i="1"/>
  <c r="G364" i="1"/>
  <c r="G363" i="1"/>
  <c r="G362" i="1"/>
  <c r="G357" i="1"/>
  <c r="G356" i="1"/>
  <c r="G355" i="1"/>
  <c r="G354" i="1"/>
  <c r="G340" i="1"/>
  <c r="G339" i="1"/>
  <c r="G323" i="1"/>
  <c r="G322" i="1"/>
  <c r="G321" i="1"/>
  <c r="G320" i="1"/>
  <c r="G314" i="1"/>
  <c r="G313" i="1"/>
  <c r="G312" i="1"/>
  <c r="G311" i="1"/>
  <c r="G294" i="1"/>
  <c r="G293" i="1"/>
  <c r="G292" i="1"/>
  <c r="G272" i="1"/>
  <c r="G271" i="1"/>
  <c r="G270" i="1"/>
  <c r="G288" i="1"/>
  <c r="G287" i="1"/>
  <c r="G286" i="1"/>
  <c r="G285" i="1"/>
  <c r="D63" i="1"/>
  <c r="C191" i="1"/>
  <c r="E191" i="1"/>
  <c r="C190" i="1"/>
  <c r="C189" i="1"/>
  <c r="C188" i="1"/>
  <c r="C187" i="1"/>
  <c r="C186" i="1"/>
  <c r="C185" i="1"/>
  <c r="E190" i="1"/>
  <c r="E189" i="1"/>
  <c r="E188" i="1"/>
  <c r="E187" i="1"/>
  <c r="E186" i="1"/>
  <c r="E185" i="1"/>
  <c r="C182" i="1"/>
  <c r="E182" i="1"/>
  <c r="C181" i="1"/>
  <c r="C180" i="1"/>
  <c r="C179" i="1"/>
  <c r="C178" i="1"/>
  <c r="E181" i="1"/>
  <c r="E180" i="1"/>
  <c r="E179" i="1"/>
  <c r="E178" i="1"/>
  <c r="C149" i="1"/>
  <c r="C135" i="1"/>
  <c r="C121" i="1"/>
  <c r="C93" i="1"/>
  <c r="C79" i="1"/>
  <c r="E400" i="1"/>
  <c r="D400" i="1"/>
  <c r="F400" i="1" s="1"/>
  <c r="H400" i="1" s="1"/>
  <c r="E399" i="1"/>
  <c r="D399" i="1"/>
  <c r="F399" i="1" s="1"/>
  <c r="H399" i="1" s="1"/>
  <c r="E398" i="1"/>
  <c r="D398" i="1"/>
  <c r="F398" i="1" s="1"/>
  <c r="E397" i="1"/>
  <c r="D397" i="1"/>
  <c r="F397" i="1" s="1"/>
  <c r="A400" i="1"/>
  <c r="A399" i="1"/>
  <c r="A398" i="1"/>
  <c r="E395" i="1"/>
  <c r="D395" i="1"/>
  <c r="F395" i="1" s="1"/>
  <c r="H395" i="1" s="1"/>
  <c r="E394" i="1"/>
  <c r="D394" i="1"/>
  <c r="E393" i="1"/>
  <c r="D393" i="1"/>
  <c r="F393" i="1" s="1"/>
  <c r="H393" i="1" s="1"/>
  <c r="E392" i="1"/>
  <c r="D392" i="1"/>
  <c r="E391" i="1"/>
  <c r="D391" i="1"/>
  <c r="F391" i="1" s="1"/>
  <c r="H391" i="1" s="1"/>
  <c r="E390" i="1"/>
  <c r="D390" i="1"/>
  <c r="E389" i="1"/>
  <c r="D389" i="1"/>
  <c r="F389" i="1" s="1"/>
  <c r="H389" i="1" s="1"/>
  <c r="E388" i="1"/>
  <c r="D388" i="1"/>
  <c r="E387" i="1"/>
  <c r="D387" i="1"/>
  <c r="F387" i="1" s="1"/>
  <c r="H387" i="1" s="1"/>
  <c r="F390" i="1"/>
  <c r="H390" i="1" s="1"/>
  <c r="F394" i="1"/>
  <c r="H394" i="1" s="1"/>
  <c r="F392" i="1"/>
  <c r="H392" i="1" s="1"/>
  <c r="F388" i="1"/>
  <c r="H388" i="1" s="1"/>
  <c r="A388" i="1"/>
  <c r="A389" i="1" s="1"/>
  <c r="A390" i="1" s="1"/>
  <c r="A391" i="1" s="1"/>
  <c r="A392" i="1" s="1"/>
  <c r="A393" i="1" s="1"/>
  <c r="A394" i="1" s="1"/>
  <c r="A395" i="1" s="1"/>
  <c r="D383" i="1"/>
  <c r="F383" i="1" s="1"/>
  <c r="D382" i="1"/>
  <c r="F382" i="1" s="1"/>
  <c r="H382" i="1" s="1"/>
  <c r="D381" i="1"/>
  <c r="D380" i="1"/>
  <c r="E383" i="1"/>
  <c r="E382" i="1"/>
  <c r="E381" i="1"/>
  <c r="F381" i="1"/>
  <c r="H381" i="1" s="1"/>
  <c r="A381" i="1"/>
  <c r="A382" i="1" s="1"/>
  <c r="A383" i="1" s="1"/>
  <c r="E380" i="1"/>
  <c r="F380" i="1"/>
  <c r="H122" i="1"/>
  <c r="H398" i="1" l="1"/>
  <c r="H397" i="1"/>
  <c r="H383" i="1"/>
  <c r="H380" i="1"/>
  <c r="D131" i="1"/>
  <c r="D127" i="1"/>
  <c r="J126" i="1"/>
  <c r="D125" i="1" s="1"/>
  <c r="J124" i="1"/>
  <c r="J121" i="1"/>
  <c r="J123" i="1" s="1"/>
  <c r="D134" i="1"/>
  <c r="D130" i="1"/>
  <c r="D133" i="1"/>
  <c r="D129" i="1"/>
  <c r="J125" i="1"/>
  <c r="D132" i="1"/>
  <c r="D128" i="1"/>
  <c r="B122" i="1"/>
  <c r="G190" i="1" l="1"/>
  <c r="J131" i="1"/>
  <c r="J127" i="1"/>
  <c r="J128" i="1" s="1"/>
  <c r="J133" i="1" s="1"/>
  <c r="J134" i="1" s="1"/>
  <c r="J130" i="1"/>
  <c r="J129" i="1"/>
  <c r="J132" i="1"/>
  <c r="E125" i="1" l="1"/>
  <c r="D126" i="1"/>
  <c r="I122" i="1" s="1"/>
  <c r="G125" i="1"/>
  <c r="J122" i="1"/>
  <c r="I123" i="1" l="1"/>
  <c r="I121" i="1" s="1"/>
  <c r="C123" i="1" s="1"/>
  <c r="E378" i="1" l="1"/>
  <c r="D378" i="1"/>
  <c r="F378" i="1" s="1"/>
  <c r="H378" i="1" s="1"/>
  <c r="E377" i="1"/>
  <c r="D377" i="1"/>
  <c r="E376" i="1"/>
  <c r="D376" i="1"/>
  <c r="F376" i="1" s="1"/>
  <c r="H376" i="1" s="1"/>
  <c r="E375" i="1"/>
  <c r="D375" i="1"/>
  <c r="E374" i="1"/>
  <c r="D374" i="1"/>
  <c r="F374" i="1" s="1"/>
  <c r="H374" i="1" s="1"/>
  <c r="E373" i="1"/>
  <c r="D373" i="1"/>
  <c r="F373" i="1" s="1"/>
  <c r="H373" i="1" s="1"/>
  <c r="E372" i="1"/>
  <c r="D372" i="1"/>
  <c r="F372" i="1" s="1"/>
  <c r="H372" i="1" s="1"/>
  <c r="A372" i="1"/>
  <c r="A373" i="1" s="1"/>
  <c r="A374" i="1" s="1"/>
  <c r="A375" i="1" s="1"/>
  <c r="A376" i="1" s="1"/>
  <c r="A377" i="1" s="1"/>
  <c r="A378" i="1" s="1"/>
  <c r="E371" i="1"/>
  <c r="D371" i="1"/>
  <c r="F371" i="1" s="1"/>
  <c r="H371" i="1" s="1"/>
  <c r="A371" i="1"/>
  <c r="E370" i="1"/>
  <c r="D370" i="1"/>
  <c r="F370" i="1" s="1"/>
  <c r="H370" i="1" s="1"/>
  <c r="E368" i="1"/>
  <c r="D368" i="1"/>
  <c r="E367" i="1"/>
  <c r="D367" i="1"/>
  <c r="F367" i="1" s="1"/>
  <c r="H367" i="1" s="1"/>
  <c r="E366" i="1"/>
  <c r="D366" i="1"/>
  <c r="F366" i="1" s="1"/>
  <c r="H366" i="1" s="1"/>
  <c r="E365" i="1"/>
  <c r="D365" i="1"/>
  <c r="E364" i="1"/>
  <c r="D364" i="1"/>
  <c r="E363" i="1"/>
  <c r="D363" i="1"/>
  <c r="E362" i="1"/>
  <c r="D362" i="1"/>
  <c r="E361" i="1"/>
  <c r="D361" i="1"/>
  <c r="E360" i="1"/>
  <c r="D360" i="1"/>
  <c r="F365" i="1"/>
  <c r="H365" i="1" s="1"/>
  <c r="D252" i="1"/>
  <c r="D259" i="1"/>
  <c r="D258" i="1"/>
  <c r="D257" i="1"/>
  <c r="D256" i="1"/>
  <c r="D255" i="1"/>
  <c r="D254" i="1"/>
  <c r="D253" i="1"/>
  <c r="D251" i="1"/>
  <c r="D250" i="1"/>
  <c r="D249" i="1"/>
  <c r="D248" i="1"/>
  <c r="D247" i="1"/>
  <c r="F375" i="1" l="1"/>
  <c r="H375" i="1" s="1"/>
  <c r="F364" i="1"/>
  <c r="F368" i="1"/>
  <c r="H368" i="1" s="1"/>
  <c r="F377" i="1"/>
  <c r="H377" i="1" s="1"/>
  <c r="H364" i="1"/>
  <c r="F259" i="1" l="1"/>
  <c r="H259" i="1" s="1"/>
  <c r="F258" i="1"/>
  <c r="H258" i="1" s="1"/>
  <c r="F257" i="1"/>
  <c r="H257" i="1" s="1"/>
  <c r="F256" i="1"/>
  <c r="H256" i="1" s="1"/>
  <c r="F255" i="1"/>
  <c r="H255" i="1" s="1"/>
  <c r="F254" i="1"/>
  <c r="H254" i="1" s="1"/>
  <c r="F253" i="1"/>
  <c r="H253" i="1" s="1"/>
  <c r="F252" i="1"/>
  <c r="H252" i="1" s="1"/>
  <c r="F251" i="1"/>
  <c r="H251" i="1" s="1"/>
  <c r="F250" i="1"/>
  <c r="H250" i="1" s="1"/>
  <c r="F249" i="1"/>
  <c r="H249" i="1" s="1"/>
  <c r="F248" i="1"/>
  <c r="H248" i="1" s="1"/>
  <c r="A248" i="1"/>
  <c r="A249" i="1" s="1"/>
  <c r="A250" i="1" s="1"/>
  <c r="A251" i="1" s="1"/>
  <c r="A252" i="1" s="1"/>
  <c r="A253" i="1" s="1"/>
  <c r="A254" i="1" s="1"/>
  <c r="A255" i="1" s="1"/>
  <c r="A256" i="1" s="1"/>
  <c r="A257" i="1" s="1"/>
  <c r="A258" i="1" s="1"/>
  <c r="A259" i="1" s="1"/>
  <c r="F247" i="1"/>
  <c r="H247" i="1" s="1"/>
  <c r="E357" i="1"/>
  <c r="D357" i="1"/>
  <c r="E356" i="1"/>
  <c r="D356" i="1"/>
  <c r="E355" i="1"/>
  <c r="D355" i="1"/>
  <c r="E354" i="1"/>
  <c r="D354" i="1"/>
  <c r="F354" i="1" s="1"/>
  <c r="H354" i="1" s="1"/>
  <c r="F356" i="1"/>
  <c r="H356" i="1" s="1"/>
  <c r="F355" i="1"/>
  <c r="H355" i="1" s="1"/>
  <c r="A355" i="1"/>
  <c r="A356" i="1" s="1"/>
  <c r="A357" i="1" s="1"/>
  <c r="E352" i="1"/>
  <c r="D352" i="1"/>
  <c r="F352" i="1" s="1"/>
  <c r="H352" i="1" s="1"/>
  <c r="E351" i="1"/>
  <c r="D351" i="1"/>
  <c r="F351" i="1" s="1"/>
  <c r="H351" i="1" s="1"/>
  <c r="E350" i="1"/>
  <c r="D350" i="1"/>
  <c r="F350" i="1" s="1"/>
  <c r="H350" i="1" s="1"/>
  <c r="E349" i="1"/>
  <c r="D349" i="1"/>
  <c r="E348" i="1"/>
  <c r="D348" i="1"/>
  <c r="E347" i="1"/>
  <c r="D347" i="1"/>
  <c r="F347" i="1" s="1"/>
  <c r="H347" i="1" s="1"/>
  <c r="E346" i="1"/>
  <c r="D346" i="1"/>
  <c r="F346" i="1" s="1"/>
  <c r="H346" i="1" s="1"/>
  <c r="E345" i="1"/>
  <c r="D345" i="1"/>
  <c r="F345" i="1" s="1"/>
  <c r="H345" i="1" s="1"/>
  <c r="E344" i="1"/>
  <c r="D344" i="1"/>
  <c r="F349" i="1"/>
  <c r="H349" i="1" s="1"/>
  <c r="F348" i="1"/>
  <c r="H348" i="1" s="1"/>
  <c r="A345" i="1"/>
  <c r="A346" i="1" s="1"/>
  <c r="A347" i="1" s="1"/>
  <c r="A348" i="1" s="1"/>
  <c r="A349" i="1" s="1"/>
  <c r="A350" i="1" s="1"/>
  <c r="A351" i="1" s="1"/>
  <c r="A352" i="1" s="1"/>
  <c r="F344" i="1"/>
  <c r="H344" i="1" s="1"/>
  <c r="E340" i="1"/>
  <c r="F340" i="1" s="1"/>
  <c r="H340" i="1" s="1"/>
  <c r="D340" i="1"/>
  <c r="E339" i="1"/>
  <c r="D339" i="1"/>
  <c r="E338" i="1"/>
  <c r="D338" i="1"/>
  <c r="E337" i="1"/>
  <c r="D337" i="1"/>
  <c r="F337" i="1" s="1"/>
  <c r="H337" i="1" s="1"/>
  <c r="F339" i="1"/>
  <c r="H339" i="1" s="1"/>
  <c r="A339" i="1"/>
  <c r="A340" i="1" s="1"/>
  <c r="F338" i="1"/>
  <c r="H338" i="1" s="1"/>
  <c r="A338" i="1"/>
  <c r="E335" i="1"/>
  <c r="D335" i="1"/>
  <c r="F335" i="1" s="1"/>
  <c r="H335" i="1" s="1"/>
  <c r="E334" i="1"/>
  <c r="D334" i="1"/>
  <c r="F334" i="1" s="1"/>
  <c r="H334" i="1" s="1"/>
  <c r="E333" i="1"/>
  <c r="D333" i="1"/>
  <c r="E332" i="1"/>
  <c r="D332" i="1"/>
  <c r="F332" i="1" s="1"/>
  <c r="H332" i="1" s="1"/>
  <c r="E331" i="1"/>
  <c r="D331" i="1"/>
  <c r="E330" i="1"/>
  <c r="D330" i="1"/>
  <c r="F330" i="1" s="1"/>
  <c r="H330" i="1" s="1"/>
  <c r="E329" i="1"/>
  <c r="D329" i="1"/>
  <c r="F329" i="1" s="1"/>
  <c r="H329" i="1" s="1"/>
  <c r="E328" i="1"/>
  <c r="D328" i="1"/>
  <c r="E327" i="1"/>
  <c r="D327" i="1"/>
  <c r="F327" i="1" s="1"/>
  <c r="H327" i="1" s="1"/>
  <c r="A328" i="1"/>
  <c r="A329" i="1" s="1"/>
  <c r="A330" i="1" s="1"/>
  <c r="A331" i="1" s="1"/>
  <c r="A332" i="1" s="1"/>
  <c r="A333" i="1" s="1"/>
  <c r="A334" i="1" s="1"/>
  <c r="A335" i="1" s="1"/>
  <c r="E325" i="1"/>
  <c r="D325" i="1"/>
  <c r="E324" i="1"/>
  <c r="D324" i="1"/>
  <c r="E323" i="1"/>
  <c r="D323" i="1"/>
  <c r="F323" i="1" s="1"/>
  <c r="E322" i="1"/>
  <c r="D322" i="1"/>
  <c r="F322" i="1" s="1"/>
  <c r="E321" i="1"/>
  <c r="D321" i="1"/>
  <c r="E320" i="1"/>
  <c r="D320" i="1"/>
  <c r="E319" i="1"/>
  <c r="D319" i="1"/>
  <c r="F319" i="1" s="1"/>
  <c r="H319" i="1" s="1"/>
  <c r="E318" i="1"/>
  <c r="D318" i="1"/>
  <c r="E317" i="1"/>
  <c r="D317" i="1"/>
  <c r="F317" i="1" s="1"/>
  <c r="H317" i="1" s="1"/>
  <c r="F325" i="1"/>
  <c r="H325" i="1" s="1"/>
  <c r="F321" i="1"/>
  <c r="H321" i="1" s="1"/>
  <c r="A317" i="1"/>
  <c r="A318" i="1" s="1"/>
  <c r="A319" i="1" s="1"/>
  <c r="A320" i="1" s="1"/>
  <c r="A321" i="1" s="1"/>
  <c r="A322" i="1" s="1"/>
  <c r="A323" i="1" s="1"/>
  <c r="A324" i="1" s="1"/>
  <c r="A325" i="1" s="1"/>
  <c r="D244" i="1"/>
  <c r="D243" i="1"/>
  <c r="F243" i="1" s="1"/>
  <c r="H243" i="1" s="1"/>
  <c r="D242" i="1"/>
  <c r="F242" i="1" s="1"/>
  <c r="H242" i="1" s="1"/>
  <c r="D241" i="1"/>
  <c r="F241" i="1" s="1"/>
  <c r="H241" i="1" s="1"/>
  <c r="D240" i="1"/>
  <c r="F240" i="1" s="1"/>
  <c r="H240" i="1" s="1"/>
  <c r="D239" i="1"/>
  <c r="F239" i="1" s="1"/>
  <c r="H239" i="1" s="1"/>
  <c r="D238" i="1"/>
  <c r="D237" i="1"/>
  <c r="F237" i="1" s="1"/>
  <c r="H237" i="1" s="1"/>
  <c r="D236" i="1"/>
  <c r="D235" i="1"/>
  <c r="D234" i="1"/>
  <c r="D233" i="1"/>
  <c r="D232" i="1"/>
  <c r="F244" i="1"/>
  <c r="H244" i="1" s="1"/>
  <c r="F238" i="1"/>
  <c r="H238" i="1" s="1"/>
  <c r="F236" i="1"/>
  <c r="H236" i="1" s="1"/>
  <c r="E314" i="1"/>
  <c r="D314" i="1"/>
  <c r="E313" i="1"/>
  <c r="D313" i="1"/>
  <c r="F313" i="1" s="1"/>
  <c r="H313" i="1" s="1"/>
  <c r="E312" i="1"/>
  <c r="D312" i="1"/>
  <c r="F312" i="1" s="1"/>
  <c r="H312" i="1" s="1"/>
  <c r="E311" i="1"/>
  <c r="D311" i="1"/>
  <c r="F314" i="1"/>
  <c r="H314" i="1" s="1"/>
  <c r="A312" i="1"/>
  <c r="A313" i="1" s="1"/>
  <c r="A314" i="1" s="1"/>
  <c r="E309" i="1"/>
  <c r="D309" i="1"/>
  <c r="F309" i="1" s="1"/>
  <c r="H309" i="1" s="1"/>
  <c r="E308" i="1"/>
  <c r="D308" i="1"/>
  <c r="E307" i="1"/>
  <c r="D307" i="1"/>
  <c r="E306" i="1"/>
  <c r="D306" i="1"/>
  <c r="E305" i="1"/>
  <c r="D305" i="1"/>
  <c r="F305" i="1" s="1"/>
  <c r="H305" i="1" s="1"/>
  <c r="E304" i="1"/>
  <c r="D304" i="1"/>
  <c r="F304" i="1" s="1"/>
  <c r="H304" i="1" s="1"/>
  <c r="E303" i="1"/>
  <c r="D303" i="1"/>
  <c r="F302" i="1"/>
  <c r="H302" i="1" s="1"/>
  <c r="E302" i="1"/>
  <c r="D302" i="1"/>
  <c r="E301" i="1"/>
  <c r="D301" i="1"/>
  <c r="F301" i="1" s="1"/>
  <c r="H301" i="1" s="1"/>
  <c r="A302" i="1"/>
  <c r="A303" i="1" s="1"/>
  <c r="A304" i="1" s="1"/>
  <c r="A305" i="1" s="1"/>
  <c r="A306" i="1" s="1"/>
  <c r="A307" i="1" s="1"/>
  <c r="A308" i="1" s="1"/>
  <c r="A309" i="1" s="1"/>
  <c r="E299" i="1"/>
  <c r="D299" i="1"/>
  <c r="E298" i="1"/>
  <c r="D298" i="1"/>
  <c r="F298" i="1" s="1"/>
  <c r="H298" i="1" s="1"/>
  <c r="E297" i="1"/>
  <c r="D297" i="1"/>
  <c r="F297" i="1" s="1"/>
  <c r="H297" i="1" s="1"/>
  <c r="E296" i="1"/>
  <c r="D296" i="1"/>
  <c r="F296" i="1" s="1"/>
  <c r="H296" i="1" s="1"/>
  <c r="E295" i="1"/>
  <c r="D295" i="1"/>
  <c r="E294" i="1"/>
  <c r="D294" i="1"/>
  <c r="E293" i="1"/>
  <c r="D293" i="1"/>
  <c r="F293" i="1" s="1"/>
  <c r="E292" i="1"/>
  <c r="D292" i="1"/>
  <c r="E291" i="1"/>
  <c r="D291" i="1"/>
  <c r="F294" i="1"/>
  <c r="F292" i="1"/>
  <c r="H292" i="1" s="1"/>
  <c r="E288" i="1"/>
  <c r="E287" i="1"/>
  <c r="E286" i="1"/>
  <c r="E285" i="1"/>
  <c r="D288" i="1"/>
  <c r="D287" i="1"/>
  <c r="D286" i="1"/>
  <c r="F286" i="1" s="1"/>
  <c r="H286" i="1" s="1"/>
  <c r="D285" i="1"/>
  <c r="A286" i="1"/>
  <c r="A287" i="1" s="1"/>
  <c r="A288" i="1" s="1"/>
  <c r="E283" i="1"/>
  <c r="D283" i="1"/>
  <c r="E282" i="1"/>
  <c r="D282" i="1"/>
  <c r="F282" i="1" s="1"/>
  <c r="H282" i="1" s="1"/>
  <c r="E281" i="1"/>
  <c r="D281" i="1"/>
  <c r="E280" i="1"/>
  <c r="F280" i="1" s="1"/>
  <c r="H280" i="1" s="1"/>
  <c r="D280" i="1"/>
  <c r="E279" i="1"/>
  <c r="D279" i="1"/>
  <c r="F279" i="1" s="1"/>
  <c r="H279" i="1" s="1"/>
  <c r="E278" i="1"/>
  <c r="D278" i="1"/>
  <c r="F278" i="1" s="1"/>
  <c r="H278" i="1" s="1"/>
  <c r="E277" i="1"/>
  <c r="D277" i="1"/>
  <c r="E276" i="1"/>
  <c r="D276" i="1"/>
  <c r="E275" i="1"/>
  <c r="D275" i="1"/>
  <c r="F275" i="1" s="1"/>
  <c r="H275" i="1" s="1"/>
  <c r="A276" i="1"/>
  <c r="A277" i="1" s="1"/>
  <c r="A278" i="1" s="1"/>
  <c r="A279" i="1" s="1"/>
  <c r="A280" i="1" s="1"/>
  <c r="A281" i="1" s="1"/>
  <c r="A282" i="1" s="1"/>
  <c r="A283" i="1" s="1"/>
  <c r="G269" i="1"/>
  <c r="G268" i="1"/>
  <c r="E273" i="1"/>
  <c r="E272" i="1"/>
  <c r="E271" i="1"/>
  <c r="E270" i="1"/>
  <c r="E269" i="1"/>
  <c r="E268" i="1"/>
  <c r="E267" i="1"/>
  <c r="E266" i="1"/>
  <c r="E265" i="1"/>
  <c r="D273" i="1"/>
  <c r="D272" i="1"/>
  <c r="D271" i="1"/>
  <c r="D270" i="1"/>
  <c r="F270" i="1" s="1"/>
  <c r="D269" i="1"/>
  <c r="F269" i="1" s="1"/>
  <c r="D268" i="1"/>
  <c r="D267" i="1"/>
  <c r="D266" i="1"/>
  <c r="F266" i="1" s="1"/>
  <c r="H266" i="1" s="1"/>
  <c r="D265" i="1"/>
  <c r="F265" i="1" s="1"/>
  <c r="H265" i="1" s="1"/>
  <c r="F271" i="1"/>
  <c r="D229" i="1"/>
  <c r="F229" i="1" s="1"/>
  <c r="H229" i="1" s="1"/>
  <c r="D228" i="1"/>
  <c r="F228" i="1" s="1"/>
  <c r="H228" i="1" s="1"/>
  <c r="D227" i="1"/>
  <c r="D226" i="1"/>
  <c r="D225" i="1"/>
  <c r="D224" i="1"/>
  <c r="F224" i="1" s="1"/>
  <c r="H224" i="1" s="1"/>
  <c r="D223" i="1"/>
  <c r="F223" i="1" s="1"/>
  <c r="H223" i="1" s="1"/>
  <c r="D222" i="1"/>
  <c r="F222" i="1" s="1"/>
  <c r="H222" i="1" s="1"/>
  <c r="D221" i="1"/>
  <c r="F221" i="1" s="1"/>
  <c r="H221" i="1" s="1"/>
  <c r="F227" i="1"/>
  <c r="H227" i="1" s="1"/>
  <c r="F226" i="1"/>
  <c r="H226" i="1" s="1"/>
  <c r="F225" i="1"/>
  <c r="H225" i="1" s="1"/>
  <c r="A222" i="1"/>
  <c r="A223" i="1" s="1"/>
  <c r="A224" i="1" s="1"/>
  <c r="A225" i="1" s="1"/>
  <c r="A226" i="1" s="1"/>
  <c r="A227" i="1" s="1"/>
  <c r="A228" i="1" s="1"/>
  <c r="A229" i="1" s="1"/>
  <c r="D218" i="1"/>
  <c r="F218" i="1" s="1"/>
  <c r="H218" i="1" s="1"/>
  <c r="D217" i="1"/>
  <c r="F217" i="1" s="1"/>
  <c r="H217" i="1" s="1"/>
  <c r="D216" i="1"/>
  <c r="F216" i="1" s="1"/>
  <c r="H216" i="1" s="1"/>
  <c r="D215" i="1"/>
  <c r="F215" i="1" s="1"/>
  <c r="H215" i="1" s="1"/>
  <c r="D214" i="1"/>
  <c r="D213" i="1"/>
  <c r="F213" i="1" s="1"/>
  <c r="H213" i="1" s="1"/>
  <c r="D212" i="1"/>
  <c r="F212" i="1" s="1"/>
  <c r="H212" i="1" s="1"/>
  <c r="D211" i="1"/>
  <c r="F211" i="1" s="1"/>
  <c r="H211" i="1" s="1"/>
  <c r="D210" i="1"/>
  <c r="D209" i="1"/>
  <c r="F209" i="1" s="1"/>
  <c r="H209" i="1" s="1"/>
  <c r="D208" i="1"/>
  <c r="F208" i="1" s="1"/>
  <c r="H208" i="1" s="1"/>
  <c r="D207" i="1"/>
  <c r="F207" i="1" s="1"/>
  <c r="H207" i="1" s="1"/>
  <c r="D206" i="1"/>
  <c r="F206" i="1" s="1"/>
  <c r="H206" i="1" s="1"/>
  <c r="D205" i="1"/>
  <c r="D204" i="1"/>
  <c r="D203" i="1"/>
  <c r="D202" i="1"/>
  <c r="D201" i="1"/>
  <c r="F201" i="1" s="1"/>
  <c r="H201" i="1" s="1"/>
  <c r="D200" i="1"/>
  <c r="F200" i="1" s="1"/>
  <c r="H200" i="1" s="1"/>
  <c r="D199" i="1"/>
  <c r="F199" i="1" s="1"/>
  <c r="H199" i="1" s="1"/>
  <c r="F214" i="1"/>
  <c r="H214" i="1" s="1"/>
  <c r="F210" i="1"/>
  <c r="H210" i="1" s="1"/>
  <c r="F205" i="1"/>
  <c r="H205" i="1" s="1"/>
  <c r="F204" i="1"/>
  <c r="H204" i="1" s="1"/>
  <c r="F203" i="1"/>
  <c r="H203" i="1" s="1"/>
  <c r="F202" i="1"/>
  <c r="H202" i="1" s="1"/>
  <c r="A200" i="1"/>
  <c r="A201" i="1" s="1"/>
  <c r="A202" i="1" s="1"/>
  <c r="A203" i="1" s="1"/>
  <c r="A204" i="1" s="1"/>
  <c r="A205" i="1" s="1"/>
  <c r="A206" i="1" s="1"/>
  <c r="A207" i="1" s="1"/>
  <c r="A208" i="1" s="1"/>
  <c r="A209" i="1" s="1"/>
  <c r="A210" i="1" s="1"/>
  <c r="A211" i="1" s="1"/>
  <c r="A212" i="1" s="1"/>
  <c r="A213" i="1" s="1"/>
  <c r="A214" i="1" s="1"/>
  <c r="A215" i="1" s="1"/>
  <c r="A216" i="1" s="1"/>
  <c r="A217" i="1" s="1"/>
  <c r="A218" i="1" s="1"/>
  <c r="G181" i="1" l="1"/>
  <c r="G178" i="1"/>
  <c r="G179" i="1"/>
  <c r="F303" i="1"/>
  <c r="H303" i="1" s="1"/>
  <c r="F307" i="1"/>
  <c r="H307" i="1" s="1"/>
  <c r="F311" i="1"/>
  <c r="H311" i="1" s="1"/>
  <c r="G186" i="1" s="1"/>
  <c r="F333" i="1"/>
  <c r="H333" i="1" s="1"/>
  <c r="F357" i="1"/>
  <c r="H357" i="1" s="1"/>
  <c r="G188" i="1" s="1"/>
  <c r="F320" i="1"/>
  <c r="H320" i="1" s="1"/>
  <c r="G187" i="1" s="1"/>
  <c r="F288" i="1"/>
  <c r="H288" i="1" s="1"/>
  <c r="F273" i="1"/>
  <c r="H273" i="1" s="1"/>
  <c r="F285" i="1"/>
  <c r="H285" i="1" s="1"/>
  <c r="F331" i="1"/>
  <c r="H331" i="1" s="1"/>
  <c r="F281" i="1"/>
  <c r="H281" i="1" s="1"/>
  <c r="F308" i="1"/>
  <c r="H308" i="1" s="1"/>
  <c r="F267" i="1"/>
  <c r="F283" i="1"/>
  <c r="H283" i="1" s="1"/>
  <c r="F291" i="1"/>
  <c r="H291" i="1" s="1"/>
  <c r="F295" i="1"/>
  <c r="H295" i="1" s="1"/>
  <c r="F299" i="1"/>
  <c r="H299" i="1" s="1"/>
  <c r="H322" i="1"/>
  <c r="F324" i="1"/>
  <c r="H324" i="1" s="1"/>
  <c r="F268" i="1"/>
  <c r="H268" i="1" s="1"/>
  <c r="F276" i="1"/>
  <c r="H276" i="1" s="1"/>
  <c r="F306" i="1"/>
  <c r="H306" i="1" s="1"/>
  <c r="F318" i="1"/>
  <c r="H318" i="1" s="1"/>
  <c r="F328" i="1"/>
  <c r="H328" i="1" s="1"/>
  <c r="F277" i="1"/>
  <c r="H277" i="1" s="1"/>
  <c r="H323" i="1"/>
  <c r="H293" i="1"/>
  <c r="H294" i="1"/>
  <c r="F287" i="1"/>
  <c r="H287" i="1" s="1"/>
  <c r="H270" i="1"/>
  <c r="H269" i="1"/>
  <c r="H267" i="1"/>
  <c r="H271" i="1"/>
  <c r="F272" i="1"/>
  <c r="H272" i="1" s="1"/>
  <c r="G185" i="1" l="1"/>
  <c r="B428" i="1"/>
  <c r="E44" i="1" l="1"/>
  <c r="B51" i="6" l="1"/>
  <c r="B50" i="6" l="1"/>
  <c r="B49" i="6" l="1"/>
  <c r="B48" i="6"/>
  <c r="B47" i="6" l="1"/>
  <c r="B46" i="6"/>
  <c r="B45" i="6" l="1"/>
  <c r="B44" i="6" l="1"/>
  <c r="B43" i="6"/>
  <c r="B42" i="6"/>
  <c r="B41" i="6" l="1"/>
  <c r="B40" i="6"/>
  <c r="B39" i="6"/>
  <c r="B38" i="6"/>
  <c r="F232" i="1" l="1"/>
  <c r="H232" i="1" s="1"/>
  <c r="L41" i="7" l="1"/>
  <c r="I41" i="7"/>
  <c r="E41" i="7"/>
  <c r="L40" i="7"/>
  <c r="I40" i="7"/>
  <c r="E40" i="7"/>
  <c r="L39" i="7"/>
  <c r="I39" i="7"/>
  <c r="E39" i="7"/>
  <c r="L38" i="7"/>
  <c r="I38" i="7"/>
  <c r="E38" i="7"/>
  <c r="L37" i="7"/>
  <c r="I37" i="7"/>
  <c r="E37" i="7"/>
  <c r="L36" i="7"/>
  <c r="I36" i="7"/>
  <c r="E36" i="7"/>
  <c r="L35" i="7"/>
  <c r="I35" i="7"/>
  <c r="E35" i="7"/>
  <c r="L34" i="7"/>
  <c r="I34" i="7"/>
  <c r="E34" i="7"/>
  <c r="L33" i="7"/>
  <c r="I33" i="7"/>
  <c r="E33" i="7"/>
  <c r="L32" i="7"/>
  <c r="I32" i="7"/>
  <c r="E32" i="7"/>
  <c r="L31" i="7"/>
  <c r="I31" i="7"/>
  <c r="E31" i="7"/>
  <c r="L30" i="7"/>
  <c r="I30" i="7"/>
  <c r="E30" i="7"/>
  <c r="L29" i="7"/>
  <c r="I29" i="7"/>
  <c r="E29" i="7"/>
  <c r="L28" i="7"/>
  <c r="I28" i="7"/>
  <c r="E28" i="7"/>
  <c r="L27" i="7"/>
  <c r="I27" i="7"/>
  <c r="E27" i="7"/>
  <c r="L26" i="7"/>
  <c r="I26" i="7"/>
  <c r="E26" i="7"/>
  <c r="L25" i="7"/>
  <c r="I25" i="7"/>
  <c r="E25" i="7"/>
  <c r="L24" i="7"/>
  <c r="I24" i="7"/>
  <c r="E24" i="7"/>
  <c r="L23" i="7"/>
  <c r="I23" i="7"/>
  <c r="E23" i="7"/>
  <c r="L22" i="7"/>
  <c r="I22" i="7"/>
  <c r="E22" i="7"/>
  <c r="L21" i="7"/>
  <c r="I21" i="7"/>
  <c r="E21" i="7"/>
  <c r="L20" i="7"/>
  <c r="I20" i="7"/>
  <c r="E20" i="7"/>
  <c r="L19" i="7"/>
  <c r="I19" i="7"/>
  <c r="E19" i="7"/>
  <c r="L18" i="7"/>
  <c r="I18" i="7"/>
  <c r="E18" i="7"/>
  <c r="L17" i="7"/>
  <c r="I17" i="7"/>
  <c r="E17" i="7"/>
  <c r="L16" i="7"/>
  <c r="I16" i="7"/>
  <c r="E16" i="7"/>
  <c r="L15" i="7"/>
  <c r="I15" i="7"/>
  <c r="E15" i="7"/>
  <c r="L14" i="7"/>
  <c r="I14" i="7"/>
  <c r="E14" i="7"/>
  <c r="L13" i="7"/>
  <c r="I13" i="7"/>
  <c r="E13" i="7"/>
  <c r="L12" i="7"/>
  <c r="I12" i="7"/>
  <c r="E12" i="7"/>
  <c r="L11" i="7"/>
  <c r="I11" i="7"/>
  <c r="E11" i="7"/>
  <c r="L10" i="7"/>
  <c r="I10" i="7"/>
  <c r="E10" i="7"/>
  <c r="L9" i="7"/>
  <c r="I9" i="7"/>
  <c r="E9" i="7"/>
  <c r="L8" i="7"/>
  <c r="I8" i="7"/>
  <c r="E8" i="7"/>
  <c r="L7" i="7"/>
  <c r="I7" i="7"/>
  <c r="E7" i="7"/>
  <c r="L6" i="7"/>
  <c r="I6" i="7"/>
  <c r="E6" i="7"/>
  <c r="E42" i="7" s="1"/>
  <c r="F11" i="5"/>
  <c r="G11" i="5" s="1"/>
  <c r="F10" i="5"/>
  <c r="G10" i="5" s="1"/>
  <c r="F9" i="5"/>
  <c r="G9" i="5" s="1"/>
  <c r="F8" i="5"/>
  <c r="G8" i="5" s="1"/>
  <c r="F7" i="5"/>
  <c r="G7" i="5" s="1"/>
  <c r="F6" i="5"/>
  <c r="G6" i="5" s="1"/>
  <c r="F5" i="5"/>
  <c r="G5" i="5" s="1"/>
  <c r="G12" i="5" s="1"/>
  <c r="D454" i="1"/>
  <c r="B429" i="1"/>
  <c r="F424" i="1"/>
  <c r="H424" i="1" s="1"/>
  <c r="F423" i="1"/>
  <c r="H423" i="1" s="1"/>
  <c r="F422" i="1"/>
  <c r="H422" i="1" s="1"/>
  <c r="F421" i="1"/>
  <c r="H421" i="1" s="1"/>
  <c r="F420" i="1"/>
  <c r="H420" i="1" s="1"/>
  <c r="F418" i="1"/>
  <c r="H418" i="1" s="1"/>
  <c r="F417" i="1"/>
  <c r="H417" i="1" s="1"/>
  <c r="F416" i="1"/>
  <c r="H416" i="1" s="1"/>
  <c r="F415" i="1"/>
  <c r="H415" i="1" s="1"/>
  <c r="F414" i="1"/>
  <c r="H414" i="1" s="1"/>
  <c r="F412" i="1"/>
  <c r="H412" i="1" s="1"/>
  <c r="F411" i="1"/>
  <c r="H411" i="1" s="1"/>
  <c r="F410" i="1"/>
  <c r="H410" i="1" s="1"/>
  <c r="F409" i="1"/>
  <c r="H409" i="1" s="1"/>
  <c r="F408" i="1"/>
  <c r="H408" i="1" s="1"/>
  <c r="F406" i="1"/>
  <c r="H406" i="1" s="1"/>
  <c r="F405" i="1"/>
  <c r="H405" i="1" s="1"/>
  <c r="F404" i="1"/>
  <c r="H404" i="1" s="1"/>
  <c r="F403" i="1"/>
  <c r="H403" i="1" s="1"/>
  <c r="F402" i="1"/>
  <c r="H402" i="1" s="1"/>
  <c r="A402" i="1"/>
  <c r="A403" i="1" s="1"/>
  <c r="A404" i="1" s="1"/>
  <c r="A405" i="1" s="1"/>
  <c r="A406" i="1" s="1"/>
  <c r="F363" i="1"/>
  <c r="H363" i="1" s="1"/>
  <c r="F362" i="1"/>
  <c r="H362" i="1" s="1"/>
  <c r="F361" i="1"/>
  <c r="H361" i="1" s="1"/>
  <c r="A361" i="1"/>
  <c r="A362" i="1" s="1"/>
  <c r="A363" i="1" s="1"/>
  <c r="A364" i="1" s="1"/>
  <c r="A365" i="1" s="1"/>
  <c r="A366" i="1" s="1"/>
  <c r="A367" i="1" s="1"/>
  <c r="A368" i="1" s="1"/>
  <c r="F360" i="1"/>
  <c r="H360" i="1" s="1"/>
  <c r="F235" i="1"/>
  <c r="H235" i="1" s="1"/>
  <c r="F234" i="1"/>
  <c r="H234" i="1" s="1"/>
  <c r="G180" i="1" s="1"/>
  <c r="G182" i="1" s="1"/>
  <c r="F233" i="1"/>
  <c r="H233" i="1" s="1"/>
  <c r="A233" i="1"/>
  <c r="A234" i="1" s="1"/>
  <c r="A235" i="1" s="1"/>
  <c r="A236" i="1" s="1"/>
  <c r="A237" i="1" s="1"/>
  <c r="A238" i="1" s="1"/>
  <c r="A239" i="1" s="1"/>
  <c r="A240" i="1" s="1"/>
  <c r="A241" i="1" s="1"/>
  <c r="A242" i="1" s="1"/>
  <c r="A243" i="1" s="1"/>
  <c r="A244" i="1" s="1"/>
  <c r="E192" i="1"/>
  <c r="C192" i="1"/>
  <c r="F175" i="1"/>
  <c r="C107" i="1"/>
  <c r="B80" i="1"/>
  <c r="D73" i="1"/>
  <c r="G56" i="1"/>
  <c r="C56" i="1"/>
  <c r="K54" i="1"/>
  <c r="C54" i="1"/>
  <c r="G51" i="1"/>
  <c r="C51" i="1"/>
  <c r="E45" i="1"/>
  <c r="S33" i="1"/>
  <c r="E31" i="1"/>
  <c r="E28" i="1"/>
  <c r="E26" i="1"/>
  <c r="C16" i="1"/>
  <c r="I15" i="1"/>
  <c r="Z13" i="1"/>
  <c r="E8" i="1"/>
  <c r="E3" i="1"/>
  <c r="B439" i="1" s="1"/>
  <c r="A420" i="1"/>
  <c r="H108" i="1"/>
  <c r="A408" i="1"/>
  <c r="H94" i="1"/>
  <c r="H80" i="1"/>
  <c r="A414" i="1"/>
  <c r="G189" i="1" l="1"/>
  <c r="G191" i="1" s="1"/>
  <c r="G192" i="1" s="1"/>
  <c r="J87" i="1"/>
  <c r="J88" i="1"/>
  <c r="B108" i="1"/>
  <c r="J116" i="1" s="1"/>
  <c r="I42" i="7"/>
  <c r="H42" i="7" s="1"/>
  <c r="L42" i="7"/>
  <c r="K42" i="7" s="1"/>
  <c r="J93" i="1"/>
  <c r="J95" i="1" s="1"/>
  <c r="D102" i="1"/>
  <c r="D101" i="1"/>
  <c r="D106" i="1"/>
  <c r="D100" i="1"/>
  <c r="J96" i="1"/>
  <c r="D105" i="1"/>
  <c r="J98" i="1"/>
  <c r="C97" i="1" s="1"/>
  <c r="D99" i="1"/>
  <c r="D104" i="1"/>
  <c r="J97" i="1"/>
  <c r="D103" i="1"/>
  <c r="D88" i="1"/>
  <c r="J82" i="1"/>
  <c r="D87" i="1"/>
  <c r="D92" i="1"/>
  <c r="D86" i="1"/>
  <c r="D91" i="1"/>
  <c r="D85" i="1"/>
  <c r="J84" i="1"/>
  <c r="C83" i="1" s="1"/>
  <c r="D90" i="1"/>
  <c r="D89" i="1"/>
  <c r="J83" i="1"/>
  <c r="J79" i="1"/>
  <c r="J81" i="1" s="1"/>
  <c r="D117" i="1"/>
  <c r="J111" i="1"/>
  <c r="J107" i="1"/>
  <c r="J109" i="1" s="1"/>
  <c r="J110" i="1"/>
  <c r="D115" i="1"/>
  <c r="D120" i="1"/>
  <c r="D114" i="1"/>
  <c r="D119" i="1"/>
  <c r="D113" i="1"/>
  <c r="D116" i="1"/>
  <c r="J112" i="1"/>
  <c r="C111" i="1" s="1"/>
  <c r="D111" i="1" s="1"/>
  <c r="D118" i="1"/>
  <c r="D42" i="7"/>
  <c r="L54" i="1"/>
  <c r="B94" i="1"/>
  <c r="J89" i="1"/>
  <c r="J90" i="1"/>
  <c r="I52" i="1"/>
  <c r="J85" i="1"/>
  <c r="J86" i="1" s="1"/>
  <c r="J91" i="1" s="1"/>
  <c r="J92" i="1" s="1"/>
  <c r="C84" i="1" s="1"/>
  <c r="A421" i="1"/>
  <c r="A409" i="1"/>
  <c r="A415" i="1"/>
  <c r="J118" i="1" l="1"/>
  <c r="J117" i="1"/>
  <c r="D44" i="7"/>
  <c r="E44" i="7"/>
  <c r="J115" i="1"/>
  <c r="J113" i="1"/>
  <c r="J114" i="1" s="1"/>
  <c r="J119" i="1" s="1"/>
  <c r="J120" i="1" s="1"/>
  <c r="C112" i="1" s="1"/>
  <c r="G111" i="1" s="1"/>
  <c r="E83" i="1"/>
  <c r="D84" i="1"/>
  <c r="G83" i="1"/>
  <c r="D77" i="1" s="1"/>
  <c r="D83" i="1"/>
  <c r="D97" i="1"/>
  <c r="J102" i="1"/>
  <c r="J99" i="1"/>
  <c r="J100" i="1" s="1"/>
  <c r="J105" i="1" s="1"/>
  <c r="J106" i="1" s="1"/>
  <c r="C98" i="1" s="1"/>
  <c r="J104" i="1"/>
  <c r="J101" i="1"/>
  <c r="J103" i="1"/>
  <c r="A416" i="1"/>
  <c r="A422" i="1"/>
  <c r="A410" i="1"/>
  <c r="B150" i="1" l="1"/>
  <c r="B136" i="1"/>
  <c r="D112" i="1"/>
  <c r="I108" i="1" s="1"/>
  <c r="I109" i="1" s="1"/>
  <c r="J108" i="1"/>
  <c r="E111" i="1"/>
  <c r="I80" i="1"/>
  <c r="I81" i="1" s="1"/>
  <c r="J80" i="1"/>
  <c r="E97" i="1"/>
  <c r="D98" i="1"/>
  <c r="I94" i="1" s="1"/>
  <c r="J94" i="1"/>
  <c r="G97" i="1"/>
  <c r="D78" i="1"/>
  <c r="F78" i="1"/>
  <c r="A423" i="1"/>
  <c r="A411" i="1"/>
  <c r="H136" i="1"/>
  <c r="H150" i="1"/>
  <c r="A417" i="1"/>
  <c r="D161" i="1" l="1"/>
  <c r="D157" i="1"/>
  <c r="J153" i="1"/>
  <c r="D160" i="1"/>
  <c r="D156" i="1"/>
  <c r="D159" i="1"/>
  <c r="D155" i="1"/>
  <c r="J154" i="1"/>
  <c r="C153" i="1" s="1"/>
  <c r="D153" i="1" s="1"/>
  <c r="J152" i="1"/>
  <c r="J149" i="1"/>
  <c r="J151" i="1" s="1"/>
  <c r="D162" i="1"/>
  <c r="D158" i="1"/>
  <c r="J157" i="1"/>
  <c r="J160" i="1"/>
  <c r="J159" i="1"/>
  <c r="J155" i="1"/>
  <c r="J156" i="1" s="1"/>
  <c r="J161" i="1" s="1"/>
  <c r="J162" i="1" s="1"/>
  <c r="C154" i="1" s="1"/>
  <c r="J158" i="1"/>
  <c r="D142" i="1"/>
  <c r="D147" i="1"/>
  <c r="D143" i="1"/>
  <c r="J139" i="1"/>
  <c r="D146" i="1"/>
  <c r="D145" i="1"/>
  <c r="D141" i="1"/>
  <c r="J140" i="1"/>
  <c r="C139" i="1" s="1"/>
  <c r="D139" i="1" s="1"/>
  <c r="J138" i="1"/>
  <c r="J135" i="1"/>
  <c r="J137" i="1" s="1"/>
  <c r="D148" i="1"/>
  <c r="D144" i="1"/>
  <c r="J146" i="1"/>
  <c r="J145" i="1"/>
  <c r="J141" i="1"/>
  <c r="J142" i="1" s="1"/>
  <c r="J147" i="1" s="1"/>
  <c r="J148" i="1" s="1"/>
  <c r="C140" i="1" s="1"/>
  <c r="J144" i="1"/>
  <c r="J143" i="1"/>
  <c r="I107" i="1"/>
  <c r="C109" i="1" s="1"/>
  <c r="I79" i="1"/>
  <c r="C81" i="1" s="1"/>
  <c r="I95" i="1"/>
  <c r="I93" i="1" s="1"/>
  <c r="C95" i="1" s="1"/>
  <c r="A424" i="1"/>
  <c r="A412" i="1"/>
  <c r="A418" i="1"/>
  <c r="E153" i="1" l="1"/>
  <c r="D154" i="1"/>
  <c r="I150" i="1" s="1"/>
  <c r="I151" i="1" s="1"/>
  <c r="G153" i="1"/>
  <c r="J150" i="1"/>
  <c r="E139" i="1"/>
  <c r="D140" i="1"/>
  <c r="I136" i="1" s="1"/>
  <c r="I137" i="1" s="1"/>
  <c r="J136" i="1"/>
  <c r="G139" i="1"/>
  <c r="I149" i="1" l="1"/>
  <c r="C151" i="1" s="1"/>
  <c r="I135" i="1"/>
  <c r="C137" i="1" s="1"/>
</calcChain>
</file>

<file path=xl/comments1.xml><?xml version="1.0" encoding="utf-8"?>
<comments xmlns="http://schemas.openxmlformats.org/spreadsheetml/2006/main">
  <authors>
    <author>Sachin</author>
    <author>SACHIN</author>
  </authors>
  <commentList>
    <comment ref="E12" authorId="0" shapeId="0">
      <text>
        <r>
          <rPr>
            <b/>
            <sz val="9"/>
            <color indexed="81"/>
            <rFont val="Tahoma"/>
            <family val="2"/>
          </rPr>
          <t>Sachin:</t>
        </r>
        <r>
          <rPr>
            <sz val="9"/>
            <color indexed="81"/>
            <rFont val="Tahoma"/>
            <family val="2"/>
          </rPr>
          <t xml:space="preserve">
Building No. 
Tower No.
Wing 
Bunglow No., etc</t>
        </r>
      </text>
    </comment>
    <comment ref="E13" authorId="0" shapeId="0">
      <text>
        <r>
          <rPr>
            <b/>
            <sz val="9"/>
            <color indexed="81"/>
            <rFont val="Tahoma"/>
            <family val="2"/>
          </rPr>
          <t>Sachin:</t>
        </r>
        <r>
          <rPr>
            <sz val="9"/>
            <color indexed="81"/>
            <rFont val="Tahoma"/>
            <family val="2"/>
          </rPr>
          <t xml:space="preserve">
If exisiting Building is provided write it or else
NA</t>
        </r>
      </text>
    </comment>
    <comment ref="C55" authorId="1" shapeId="0">
      <text>
        <r>
          <rPr>
            <b/>
            <sz val="9"/>
            <color indexed="81"/>
            <rFont val="Tahoma"/>
            <family val="2"/>
          </rPr>
          <t>SACHIN:</t>
        </r>
        <r>
          <rPr>
            <sz val="9"/>
            <color indexed="81"/>
            <rFont val="Tahoma"/>
            <family val="2"/>
          </rPr>
          <t xml:space="preserve">
Floor with height</t>
        </r>
      </text>
    </comment>
    <comment ref="C57" authorId="1" shapeId="0">
      <text>
        <r>
          <rPr>
            <b/>
            <sz val="9"/>
            <color indexed="81"/>
            <rFont val="Tahoma"/>
            <family val="2"/>
          </rPr>
          <t>SACHIN:</t>
        </r>
        <r>
          <rPr>
            <sz val="9"/>
            <color indexed="81"/>
            <rFont val="Tahoma"/>
            <family val="2"/>
          </rPr>
          <t xml:space="preserve">
Survey Nos.</t>
        </r>
      </text>
    </comment>
    <comment ref="D63" authorId="0" shapeId="0">
      <text>
        <r>
          <rPr>
            <b/>
            <sz val="9"/>
            <color indexed="81"/>
            <rFont val="Tahoma"/>
            <family val="2"/>
          </rPr>
          <t>Sachin:</t>
        </r>
        <r>
          <rPr>
            <sz val="9"/>
            <color indexed="81"/>
            <rFont val="Tahoma"/>
            <family val="2"/>
          </rPr>
          <t xml:space="preserve">
If multiple building in project or complex just mention builtup of required building</t>
        </r>
      </text>
    </comment>
    <comment ref="F168" authorId="1" shapeId="0">
      <text>
        <r>
          <rPr>
            <b/>
            <sz val="9"/>
            <color indexed="81"/>
            <rFont val="Tahoma"/>
            <family val="2"/>
          </rPr>
          <t>SACHIN:</t>
        </r>
        <r>
          <rPr>
            <sz val="9"/>
            <color indexed="81"/>
            <rFont val="Tahoma"/>
            <family val="2"/>
          </rPr>
          <t xml:space="preserve">
Other charges should be given on basis of location amenties builder type n should not exceed above 12 lakhs or 8% of flat value</t>
        </r>
      </text>
    </comment>
    <comment ref="H262" authorId="1" shapeId="0">
      <text>
        <r>
          <rPr>
            <b/>
            <sz val="9"/>
            <color indexed="81"/>
            <rFont val="Tahoma"/>
            <family val="2"/>
          </rPr>
          <t>SACHIN:</t>
        </r>
        <r>
          <rPr>
            <sz val="9"/>
            <color indexed="81"/>
            <rFont val="Tahoma"/>
            <family val="2"/>
          </rPr>
          <t xml:space="preserve">
Give loading of 50% for A Category</t>
        </r>
      </text>
    </comment>
  </commentList>
</comments>
</file>

<file path=xl/comments2.xml><?xml version="1.0" encoding="utf-8"?>
<comments xmlns="http://schemas.openxmlformats.org/spreadsheetml/2006/main">
  <authors>
    <author>SACHIN</author>
  </authors>
  <commentList>
    <comment ref="C9" authorId="0" shapeId="0">
      <text>
        <r>
          <rPr>
            <b/>
            <sz val="9"/>
            <color indexed="81"/>
            <rFont val="Tahoma"/>
            <family val="2"/>
          </rPr>
          <t>SACHIN:</t>
        </r>
        <r>
          <rPr>
            <sz val="9"/>
            <color indexed="81"/>
            <rFont val="Tahoma"/>
            <family val="2"/>
          </rPr>
          <t xml:space="preserve">
If banker changes the rate</t>
        </r>
      </text>
    </comment>
    <comment ref="C10" authorId="0" shapeId="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<sst xmlns="http://schemas.openxmlformats.org/spreadsheetml/2006/main" count="1011" uniqueCount="436">
  <si>
    <t xml:space="preserve">Valuation Report </t>
  </si>
  <si>
    <t>Date:</t>
  </si>
  <si>
    <t>CPC Name:</t>
  </si>
  <si>
    <t>Date Of Property Visit</t>
  </si>
  <si>
    <t>Name of the builder group</t>
  </si>
  <si>
    <t>Name of the builder company</t>
  </si>
  <si>
    <t>Name of the Project</t>
  </si>
  <si>
    <t>Name / No of the Building</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</si>
  <si>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</si>
  <si>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</si>
  <si>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</si>
  <si>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</si>
  <si>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</si>
  <si>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</si>
  <si>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</si>
  <si>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</si>
  <si>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</si>
  <si>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</si>
  <si>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</si>
  <si>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</si>
  <si>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</si>
  <si>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</si>
  <si>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</si>
  <si>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</si>
  <si>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</si>
  <si>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</si>
  <si>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</si>
  <si>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</si>
  <si>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NA</t>
  </si>
  <si>
    <t>At site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</si>
  <si>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</si>
  <si>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</si>
  <si>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</si>
  <si>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</si>
  <si>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</si>
  <si>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</si>
  <si>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</si>
  <si>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</si>
  <si>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</si>
  <si>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</si>
  <si>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</si>
  <si>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</si>
  <si>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 xml:space="preserve">O. Certificate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</si>
  <si>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</si>
  <si>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</si>
  <si>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</si>
  <si>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</si>
  <si>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</si>
  <si>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</si>
  <si>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</si>
  <si>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</si>
  <si>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</si>
  <si>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</si>
  <si>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</si>
  <si>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Description</t>
  </si>
  <si>
    <t>Gross Carpet area</t>
  </si>
  <si>
    <t>Attached Terrace area</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</si>
  <si>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</si>
  <si>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</si>
  <si>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</si>
  <si>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</si>
  <si>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</si>
  <si>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</si>
  <si>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</si>
  <si>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</si>
  <si>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</si>
  <si>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Residential Area Details :</t>
  </si>
  <si>
    <t>Podium</t>
  </si>
  <si>
    <t>Ground</t>
  </si>
  <si>
    <t>Locality/Village</t>
  </si>
  <si>
    <t>Taluka</t>
  </si>
  <si>
    <t>Commercial Area Details :</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</si>
  <si>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</si>
  <si>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</si>
  <si>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</si>
  <si>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</si>
  <si>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</si>
  <si>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</si>
  <si>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</si>
  <si>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</si>
  <si>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</si>
  <si>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</si>
  <si>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</si>
  <si>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</si>
  <si>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</si>
  <si>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</si>
  <si>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</si>
  <si>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Total Approved Builtup area of the project (Sq.Mt)</t>
  </si>
  <si>
    <t>Restrictive Covenants in regard to Land Use</t>
  </si>
  <si>
    <t>Boundries</t>
  </si>
  <si>
    <t>Development Charges</t>
  </si>
  <si>
    <t>Club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</si>
  <si>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</si>
  <si>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</si>
  <si>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</si>
  <si>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</si>
  <si>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</si>
  <si>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</si>
  <si>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</si>
  <si>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</si>
  <si>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completed</t>
  </si>
  <si>
    <t>NA
Approved upto : NA</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</si>
  <si>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</si>
  <si>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</si>
  <si>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</si>
  <si>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</si>
  <si>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</si>
  <si>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</si>
  <si>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</si>
  <si>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</si>
  <si>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</si>
  <si>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</si>
  <si>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</si>
  <si>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</si>
  <si>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</si>
  <si>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t>2nd Floor</t>
  </si>
  <si>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</si>
  <si>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</si>
  <si>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</si>
  <si>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</si>
  <si>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</si>
  <si>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</si>
  <si>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</si>
  <si>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</si>
  <si>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</si>
  <si>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</si>
  <si>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</si>
  <si>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</si>
  <si>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</si>
  <si>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</si>
  <si>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</si>
  <si>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</si>
  <si>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</si>
  <si>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</si>
  <si>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</si>
  <si>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</si>
  <si>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</si>
  <si>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</si>
  <si>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</si>
  <si>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</si>
  <si>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2nd to 5th Floor</t>
  </si>
  <si>
    <t>2nd &amp; 5th Floor</t>
  </si>
  <si>
    <t>Basement 1</t>
  </si>
  <si>
    <t>Plinth in process</t>
  </si>
  <si>
    <t xml:space="preserve">Violations Observed if any : </t>
  </si>
  <si>
    <t>Saleable area Loading :</t>
  </si>
  <si>
    <t>3rd, 5th, 7th, 9th, 11th, 13th, 15th Floor</t>
  </si>
  <si>
    <t>Total</t>
  </si>
  <si>
    <t>Name of Municipal Corporation/Authority</t>
  </si>
  <si>
    <t>We have considered proposed No. of Floor for Stage Calculation.</t>
  </si>
  <si>
    <t>*</t>
  </si>
  <si>
    <t>Recommended rate should be considered as all inclusive rate if other charges are not mentioned. (Excluding GST &amp; other government Taxes)</t>
  </si>
  <si>
    <t xml:space="preserve">Commencement-CC No
Valid Up to: </t>
  </si>
  <si>
    <t>Attached Loft area</t>
  </si>
  <si>
    <t xml:space="preserve">Recommended Rates of the Property : </t>
  </si>
  <si>
    <t>Recommended rate of the Shop Per Sq. Ft.</t>
  </si>
  <si>
    <t>Recommended rate of the Flat Per Sq. Ft.</t>
  </si>
  <si>
    <t>Recommended rate of the Office Per Sq. Ft.</t>
  </si>
  <si>
    <t>On Saleable Area</t>
  </si>
  <si>
    <t>Location Link</t>
  </si>
  <si>
    <t>Locality</t>
  </si>
  <si>
    <t>Layout :</t>
  </si>
  <si>
    <t>Office No. 1031, Wing J, Akshar Business Park, Plot No. 03 Sector 25, Near APMC Market, Vashi, Navi Mumbai, Maharashtra 400703 TEL: 022-46090378/79/80                                                                       
E mail : vsjcapf@gmail.com. Web site : www.vsjadon.com</t>
  </si>
  <si>
    <t>Latitude, Longitude</t>
  </si>
  <si>
    <t>Grand Total</t>
  </si>
  <si>
    <t>Provided Contact Details (Name &amp; Contact No.)</t>
  </si>
  <si>
    <t>Site Person - Contact Details (Name &amp; Contact No.)</t>
  </si>
  <si>
    <t>Approved Plans, CC, Sale Plans, Builder Saleable Area, Cost Sheet, Airport Noc, Railway Noc, OC</t>
  </si>
  <si>
    <t>Axis Goregaon</t>
  </si>
  <si>
    <t>Name / No of the Existing Building</t>
  </si>
  <si>
    <t>Mumbai</t>
  </si>
  <si>
    <t>As per Layout</t>
  </si>
  <si>
    <t xml:space="preserve">Details of Residential &amp; Commercials in Building   </t>
  </si>
  <si>
    <t>Floor Rise Rate from    Floor</t>
  </si>
  <si>
    <t>Shop No. (Sale Plan)</t>
  </si>
  <si>
    <t>Flat No. (Sale Plan)</t>
  </si>
  <si>
    <t xml:space="preserve">As the project is redevelopement project but rehab statement or rehab flats is not mentioned approved layout plan &amp; floor plan.
</t>
  </si>
  <si>
    <t xml:space="preserve">Thane </t>
  </si>
  <si>
    <t>Thane</t>
  </si>
  <si>
    <t>Shahpur</t>
  </si>
  <si>
    <t>Kalyan</t>
  </si>
  <si>
    <t>Bhiwandi</t>
  </si>
  <si>
    <t>Ulhasnagar</t>
  </si>
  <si>
    <t>Ambernath</t>
  </si>
  <si>
    <t>Murbad</t>
  </si>
  <si>
    <t>Mokhada</t>
  </si>
  <si>
    <t>Talasari</t>
  </si>
  <si>
    <t>Palghar</t>
  </si>
  <si>
    <t>Vasai</t>
  </si>
  <si>
    <t>Vikramgad</t>
  </si>
  <si>
    <t>Dahanu</t>
  </si>
  <si>
    <t>Wada</t>
  </si>
  <si>
    <t>Raigad</t>
  </si>
  <si>
    <t>Alibag</t>
  </si>
  <si>
    <t>Panvel</t>
  </si>
  <si>
    <t>Uran</t>
  </si>
  <si>
    <t>Karjat</t>
  </si>
  <si>
    <t>Khalapur</t>
  </si>
  <si>
    <t>Pen</t>
  </si>
  <si>
    <t>Sudhagad</t>
  </si>
  <si>
    <t>Mahad</t>
  </si>
  <si>
    <t>Roha</t>
  </si>
  <si>
    <t>Mangaon</t>
  </si>
  <si>
    <t>Poladpur</t>
  </si>
  <si>
    <t>Mahasala</t>
  </si>
  <si>
    <t>Shriwardhan</t>
  </si>
  <si>
    <t>Murud</t>
  </si>
  <si>
    <t>Andheri</t>
  </si>
  <si>
    <t>Borivali</t>
  </si>
  <si>
    <t>Kurla</t>
  </si>
  <si>
    <t>Pune</t>
  </si>
  <si>
    <t>Pune City</t>
  </si>
  <si>
    <t>Khed</t>
  </si>
  <si>
    <t>Baramati</t>
  </si>
  <si>
    <t>Junnar</t>
  </si>
  <si>
    <t>Shirur</t>
  </si>
  <si>
    <t>Indapur</t>
  </si>
  <si>
    <t>Daund</t>
  </si>
  <si>
    <t>Mawal</t>
  </si>
  <si>
    <t>Ambegaon</t>
  </si>
  <si>
    <t>Purandhar</t>
  </si>
  <si>
    <t>Bhor</t>
  </si>
  <si>
    <t>Mulshi</t>
  </si>
  <si>
    <t>Velhe</t>
  </si>
  <si>
    <t>Haveli</t>
  </si>
  <si>
    <t>Approved Plans, CC</t>
  </si>
  <si>
    <t>Approved Plans, CC, Sale Plans</t>
  </si>
  <si>
    <t>Approved Plans, CC, Sale Plans, Builder Saleable Area</t>
  </si>
  <si>
    <t>Approved Plans, CC, Sale Plans, Builder Saleable Area, Cost Sheet,</t>
  </si>
  <si>
    <t>Approved Plans, CC, Builder Saleable Area,</t>
  </si>
  <si>
    <t>Fungible area</t>
  </si>
  <si>
    <t>Carpet area</t>
  </si>
  <si>
    <t>Bank Name:</t>
  </si>
  <si>
    <t>Axis Bank</t>
  </si>
  <si>
    <t>Branch</t>
  </si>
  <si>
    <t>Bank</t>
  </si>
  <si>
    <t>Cent Bank</t>
  </si>
  <si>
    <t>Indiabulls Housing Finance Ltd</t>
  </si>
  <si>
    <t>PNB Housing Finance Limited</t>
  </si>
  <si>
    <t>ABFHL</t>
  </si>
  <si>
    <t>Axis Thane</t>
  </si>
  <si>
    <t>Axis Sanpada</t>
  </si>
  <si>
    <t>Axis Badlapur</t>
  </si>
  <si>
    <t>PNB Thane</t>
  </si>
  <si>
    <t>PNB Borivali</t>
  </si>
  <si>
    <t>Cent Kalyan</t>
  </si>
  <si>
    <t>Cent Belapur</t>
  </si>
  <si>
    <t>IBHF Kalyan</t>
  </si>
  <si>
    <t>IBHF Badlapur</t>
  </si>
  <si>
    <t>IBHF Vashi</t>
  </si>
  <si>
    <t>IBHF Thane</t>
  </si>
  <si>
    <t>IBHF Andheri</t>
  </si>
  <si>
    <t>Authorites</t>
  </si>
  <si>
    <t>Slum Rehabilitation Authority (SRA)</t>
  </si>
  <si>
    <t>Municipal Corporation of Greater Mumbai (MCGM)</t>
  </si>
  <si>
    <t>Maharashtra Housing and Area Development Authority(MHADA)</t>
  </si>
  <si>
    <t>Mumbai Metropolitan Region Development Authority (MMRDA)</t>
  </si>
  <si>
    <t>Maharashtra State Road Development Corporation Limited (MSRDC)</t>
  </si>
  <si>
    <t>Navi Mumbai Municipal Corporation (NMMC)</t>
  </si>
  <si>
    <t>Thane Muncipal Cooperation (TMC)</t>
  </si>
  <si>
    <t>Kalyan Dombivli Municipal Corporation (KMDC)</t>
  </si>
  <si>
    <t>Kulgoan Badlapur Municipal Council</t>
  </si>
  <si>
    <t>Town Planning Thane</t>
  </si>
  <si>
    <t>Ambernath Municipal Council (AMC)</t>
  </si>
  <si>
    <t>Ulhasnagar Municipal Corporation</t>
  </si>
  <si>
    <t>Nagar Rachana Ani Mulya Nirdharan Vibhag Thane</t>
  </si>
  <si>
    <t>Bhiwandi Nizampur City Municipal Corporation</t>
  </si>
  <si>
    <t>City and Industrial Development Corporation (CIDCO)</t>
  </si>
  <si>
    <t>Maharashtra Industrial Development Corporation (MIDC)</t>
  </si>
  <si>
    <t>Panvel Municipal Corporation</t>
  </si>
  <si>
    <t>Navi Mumbai Airport Influence Notified Area (NAINA)</t>
  </si>
  <si>
    <t>Pen Municipal Council</t>
  </si>
  <si>
    <t>Raigad Zilha Parishad</t>
  </si>
  <si>
    <t>Roha Municipal Council</t>
  </si>
  <si>
    <t>Vasai-Virar City Municipal Corporation. (VVCMC)</t>
  </si>
  <si>
    <t>Collector Of Palghar</t>
  </si>
  <si>
    <t>Town Planner, Palghar</t>
  </si>
  <si>
    <t>Mira-Bhayandar Municipal Corporation</t>
  </si>
  <si>
    <t>Documents Provided</t>
  </si>
  <si>
    <t>Does the boundaries at site match, as mentioned in the Documentation: NA</t>
  </si>
  <si>
    <t xml:space="preserve">Fire Noc No
Valid Up to: </t>
  </si>
  <si>
    <t xml:space="preserve">Environmental Clearance Certificate (EC) No
Valid Up for: </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</si>
  <si>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</si>
  <si>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</si>
  <si>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</si>
  <si>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</si>
  <si>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</si>
  <si>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</si>
  <si>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</si>
  <si>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rgb="FF000000"/>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</si>
  <si>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</si>
  <si>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</si>
  <si>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</si>
  <si>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</si>
  <si>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</si>
  <si>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Collector Of Raigad</t>
  </si>
  <si>
    <t>As the project is redevelopement project but rehab statement or rehab flats is not mentioned approved layout plan &amp; floor plan.</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</si>
  <si>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</si>
  <si>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</si>
  <si>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</si>
  <si>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Since the project has received first CC on 17/01/2020, But construction work of Wing A is not yet started. Please provide revised approved CC for Wing A.</t>
  </si>
  <si>
    <t xml:space="preserve">Floor No </t>
  </si>
  <si>
    <t>Discription</t>
  </si>
  <si>
    <t>Carpet</t>
  </si>
  <si>
    <t>Fungible</t>
  </si>
  <si>
    <t>Terrace</t>
  </si>
  <si>
    <t>L</t>
  </si>
  <si>
    <t>W</t>
  </si>
  <si>
    <t>A</t>
  </si>
  <si>
    <t>Hall</t>
  </si>
  <si>
    <t>CB</t>
  </si>
  <si>
    <t>kitch</t>
  </si>
  <si>
    <t>FB</t>
  </si>
  <si>
    <t>Bed1</t>
  </si>
  <si>
    <t>Bed2</t>
  </si>
  <si>
    <t>Bed3</t>
  </si>
  <si>
    <t>Bed4</t>
  </si>
  <si>
    <t>DB</t>
  </si>
  <si>
    <t>toilet2</t>
  </si>
  <si>
    <t>toilet3</t>
  </si>
  <si>
    <t>passage1</t>
  </si>
  <si>
    <t>passage3</t>
  </si>
  <si>
    <t>passage4</t>
  </si>
  <si>
    <t>toilet4</t>
  </si>
  <si>
    <t>passage2</t>
  </si>
  <si>
    <t>Servant room</t>
  </si>
  <si>
    <t>Balcony</t>
  </si>
  <si>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xml:space="preserve"> A wing is a rehab wing, and B wing is a sale wing. The same letter is attached below.</t>
    </r>
  </si>
  <si>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5 shops &amp; 6 Flats are Rehab Flats. The same letter is attached below.</t>
    </r>
  </si>
  <si>
    <t>As Flat No. 201, 202, 203 &amp; 204 consists of large terrace area but dimension of that area is not mentioned. Therefore we have not considered terrace area for that flat.</t>
  </si>
  <si>
    <t>Electric Lines are passing above the project</t>
  </si>
  <si>
    <t>High tension lines are passing nearby project Project Name. Please provide Power Noc.</t>
  </si>
  <si>
    <t>We have release report on the basis of other vendor report.</t>
  </si>
  <si>
    <t>As per the last site visit dtd. 06/03/2024, internal visit was not allowed. Hence, the construction percentage given in the report was as per site met person i.e. 1st slab completed.
As per the visit dtd 10/06/2024, we have observed that only plinth work is completed. But higher construction stage is already given in last report i.e. 1st slab completed Hence, we are maintaining the same construction percentage as of previous report.</t>
  </si>
  <si>
    <t>Recommended Rates / Other charges of the Property (Commercial) have been revised on 23/10/2023 on basis of Cost sheet provided to us on mail by bank official, which is attached below</t>
  </si>
  <si>
    <t>As building have received First CC on 08/05/2015 still building is still under construction.</t>
  </si>
  <si>
    <t>Provided plans doesnot consist of Owner &amp; Architect Signature, 
We are releasing report after verbel discussion with Bank Officials about above Query.</t>
  </si>
  <si>
    <t>We have not drafted Unit No. 4, Office No. 107, 207, 307 &amp; 407 due to improper dimentions n shape of that unit.</t>
  </si>
  <si>
    <t>We are releasing report on MIDC Approved plans &amp; Combined Approval Letter.</t>
  </si>
  <si>
    <t>As the project is redevelopement project but rehab statement or rehab flats is not mentioned approved layout plan &amp; floor plan. But builder rehab tenant list is provided on mail by bank officials which is attached below</t>
  </si>
  <si>
    <t>SCL Kalyan</t>
  </si>
  <si>
    <t>SCL Badlapur</t>
  </si>
  <si>
    <t>SCL Vashi</t>
  </si>
  <si>
    <t>SCL Thane</t>
  </si>
  <si>
    <t>SCL Andheri</t>
  </si>
  <si>
    <t>SCL Borivali</t>
  </si>
  <si>
    <t>SCL Virar</t>
  </si>
  <si>
    <t>As per Approved Floor Plan, In C to E wing on Ground floor Shop No. 19 &amp; 20 are merged into single shop.</t>
  </si>
  <si>
    <t xml:space="preserve">Please check for Environment Clearance Certificate, Fire NOC, Airport NOC, CRZ NOC, Railway Noc.
</t>
  </si>
  <si>
    <t>Palghar Muncipal Council</t>
  </si>
  <si>
    <t xml:space="preserve">We have given Valuation for Sale Flats and Shops only.
</t>
  </si>
  <si>
    <t>There are guest houses, villas, resorts, etc. in a range of 200 to 300 meters.
There are few residential buildings available in the surrounding areas. (within 500 meters)
There are inadequate transportation options to get to the project and the area is not
developed</t>
  </si>
  <si>
    <t xml:space="preserve">Airport Noc No
Valid Up for: 
</t>
  </si>
  <si>
    <t xml:space="preserve">Valid upto Dated </t>
  </si>
  <si>
    <t>PNB Panvel</t>
  </si>
  <si>
    <t>Building Details Floor Wise</t>
  </si>
  <si>
    <t>Sammaan Capital Limited</t>
  </si>
  <si>
    <t>Thane Municipal Corporation (TMC)</t>
  </si>
  <si>
    <t>Construction stage is reduced due to revision in proposed structure of project.</t>
  </si>
  <si>
    <t>Construction percentage has been reduced due to the construction work being processed in two parts.</t>
  </si>
  <si>
    <t xml:space="preserve">The project has received CC on 07/06/2019, But construction work is not yet Completed. </t>
  </si>
  <si>
    <t>Some flats are occupied by tenants but finishing work is in process at the time of visit.</t>
  </si>
  <si>
    <t>The       project is not registered on RERA site, Beacause land area of project is less than 500 Sq.Mt</t>
  </si>
  <si>
    <t>As per site visit dtd.23/01/2025 we have observed that the construction work is not done as per approved floor plan. (Extra Terrace Area are Constructed for flats)
According to the approved 1st floor plan, terrace area is not attached to Flat No.3, 4 &amp; 5, But on site terrace area is already constructed.</t>
  </si>
  <si>
    <t>Remark No. 42 is resolved by corrigendum (i.e. correction letter) provided by authority regarding survey nos. letter attached below.</t>
  </si>
  <si>
    <t>As per approved Floor plans does not consist of Unit Numbering, We have considered unit numbering from sale plan provided by site meet person during site visit.</t>
  </si>
  <si>
    <t>As per New version of RERA portal project consist of single building - Hasha Heights
As per Old version of RERA portal project consist of Two buildings- Hasha Heights &amp; Kunti Heights</t>
  </si>
  <si>
    <t>Remark No.11 is solved. we were asked to follow the old version of RERA by the bank official builder letter provided on the mail is attached below.</t>
  </si>
  <si>
    <t xml:space="preserve">As per approved plan &amp; CC,  project consists of Survey No.40, H.No.2A, Plot No.3 &amp; 4.  
But as per RERA, project consists of Survey No.40/B, Plot No.3 &amp; 4.  </t>
  </si>
  <si>
    <t>Vishw apartment</t>
  </si>
  <si>
    <t>The approved large land parcel layout plan does not consist of survey number, therefore we have referred Survey No. from Title Certificate.</t>
  </si>
  <si>
    <t>As per the discussion with the bank official, Builder provided approved EC on whatsapp for a large land parcel.</t>
  </si>
  <si>
    <t>Mahindra Vista Phase 1 &amp; 2</t>
  </si>
  <si>
    <t>As per the approved floor plan, out of 1199 flats, there are 132 flats that are "I to R" flats. Please check from your end.</t>
  </si>
  <si>
    <t>As per the approved plans &amp; RERA in the project Shikara Heights Phase I consist of " Wing A, B, C " for Sale &amp; " Wing D " for Rehab
Therefore we have not considered Rehab Wing D in APF Report.</t>
  </si>
  <si>
    <t xml:space="preserve">Site Elevation (AMSL) = 
Permissible Top Elevation (AMSL) = </t>
  </si>
  <si>
    <t>Aditya Realtors</t>
  </si>
  <si>
    <t>AV Smart City Phase 1</t>
  </si>
  <si>
    <t>Jayram Sahu : 9960850977</t>
  </si>
  <si>
    <t>P99000050740</t>
  </si>
  <si>
    <t>Survey No</t>
  </si>
  <si>
    <t>1023/8 (Old S.No.1023/1 + 2/4)</t>
  </si>
  <si>
    <t>Mahim</t>
  </si>
  <si>
    <t>https://maps.app.goo.gl/47nTgTmECZUvydkP7</t>
  </si>
  <si>
    <t>19.6755884,72.7400386</t>
  </si>
  <si>
    <t>Palghar (West)</t>
  </si>
  <si>
    <t>Haranwadi</t>
  </si>
  <si>
    <t>5.0 KM from Palghar Railway Station</t>
  </si>
  <si>
    <t>Gayatri Park</t>
  </si>
  <si>
    <t>Haranwadi Road</t>
  </si>
  <si>
    <t>Other Plot</t>
  </si>
  <si>
    <t>Adj. H. No. 1+2/5</t>
  </si>
  <si>
    <t>Adj. H. No. 1+2/3</t>
  </si>
  <si>
    <t>18 M.W. Road</t>
  </si>
  <si>
    <t>MHSL/K-1/MJ1/BSP/SR/CR/121/2022</t>
  </si>
  <si>
    <t>Building No.1 (Type A &amp; B) = Gr + 1st to 7th Floor
Building No.2 (Type C) = Gr + 1st to 7th Floor
Building No.3 (Type D) = Gr + 1st to 7th Floor
Building No.4 (Type C1) = Gr + 1st to 7th Floor
Building No.5 (Type D1) = Gr + 1st to 7th Floor
Building No.6 (Type E) = Gr + 1st Floor
Building No.7, 8 &amp; 9 (Type E &amp; E1) = Gr + 1st Floor
(Total BUA = 18126.96 Sq.M)</t>
  </si>
  <si>
    <t>As per RERA - 31/12/2027</t>
  </si>
  <si>
    <t>Gymnasium, Club House, Swimming Pool, Indoor Game, Banquet Hall, Kids Play Area, Automated Vehicle Entry, EV Charging Station, 24 Power Backup, etc.</t>
  </si>
  <si>
    <r>
      <t xml:space="preserve">Proposed Amenities :                                                                                                                                                                                                                         </t>
    </r>
    <r>
      <rPr>
        <b/>
        <sz val="12"/>
        <rFont val="Times New Roman"/>
        <family val="1"/>
      </rPr>
      <t xml:space="preserve">                                               </t>
    </r>
  </si>
  <si>
    <t>Pooja Kawale</t>
  </si>
  <si>
    <t>Harshad Pawade</t>
  </si>
  <si>
    <t>Building No.1 (Type A)</t>
  </si>
  <si>
    <t>Ground Floor For Commercial, Meter Room &amp; Parking</t>
  </si>
  <si>
    <t>Shop</t>
  </si>
  <si>
    <t>Building No.1 (Type B)</t>
  </si>
  <si>
    <t>Ground Floor For Commercial, Society Office, Driver Room, Meter Room &amp; Parking</t>
  </si>
  <si>
    <t>1st Floor for Residential</t>
  </si>
  <si>
    <t>1BHK</t>
  </si>
  <si>
    <t>2nd to 6th Floor</t>
  </si>
  <si>
    <t>7th Floor (Part Terrace Area)</t>
  </si>
  <si>
    <t>Building No.2 (Type C)</t>
  </si>
  <si>
    <t>Building No.3 (Type D)</t>
  </si>
  <si>
    <t>Ground Floor For Driver Room, Meter Room, Society Office &amp; Parking</t>
  </si>
  <si>
    <t>1st to 6th Floor for Residential</t>
  </si>
  <si>
    <t>Building No.4 (Type C1)</t>
  </si>
  <si>
    <t>Building No.5 (Type D1)</t>
  </si>
  <si>
    <t>1.5BHK</t>
  </si>
  <si>
    <t>Building No.1 (Type A &amp; B) = Gr + 1st to 7th Floor 
Building No.2 (Type C) = Gr + 1st to 7th Floor
Building No.3 (Type D) = Gr + 1st to 7th Floor
Building No.4 (Type C1) = Gr + 1st to 7th Floor
Building No.5 (Type D1) = Gr + 1st to 7th Floor</t>
  </si>
  <si>
    <t>Building No.1 (Type A &amp; B)
Building No.2 (Type C)
Building No.3 (Type D)
Building No.4 (Type C1)
Building No.5 (Type D1)</t>
  </si>
  <si>
    <t>06 Buildings</t>
  </si>
  <si>
    <t xml:space="preserve">Building No.1 (Type A) = Gr + 1st to 7th Floor </t>
  </si>
  <si>
    <t xml:space="preserve">Building No.1 (Type B) = Gr + 1st to 7th Floor </t>
  </si>
  <si>
    <t>Building No.2 (Type C) = Gr + 1st to 7th Floor</t>
  </si>
  <si>
    <t>Building No.3 (Type D) = Gr + 1st to 7th Floor</t>
  </si>
  <si>
    <t>Building No.4 (Type C1) = Gr + 1st to 7th Floor</t>
  </si>
  <si>
    <t>Building No.5 (Type D1) = Gr + 1st to 7th Floor</t>
  </si>
  <si>
    <t>We considered Gross carpet area = Net carpet + D.B Area.</t>
  </si>
  <si>
    <t>Construction work is in process at the time of visit.</t>
  </si>
  <si>
    <t>Building No.1 (Type A &amp; B)
Building No.2 (Type C)
Building No.4 (Type C1)
Building No.5 (Type D1)</t>
  </si>
  <si>
    <t>Work not yet started.</t>
  </si>
  <si>
    <r>
      <t xml:space="preserve">Flat No.
</t>
    </r>
    <r>
      <rPr>
        <b/>
        <sz val="11"/>
        <rFont val="Times New Roman"/>
        <family val="1"/>
      </rPr>
      <t>(Approved Plan)</t>
    </r>
  </si>
  <si>
    <r>
      <t xml:space="preserve">Shop No.
</t>
    </r>
    <r>
      <rPr>
        <b/>
        <sz val="11"/>
        <rFont val="Times New Roman"/>
        <family val="1"/>
      </rPr>
      <t>(Approved Plan)</t>
    </r>
  </si>
  <si>
    <t>Approved area of building (Sq.Mt)
(Building No.1 to 5)</t>
  </si>
  <si>
    <t>Flats - 348, Shops - 55</t>
  </si>
  <si>
    <t>As per bank request we have done APF for only Building No.1 to 5.</t>
  </si>
  <si>
    <t>MHSL/KS-1/T1/NAP/SR-121/2021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</si>
</sst>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 #,##0.00_ ;_ * \-#,##0.00_ ;_ * &quot;-&quot;??_ ;_ @_ "/>
    <numFmt numFmtId="164" formatCode="0.0"/>
    <numFmt numFmtId="165" formatCode="_(* #,##0.00_);_(* \(#,##0.00\);_(* &quot;-&quot;??_);_(@_)"/>
    <numFmt numFmtId="166" formatCode="_(* #,##0_);_(* \(#,##0\);_(* &quot;-&quot;??_);_(@_)"/>
    <numFmt numFmtId="167" formatCode="_ * #,##0_ ;_ * \-#,##0_ ;_ * &quot;-&quot;??_ ;_ @_ "/>
  </numFmts>
  <fonts count="30"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b/>
      <sz val="12"/>
      <color rgb="FFFF0000"/>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sz val="10"/>
      <color theme="1"/>
      <name val="Times New Roman"/>
      <family val="1"/>
    </font>
    <font>
      <sz val="11"/>
      <name val="Calibri"/>
      <family val="2"/>
    </font>
    <font>
      <sz val="11"/>
      <color theme="0"/>
      <name val="Calibri"/>
      <family val="2"/>
    </font>
    <font>
      <u/>
      <sz val="11"/>
      <color theme="10"/>
      <name val="Calibri"/>
      <family val="2"/>
    </font>
    <font>
      <sz val="9"/>
      <color indexed="81"/>
      <name val="Tahoma"/>
      <family val="2"/>
    </font>
    <font>
      <b/>
      <sz val="9"/>
      <color indexed="81"/>
      <name val="Tahoma"/>
      <family val="2"/>
    </font>
    <font>
      <b/>
      <sz val="11"/>
      <color rgb="FF000000"/>
      <name val="Calibri"/>
      <family val="2"/>
    </font>
    <font>
      <b/>
      <sz val="11.5"/>
      <name val="Times New Roman"/>
      <family val="1"/>
    </font>
    <font>
      <b/>
      <sz val="11"/>
      <name val="Times New Roman"/>
      <family val="1"/>
    </font>
  </fonts>
  <fills count="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11">
    <xf numFmtId="0" fontId="0" fillId="0" borderId="0"/>
    <xf numFmtId="0" fontId="3" fillId="0" borderId="0"/>
    <xf numFmtId="0" fontId="4" fillId="0" borderId="0"/>
    <xf numFmtId="0" fontId="2" fillId="0" borderId="0"/>
    <xf numFmtId="0" fontId="4" fillId="0" borderId="0"/>
    <xf numFmtId="0" fontId="1" fillId="0" borderId="0"/>
    <xf numFmtId="165" fontId="4" fillId="0" borderId="0" applyFont="0" applyFill="0" applyBorder="0" applyAlignment="0" applyProtection="0"/>
    <xf numFmtId="0" fontId="19" fillId="0" borderId="0"/>
    <xf numFmtId="9" fontId="20" fillId="0" borderId="0" applyFont="0" applyFill="0" applyBorder="0" applyAlignment="0" applyProtection="0"/>
    <xf numFmtId="43" fontId="20" fillId="0" borderId="0" applyFont="0" applyFill="0" applyBorder="0" applyAlignment="0" applyProtection="0"/>
    <xf numFmtId="0" fontId="24" fillId="0" borderId="0" applyNumberFormat="0" applyFill="0" applyBorder="0" applyAlignment="0" applyProtection="0"/>
  </cellStyleXfs>
  <cellXfs count="296">
    <xf numFmtId="0" fontId="0" fillId="0" borderId="0" xfId="0"/>
    <xf numFmtId="0" fontId="4" fillId="0" borderId="0" xfId="4"/>
    <xf numFmtId="0" fontId="1" fillId="0" borderId="0" xfId="5"/>
    <xf numFmtId="0" fontId="8" fillId="0" borderId="1" xfId="5" applyFont="1" applyBorder="1" applyAlignment="1">
      <alignment horizontal="center" vertical="top" wrapText="1"/>
    </xf>
    <xf numFmtId="0" fontId="18"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8" fillId="0" borderId="1" xfId="5" applyFont="1" applyBorder="1" applyAlignment="1">
      <alignment horizontal="center" vertical="center"/>
    </xf>
    <xf numFmtId="1" fontId="17" fillId="0" borderId="1" xfId="5" applyNumberFormat="1" applyFont="1" applyBorder="1" applyAlignment="1">
      <alignment horizontal="center" vertical="center"/>
    </xf>
    <xf numFmtId="0" fontId="4" fillId="0" borderId="1" xfId="4" applyBorder="1" applyAlignment="1">
      <alignment horizontal="center" vertical="center"/>
    </xf>
    <xf numFmtId="0" fontId="16" fillId="0" borderId="0" xfId="0" applyFont="1" applyProtection="1">
      <protection hidden="1"/>
    </xf>
    <xf numFmtId="0" fontId="16" fillId="0" borderId="11" xfId="0" applyFont="1" applyBorder="1" applyProtection="1">
      <protection hidden="1"/>
    </xf>
    <xf numFmtId="0" fontId="10" fillId="0" borderId="4" xfId="1" applyFont="1" applyBorder="1" applyAlignment="1" applyProtection="1">
      <alignment horizontal="center" vertical="top"/>
      <protection locked="0"/>
    </xf>
    <xf numFmtId="0" fontId="10" fillId="0" borderId="5" xfId="1" applyFont="1" applyBorder="1" applyAlignment="1" applyProtection="1">
      <alignment horizontal="center" vertical="top"/>
      <protection locked="0"/>
    </xf>
    <xf numFmtId="0" fontId="5" fillId="0" borderId="1" xfId="1" applyFont="1" applyBorder="1" applyAlignment="1" applyProtection="1">
      <alignment vertical="top" wrapText="1"/>
      <protection locked="0"/>
    </xf>
    <xf numFmtId="0" fontId="6" fillId="0" borderId="0" xfId="1" applyFont="1"/>
    <xf numFmtId="0" fontId="13" fillId="0" borderId="0" xfId="1" applyFont="1"/>
    <xf numFmtId="0" fontId="10" fillId="0" borderId="0" xfId="1" applyFont="1"/>
    <xf numFmtId="1" fontId="6" fillId="0" borderId="0" xfId="1" applyNumberFormat="1" applyFont="1"/>
    <xf numFmtId="14" fontId="6" fillId="0" borderId="0" xfId="1" applyNumberFormat="1" applyFont="1"/>
    <xf numFmtId="0" fontId="6" fillId="0" borderId="0" xfId="1" applyFont="1" applyProtection="1">
      <protection hidden="1"/>
    </xf>
    <xf numFmtId="0" fontId="21" fillId="0" borderId="0" xfId="1" applyFont="1"/>
    <xf numFmtId="0" fontId="6" fillId="0" borderId="10" xfId="1" applyFont="1" applyBorder="1"/>
    <xf numFmtId="0" fontId="16" fillId="0" borderId="10" xfId="0" applyFont="1" applyBorder="1" applyProtection="1">
      <protection hidden="1"/>
    </xf>
    <xf numFmtId="1" fontId="0" fillId="0" borderId="10" xfId="0" applyNumberFormat="1" applyBorder="1"/>
    <xf numFmtId="1" fontId="0" fillId="0" borderId="10" xfId="0" applyNumberFormat="1" applyBorder="1" applyAlignment="1">
      <alignment horizontal="right"/>
    </xf>
    <xf numFmtId="1" fontId="0" fillId="0" borderId="12" xfId="0" applyNumberFormat="1" applyBorder="1"/>
    <xf numFmtId="0" fontId="14" fillId="0" borderId="0" xfId="1" applyFont="1"/>
    <xf numFmtId="0" fontId="5" fillId="0" borderId="0" xfId="2" applyFont="1"/>
    <xf numFmtId="0" fontId="6" fillId="0" borderId="0" xfId="0" applyFont="1" applyAlignment="1">
      <alignment horizontal="center" vertical="center"/>
    </xf>
    <xf numFmtId="1" fontId="6" fillId="0" borderId="0" xfId="1" applyNumberFormat="1" applyFont="1" applyAlignment="1">
      <alignment horizontal="center" vertical="center"/>
    </xf>
    <xf numFmtId="0" fontId="6" fillId="0" borderId="0" xfId="1" applyFont="1" applyAlignment="1">
      <alignment horizontal="center" vertical="center"/>
    </xf>
    <xf numFmtId="0" fontId="7" fillId="0" borderId="0" xfId="1" applyFont="1" applyAlignment="1" applyProtection="1">
      <alignment vertical="top"/>
      <protection locked="0"/>
    </xf>
    <xf numFmtId="0" fontId="7" fillId="0" borderId="0" xfId="1" applyFont="1" applyAlignment="1" applyProtection="1">
      <alignment vertical="top" wrapText="1"/>
      <protection locked="0"/>
    </xf>
    <xf numFmtId="0" fontId="6" fillId="0" borderId="0" xfId="1" applyFont="1" applyProtection="1">
      <protection locked="0"/>
    </xf>
    <xf numFmtId="0" fontId="9" fillId="0" borderId="0" xfId="1" applyFont="1" applyProtection="1">
      <protection locked="0"/>
    </xf>
    <xf numFmtId="1" fontId="5"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vertical="top"/>
      <protection locked="0"/>
    </xf>
    <xf numFmtId="1" fontId="5" fillId="0" borderId="1" xfId="0" applyNumberFormat="1" applyFont="1" applyBorder="1" applyAlignment="1" applyProtection="1">
      <alignment horizontal="center" vertical="center" wrapText="1"/>
      <protection locked="0"/>
    </xf>
    <xf numFmtId="0" fontId="22" fillId="2" borderId="30" xfId="0" applyFont="1" applyFill="1" applyBorder="1"/>
    <xf numFmtId="0" fontId="23" fillId="0" borderId="31" xfId="0" applyFont="1" applyBorder="1"/>
    <xf numFmtId="0" fontId="23" fillId="0" borderId="1" xfId="0" applyFont="1" applyBorder="1"/>
    <xf numFmtId="0" fontId="23" fillId="0" borderId="5" xfId="0" applyFont="1" applyBorder="1"/>
    <xf numFmtId="1" fontId="5" fillId="0" borderId="1" xfId="0" applyNumberFormat="1" applyFont="1" applyBorder="1" applyAlignment="1" applyProtection="1">
      <alignment horizontal="center" vertical="center" wrapText="1"/>
      <protection locked="0"/>
    </xf>
    <xf numFmtId="0" fontId="0" fillId="0" borderId="0" xfId="0" applyAlignment="1">
      <alignment horizontal="center" vertical="center"/>
    </xf>
    <xf numFmtId="0" fontId="0" fillId="0" borderId="1" xfId="0" applyBorder="1" applyAlignment="1">
      <alignment horizontal="center" vertical="center"/>
    </xf>
    <xf numFmtId="1" fontId="5" fillId="0" borderId="1" xfId="1" applyNumberFormat="1" applyFont="1" applyBorder="1" applyAlignment="1" applyProtection="1">
      <alignment horizontal="center" vertical="center" wrapText="1"/>
      <protection locked="0"/>
    </xf>
    <xf numFmtId="1" fontId="5" fillId="0" borderId="1" xfId="0" applyNumberFormat="1" applyFont="1" applyBorder="1" applyAlignment="1" applyProtection="1">
      <alignment horizontal="center" vertical="center" wrapText="1"/>
      <protection locked="0"/>
    </xf>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1" xfId="0" applyBorder="1" applyAlignment="1"/>
    <xf numFmtId="0" fontId="0" fillId="0" borderId="1" xfId="0" applyBorder="1" applyAlignment="1">
      <alignment horizontal="left" vertical="top" wrapText="1"/>
    </xf>
    <xf numFmtId="1" fontId="5" fillId="0" borderId="1" xfId="1" applyNumberFormat="1" applyFont="1" applyBorder="1" applyAlignment="1" applyProtection="1">
      <alignment horizontal="center" vertical="center" wrapText="1"/>
      <protection locked="0"/>
    </xf>
    <xf numFmtId="1" fontId="5" fillId="0" borderId="1" xfId="1" applyNumberFormat="1" applyFont="1" applyFill="1" applyBorder="1" applyAlignment="1" applyProtection="1">
      <alignment horizontal="center" vertical="center" wrapText="1"/>
      <protection locked="0"/>
    </xf>
    <xf numFmtId="0" fontId="0" fillId="0" borderId="25" xfId="0" applyFill="1" applyBorder="1"/>
    <xf numFmtId="0" fontId="0" fillId="0" borderId="8" xfId="0" applyBorder="1"/>
    <xf numFmtId="0" fontId="0" fillId="0" borderId="1" xfId="0" applyBorder="1" applyAlignment="1">
      <alignment vertical="top" wrapText="1"/>
    </xf>
    <xf numFmtId="0" fontId="0" fillId="0" borderId="1" xfId="0" applyFill="1" applyBorder="1"/>
    <xf numFmtId="0" fontId="0" fillId="2" borderId="1" xfId="0" applyFill="1" applyBorder="1" applyAlignment="1">
      <alignment horizontal="center" vertical="center"/>
    </xf>
    <xf numFmtId="0" fontId="0" fillId="0" borderId="2" xfId="0" applyBorder="1" applyAlignment="1">
      <alignment horizontal="center" vertical="center"/>
    </xf>
    <xf numFmtId="0" fontId="8" fillId="0" borderId="1" xfId="0" applyFont="1" applyBorder="1" applyAlignment="1">
      <alignment horizontal="center" vertical="center"/>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Fill="1"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0" fillId="0" borderId="8" xfId="0" applyFill="1" applyBorder="1"/>
    <xf numFmtId="0" fontId="10" fillId="0" borderId="1" xfId="1" applyFont="1" applyBorder="1"/>
    <xf numFmtId="0" fontId="6" fillId="0" borderId="1" xfId="1" applyFont="1" applyBorder="1"/>
    <xf numFmtId="0" fontId="0" fillId="0" borderId="8" xfId="0" applyBorder="1" applyAlignment="1">
      <alignment vertical="top"/>
    </xf>
    <xf numFmtId="0" fontId="0" fillId="0" borderId="25" xfId="0" applyFill="1" applyBorder="1" applyAlignment="1">
      <alignment horizontal="center" vertical="top"/>
    </xf>
    <xf numFmtId="0" fontId="0" fillId="0" borderId="8" xfId="0" applyFill="1" applyBorder="1" applyAlignment="1">
      <alignment horizontal="left" vertical="top"/>
    </xf>
    <xf numFmtId="1" fontId="5" fillId="0" borderId="1" xfId="0" applyNumberFormat="1" applyFont="1" applyBorder="1" applyAlignment="1" applyProtection="1">
      <alignment horizontal="center" vertical="center" wrapText="1"/>
      <protection locked="0"/>
    </xf>
    <xf numFmtId="1" fontId="5" fillId="0" borderId="1" xfId="0" applyNumberFormat="1" applyFont="1" applyBorder="1" applyAlignment="1" applyProtection="1">
      <alignment horizontal="center" vertical="center" wrapText="1"/>
      <protection locked="0"/>
    </xf>
    <xf numFmtId="0" fontId="13" fillId="2" borderId="0" xfId="1" applyFont="1" applyFill="1"/>
    <xf numFmtId="14" fontId="10" fillId="0" borderId="0" xfId="1" applyNumberFormat="1" applyFont="1"/>
    <xf numFmtId="0" fontId="0" fillId="0" borderId="1" xfId="0" applyBorder="1" applyAlignment="1">
      <alignment horizontal="left" vertical="top"/>
    </xf>
    <xf numFmtId="0" fontId="0" fillId="0" borderId="3" xfId="0" applyBorder="1" applyAlignment="1">
      <alignment vertical="top"/>
    </xf>
    <xf numFmtId="0" fontId="0" fillId="0" borderId="3" xfId="0" applyBorder="1" applyAlignment="1">
      <alignment wrapText="1"/>
    </xf>
    <xf numFmtId="0" fontId="0" fillId="0" borderId="25" xfId="0" applyBorder="1" applyAlignment="1">
      <alignment vertical="top"/>
    </xf>
    <xf numFmtId="0" fontId="0" fillId="0" borderId="26" xfId="0" applyBorder="1" applyAlignment="1">
      <alignment vertical="top" wrapText="1"/>
    </xf>
    <xf numFmtId="0" fontId="0" fillId="0" borderId="35" xfId="0" applyBorder="1" applyAlignment="1">
      <alignment vertical="top"/>
    </xf>
    <xf numFmtId="0" fontId="0" fillId="0" borderId="36" xfId="0" applyBorder="1" applyAlignment="1">
      <alignment vertical="top" wrapText="1"/>
    </xf>
    <xf numFmtId="0" fontId="0" fillId="0" borderId="37" xfId="0" applyBorder="1" applyAlignment="1">
      <alignment vertical="top"/>
    </xf>
    <xf numFmtId="0" fontId="0" fillId="0" borderId="12" xfId="0" applyBorder="1" applyAlignment="1">
      <alignment vertical="top" wrapText="1"/>
    </xf>
    <xf numFmtId="0" fontId="0" fillId="0" borderId="12" xfId="0" applyBorder="1" applyAlignment="1">
      <alignment vertical="top"/>
    </xf>
    <xf numFmtId="0" fontId="0" fillId="0" borderId="36" xfId="0" applyBorder="1" applyAlignment="1">
      <alignment horizontal="left" wrapText="1"/>
    </xf>
    <xf numFmtId="0" fontId="0" fillId="0" borderId="16" xfId="0" applyBorder="1" applyAlignment="1">
      <alignment vertical="top"/>
    </xf>
    <xf numFmtId="0" fontId="0" fillId="0" borderId="16" xfId="0" applyBorder="1" applyAlignment="1">
      <alignment vertical="top" wrapText="1"/>
    </xf>
    <xf numFmtId="0" fontId="0" fillId="0" borderId="1" xfId="0" applyBorder="1" applyAlignment="1">
      <alignment vertical="top"/>
    </xf>
    <xf numFmtId="0" fontId="0" fillId="0" borderId="9" xfId="0" applyBorder="1" applyAlignment="1">
      <alignment wrapText="1"/>
    </xf>
    <xf numFmtId="0" fontId="6" fillId="0" borderId="0" xfId="1" applyFont="1" applyAlignment="1">
      <alignment horizontal="center" vertical="center"/>
    </xf>
    <xf numFmtId="1" fontId="5" fillId="0" borderId="1" xfId="1" applyNumberFormat="1" applyFont="1" applyBorder="1" applyAlignment="1" applyProtection="1">
      <alignment horizontal="center" vertical="center" wrapText="1"/>
      <protection locked="0"/>
    </xf>
    <xf numFmtId="1" fontId="5" fillId="0" borderId="1" xfId="0" applyNumberFormat="1" applyFont="1" applyBorder="1" applyAlignment="1" applyProtection="1">
      <alignment horizontal="center" vertical="center" wrapText="1"/>
      <protection locked="0"/>
    </xf>
    <xf numFmtId="1" fontId="5" fillId="0" borderId="1" xfId="1" applyNumberFormat="1" applyFont="1" applyBorder="1" applyAlignment="1" applyProtection="1">
      <alignment horizontal="center" vertical="center" wrapText="1"/>
      <protection locked="0"/>
    </xf>
    <xf numFmtId="0" fontId="6" fillId="0" borderId="0" xfId="1" applyFont="1" applyAlignment="1">
      <alignment horizontal="center" vertical="center"/>
    </xf>
    <xf numFmtId="0" fontId="10" fillId="0" borderId="1" xfId="1" applyFont="1" applyBorder="1" applyAlignment="1" applyProtection="1">
      <alignment horizontal="center" vertical="top"/>
      <protection locked="0"/>
    </xf>
    <xf numFmtId="1" fontId="14" fillId="0" borderId="1" xfId="0" applyNumberFormat="1" applyFont="1" applyFill="1" applyBorder="1" applyAlignment="1">
      <alignment horizontal="center"/>
    </xf>
    <xf numFmtId="1" fontId="6" fillId="0" borderId="1" xfId="0" applyNumberFormat="1" applyFont="1" applyFill="1" applyBorder="1" applyAlignment="1">
      <alignment horizontal="center"/>
    </xf>
    <xf numFmtId="1" fontId="5" fillId="0" borderId="1" xfId="0" applyNumberFormat="1" applyFont="1" applyFill="1" applyBorder="1" applyAlignment="1">
      <alignment horizontal="center" vertical="center" wrapText="1"/>
    </xf>
    <xf numFmtId="0" fontId="14" fillId="0" borderId="0" xfId="0" applyFont="1" applyFill="1"/>
    <xf numFmtId="0" fontId="6" fillId="0" borderId="0" xfId="0" applyFont="1" applyFill="1"/>
    <xf numFmtId="0" fontId="10" fillId="0" borderId="1" xfId="1" applyFont="1" applyBorder="1" applyAlignment="1" applyProtection="1">
      <alignment horizontal="center" vertical="top" wrapText="1"/>
      <protection locked="0"/>
    </xf>
    <xf numFmtId="9" fontId="10" fillId="0" borderId="1" xfId="8" applyFont="1" applyFill="1" applyBorder="1" applyAlignment="1" applyProtection="1">
      <alignment horizontal="center" vertical="top" wrapText="1"/>
      <protection locked="0"/>
    </xf>
    <xf numFmtId="0" fontId="10" fillId="0" borderId="7" xfId="1" applyFont="1" applyBorder="1" applyAlignment="1" applyProtection="1">
      <alignment horizontal="center" vertical="top" wrapText="1"/>
      <protection locked="0"/>
    </xf>
    <xf numFmtId="9" fontId="10" fillId="0" borderId="7" xfId="8" applyFont="1" applyFill="1" applyBorder="1" applyAlignment="1" applyProtection="1">
      <alignment horizontal="center" vertical="top" wrapText="1"/>
      <protection locked="0"/>
    </xf>
    <xf numFmtId="0" fontId="22" fillId="2" borderId="15" xfId="0" applyFont="1" applyFill="1" applyBorder="1"/>
    <xf numFmtId="0" fontId="23" fillId="0" borderId="9" xfId="0" applyFont="1" applyBorder="1"/>
    <xf numFmtId="1" fontId="11" fillId="0" borderId="3" xfId="1" applyNumberFormat="1" applyFont="1" applyBorder="1" applyAlignment="1" applyProtection="1">
      <alignment horizontal="center" vertical="top" wrapText="1"/>
      <protection locked="0"/>
    </xf>
    <xf numFmtId="9" fontId="11" fillId="0" borderId="16" xfId="8" applyFont="1" applyFill="1" applyBorder="1" applyAlignment="1" applyProtection="1">
      <alignment horizontal="center" vertical="top" wrapText="1"/>
      <protection locked="0"/>
    </xf>
    <xf numFmtId="1" fontId="10" fillId="0" borderId="1" xfId="0" applyNumberFormat="1" applyFont="1" applyFill="1" applyBorder="1" applyAlignment="1">
      <alignment horizontal="center" vertical="center" wrapText="1"/>
    </xf>
    <xf numFmtId="1" fontId="10" fillId="0" borderId="1" xfId="0" applyNumberFormat="1" applyFont="1" applyFill="1" applyBorder="1" applyAlignment="1">
      <alignment horizontal="center"/>
    </xf>
    <xf numFmtId="1" fontId="10" fillId="0" borderId="1" xfId="1" applyNumberFormat="1" applyFont="1" applyBorder="1" applyAlignment="1" applyProtection="1">
      <alignment horizontal="center" vertical="center" wrapText="1"/>
      <protection locked="0"/>
    </xf>
    <xf numFmtId="1" fontId="10" fillId="0" borderId="1" xfId="1" applyNumberFormat="1" applyFont="1" applyFill="1" applyBorder="1" applyAlignment="1" applyProtection="1">
      <alignment horizontal="center" vertical="center" wrapText="1"/>
      <protection locked="0"/>
    </xf>
    <xf numFmtId="1" fontId="11" fillId="0" borderId="1" xfId="0" applyNumberFormat="1" applyFont="1" applyBorder="1" applyAlignment="1" applyProtection="1">
      <alignment horizontal="left" vertical="top" wrapText="1"/>
      <protection locked="0"/>
    </xf>
    <xf numFmtId="1" fontId="5" fillId="0" borderId="3" xfId="0" applyNumberFormat="1" applyFont="1" applyBorder="1" applyAlignment="1" applyProtection="1">
      <alignment horizontal="center" vertical="center" wrapText="1"/>
      <protection locked="0"/>
    </xf>
    <xf numFmtId="1" fontId="5" fillId="0" borderId="16" xfId="0" applyNumberFormat="1" applyFont="1" applyBorder="1" applyAlignment="1" applyProtection="1">
      <alignment horizontal="center" vertical="center" wrapText="1"/>
      <protection locked="0"/>
    </xf>
    <xf numFmtId="1" fontId="7" fillId="0" borderId="8" xfId="0" applyNumberFormat="1" applyFont="1" applyBorder="1" applyAlignment="1" applyProtection="1">
      <alignment vertical="top" wrapText="1"/>
      <protection locked="0"/>
    </xf>
    <xf numFmtId="1" fontId="7" fillId="0" borderId="21" xfId="0" applyNumberFormat="1" applyFont="1" applyBorder="1" applyAlignment="1" applyProtection="1">
      <alignment vertical="top" wrapText="1"/>
      <protection locked="0"/>
    </xf>
    <xf numFmtId="1" fontId="7" fillId="0" borderId="9" xfId="0" applyNumberFormat="1" applyFont="1" applyBorder="1" applyAlignment="1" applyProtection="1">
      <alignment vertical="top" wrapText="1"/>
      <protection locked="0"/>
    </xf>
    <xf numFmtId="1" fontId="5" fillId="0" borderId="1" xfId="0" applyNumberFormat="1" applyFont="1" applyBorder="1" applyAlignment="1" applyProtection="1">
      <alignment horizontal="center" vertical="center" wrapText="1"/>
      <protection locked="0"/>
    </xf>
    <xf numFmtId="1" fontId="6" fillId="0" borderId="1" xfId="0" applyNumberFormat="1" applyFont="1" applyBorder="1" applyAlignment="1" applyProtection="1">
      <alignment horizontal="center" vertical="top" wrapText="1"/>
      <protection locked="0"/>
    </xf>
    <xf numFmtId="0" fontId="6" fillId="0" borderId="1" xfId="0" applyFont="1" applyBorder="1" applyAlignment="1" applyProtection="1">
      <alignment horizontal="center" vertical="top" wrapText="1"/>
      <protection locked="0"/>
    </xf>
    <xf numFmtId="0" fontId="11" fillId="0" borderId="22" xfId="1" applyFont="1" applyBorder="1" applyAlignment="1" applyProtection="1">
      <alignment horizontal="left" vertical="top" wrapText="1"/>
      <protection locked="0"/>
    </xf>
    <xf numFmtId="0" fontId="11" fillId="0" borderId="15" xfId="1" applyFont="1" applyBorder="1" applyAlignment="1" applyProtection="1">
      <alignment horizontal="left" vertical="top" wrapText="1"/>
      <protection locked="0"/>
    </xf>
    <xf numFmtId="0" fontId="11" fillId="0" borderId="13" xfId="1" applyFont="1" applyBorder="1" applyAlignment="1" applyProtection="1">
      <alignment horizontal="left" vertical="top" wrapText="1"/>
      <protection locked="0"/>
    </xf>
    <xf numFmtId="0" fontId="11" fillId="0" borderId="14" xfId="1" applyFont="1" applyBorder="1" applyAlignment="1" applyProtection="1">
      <alignment horizontal="left" vertical="top" wrapText="1"/>
      <protection locked="0"/>
    </xf>
    <xf numFmtId="0" fontId="11" fillId="0" borderId="23" xfId="1" applyFont="1" applyBorder="1" applyAlignment="1" applyProtection="1">
      <alignment horizontal="left" vertical="top" wrapText="1"/>
      <protection locked="0"/>
    </xf>
    <xf numFmtId="0" fontId="11" fillId="0" borderId="4" xfId="1" applyFont="1" applyBorder="1" applyAlignment="1" applyProtection="1">
      <alignment horizontal="left" vertical="top"/>
      <protection locked="0"/>
    </xf>
    <xf numFmtId="0" fontId="11" fillId="0" borderId="1" xfId="1" applyFont="1" applyBorder="1" applyAlignment="1" applyProtection="1">
      <alignment horizontal="left" vertical="top"/>
      <protection locked="0"/>
    </xf>
    <xf numFmtId="0" fontId="11" fillId="0" borderId="1" xfId="1" applyFont="1" applyBorder="1" applyAlignment="1" applyProtection="1">
      <alignment horizontal="left" vertical="top" wrapText="1"/>
      <protection locked="0"/>
    </xf>
    <xf numFmtId="0" fontId="11" fillId="0" borderId="5" xfId="1" applyFont="1" applyBorder="1" applyAlignment="1" applyProtection="1">
      <alignment horizontal="left" vertical="top" wrapText="1"/>
      <protection locked="0"/>
    </xf>
    <xf numFmtId="0" fontId="10" fillId="0" borderId="4" xfId="1" applyFont="1" applyBorder="1" applyAlignment="1" applyProtection="1">
      <alignment horizontal="center" vertical="top" wrapText="1"/>
      <protection locked="0"/>
    </xf>
    <xf numFmtId="0" fontId="10" fillId="0" borderId="1" xfId="1" applyFont="1" applyBorder="1" applyAlignment="1" applyProtection="1">
      <alignment horizontal="center" vertical="top" wrapText="1"/>
      <protection locked="0"/>
    </xf>
    <xf numFmtId="0" fontId="10" fillId="0" borderId="5" xfId="1" applyFont="1" applyBorder="1" applyAlignment="1" applyProtection="1">
      <alignment horizontal="center" vertical="top" wrapText="1"/>
      <protection locked="0"/>
    </xf>
    <xf numFmtId="9" fontId="10" fillId="0" borderId="17" xfId="8" applyFont="1" applyFill="1" applyBorder="1" applyAlignment="1" applyProtection="1">
      <alignment horizontal="center" vertical="center" wrapText="1"/>
      <protection locked="0"/>
    </xf>
    <xf numFmtId="9" fontId="10" fillId="0" borderId="18" xfId="8" applyFont="1" applyFill="1" applyBorder="1" applyAlignment="1" applyProtection="1">
      <alignment horizontal="center" vertical="center" wrapText="1"/>
      <protection locked="0"/>
    </xf>
    <xf numFmtId="9" fontId="10" fillId="0" borderId="25" xfId="8" applyFont="1" applyFill="1" applyBorder="1" applyAlignment="1" applyProtection="1">
      <alignment horizontal="center" vertical="center" wrapText="1"/>
      <protection locked="0"/>
    </xf>
    <xf numFmtId="9" fontId="10" fillId="0" borderId="26" xfId="8" applyFont="1" applyFill="1" applyBorder="1" applyAlignment="1" applyProtection="1">
      <alignment horizontal="center" vertical="center" wrapText="1"/>
      <protection locked="0"/>
    </xf>
    <xf numFmtId="9" fontId="10" fillId="0" borderId="28" xfId="8" applyFont="1" applyFill="1" applyBorder="1" applyAlignment="1" applyProtection="1">
      <alignment horizontal="center" vertical="center" wrapText="1"/>
      <protection locked="0"/>
    </xf>
    <xf numFmtId="9" fontId="10" fillId="0" borderId="29" xfId="8" applyFont="1" applyFill="1" applyBorder="1" applyAlignment="1" applyProtection="1">
      <alignment horizontal="center" vertical="center" wrapText="1"/>
      <protection locked="0"/>
    </xf>
    <xf numFmtId="9" fontId="10" fillId="0" borderId="27" xfId="8" applyFont="1" applyFill="1" applyBorder="1" applyAlignment="1" applyProtection="1">
      <alignment horizontal="center" vertical="center" wrapText="1"/>
      <protection locked="0"/>
    </xf>
    <xf numFmtId="9" fontId="10" fillId="0" borderId="10" xfId="8" applyFont="1" applyFill="1" applyBorder="1" applyAlignment="1" applyProtection="1">
      <alignment horizontal="center" vertical="center" wrapText="1"/>
      <protection locked="0"/>
    </xf>
    <xf numFmtId="9" fontId="10" fillId="0" borderId="12" xfId="8" applyFont="1" applyFill="1" applyBorder="1" applyAlignment="1" applyProtection="1">
      <alignment horizontal="center" vertical="center" wrapText="1"/>
      <protection locked="0"/>
    </xf>
    <xf numFmtId="0" fontId="10" fillId="0" borderId="6" xfId="1" applyFont="1" applyBorder="1" applyAlignment="1" applyProtection="1">
      <alignment horizontal="center" vertical="top" wrapText="1"/>
      <protection locked="0"/>
    </xf>
    <xf numFmtId="0" fontId="10" fillId="0" borderId="7" xfId="1" applyFont="1" applyBorder="1" applyAlignment="1" applyProtection="1">
      <alignment horizontal="center" vertical="top" wrapText="1"/>
      <protection locked="0"/>
    </xf>
    <xf numFmtId="0" fontId="11" fillId="0" borderId="38" xfId="1" applyFont="1" applyBorder="1" applyAlignment="1" applyProtection="1">
      <alignment horizontal="left" vertical="top" wrapText="1"/>
      <protection locked="0"/>
    </xf>
    <xf numFmtId="0" fontId="11" fillId="0" borderId="20" xfId="1" applyFont="1" applyBorder="1" applyAlignment="1" applyProtection="1">
      <alignment horizontal="left" vertical="top" wrapText="1"/>
      <protection locked="0"/>
    </xf>
    <xf numFmtId="0" fontId="11" fillId="0" borderId="19" xfId="1" applyFont="1" applyBorder="1" applyAlignment="1" applyProtection="1">
      <alignment horizontal="left" vertical="top" wrapText="1"/>
      <protection locked="0"/>
    </xf>
    <xf numFmtId="0" fontId="11" fillId="0" borderId="2" xfId="1" applyFont="1" applyBorder="1" applyAlignment="1" applyProtection="1">
      <alignment horizontal="left" vertical="top" wrapText="1"/>
      <protection locked="0"/>
    </xf>
    <xf numFmtId="0" fontId="11" fillId="0" borderId="39" xfId="1" applyFont="1" applyBorder="1" applyAlignment="1" applyProtection="1">
      <alignment horizontal="left" vertical="top" wrapText="1"/>
      <protection locked="0"/>
    </xf>
    <xf numFmtId="1" fontId="5" fillId="0" borderId="8" xfId="1" applyNumberFormat="1" applyFont="1" applyBorder="1" applyAlignment="1" applyProtection="1">
      <alignment horizontal="center" vertical="center" wrapText="1"/>
      <protection locked="0"/>
    </xf>
    <xf numFmtId="1" fontId="5" fillId="0" borderId="9" xfId="1" applyNumberFormat="1" applyFont="1" applyBorder="1" applyAlignment="1" applyProtection="1">
      <alignment horizontal="center" vertical="center" wrapText="1"/>
      <protection locked="0"/>
    </xf>
    <xf numFmtId="0" fontId="6" fillId="0" borderId="0" xfId="1" applyFont="1" applyAlignment="1">
      <alignment horizontal="center" vertical="center"/>
    </xf>
    <xf numFmtId="0" fontId="10" fillId="0" borderId="1" xfId="1" applyFont="1" applyBorder="1" applyAlignment="1" applyProtection="1">
      <alignment horizontal="left" vertical="top"/>
      <protection locked="0"/>
    </xf>
    <xf numFmtId="0" fontId="10" fillId="0" borderId="17" xfId="1" applyFont="1" applyBorder="1" applyAlignment="1" applyProtection="1">
      <alignment horizontal="left" vertical="top" wrapText="1"/>
      <protection locked="0"/>
    </xf>
    <xf numFmtId="0" fontId="10" fillId="0" borderId="24" xfId="1" applyFont="1" applyBorder="1" applyAlignment="1" applyProtection="1">
      <alignment horizontal="left" vertical="top" wrapText="1"/>
      <protection locked="0"/>
    </xf>
    <xf numFmtId="0" fontId="10" fillId="0" borderId="18" xfId="1" applyFont="1" applyBorder="1" applyAlignment="1" applyProtection="1">
      <alignment horizontal="left" vertical="top" wrapText="1"/>
      <protection locked="0"/>
    </xf>
    <xf numFmtId="0" fontId="10" fillId="0" borderId="25" xfId="1" applyFont="1" applyBorder="1" applyAlignment="1" applyProtection="1">
      <alignment horizontal="left" vertical="top" wrapText="1"/>
      <protection locked="0"/>
    </xf>
    <xf numFmtId="0" fontId="10" fillId="0" borderId="0" xfId="1" applyFont="1" applyBorder="1" applyAlignment="1" applyProtection="1">
      <alignment horizontal="left" vertical="top" wrapText="1"/>
      <protection locked="0"/>
    </xf>
    <xf numFmtId="0" fontId="10" fillId="0" borderId="26" xfId="1" applyFont="1" applyBorder="1" applyAlignment="1" applyProtection="1">
      <alignment horizontal="left" vertical="top" wrapText="1"/>
      <protection locked="0"/>
    </xf>
    <xf numFmtId="0" fontId="10" fillId="0" borderId="19" xfId="1" applyFont="1" applyBorder="1" applyAlignment="1" applyProtection="1">
      <alignment horizontal="left" vertical="top" wrapText="1"/>
      <protection locked="0"/>
    </xf>
    <xf numFmtId="0" fontId="10" fillId="0" borderId="2" xfId="1" applyFont="1" applyBorder="1" applyAlignment="1" applyProtection="1">
      <alignment horizontal="left" vertical="top" wrapText="1"/>
      <protection locked="0"/>
    </xf>
    <xf numFmtId="0" fontId="10" fillId="0" borderId="20" xfId="1" applyFont="1" applyBorder="1" applyAlignment="1" applyProtection="1">
      <alignment horizontal="left" vertical="top" wrapText="1"/>
      <protection locked="0"/>
    </xf>
    <xf numFmtId="9" fontId="10" fillId="0" borderId="1" xfId="8" applyFont="1" applyFill="1" applyBorder="1" applyAlignment="1" applyProtection="1">
      <alignment horizontal="center" vertical="center" wrapText="1"/>
      <protection locked="0"/>
    </xf>
    <xf numFmtId="1" fontId="11" fillId="0" borderId="8" xfId="1" applyNumberFormat="1" applyFont="1" applyBorder="1" applyAlignment="1" applyProtection="1">
      <alignment horizontal="center" vertical="center" wrapText="1"/>
      <protection locked="0"/>
    </xf>
    <xf numFmtId="1" fontId="11" fillId="0" borderId="21" xfId="1" applyNumberFormat="1" applyFont="1" applyBorder="1" applyAlignment="1" applyProtection="1">
      <alignment horizontal="center" vertical="center" wrapText="1"/>
      <protection locked="0"/>
    </xf>
    <xf numFmtId="1" fontId="11" fillId="0" borderId="9" xfId="1" applyNumberFormat="1" applyFont="1" applyBorder="1" applyAlignment="1" applyProtection="1">
      <alignment horizontal="center" vertical="center" wrapText="1"/>
      <protection locked="0"/>
    </xf>
    <xf numFmtId="1" fontId="7" fillId="3" borderId="1" xfId="1" applyNumberFormat="1" applyFont="1" applyFill="1" applyBorder="1" applyAlignment="1" applyProtection="1">
      <alignment horizontal="center" vertical="center" wrapText="1"/>
      <protection locked="0"/>
    </xf>
    <xf numFmtId="1" fontId="7" fillId="3" borderId="16" xfId="1" applyNumberFormat="1" applyFont="1" applyFill="1" applyBorder="1" applyAlignment="1" applyProtection="1">
      <alignment horizontal="center" vertical="center" wrapText="1"/>
      <protection locked="0"/>
    </xf>
    <xf numFmtId="1" fontId="7" fillId="0" borderId="1" xfId="1" applyNumberFormat="1" applyFont="1" applyFill="1" applyBorder="1" applyAlignment="1" applyProtection="1">
      <alignment horizontal="center" vertical="center" wrapText="1"/>
      <protection locked="0"/>
    </xf>
    <xf numFmtId="1" fontId="7" fillId="0" borderId="16" xfId="1" applyNumberFormat="1" applyFont="1" applyFill="1" applyBorder="1" applyAlignment="1" applyProtection="1">
      <alignment horizontal="center" vertical="center" wrapText="1"/>
      <protection locked="0"/>
    </xf>
    <xf numFmtId="1" fontId="7" fillId="0" borderId="8" xfId="1" applyNumberFormat="1" applyFont="1" applyBorder="1" applyAlignment="1" applyProtection="1">
      <alignment horizontal="center" vertical="center" wrapText="1"/>
      <protection locked="0"/>
    </xf>
    <xf numFmtId="1" fontId="7" fillId="0" borderId="21" xfId="1" applyNumberFormat="1" applyFont="1" applyBorder="1" applyAlignment="1" applyProtection="1">
      <alignment horizontal="center" vertical="center" wrapText="1"/>
      <protection locked="0"/>
    </xf>
    <xf numFmtId="1" fontId="7" fillId="0" borderId="9" xfId="1" applyNumberFormat="1" applyFont="1" applyBorder="1" applyAlignment="1" applyProtection="1">
      <alignment horizontal="center" vertical="center" wrapText="1"/>
      <protection locked="0"/>
    </xf>
    <xf numFmtId="0" fontId="5" fillId="0" borderId="8"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1" fontId="7" fillId="0" borderId="1" xfId="0" applyNumberFormat="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10" fillId="0" borderId="3" xfId="1" applyFont="1" applyBorder="1" applyAlignment="1" applyProtection="1">
      <alignment horizontal="left" vertical="top" wrapText="1"/>
      <protection locked="0"/>
    </xf>
    <xf numFmtId="0" fontId="9" fillId="0" borderId="1" xfId="0" applyFont="1" applyBorder="1" applyAlignment="1" applyProtection="1">
      <alignment horizontal="center" vertical="top" wrapText="1"/>
      <protection locked="0"/>
    </xf>
    <xf numFmtId="0" fontId="11" fillId="0" borderId="16" xfId="1" applyFont="1" applyBorder="1" applyAlignment="1" applyProtection="1">
      <alignment horizontal="center" vertical="top"/>
      <protection locked="0"/>
    </xf>
    <xf numFmtId="1" fontId="11" fillId="0" borderId="17" xfId="1" applyNumberFormat="1" applyFont="1" applyBorder="1" applyAlignment="1" applyProtection="1">
      <alignment horizontal="center" vertical="top" wrapText="1"/>
      <protection locked="0"/>
    </xf>
    <xf numFmtId="1" fontId="11" fillId="0" borderId="19" xfId="1" applyNumberFormat="1" applyFont="1" applyBorder="1" applyAlignment="1" applyProtection="1">
      <alignment horizontal="center" vertical="top" wrapText="1"/>
      <protection locked="0"/>
    </xf>
    <xf numFmtId="1" fontId="11" fillId="0" borderId="3" xfId="1" applyNumberFormat="1" applyFont="1" applyBorder="1" applyAlignment="1" applyProtection="1">
      <alignment horizontal="center" vertical="top" wrapText="1"/>
      <protection locked="0"/>
    </xf>
    <xf numFmtId="1" fontId="11" fillId="0" borderId="16" xfId="1" applyNumberFormat="1" applyFont="1" applyBorder="1" applyAlignment="1" applyProtection="1">
      <alignment horizontal="center" vertical="top" wrapText="1"/>
      <protection locked="0"/>
    </xf>
    <xf numFmtId="0" fontId="5" fillId="0" borderId="1" xfId="1" applyFont="1" applyBorder="1" applyAlignment="1" applyProtection="1">
      <alignment horizontal="left" vertical="top"/>
      <protection locked="0"/>
    </xf>
    <xf numFmtId="0" fontId="6" fillId="0" borderId="25" xfId="1" applyFont="1" applyBorder="1" applyAlignment="1">
      <alignment horizontal="center"/>
    </xf>
    <xf numFmtId="0" fontId="6" fillId="0" borderId="0" xfId="1" applyFont="1" applyAlignment="1">
      <alignment horizontal="center"/>
    </xf>
    <xf numFmtId="167" fontId="10" fillId="0" borderId="1" xfId="9" applyNumberFormat="1" applyFont="1" applyFill="1" applyBorder="1" applyAlignment="1" applyProtection="1">
      <alignment horizontal="left" vertical="top"/>
      <protection locked="0"/>
    </xf>
    <xf numFmtId="0" fontId="11" fillId="0" borderId="1" xfId="1" applyFont="1" applyBorder="1" applyAlignment="1" applyProtection="1">
      <alignment horizontal="center" vertical="top"/>
      <protection locked="0"/>
    </xf>
    <xf numFmtId="1" fontId="7" fillId="0" borderId="1" xfId="0" applyNumberFormat="1" applyFont="1" applyBorder="1" applyAlignment="1" applyProtection="1">
      <alignment horizontal="center" vertical="top" wrapText="1"/>
      <protection locked="0"/>
    </xf>
    <xf numFmtId="0" fontId="7" fillId="0" borderId="8" xfId="1" applyFont="1" applyBorder="1" applyAlignment="1" applyProtection="1">
      <alignment horizontal="left" vertical="top" wrapText="1"/>
      <protection locked="0"/>
    </xf>
    <xf numFmtId="0" fontId="7" fillId="0" borderId="9" xfId="1" applyFont="1" applyBorder="1" applyAlignment="1" applyProtection="1">
      <alignment horizontal="left" vertical="top" wrapText="1"/>
      <protection locked="0"/>
    </xf>
    <xf numFmtId="0" fontId="7" fillId="0" borderId="21" xfId="1" applyFont="1" applyBorder="1" applyAlignment="1" applyProtection="1">
      <alignment horizontal="left" vertical="top" wrapText="1"/>
      <protection locked="0"/>
    </xf>
    <xf numFmtId="0" fontId="9" fillId="0" borderId="1" xfId="0" applyFont="1" applyBorder="1" applyAlignment="1" applyProtection="1">
      <alignment horizontal="center" vertical="center"/>
      <protection locked="0"/>
    </xf>
    <xf numFmtId="14" fontId="7" fillId="0" borderId="8" xfId="1" applyNumberFormat="1" applyFont="1" applyBorder="1" applyAlignment="1" applyProtection="1">
      <alignment horizontal="left" vertical="top"/>
      <protection locked="0"/>
    </xf>
    <xf numFmtId="14" fontId="7" fillId="0" borderId="9" xfId="1" applyNumberFormat="1" applyFont="1" applyBorder="1" applyAlignment="1" applyProtection="1">
      <alignment horizontal="left" vertical="top"/>
      <protection locked="0"/>
    </xf>
    <xf numFmtId="0" fontId="13" fillId="0" borderId="17" xfId="1" applyFont="1" applyBorder="1" applyAlignment="1" applyProtection="1">
      <alignment horizontal="left" vertical="top" wrapText="1"/>
      <protection locked="0"/>
    </xf>
    <xf numFmtId="0" fontId="13" fillId="0" borderId="18" xfId="1" applyFont="1" applyBorder="1" applyAlignment="1" applyProtection="1">
      <alignment horizontal="left" vertical="top" wrapText="1"/>
      <protection locked="0"/>
    </xf>
    <xf numFmtId="0" fontId="13" fillId="0" borderId="19" xfId="1" applyFont="1" applyBorder="1" applyAlignment="1" applyProtection="1">
      <alignment horizontal="left" vertical="top" wrapText="1"/>
      <protection locked="0"/>
    </xf>
    <xf numFmtId="0" fontId="13" fillId="0" borderId="20" xfId="1" applyFont="1" applyBorder="1" applyAlignment="1" applyProtection="1">
      <alignment horizontal="left" vertical="top" wrapText="1"/>
      <protection locked="0"/>
    </xf>
    <xf numFmtId="1" fontId="10" fillId="0" borderId="8" xfId="1" applyNumberFormat="1" applyFont="1" applyBorder="1" applyAlignment="1" applyProtection="1">
      <alignment horizontal="center" vertical="center" wrapText="1"/>
      <protection locked="0"/>
    </xf>
    <xf numFmtId="1" fontId="10" fillId="0" borderId="21" xfId="1" applyNumberFormat="1" applyFont="1" applyBorder="1" applyAlignment="1" applyProtection="1">
      <alignment horizontal="center" vertical="center" wrapText="1"/>
      <protection locked="0"/>
    </xf>
    <xf numFmtId="1" fontId="10" fillId="0" borderId="9" xfId="1" applyNumberFormat="1" applyFont="1" applyBorder="1" applyAlignment="1" applyProtection="1">
      <alignment horizontal="center" vertical="center" wrapText="1"/>
      <protection locked="0"/>
    </xf>
    <xf numFmtId="0" fontId="5" fillId="0" borderId="1" xfId="1" applyFont="1" applyBorder="1" applyAlignment="1" applyProtection="1">
      <alignment vertical="top"/>
      <protection locked="0"/>
    </xf>
    <xf numFmtId="1" fontId="5" fillId="0" borderId="1" xfId="1" applyNumberFormat="1" applyFont="1" applyBorder="1" applyAlignment="1" applyProtection="1">
      <alignment horizontal="center" vertical="center" wrapText="1"/>
      <protection locked="0"/>
    </xf>
    <xf numFmtId="1" fontId="9" fillId="0" borderId="3" xfId="0" applyNumberFormat="1"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1" fontId="11" fillId="0" borderId="8" xfId="0" applyNumberFormat="1" applyFont="1" applyBorder="1" applyAlignment="1" applyProtection="1">
      <alignment vertical="top" wrapText="1"/>
      <protection locked="0"/>
    </xf>
    <xf numFmtId="1" fontId="11" fillId="0" borderId="21" xfId="0" applyNumberFormat="1" applyFont="1" applyBorder="1" applyAlignment="1" applyProtection="1">
      <alignment vertical="top" wrapText="1"/>
      <protection locked="0"/>
    </xf>
    <xf numFmtId="1" fontId="11" fillId="0" borderId="9" xfId="0" applyNumberFormat="1" applyFont="1" applyBorder="1" applyAlignment="1" applyProtection="1">
      <alignment vertical="top" wrapText="1"/>
      <protection locked="0"/>
    </xf>
    <xf numFmtId="1" fontId="15" fillId="0" borderId="8" xfId="0" applyNumberFormat="1" applyFont="1" applyBorder="1" applyAlignment="1" applyProtection="1">
      <alignment vertical="top" wrapText="1"/>
      <protection locked="0"/>
    </xf>
    <xf numFmtId="1" fontId="15" fillId="0" borderId="21" xfId="0" applyNumberFormat="1" applyFont="1" applyBorder="1" applyAlignment="1" applyProtection="1">
      <alignment vertical="top" wrapText="1"/>
      <protection locked="0"/>
    </xf>
    <xf numFmtId="1" fontId="15" fillId="0" borderId="9" xfId="0" applyNumberFormat="1" applyFont="1" applyBorder="1" applyAlignment="1" applyProtection="1">
      <alignment vertical="top" wrapText="1"/>
      <protection locked="0"/>
    </xf>
    <xf numFmtId="1" fontId="7" fillId="0" borderId="32" xfId="0" applyNumberFormat="1" applyFont="1" applyBorder="1" applyAlignment="1" applyProtection="1">
      <alignment horizontal="center" vertical="center" wrapText="1"/>
      <protection locked="0"/>
    </xf>
    <xf numFmtId="1" fontId="7" fillId="0" borderId="33" xfId="0" applyNumberFormat="1" applyFont="1" applyBorder="1" applyAlignment="1" applyProtection="1">
      <alignment horizontal="center" vertical="center" wrapText="1"/>
      <protection locked="0"/>
    </xf>
    <xf numFmtId="0" fontId="7" fillId="0" borderId="16" xfId="1" applyFont="1" applyBorder="1" applyAlignment="1" applyProtection="1">
      <alignment horizontal="left" vertical="top"/>
      <protection locked="0"/>
    </xf>
    <xf numFmtId="1" fontId="29" fillId="0" borderId="3" xfId="1" applyNumberFormat="1" applyFont="1" applyBorder="1" applyAlignment="1" applyProtection="1">
      <alignment horizontal="center" vertical="top" wrapText="1"/>
      <protection locked="0"/>
    </xf>
    <xf numFmtId="1" fontId="29" fillId="0" borderId="16" xfId="1" applyNumberFormat="1" applyFont="1" applyBorder="1" applyAlignment="1" applyProtection="1">
      <alignment horizontal="center" vertical="top" wrapText="1"/>
      <protection locked="0"/>
    </xf>
    <xf numFmtId="0" fontId="11" fillId="0" borderId="1" xfId="1" applyFont="1" applyBorder="1" applyAlignment="1" applyProtection="1">
      <alignment horizontal="center" vertical="top" wrapText="1"/>
      <protection locked="0"/>
    </xf>
    <xf numFmtId="0" fontId="12" fillId="0" borderId="1" xfId="1" applyFont="1" applyBorder="1" applyAlignment="1" applyProtection="1">
      <alignment horizontal="center" vertical="top" wrapText="1"/>
      <protection locked="0"/>
    </xf>
    <xf numFmtId="1" fontId="7" fillId="0" borderId="1" xfId="0" applyNumberFormat="1" applyFont="1" applyBorder="1" applyAlignment="1" applyProtection="1">
      <alignment horizontal="center" vertical="center" wrapText="1"/>
      <protection locked="0"/>
    </xf>
    <xf numFmtId="0" fontId="7" fillId="0" borderId="1" xfId="1" applyFont="1" applyBorder="1" applyAlignment="1" applyProtection="1">
      <alignment horizontal="left" vertical="top"/>
      <protection locked="0"/>
    </xf>
    <xf numFmtId="1" fontId="7"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vertical="top"/>
      <protection locked="0"/>
    </xf>
    <xf numFmtId="0" fontId="9" fillId="0" borderId="33" xfId="0" applyFont="1" applyBorder="1" applyAlignment="1" applyProtection="1">
      <alignment horizontal="center" vertical="center"/>
      <protection locked="0"/>
    </xf>
    <xf numFmtId="0" fontId="28" fillId="0" borderId="1" xfId="1" applyFont="1" applyBorder="1" applyAlignment="1" applyProtection="1">
      <alignment horizontal="center" vertical="top" wrapText="1"/>
      <protection locked="0"/>
    </xf>
    <xf numFmtId="14" fontId="10" fillId="0" borderId="1" xfId="1" applyNumberFormat="1" applyFont="1" applyBorder="1" applyAlignment="1" applyProtection="1">
      <alignment horizontal="left" vertical="top"/>
      <protection locked="0"/>
    </xf>
    <xf numFmtId="0" fontId="10" fillId="0" borderId="1" xfId="1" applyFont="1" applyBorder="1" applyAlignment="1" applyProtection="1">
      <alignment horizontal="left" vertical="top" wrapText="1"/>
      <protection locked="0"/>
    </xf>
    <xf numFmtId="0" fontId="10" fillId="0" borderId="1" xfId="1" applyFont="1" applyBorder="1" applyAlignment="1" applyProtection="1">
      <alignment horizontal="left"/>
      <protection locked="0"/>
    </xf>
    <xf numFmtId="0" fontId="13" fillId="0" borderId="25" xfId="1" applyFont="1" applyBorder="1" applyAlignment="1" applyProtection="1">
      <alignment horizontal="left" vertical="top" wrapText="1"/>
      <protection locked="0"/>
    </xf>
    <xf numFmtId="0" fontId="13" fillId="0" borderId="26" xfId="1" applyFont="1" applyBorder="1" applyAlignment="1" applyProtection="1">
      <alignment horizontal="left" vertical="top" wrapText="1"/>
      <protection locked="0"/>
    </xf>
    <xf numFmtId="0" fontId="5" fillId="0" borderId="21" xfId="1" applyFont="1" applyBorder="1" applyAlignment="1" applyProtection="1">
      <alignment horizontal="left" vertical="top" wrapText="1"/>
      <protection locked="0"/>
    </xf>
    <xf numFmtId="0" fontId="5" fillId="0" borderId="17" xfId="1" applyFont="1" applyBorder="1" applyAlignment="1" applyProtection="1">
      <alignment horizontal="center" vertical="top" wrapText="1"/>
      <protection locked="0"/>
    </xf>
    <xf numFmtId="0" fontId="5" fillId="0" borderId="24" xfId="1" applyFont="1" applyBorder="1" applyAlignment="1" applyProtection="1">
      <alignment horizontal="center" vertical="top" wrapText="1"/>
      <protection locked="0"/>
    </xf>
    <xf numFmtId="0" fontId="5" fillId="0" borderId="18" xfId="1" applyFont="1" applyBorder="1" applyAlignment="1" applyProtection="1">
      <alignment horizontal="center" vertical="top" wrapText="1"/>
      <protection locked="0"/>
    </xf>
    <xf numFmtId="0" fontId="5" fillId="0" borderId="19" xfId="1" applyFont="1" applyBorder="1" applyAlignment="1" applyProtection="1">
      <alignment horizontal="center" vertical="top" wrapText="1"/>
      <protection locked="0"/>
    </xf>
    <xf numFmtId="0" fontId="5" fillId="0" borderId="2" xfId="1" applyFont="1" applyBorder="1" applyAlignment="1" applyProtection="1">
      <alignment horizontal="center" vertical="top" wrapText="1"/>
      <protection locked="0"/>
    </xf>
    <xf numFmtId="0" fontId="5" fillId="0" borderId="20" xfId="1" applyFont="1" applyBorder="1" applyAlignment="1" applyProtection="1">
      <alignment horizontal="center" vertical="top" wrapText="1"/>
      <protection locked="0"/>
    </xf>
    <xf numFmtId="164" fontId="5" fillId="0" borderId="1" xfId="1" applyNumberFormat="1" applyFont="1" applyBorder="1" applyAlignment="1" applyProtection="1">
      <alignment horizontal="left" vertical="top"/>
      <protection locked="0"/>
    </xf>
    <xf numFmtId="0" fontId="10" fillId="0" borderId="1" xfId="1" applyFont="1" applyBorder="1" applyAlignment="1" applyProtection="1">
      <alignment horizontal="center"/>
      <protection locked="0"/>
    </xf>
    <xf numFmtId="0" fontId="10" fillId="0" borderId="1" xfId="1" applyFont="1" applyBorder="1" applyAlignment="1" applyProtection="1">
      <alignment horizontal="center" vertical="top"/>
      <protection locked="0"/>
    </xf>
    <xf numFmtId="0" fontId="11" fillId="0" borderId="1" xfId="1" applyFont="1" applyBorder="1" applyAlignment="1" applyProtection="1">
      <alignment horizontal="center"/>
      <protection locked="0"/>
    </xf>
    <xf numFmtId="0" fontId="5" fillId="0" borderId="3" xfId="1" applyFont="1" applyBorder="1" applyAlignment="1" applyProtection="1">
      <alignment horizontal="left" vertical="top" wrapText="1"/>
      <protection locked="0"/>
    </xf>
    <xf numFmtId="0" fontId="5" fillId="0" borderId="3" xfId="1" applyFont="1" applyBorder="1" applyAlignment="1" applyProtection="1">
      <alignment horizontal="left" vertical="top"/>
      <protection locked="0"/>
    </xf>
    <xf numFmtId="14" fontId="5" fillId="0" borderId="8" xfId="1" applyNumberFormat="1" applyFont="1" applyBorder="1" applyAlignment="1" applyProtection="1">
      <alignment horizontal="left" vertical="top" wrapText="1"/>
      <protection locked="0"/>
    </xf>
    <xf numFmtId="14" fontId="5" fillId="0" borderId="9" xfId="1" applyNumberFormat="1" applyFont="1" applyBorder="1" applyAlignment="1" applyProtection="1">
      <alignment horizontal="left" vertical="top" wrapText="1"/>
      <protection locked="0"/>
    </xf>
    <xf numFmtId="2" fontId="5" fillId="0" borderId="1" xfId="1" applyNumberFormat="1" applyFont="1" applyBorder="1" applyAlignment="1" applyProtection="1">
      <alignment horizontal="left" vertical="top" wrapText="1"/>
      <protection locked="0"/>
    </xf>
    <xf numFmtId="1" fontId="5" fillId="0" borderId="1" xfId="1" applyNumberFormat="1" applyFont="1" applyBorder="1" applyAlignment="1" applyProtection="1">
      <alignment horizontal="left" vertical="top" wrapText="1"/>
      <protection locked="0"/>
    </xf>
    <xf numFmtId="2" fontId="5" fillId="0" borderId="1" xfId="1" applyNumberFormat="1" applyFont="1" applyBorder="1" applyAlignment="1" applyProtection="1">
      <alignment horizontal="left" vertical="top"/>
      <protection locked="0"/>
    </xf>
    <xf numFmtId="0" fontId="10" fillId="0" borderId="3" xfId="1" applyFont="1" applyBorder="1" applyAlignment="1" applyProtection="1">
      <alignment horizontal="left" vertical="top"/>
      <protection locked="0"/>
    </xf>
    <xf numFmtId="0" fontId="11" fillId="0" borderId="8" xfId="1" applyFont="1" applyBorder="1" applyAlignment="1" applyProtection="1">
      <alignment horizontal="left" vertical="top"/>
      <protection locked="0"/>
    </xf>
    <xf numFmtId="0" fontId="11" fillId="0" borderId="21" xfId="1" applyFont="1" applyBorder="1" applyAlignment="1" applyProtection="1">
      <alignment horizontal="left" vertical="top"/>
      <protection locked="0"/>
    </xf>
    <xf numFmtId="0" fontId="11" fillId="0" borderId="9" xfId="1" applyFont="1" applyBorder="1" applyAlignment="1" applyProtection="1">
      <alignment horizontal="left" vertical="top"/>
      <protection locked="0"/>
    </xf>
    <xf numFmtId="0" fontId="10" fillId="0" borderId="16" xfId="1" applyFont="1" applyBorder="1" applyAlignment="1" applyProtection="1">
      <alignment horizontal="left" vertical="top" wrapText="1"/>
      <protection locked="0"/>
    </xf>
    <xf numFmtId="0" fontId="5" fillId="0" borderId="8" xfId="1" applyFont="1" applyBorder="1" applyAlignment="1" applyProtection="1">
      <alignment vertical="top" wrapText="1"/>
      <protection locked="0"/>
    </xf>
    <xf numFmtId="0" fontId="5" fillId="0" borderId="21" xfId="1" applyFont="1" applyBorder="1" applyAlignment="1" applyProtection="1">
      <alignment vertical="top" wrapText="1"/>
      <protection locked="0"/>
    </xf>
    <xf numFmtId="0" fontId="5" fillId="0" borderId="9" xfId="1" applyFont="1" applyBorder="1" applyAlignment="1" applyProtection="1">
      <alignment vertical="top" wrapText="1"/>
      <protection locked="0"/>
    </xf>
    <xf numFmtId="0" fontId="5" fillId="0" borderId="17" xfId="1" applyFont="1" applyBorder="1" applyAlignment="1" applyProtection="1">
      <alignment horizontal="left" vertical="top" wrapText="1"/>
      <protection locked="0"/>
    </xf>
    <xf numFmtId="0" fontId="5" fillId="0" borderId="18" xfId="1" applyFont="1" applyBorder="1" applyAlignment="1" applyProtection="1">
      <alignment horizontal="left" vertical="top" wrapText="1"/>
      <protection locked="0"/>
    </xf>
    <xf numFmtId="0" fontId="5" fillId="0" borderId="19" xfId="1" applyFont="1" applyBorder="1" applyAlignment="1" applyProtection="1">
      <alignment horizontal="left" vertical="top" wrapText="1"/>
      <protection locked="0"/>
    </xf>
    <xf numFmtId="0" fontId="5" fillId="0" borderId="20" xfId="1" applyFont="1" applyBorder="1" applyAlignment="1" applyProtection="1">
      <alignment horizontal="left" vertical="top" wrapText="1"/>
      <protection locked="0"/>
    </xf>
    <xf numFmtId="0" fontId="5" fillId="0" borderId="24" xfId="1" applyFont="1" applyBorder="1" applyAlignment="1" applyProtection="1">
      <alignment horizontal="left" vertical="top" wrapText="1"/>
      <protection locked="0"/>
    </xf>
    <xf numFmtId="1" fontId="9" fillId="0" borderId="33" xfId="0" applyNumberFormat="1" applyFont="1" applyBorder="1" applyAlignment="1" applyProtection="1">
      <alignment horizontal="center" vertical="top" wrapText="1"/>
      <protection locked="0"/>
    </xf>
    <xf numFmtId="0" fontId="24" fillId="0" borderId="1" xfId="10" applyFill="1" applyBorder="1" applyAlignment="1" applyProtection="1">
      <alignment horizontal="left" vertical="top" wrapText="1"/>
      <protection locked="0"/>
    </xf>
    <xf numFmtId="1" fontId="7" fillId="0" borderId="33" xfId="0" applyNumberFormat="1" applyFont="1" applyBorder="1" applyAlignment="1" applyProtection="1">
      <alignment horizontal="center" vertical="top" wrapText="1"/>
      <protection locked="0"/>
    </xf>
    <xf numFmtId="1" fontId="7" fillId="0" borderId="34" xfId="0" applyNumberFormat="1" applyFont="1" applyBorder="1" applyAlignment="1" applyProtection="1">
      <alignment horizontal="center" vertical="top" wrapText="1"/>
      <protection locked="0"/>
    </xf>
    <xf numFmtId="1" fontId="7" fillId="0" borderId="3" xfId="0" applyNumberFormat="1" applyFont="1" applyBorder="1" applyAlignment="1" applyProtection="1">
      <alignment horizontal="center" vertical="center" wrapText="1"/>
      <protection locked="0"/>
    </xf>
    <xf numFmtId="1" fontId="9" fillId="0" borderId="3" xfId="0" applyNumberFormat="1" applyFont="1" applyBorder="1" applyAlignment="1" applyProtection="1">
      <alignment horizontal="center" vertical="top" wrapText="1"/>
      <protection locked="0"/>
    </xf>
    <xf numFmtId="0" fontId="9" fillId="0" borderId="3" xfId="0" applyFont="1" applyBorder="1" applyAlignment="1" applyProtection="1">
      <alignment horizontal="center" vertical="top" wrapText="1"/>
      <protection locked="0"/>
    </xf>
    <xf numFmtId="1" fontId="7" fillId="0" borderId="3" xfId="0" applyNumberFormat="1" applyFont="1" applyBorder="1" applyAlignment="1" applyProtection="1">
      <alignment horizontal="center" vertical="top" wrapText="1"/>
      <protection locked="0"/>
    </xf>
    <xf numFmtId="1" fontId="9" fillId="0" borderId="1" xfId="0" applyNumberFormat="1" applyFont="1" applyBorder="1" applyAlignment="1" applyProtection="1">
      <alignment horizontal="center" vertical="center"/>
      <protection locked="0"/>
    </xf>
    <xf numFmtId="1" fontId="9" fillId="0" borderId="1" xfId="0" applyNumberFormat="1" applyFont="1" applyBorder="1" applyAlignment="1" applyProtection="1">
      <alignment horizontal="center" vertical="top" wrapText="1"/>
      <protection locked="0"/>
    </xf>
    <xf numFmtId="1" fontId="11" fillId="3" borderId="8" xfId="1" applyNumberFormat="1" applyFont="1" applyFill="1" applyBorder="1" applyAlignment="1" applyProtection="1">
      <alignment horizontal="center" vertical="center" wrapText="1"/>
      <protection locked="0"/>
    </xf>
    <xf numFmtId="1" fontId="11" fillId="3" borderId="21" xfId="1" applyNumberFormat="1" applyFont="1" applyFill="1" applyBorder="1" applyAlignment="1" applyProtection="1">
      <alignment horizontal="center" vertical="center" wrapText="1"/>
      <protection locked="0"/>
    </xf>
    <xf numFmtId="1" fontId="11" fillId="3" borderId="9" xfId="1" applyNumberFormat="1" applyFont="1" applyFill="1" applyBorder="1" applyAlignment="1" applyProtection="1">
      <alignment horizontal="center" vertical="center" wrapText="1"/>
      <protection locked="0"/>
    </xf>
    <xf numFmtId="1" fontId="11" fillId="0" borderId="1" xfId="1" applyNumberFormat="1" applyFont="1" applyFill="1" applyBorder="1" applyAlignment="1" applyProtection="1">
      <alignment horizontal="center" vertical="center" wrapText="1"/>
      <protection locked="0"/>
    </xf>
    <xf numFmtId="1" fontId="11" fillId="0" borderId="16" xfId="1" applyNumberFormat="1" applyFont="1" applyFill="1" applyBorder="1" applyAlignment="1" applyProtection="1">
      <alignment horizontal="center" vertical="center" wrapText="1"/>
      <protection locked="0"/>
    </xf>
    <xf numFmtId="1" fontId="7" fillId="3" borderId="8" xfId="1" applyNumberFormat="1" applyFont="1" applyFill="1" applyBorder="1" applyAlignment="1" applyProtection="1">
      <alignment horizontal="center" vertical="center" wrapText="1"/>
      <protection locked="0"/>
    </xf>
    <xf numFmtId="1" fontId="7" fillId="3" borderId="21" xfId="1" applyNumberFormat="1" applyFont="1" applyFill="1" applyBorder="1" applyAlignment="1" applyProtection="1">
      <alignment horizontal="center" vertical="center" wrapText="1"/>
      <protection locked="0"/>
    </xf>
    <xf numFmtId="1" fontId="7" fillId="3" borderId="9" xfId="1" applyNumberFormat="1" applyFont="1" applyFill="1" applyBorder="1" applyAlignment="1" applyProtection="1">
      <alignment horizontal="center" vertical="center" wrapText="1"/>
      <protection locked="0"/>
    </xf>
    <xf numFmtId="1" fontId="11" fillId="0" borderId="1" xfId="1" applyNumberFormat="1" applyFont="1" applyBorder="1" applyAlignment="1" applyProtection="1">
      <alignment horizontal="center" vertical="center" wrapText="1"/>
      <protection locked="0"/>
    </xf>
    <xf numFmtId="1" fontId="9" fillId="3" borderId="1" xfId="1" applyNumberFormat="1" applyFont="1" applyFill="1" applyBorder="1" applyAlignment="1" applyProtection="1">
      <alignment horizontal="center" vertical="center" wrapText="1"/>
      <protection locked="0"/>
    </xf>
    <xf numFmtId="1" fontId="9" fillId="3" borderId="16" xfId="1" applyNumberFormat="1" applyFont="1" applyFill="1" applyBorder="1" applyAlignment="1" applyProtection="1">
      <alignment horizontal="center" vertical="center" wrapText="1"/>
      <protection locked="0"/>
    </xf>
    <xf numFmtId="0" fontId="8" fillId="0" borderId="1" xfId="5" applyFont="1" applyBorder="1" applyAlignment="1">
      <alignment horizontal="left"/>
    </xf>
    <xf numFmtId="0" fontId="0" fillId="2" borderId="1" xfId="0" applyFill="1" applyBorder="1" applyAlignment="1">
      <alignment horizontal="center" vertical="center" wrapText="1"/>
    </xf>
    <xf numFmtId="0" fontId="8" fillId="4" borderId="1" xfId="0" applyFont="1" applyFill="1" applyBorder="1" applyAlignment="1">
      <alignment horizontal="center" vertical="center"/>
    </xf>
    <xf numFmtId="0" fontId="8" fillId="3" borderId="1" xfId="0" applyFont="1" applyFill="1" applyBorder="1" applyAlignment="1">
      <alignment horizontal="center" vertical="center"/>
    </xf>
    <xf numFmtId="0" fontId="8" fillId="5" borderId="1" xfId="0" applyFont="1" applyFill="1" applyBorder="1" applyAlignment="1">
      <alignment horizontal="center" vertical="center"/>
    </xf>
    <xf numFmtId="0" fontId="6" fillId="0" borderId="1" xfId="1" applyFont="1" applyBorder="1" applyAlignment="1" applyProtection="1">
      <alignment horizontal="left" vertical="top"/>
      <protection locked="0"/>
    </xf>
  </cellXfs>
  <cellStyles count="11">
    <cellStyle name="Comma" xfId="9" builtinId="3"/>
    <cellStyle name="Comma 2" xfId="6"/>
    <cellStyle name="Excel Built-in Normal" xfId="2"/>
    <cellStyle name="Excel Built-in Normal 2" xfId="4"/>
    <cellStyle name="Hyperlink" xfId="10" builtinId="8"/>
    <cellStyle name="Normal" xfId="0" builtinId="0"/>
    <cellStyle name="Normal 2" xfId="3"/>
    <cellStyle name="Normal 3" xfId="1"/>
    <cellStyle name="Normal 3 3" xfId="7"/>
    <cellStyle name="Normal 4" xfId="5"/>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7.png"/><Relationship Id="rId13" Type="http://schemas.openxmlformats.org/officeDocument/2006/relationships/image" Target="../media/image12.png"/><Relationship Id="rId3" Type="http://schemas.openxmlformats.org/officeDocument/2006/relationships/image" Target="../media/image3.png"/><Relationship Id="rId7" Type="http://schemas.openxmlformats.org/officeDocument/2006/relationships/image" Target="../media/image6.png"/><Relationship Id="rId12" Type="http://schemas.openxmlformats.org/officeDocument/2006/relationships/image" Target="../media/image11.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5.png"/><Relationship Id="rId11" Type="http://schemas.openxmlformats.org/officeDocument/2006/relationships/image" Target="../media/image10.png"/><Relationship Id="rId5" Type="http://schemas.microsoft.com/office/2007/relationships/hdphoto" Target="../media/hdphoto1.wdp"/><Relationship Id="rId10" Type="http://schemas.openxmlformats.org/officeDocument/2006/relationships/image" Target="../media/image9.png"/><Relationship Id="rId4" Type="http://schemas.openxmlformats.org/officeDocument/2006/relationships/image" Target="../media/image4.png"/><Relationship Id="rId9" Type="http://schemas.openxmlformats.org/officeDocument/2006/relationships/image" Target="../media/image8.png"/><Relationship Id="rId14" Type="http://schemas.openxmlformats.org/officeDocument/2006/relationships/image" Target="../media/image13.png"/></Relationships>
</file>

<file path=xl/drawings/_rels/drawing2.xml.rels><?xml version="1.0" encoding="UTF-8" standalone="yes"?>
<Relationships xmlns="http://schemas.openxmlformats.org/package/2006/relationships"><Relationship Id="rId1" Type="http://schemas.openxmlformats.org/officeDocument/2006/relationships/image" Target="../media/image16.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8</xdr:col>
      <xdr:colOff>190500</xdr:colOff>
      <xdr:row>15</xdr:row>
      <xdr:rowOff>95250</xdr:rowOff>
    </xdr:from>
    <xdr:to>
      <xdr:col>13</xdr:col>
      <xdr:colOff>232422</xdr:colOff>
      <xdr:row>18</xdr:row>
      <xdr:rowOff>104917</xdr:rowOff>
    </xdr:to>
    <xdr:pic>
      <xdr:nvPicPr>
        <xdr:cNvPr id="2" name="Picture 1"/>
        <xdr:cNvPicPr>
          <a:picLocks noChangeAspect="1"/>
        </xdr:cNvPicPr>
      </xdr:nvPicPr>
      <xdr:blipFill>
        <a:blip xmlns:r="http://schemas.openxmlformats.org/officeDocument/2006/relationships" r:embed="rId1"/>
        <a:stretch>
          <a:fillRect/>
        </a:stretch>
      </xdr:blipFill>
      <xdr:spPr>
        <a:xfrm>
          <a:off x="6813550" y="3657600"/>
          <a:ext cx="4639322" cy="1019317"/>
        </a:xfrm>
        <a:prstGeom prst="rect">
          <a:avLst/>
        </a:prstGeom>
        <a:ln>
          <a:solidFill>
            <a:schemeClr val="tx1"/>
          </a:solidFill>
        </a:ln>
      </xdr:spPr>
    </xdr:pic>
    <xdr:clientData/>
  </xdr:twoCellAnchor>
  <xdr:twoCellAnchor editAs="oneCell">
    <xdr:from>
      <xdr:col>1</xdr:col>
      <xdr:colOff>44119</xdr:colOff>
      <xdr:row>540</xdr:row>
      <xdr:rowOff>69850</xdr:rowOff>
    </xdr:from>
    <xdr:to>
      <xdr:col>7</xdr:col>
      <xdr:colOff>3562</xdr:colOff>
      <xdr:row>560</xdr:row>
      <xdr:rowOff>92850</xdr:rowOff>
    </xdr:to>
    <xdr:pic>
      <xdr:nvPicPr>
        <xdr:cNvPr id="3" name="Picture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a:off x="844219" y="67056000"/>
          <a:ext cx="4979118" cy="3960000"/>
        </a:xfrm>
        <a:prstGeom prst="rect">
          <a:avLst/>
        </a:prstGeom>
        <a:ln>
          <a:solidFill>
            <a:schemeClr val="tx1"/>
          </a:solidFill>
        </a:ln>
      </xdr:spPr>
    </xdr:pic>
    <xdr:clientData/>
  </xdr:twoCellAnchor>
  <xdr:twoCellAnchor editAs="oneCell">
    <xdr:from>
      <xdr:col>1</xdr:col>
      <xdr:colOff>361950</xdr:colOff>
      <xdr:row>560</xdr:row>
      <xdr:rowOff>182969</xdr:rowOff>
    </xdr:from>
    <xdr:to>
      <xdr:col>6</xdr:col>
      <xdr:colOff>395700</xdr:colOff>
      <xdr:row>581</xdr:row>
      <xdr:rowOff>9119</xdr:rowOff>
    </xdr:to>
    <xdr:pic>
      <xdr:nvPicPr>
        <xdr:cNvPr id="4" name="Picture 3"/>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a:ext>
          </a:extLst>
        </a:blip>
        <a:srcRect/>
        <a:stretch/>
      </xdr:blipFill>
      <xdr:spPr>
        <a:xfrm>
          <a:off x="1162050" y="71106119"/>
          <a:ext cx="4320000" cy="3960000"/>
        </a:xfrm>
        <a:prstGeom prst="rect">
          <a:avLst/>
        </a:prstGeom>
        <a:ln>
          <a:solidFill>
            <a:schemeClr val="tx1"/>
          </a:solidFill>
        </a:ln>
      </xdr:spPr>
    </xdr:pic>
    <xdr:clientData/>
  </xdr:twoCellAnchor>
  <xdr:twoCellAnchor>
    <xdr:from>
      <xdr:col>3</xdr:col>
      <xdr:colOff>338766</xdr:colOff>
      <xdr:row>564</xdr:row>
      <xdr:rowOff>178928</xdr:rowOff>
    </xdr:from>
    <xdr:to>
      <xdr:col>4</xdr:col>
      <xdr:colOff>259151</xdr:colOff>
      <xdr:row>575</xdr:row>
      <xdr:rowOff>61839</xdr:rowOff>
    </xdr:to>
    <xdr:sp macro="" textlink="">
      <xdr:nvSpPr>
        <xdr:cNvPr id="5" name="Rectangle 4"/>
        <xdr:cNvSpPr/>
      </xdr:nvSpPr>
      <xdr:spPr>
        <a:xfrm rot="20979653">
          <a:off x="2866066" y="71889478"/>
          <a:ext cx="879235" cy="2048261"/>
        </a:xfrm>
        <a:prstGeom prst="rect">
          <a:avLst/>
        </a:prstGeom>
        <a:noFill/>
        <a:ln w="28575">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IN" sz="1100"/>
        </a:p>
      </xdr:txBody>
    </xdr:sp>
    <xdr:clientData/>
  </xdr:twoCellAnchor>
  <xdr:twoCellAnchor>
    <xdr:from>
      <xdr:col>0</xdr:col>
      <xdr:colOff>742950</xdr:colOff>
      <xdr:row>497</xdr:row>
      <xdr:rowOff>95250</xdr:rowOff>
    </xdr:from>
    <xdr:to>
      <xdr:col>7</xdr:col>
      <xdr:colOff>65368</xdr:colOff>
      <xdr:row>535</xdr:row>
      <xdr:rowOff>69495</xdr:rowOff>
    </xdr:to>
    <xdr:grpSp>
      <xdr:nvGrpSpPr>
        <xdr:cNvPr id="6" name="Group 5"/>
        <xdr:cNvGrpSpPr/>
      </xdr:nvGrpSpPr>
      <xdr:grpSpPr>
        <a:xfrm>
          <a:off x="742950" y="98942338"/>
          <a:ext cx="4902947" cy="7639069"/>
          <a:chOff x="625929" y="103989869"/>
          <a:chExt cx="4944717" cy="7925192"/>
        </a:xfrm>
      </xdr:grpSpPr>
      <xdr:pic>
        <xdr:nvPicPr>
          <xdr:cNvPr id="7" name="Picture 6"/>
          <xdr:cNvPicPr>
            <a:picLocks noChangeAspect="1"/>
          </xdr:cNvPicPr>
        </xdr:nvPicPr>
        <xdr:blipFill>
          <a:blip xmlns:r="http://schemas.openxmlformats.org/officeDocument/2006/relationships" r:embed="rId4">
            <a:extLst>
              <a:ext uri="{BEBA8EAE-BF5A-486C-A8C5-ECC9F3942E4B}">
                <a14:imgProps xmlns:a14="http://schemas.microsoft.com/office/drawing/2010/main">
                  <a14:imgLayer r:embed="rId5">
                    <a14:imgEffect>
                      <a14:brightnessContrast contrast="20000"/>
                    </a14:imgEffect>
                  </a14:imgLayer>
                </a14:imgProps>
              </a:ext>
            </a:extLst>
          </a:blip>
          <a:stretch>
            <a:fillRect/>
          </a:stretch>
        </xdr:blipFill>
        <xdr:spPr>
          <a:xfrm>
            <a:off x="625929" y="103989869"/>
            <a:ext cx="4944717" cy="7925192"/>
          </a:xfrm>
          <a:prstGeom prst="rect">
            <a:avLst/>
          </a:prstGeom>
          <a:ln>
            <a:solidFill>
              <a:sysClr val="windowText" lastClr="000000"/>
            </a:solidFill>
          </a:ln>
        </xdr:spPr>
      </xdr:pic>
      <xdr:sp macro="" textlink="">
        <xdr:nvSpPr>
          <xdr:cNvPr id="8" name="Rectangle 7"/>
          <xdr:cNvSpPr/>
        </xdr:nvSpPr>
        <xdr:spPr>
          <a:xfrm>
            <a:off x="3585127" y="105205695"/>
            <a:ext cx="289891" cy="496957"/>
          </a:xfrm>
          <a:prstGeom prst="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sp macro="" textlink="">
        <xdr:nvSpPr>
          <xdr:cNvPr id="9" name="TextBox 12"/>
          <xdr:cNvSpPr txBox="1"/>
        </xdr:nvSpPr>
        <xdr:spPr>
          <a:xfrm>
            <a:off x="1630248" y="104898202"/>
            <a:ext cx="764657" cy="31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IN" sz="1200" b="1">
                <a:solidFill>
                  <a:srgbClr val="C00000"/>
                </a:solidFill>
                <a:latin typeface="Times New Roman" panose="02020603050405020304" pitchFamily="18" charset="0"/>
                <a:cs typeface="Times New Roman" panose="02020603050405020304" pitchFamily="18" charset="0"/>
              </a:rPr>
              <a:t>Building</a:t>
            </a:r>
            <a:r>
              <a:rPr lang="en-IN" sz="1200" b="1" baseline="0">
                <a:solidFill>
                  <a:srgbClr val="C00000"/>
                </a:solidFill>
                <a:latin typeface="Times New Roman" panose="02020603050405020304" pitchFamily="18" charset="0"/>
                <a:cs typeface="Times New Roman" panose="02020603050405020304" pitchFamily="18" charset="0"/>
              </a:rPr>
              <a:t>  No.9</a:t>
            </a:r>
            <a:endParaRPr lang="en-IN" sz="1200" b="1">
              <a:solidFill>
                <a:srgbClr val="C00000"/>
              </a:solidFill>
              <a:latin typeface="Times New Roman" panose="02020603050405020304" pitchFamily="18" charset="0"/>
              <a:cs typeface="Times New Roman" panose="02020603050405020304" pitchFamily="18" charset="0"/>
            </a:endParaRPr>
          </a:p>
        </xdr:txBody>
      </xdr:sp>
      <xdr:sp macro="" textlink="">
        <xdr:nvSpPr>
          <xdr:cNvPr id="10" name="TextBox 12"/>
          <xdr:cNvSpPr txBox="1"/>
        </xdr:nvSpPr>
        <xdr:spPr>
          <a:xfrm>
            <a:off x="2230738" y="105764977"/>
            <a:ext cx="766312" cy="31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IN" sz="1200" b="1">
                <a:solidFill>
                  <a:srgbClr val="C00000"/>
                </a:solidFill>
                <a:latin typeface="Times New Roman" panose="02020603050405020304" pitchFamily="18" charset="0"/>
                <a:cs typeface="Times New Roman" panose="02020603050405020304" pitchFamily="18" charset="0"/>
              </a:rPr>
              <a:t>Building</a:t>
            </a:r>
            <a:r>
              <a:rPr lang="en-IN" sz="1200" b="1" baseline="0">
                <a:solidFill>
                  <a:srgbClr val="C00000"/>
                </a:solidFill>
                <a:latin typeface="Times New Roman" panose="02020603050405020304" pitchFamily="18" charset="0"/>
                <a:cs typeface="Times New Roman" panose="02020603050405020304" pitchFamily="18" charset="0"/>
              </a:rPr>
              <a:t>  No.8</a:t>
            </a:r>
            <a:endParaRPr lang="en-IN" sz="1200" b="1">
              <a:solidFill>
                <a:srgbClr val="C00000"/>
              </a:solidFill>
              <a:latin typeface="Times New Roman" panose="02020603050405020304" pitchFamily="18" charset="0"/>
              <a:cs typeface="Times New Roman" panose="02020603050405020304" pitchFamily="18" charset="0"/>
            </a:endParaRPr>
          </a:p>
        </xdr:txBody>
      </xdr:sp>
      <xdr:sp macro="" textlink="">
        <xdr:nvSpPr>
          <xdr:cNvPr id="11" name="TextBox 12"/>
          <xdr:cNvSpPr txBox="1"/>
        </xdr:nvSpPr>
        <xdr:spPr>
          <a:xfrm>
            <a:off x="2890033" y="104869627"/>
            <a:ext cx="763828" cy="31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IN" sz="1200" b="1">
                <a:solidFill>
                  <a:srgbClr val="C00000"/>
                </a:solidFill>
                <a:latin typeface="Times New Roman" panose="02020603050405020304" pitchFamily="18" charset="0"/>
                <a:cs typeface="Times New Roman" panose="02020603050405020304" pitchFamily="18" charset="0"/>
              </a:rPr>
              <a:t>Building</a:t>
            </a:r>
            <a:r>
              <a:rPr lang="en-IN" sz="1200" b="1" baseline="0">
                <a:solidFill>
                  <a:srgbClr val="C00000"/>
                </a:solidFill>
                <a:latin typeface="Times New Roman" panose="02020603050405020304" pitchFamily="18" charset="0"/>
                <a:cs typeface="Times New Roman" panose="02020603050405020304" pitchFamily="18" charset="0"/>
              </a:rPr>
              <a:t>  No.7</a:t>
            </a:r>
            <a:endParaRPr lang="en-IN" sz="1200" b="1">
              <a:solidFill>
                <a:srgbClr val="C00000"/>
              </a:solidFill>
              <a:latin typeface="Times New Roman" panose="02020603050405020304" pitchFamily="18" charset="0"/>
              <a:cs typeface="Times New Roman" panose="02020603050405020304" pitchFamily="18" charset="0"/>
            </a:endParaRPr>
          </a:p>
        </xdr:txBody>
      </xdr:sp>
      <xdr:sp macro="" textlink="">
        <xdr:nvSpPr>
          <xdr:cNvPr id="12" name="TextBox 12"/>
          <xdr:cNvSpPr txBox="1"/>
        </xdr:nvSpPr>
        <xdr:spPr>
          <a:xfrm>
            <a:off x="3337294" y="105726877"/>
            <a:ext cx="761757" cy="31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IN" sz="1200" b="1">
                <a:solidFill>
                  <a:srgbClr val="C00000"/>
                </a:solidFill>
                <a:latin typeface="Times New Roman" panose="02020603050405020304" pitchFamily="18" charset="0"/>
                <a:cs typeface="Times New Roman" panose="02020603050405020304" pitchFamily="18" charset="0"/>
              </a:rPr>
              <a:t>Building</a:t>
            </a:r>
            <a:r>
              <a:rPr lang="en-IN" sz="1200" b="1" baseline="0">
                <a:solidFill>
                  <a:srgbClr val="C00000"/>
                </a:solidFill>
                <a:latin typeface="Times New Roman" panose="02020603050405020304" pitchFamily="18" charset="0"/>
                <a:cs typeface="Times New Roman" panose="02020603050405020304" pitchFamily="18" charset="0"/>
              </a:rPr>
              <a:t>  No.6</a:t>
            </a:r>
            <a:endParaRPr lang="en-IN" sz="1200" b="1">
              <a:solidFill>
                <a:srgbClr val="C00000"/>
              </a:solidFill>
              <a:latin typeface="Times New Roman" panose="02020603050405020304" pitchFamily="18" charset="0"/>
              <a:cs typeface="Times New Roman" panose="02020603050405020304" pitchFamily="18" charset="0"/>
            </a:endParaRPr>
          </a:p>
        </xdr:txBody>
      </xdr:sp>
      <xdr:grpSp>
        <xdr:nvGrpSpPr>
          <xdr:cNvPr id="13" name="Group 12"/>
          <xdr:cNvGrpSpPr/>
        </xdr:nvGrpSpPr>
        <xdr:grpSpPr>
          <a:xfrm>
            <a:off x="2937658" y="105199413"/>
            <a:ext cx="961380" cy="505810"/>
            <a:chOff x="2924406" y="105213079"/>
            <a:chExt cx="961794" cy="505810"/>
          </a:xfrm>
        </xdr:grpSpPr>
        <xdr:sp macro="" textlink="">
          <xdr:nvSpPr>
            <xdr:cNvPr id="36" name="Rectangle 35"/>
            <xdr:cNvSpPr/>
          </xdr:nvSpPr>
          <xdr:spPr>
            <a:xfrm>
              <a:off x="2971316" y="105213079"/>
              <a:ext cx="238610" cy="505810"/>
            </a:xfrm>
            <a:prstGeom prst="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sp macro="" textlink="">
          <xdr:nvSpPr>
            <xdr:cNvPr id="37" name="Rectangle 36"/>
            <xdr:cNvSpPr/>
          </xdr:nvSpPr>
          <xdr:spPr>
            <a:xfrm>
              <a:off x="3238015" y="105213079"/>
              <a:ext cx="238610" cy="505810"/>
            </a:xfrm>
            <a:prstGeom prst="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sp macro="" textlink="">
          <xdr:nvSpPr>
            <xdr:cNvPr id="38" name="TextBox 12"/>
            <xdr:cNvSpPr txBox="1"/>
          </xdr:nvSpPr>
          <xdr:spPr>
            <a:xfrm>
              <a:off x="2924406" y="105365550"/>
              <a:ext cx="342669" cy="2891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IN" sz="1200" b="1">
                  <a:solidFill>
                    <a:srgbClr val="C00000"/>
                  </a:solidFill>
                  <a:latin typeface="Times New Roman" panose="02020603050405020304" pitchFamily="18" charset="0"/>
                  <a:cs typeface="Times New Roman" panose="02020603050405020304" pitchFamily="18" charset="0"/>
                </a:rPr>
                <a:t>E</a:t>
              </a:r>
            </a:p>
          </xdr:txBody>
        </xdr:sp>
        <xdr:sp macro="" textlink="">
          <xdr:nvSpPr>
            <xdr:cNvPr id="39" name="TextBox 12"/>
            <xdr:cNvSpPr txBox="1"/>
          </xdr:nvSpPr>
          <xdr:spPr>
            <a:xfrm>
              <a:off x="3162531" y="105365550"/>
              <a:ext cx="399819" cy="2891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IN" sz="1200" b="1">
                  <a:solidFill>
                    <a:srgbClr val="C00000"/>
                  </a:solidFill>
                  <a:latin typeface="Times New Roman" panose="02020603050405020304" pitchFamily="18" charset="0"/>
                  <a:cs typeface="Times New Roman" panose="02020603050405020304" pitchFamily="18" charset="0"/>
                </a:rPr>
                <a:t>E1</a:t>
              </a:r>
            </a:p>
          </xdr:txBody>
        </xdr:sp>
        <xdr:sp macro="" textlink="">
          <xdr:nvSpPr>
            <xdr:cNvPr id="40" name="TextBox 12"/>
            <xdr:cNvSpPr txBox="1"/>
          </xdr:nvSpPr>
          <xdr:spPr>
            <a:xfrm>
              <a:off x="3543531" y="105327450"/>
              <a:ext cx="342669" cy="2891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IN" sz="1200" b="1">
                  <a:solidFill>
                    <a:srgbClr val="C00000"/>
                  </a:solidFill>
                  <a:latin typeface="Times New Roman" panose="02020603050405020304" pitchFamily="18" charset="0"/>
                  <a:cs typeface="Times New Roman" panose="02020603050405020304" pitchFamily="18" charset="0"/>
                </a:rPr>
                <a:t>E</a:t>
              </a:r>
            </a:p>
          </xdr:txBody>
        </xdr:sp>
      </xdr:grpSp>
      <xdr:grpSp>
        <xdr:nvGrpSpPr>
          <xdr:cNvPr id="14" name="Group 13"/>
          <xdr:cNvGrpSpPr/>
        </xdr:nvGrpSpPr>
        <xdr:grpSpPr>
          <a:xfrm>
            <a:off x="2325988" y="105218463"/>
            <a:ext cx="640014" cy="505810"/>
            <a:chOff x="2924406" y="105213079"/>
            <a:chExt cx="637944" cy="505810"/>
          </a:xfrm>
        </xdr:grpSpPr>
        <xdr:sp macro="" textlink="">
          <xdr:nvSpPr>
            <xdr:cNvPr id="32" name="Rectangle 31"/>
            <xdr:cNvSpPr/>
          </xdr:nvSpPr>
          <xdr:spPr>
            <a:xfrm>
              <a:off x="2971316" y="105213079"/>
              <a:ext cx="238610" cy="505810"/>
            </a:xfrm>
            <a:prstGeom prst="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sp macro="" textlink="">
          <xdr:nvSpPr>
            <xdr:cNvPr id="33" name="Rectangle 32"/>
            <xdr:cNvSpPr/>
          </xdr:nvSpPr>
          <xdr:spPr>
            <a:xfrm>
              <a:off x="3238015" y="105213079"/>
              <a:ext cx="238610" cy="505810"/>
            </a:xfrm>
            <a:prstGeom prst="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sp macro="" textlink="">
          <xdr:nvSpPr>
            <xdr:cNvPr id="34" name="TextBox 12"/>
            <xdr:cNvSpPr txBox="1"/>
          </xdr:nvSpPr>
          <xdr:spPr>
            <a:xfrm>
              <a:off x="2924406" y="105365550"/>
              <a:ext cx="342669" cy="2891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IN" sz="1200" b="1">
                  <a:solidFill>
                    <a:srgbClr val="C00000"/>
                  </a:solidFill>
                  <a:latin typeface="Times New Roman" panose="02020603050405020304" pitchFamily="18" charset="0"/>
                  <a:cs typeface="Times New Roman" panose="02020603050405020304" pitchFamily="18" charset="0"/>
                </a:rPr>
                <a:t>E</a:t>
              </a:r>
            </a:p>
          </xdr:txBody>
        </xdr:sp>
        <xdr:sp macro="" textlink="">
          <xdr:nvSpPr>
            <xdr:cNvPr id="35" name="TextBox 12"/>
            <xdr:cNvSpPr txBox="1"/>
          </xdr:nvSpPr>
          <xdr:spPr>
            <a:xfrm>
              <a:off x="3162531" y="105365550"/>
              <a:ext cx="399819" cy="2891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IN" sz="1200" b="1">
                  <a:solidFill>
                    <a:srgbClr val="C00000"/>
                  </a:solidFill>
                  <a:latin typeface="Times New Roman" panose="02020603050405020304" pitchFamily="18" charset="0"/>
                  <a:cs typeface="Times New Roman" panose="02020603050405020304" pitchFamily="18" charset="0"/>
                </a:rPr>
                <a:t>E1</a:t>
              </a:r>
            </a:p>
          </xdr:txBody>
        </xdr:sp>
      </xdr:grpSp>
      <xdr:grpSp>
        <xdr:nvGrpSpPr>
          <xdr:cNvPr id="15" name="Group 14"/>
          <xdr:cNvGrpSpPr/>
        </xdr:nvGrpSpPr>
        <xdr:grpSpPr>
          <a:xfrm>
            <a:off x="1706863" y="105218463"/>
            <a:ext cx="637944" cy="505810"/>
            <a:chOff x="2924406" y="105213079"/>
            <a:chExt cx="637944" cy="505810"/>
          </a:xfrm>
        </xdr:grpSpPr>
        <xdr:sp macro="" textlink="">
          <xdr:nvSpPr>
            <xdr:cNvPr id="28" name="Rectangle 27"/>
            <xdr:cNvSpPr/>
          </xdr:nvSpPr>
          <xdr:spPr>
            <a:xfrm>
              <a:off x="2971316" y="105213079"/>
              <a:ext cx="238610" cy="505810"/>
            </a:xfrm>
            <a:prstGeom prst="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sp macro="" textlink="">
          <xdr:nvSpPr>
            <xdr:cNvPr id="29" name="Rectangle 28"/>
            <xdr:cNvSpPr/>
          </xdr:nvSpPr>
          <xdr:spPr>
            <a:xfrm>
              <a:off x="3238015" y="105213079"/>
              <a:ext cx="238610" cy="505810"/>
            </a:xfrm>
            <a:prstGeom prst="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sp macro="" textlink="">
          <xdr:nvSpPr>
            <xdr:cNvPr id="30" name="TextBox 12"/>
            <xdr:cNvSpPr txBox="1"/>
          </xdr:nvSpPr>
          <xdr:spPr>
            <a:xfrm>
              <a:off x="2924406" y="105365550"/>
              <a:ext cx="342669" cy="2891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IN" sz="1200" b="1">
                  <a:solidFill>
                    <a:srgbClr val="C00000"/>
                  </a:solidFill>
                  <a:latin typeface="Times New Roman" panose="02020603050405020304" pitchFamily="18" charset="0"/>
                  <a:cs typeface="Times New Roman" panose="02020603050405020304" pitchFamily="18" charset="0"/>
                </a:rPr>
                <a:t>E</a:t>
              </a:r>
            </a:p>
          </xdr:txBody>
        </xdr:sp>
        <xdr:sp macro="" textlink="">
          <xdr:nvSpPr>
            <xdr:cNvPr id="31" name="TextBox 12"/>
            <xdr:cNvSpPr txBox="1"/>
          </xdr:nvSpPr>
          <xdr:spPr>
            <a:xfrm>
              <a:off x="3162531" y="105365550"/>
              <a:ext cx="399819" cy="2891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IN" sz="1200" b="1">
                  <a:solidFill>
                    <a:srgbClr val="C00000"/>
                  </a:solidFill>
                  <a:latin typeface="Times New Roman" panose="02020603050405020304" pitchFamily="18" charset="0"/>
                  <a:cs typeface="Times New Roman" panose="02020603050405020304" pitchFamily="18" charset="0"/>
                </a:rPr>
                <a:t>E1</a:t>
              </a:r>
            </a:p>
          </xdr:txBody>
        </xdr:sp>
      </xdr:grpSp>
      <xdr:sp macro="" textlink="">
        <xdr:nvSpPr>
          <xdr:cNvPr id="16" name="L-Shape 15"/>
          <xdr:cNvSpPr/>
        </xdr:nvSpPr>
        <xdr:spPr>
          <a:xfrm flipH="1">
            <a:off x="2870752" y="106113884"/>
            <a:ext cx="837786" cy="1485900"/>
          </a:xfrm>
          <a:prstGeom prst="corner">
            <a:avLst>
              <a:gd name="adj1" fmla="val 80263"/>
              <a:gd name="adj2" fmla="val 65789"/>
            </a:avLst>
          </a:prstGeom>
          <a:noFill/>
          <a:ln>
            <a:solidFill>
              <a:srgbClr val="101FB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sp macro="" textlink="">
        <xdr:nvSpPr>
          <xdr:cNvPr id="17" name="L-Shape 16"/>
          <xdr:cNvSpPr/>
        </xdr:nvSpPr>
        <xdr:spPr>
          <a:xfrm>
            <a:off x="1878082" y="106104359"/>
            <a:ext cx="840270" cy="1485900"/>
          </a:xfrm>
          <a:prstGeom prst="corner">
            <a:avLst>
              <a:gd name="adj1" fmla="val 80263"/>
              <a:gd name="adj2" fmla="val 65789"/>
            </a:avLst>
          </a:prstGeom>
          <a:noFill/>
          <a:ln>
            <a:solidFill>
              <a:srgbClr val="101FB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sp macro="" textlink="">
        <xdr:nvSpPr>
          <xdr:cNvPr id="18" name="TextBox 12"/>
          <xdr:cNvSpPr txBox="1"/>
        </xdr:nvSpPr>
        <xdr:spPr>
          <a:xfrm rot="16200000">
            <a:off x="1058954" y="106831570"/>
            <a:ext cx="1199919" cy="3146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IN" sz="1200" b="1">
                <a:solidFill>
                  <a:srgbClr val="101FB2"/>
                </a:solidFill>
                <a:latin typeface="Times New Roman" panose="02020603050405020304" pitchFamily="18" charset="0"/>
                <a:cs typeface="Times New Roman" panose="02020603050405020304" pitchFamily="18" charset="0"/>
              </a:rPr>
              <a:t>Building</a:t>
            </a:r>
            <a:r>
              <a:rPr lang="en-IN" sz="1200" b="1" baseline="0">
                <a:solidFill>
                  <a:srgbClr val="101FB2"/>
                </a:solidFill>
                <a:latin typeface="Times New Roman" panose="02020603050405020304" pitchFamily="18" charset="0"/>
                <a:cs typeface="Times New Roman" panose="02020603050405020304" pitchFamily="18" charset="0"/>
              </a:rPr>
              <a:t> No.5 (Type D1)</a:t>
            </a:r>
            <a:endParaRPr lang="en-IN" sz="1200" b="1">
              <a:solidFill>
                <a:srgbClr val="101FB2"/>
              </a:solidFill>
              <a:latin typeface="Times New Roman" panose="02020603050405020304" pitchFamily="18" charset="0"/>
              <a:cs typeface="Times New Roman" panose="02020603050405020304" pitchFamily="18" charset="0"/>
            </a:endParaRPr>
          </a:p>
        </xdr:txBody>
      </xdr:sp>
      <xdr:sp macro="" textlink="">
        <xdr:nvSpPr>
          <xdr:cNvPr id="19" name="TextBox 12"/>
          <xdr:cNvSpPr txBox="1"/>
        </xdr:nvSpPr>
        <xdr:spPr>
          <a:xfrm rot="5400000">
            <a:off x="3317000" y="106718720"/>
            <a:ext cx="1199919" cy="3117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IN" sz="1200" b="1">
                <a:solidFill>
                  <a:srgbClr val="101FB2"/>
                </a:solidFill>
                <a:latin typeface="Times New Roman" panose="02020603050405020304" pitchFamily="18" charset="0"/>
                <a:cs typeface="Times New Roman" panose="02020603050405020304" pitchFamily="18" charset="0"/>
              </a:rPr>
              <a:t>Building</a:t>
            </a:r>
            <a:r>
              <a:rPr lang="en-IN" sz="1200" b="1" baseline="0">
                <a:solidFill>
                  <a:srgbClr val="101FB2"/>
                </a:solidFill>
                <a:latin typeface="Times New Roman" panose="02020603050405020304" pitchFamily="18" charset="0"/>
                <a:cs typeface="Times New Roman" panose="02020603050405020304" pitchFamily="18" charset="0"/>
              </a:rPr>
              <a:t> No.4 (Type C1)</a:t>
            </a:r>
            <a:endParaRPr lang="en-IN" sz="1200" b="1">
              <a:solidFill>
                <a:srgbClr val="101FB2"/>
              </a:solidFill>
              <a:latin typeface="Times New Roman" panose="02020603050405020304" pitchFamily="18" charset="0"/>
              <a:cs typeface="Times New Roman" panose="02020603050405020304" pitchFamily="18" charset="0"/>
            </a:endParaRPr>
          </a:p>
        </xdr:txBody>
      </xdr:sp>
      <xdr:sp macro="" textlink="">
        <xdr:nvSpPr>
          <xdr:cNvPr id="20" name="L-Shape 19"/>
          <xdr:cNvSpPr/>
        </xdr:nvSpPr>
        <xdr:spPr>
          <a:xfrm rot="10800000">
            <a:off x="2956476" y="107714082"/>
            <a:ext cx="917348" cy="1533525"/>
          </a:xfrm>
          <a:prstGeom prst="corner">
            <a:avLst>
              <a:gd name="adj1" fmla="val 64043"/>
              <a:gd name="adj2" fmla="val 65789"/>
            </a:avLst>
          </a:prstGeom>
          <a:noFill/>
          <a:ln>
            <a:solidFill>
              <a:srgbClr val="101FB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sp macro="" textlink="">
        <xdr:nvSpPr>
          <xdr:cNvPr id="21" name="L-Shape 20"/>
          <xdr:cNvSpPr/>
        </xdr:nvSpPr>
        <xdr:spPr>
          <a:xfrm rot="10800000" flipH="1">
            <a:off x="1864074" y="107704557"/>
            <a:ext cx="987627" cy="1533525"/>
          </a:xfrm>
          <a:prstGeom prst="corner">
            <a:avLst>
              <a:gd name="adj1" fmla="val 59162"/>
              <a:gd name="adj2" fmla="val 65789"/>
            </a:avLst>
          </a:prstGeom>
          <a:noFill/>
          <a:ln>
            <a:solidFill>
              <a:srgbClr val="101FB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sp macro="" textlink="">
        <xdr:nvSpPr>
          <xdr:cNvPr id="22" name="TextBox 12"/>
          <xdr:cNvSpPr txBox="1"/>
        </xdr:nvSpPr>
        <xdr:spPr>
          <a:xfrm rot="16200000">
            <a:off x="1014130" y="108310747"/>
            <a:ext cx="1199919" cy="3146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IN" sz="1200" b="1">
                <a:solidFill>
                  <a:srgbClr val="101FB2"/>
                </a:solidFill>
                <a:latin typeface="Times New Roman" panose="02020603050405020304" pitchFamily="18" charset="0"/>
                <a:cs typeface="Times New Roman" panose="02020603050405020304" pitchFamily="18" charset="0"/>
              </a:rPr>
              <a:t>Building</a:t>
            </a:r>
            <a:r>
              <a:rPr lang="en-IN" sz="1200" b="1" baseline="0">
                <a:solidFill>
                  <a:srgbClr val="101FB2"/>
                </a:solidFill>
                <a:latin typeface="Times New Roman" panose="02020603050405020304" pitchFamily="18" charset="0"/>
                <a:cs typeface="Times New Roman" panose="02020603050405020304" pitchFamily="18" charset="0"/>
              </a:rPr>
              <a:t> No.3 (Type D)</a:t>
            </a:r>
            <a:endParaRPr lang="en-IN" sz="1200" b="1">
              <a:solidFill>
                <a:srgbClr val="101FB2"/>
              </a:solidFill>
              <a:latin typeface="Times New Roman" panose="02020603050405020304" pitchFamily="18" charset="0"/>
              <a:cs typeface="Times New Roman" panose="02020603050405020304" pitchFamily="18" charset="0"/>
            </a:endParaRPr>
          </a:p>
        </xdr:txBody>
      </xdr:sp>
      <xdr:sp macro="" textlink="">
        <xdr:nvSpPr>
          <xdr:cNvPr id="23" name="TextBox 12"/>
          <xdr:cNvSpPr txBox="1"/>
        </xdr:nvSpPr>
        <xdr:spPr>
          <a:xfrm rot="5400000">
            <a:off x="3492092" y="108291744"/>
            <a:ext cx="1199919" cy="3078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IN" sz="1200" b="1">
                <a:solidFill>
                  <a:srgbClr val="101FB2"/>
                </a:solidFill>
                <a:latin typeface="Times New Roman" panose="02020603050405020304" pitchFamily="18" charset="0"/>
                <a:cs typeface="Times New Roman" panose="02020603050405020304" pitchFamily="18" charset="0"/>
              </a:rPr>
              <a:t>Building</a:t>
            </a:r>
            <a:r>
              <a:rPr lang="en-IN" sz="1200" b="1" baseline="0">
                <a:solidFill>
                  <a:srgbClr val="101FB2"/>
                </a:solidFill>
                <a:latin typeface="Times New Roman" panose="02020603050405020304" pitchFamily="18" charset="0"/>
                <a:cs typeface="Times New Roman" panose="02020603050405020304" pitchFamily="18" charset="0"/>
              </a:rPr>
              <a:t> No.2 (Type C)</a:t>
            </a:r>
            <a:endParaRPr lang="en-IN" sz="1200" b="1">
              <a:solidFill>
                <a:srgbClr val="101FB2"/>
              </a:solidFill>
              <a:latin typeface="Times New Roman" panose="02020603050405020304" pitchFamily="18" charset="0"/>
              <a:cs typeface="Times New Roman" panose="02020603050405020304" pitchFamily="18" charset="0"/>
            </a:endParaRPr>
          </a:p>
        </xdr:txBody>
      </xdr:sp>
      <xdr:sp macro="" textlink="">
        <xdr:nvSpPr>
          <xdr:cNvPr id="24" name="L-Shape 23"/>
          <xdr:cNvSpPr/>
        </xdr:nvSpPr>
        <xdr:spPr>
          <a:xfrm>
            <a:off x="1897131" y="109428585"/>
            <a:ext cx="973621" cy="1400174"/>
          </a:xfrm>
          <a:prstGeom prst="corner">
            <a:avLst>
              <a:gd name="adj1" fmla="val 70192"/>
              <a:gd name="adj2" fmla="val 67308"/>
            </a:avLst>
          </a:prstGeom>
          <a:noFill/>
          <a:ln>
            <a:solidFill>
              <a:srgbClr val="101FB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sp macro="" textlink="">
        <xdr:nvSpPr>
          <xdr:cNvPr id="25" name="L-Shape 24"/>
          <xdr:cNvSpPr/>
        </xdr:nvSpPr>
        <xdr:spPr>
          <a:xfrm flipH="1">
            <a:off x="2908851" y="109419060"/>
            <a:ext cx="952087" cy="1400174"/>
          </a:xfrm>
          <a:prstGeom prst="corner">
            <a:avLst>
              <a:gd name="adj1" fmla="val 70192"/>
              <a:gd name="adj2" fmla="val 67308"/>
            </a:avLst>
          </a:prstGeom>
          <a:noFill/>
          <a:ln>
            <a:solidFill>
              <a:srgbClr val="101FB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sp macro="" textlink="">
        <xdr:nvSpPr>
          <xdr:cNvPr id="26" name="TextBox 12"/>
          <xdr:cNvSpPr txBox="1"/>
        </xdr:nvSpPr>
        <xdr:spPr>
          <a:xfrm>
            <a:off x="1804913" y="110425504"/>
            <a:ext cx="1201989" cy="31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IN" sz="1200" b="1">
                <a:solidFill>
                  <a:srgbClr val="101FB2"/>
                </a:solidFill>
                <a:latin typeface="Times New Roman" panose="02020603050405020304" pitchFamily="18" charset="0"/>
                <a:cs typeface="Times New Roman" panose="02020603050405020304" pitchFamily="18" charset="0"/>
              </a:rPr>
              <a:t>Building</a:t>
            </a:r>
            <a:r>
              <a:rPr lang="en-IN" sz="1200" b="1" baseline="0">
                <a:solidFill>
                  <a:srgbClr val="101FB2"/>
                </a:solidFill>
                <a:latin typeface="Times New Roman" panose="02020603050405020304" pitchFamily="18" charset="0"/>
                <a:cs typeface="Times New Roman" panose="02020603050405020304" pitchFamily="18" charset="0"/>
              </a:rPr>
              <a:t> No.1 (Type B)</a:t>
            </a:r>
            <a:endParaRPr lang="en-IN" sz="1200" b="1">
              <a:solidFill>
                <a:srgbClr val="101FB2"/>
              </a:solidFill>
              <a:latin typeface="Times New Roman" panose="02020603050405020304" pitchFamily="18" charset="0"/>
              <a:cs typeface="Times New Roman" panose="02020603050405020304" pitchFamily="18" charset="0"/>
            </a:endParaRPr>
          </a:p>
        </xdr:txBody>
      </xdr:sp>
      <xdr:sp macro="" textlink="">
        <xdr:nvSpPr>
          <xdr:cNvPr id="27" name="TextBox 12"/>
          <xdr:cNvSpPr txBox="1"/>
        </xdr:nvSpPr>
        <xdr:spPr>
          <a:xfrm>
            <a:off x="2788058" y="110435029"/>
            <a:ext cx="1199505" cy="31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IN" sz="1200" b="1">
                <a:solidFill>
                  <a:srgbClr val="101FB2"/>
                </a:solidFill>
                <a:latin typeface="Times New Roman" panose="02020603050405020304" pitchFamily="18" charset="0"/>
                <a:cs typeface="Times New Roman" panose="02020603050405020304" pitchFamily="18" charset="0"/>
              </a:rPr>
              <a:t>Building</a:t>
            </a:r>
            <a:r>
              <a:rPr lang="en-IN" sz="1200" b="1" baseline="0">
                <a:solidFill>
                  <a:srgbClr val="101FB2"/>
                </a:solidFill>
                <a:latin typeface="Times New Roman" panose="02020603050405020304" pitchFamily="18" charset="0"/>
                <a:cs typeface="Times New Roman" panose="02020603050405020304" pitchFamily="18" charset="0"/>
              </a:rPr>
              <a:t> No.1 (Type A)</a:t>
            </a:r>
            <a:endParaRPr lang="en-IN" sz="1200" b="1">
              <a:solidFill>
                <a:srgbClr val="101FB2"/>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88900</xdr:colOff>
      <xdr:row>454</xdr:row>
      <xdr:rowOff>101600</xdr:rowOff>
    </xdr:from>
    <xdr:to>
      <xdr:col>7</xdr:col>
      <xdr:colOff>686930</xdr:colOff>
      <xdr:row>495</xdr:row>
      <xdr:rowOff>101600</xdr:rowOff>
    </xdr:to>
    <xdr:grpSp>
      <xdr:nvGrpSpPr>
        <xdr:cNvPr id="51" name="Group 50"/>
        <xdr:cNvGrpSpPr/>
      </xdr:nvGrpSpPr>
      <xdr:grpSpPr>
        <a:xfrm>
          <a:off x="88900" y="90286541"/>
          <a:ext cx="6178559" cy="8258735"/>
          <a:chOff x="88900" y="88658700"/>
          <a:chExt cx="6452730" cy="8064500"/>
        </a:xfrm>
      </xdr:grpSpPr>
      <xdr:pic>
        <xdr:nvPicPr>
          <xdr:cNvPr id="41" name="Picture 40"/>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3367239" y="95091099"/>
            <a:ext cx="1348594" cy="1632101"/>
          </a:xfrm>
          <a:prstGeom prst="rect">
            <a:avLst/>
          </a:prstGeom>
          <a:ln>
            <a:solidFill>
              <a:schemeClr val="tx1"/>
            </a:solidFill>
          </a:ln>
        </xdr:spPr>
      </xdr:pic>
      <xdr:pic>
        <xdr:nvPicPr>
          <xdr:cNvPr id="42" name="Picture 41"/>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35616" y="88658700"/>
            <a:ext cx="2877333" cy="2160000"/>
          </a:xfrm>
          <a:prstGeom prst="rect">
            <a:avLst/>
          </a:prstGeom>
          <a:ln>
            <a:solidFill>
              <a:schemeClr val="tx1"/>
            </a:solidFill>
          </a:ln>
        </xdr:spPr>
      </xdr:pic>
      <xdr:pic>
        <xdr:nvPicPr>
          <xdr:cNvPr id="43" name="Picture 42"/>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3367240" y="88658700"/>
            <a:ext cx="2877333" cy="2160000"/>
          </a:xfrm>
          <a:prstGeom prst="rect">
            <a:avLst/>
          </a:prstGeom>
          <a:ln>
            <a:solidFill>
              <a:schemeClr val="tx1"/>
            </a:solidFill>
          </a:ln>
        </xdr:spPr>
      </xdr:pic>
      <xdr:pic>
        <xdr:nvPicPr>
          <xdr:cNvPr id="44" name="Picture 43"/>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335616" y="90922833"/>
            <a:ext cx="2877333" cy="2160000"/>
          </a:xfrm>
          <a:prstGeom prst="rect">
            <a:avLst/>
          </a:prstGeom>
          <a:ln>
            <a:solidFill>
              <a:schemeClr val="tx1"/>
            </a:solidFill>
          </a:ln>
        </xdr:spPr>
      </xdr:pic>
      <xdr:pic>
        <xdr:nvPicPr>
          <xdr:cNvPr id="45" name="Picture 44"/>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88900" y="93186966"/>
            <a:ext cx="1348594" cy="1800000"/>
          </a:xfrm>
          <a:prstGeom prst="rect">
            <a:avLst/>
          </a:prstGeom>
          <a:ln>
            <a:solidFill>
              <a:schemeClr val="tx1"/>
            </a:solidFill>
          </a:ln>
        </xdr:spPr>
      </xdr:pic>
      <xdr:pic>
        <xdr:nvPicPr>
          <xdr:cNvPr id="46" name="Picture 45"/>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1591784" y="93186966"/>
            <a:ext cx="2397778" cy="1800000"/>
          </a:xfrm>
          <a:prstGeom prst="rect">
            <a:avLst/>
          </a:prstGeom>
          <a:ln>
            <a:solidFill>
              <a:schemeClr val="tx1"/>
            </a:solidFill>
          </a:ln>
        </xdr:spPr>
      </xdr:pic>
      <xdr:pic>
        <xdr:nvPicPr>
          <xdr:cNvPr id="47" name="Picture 46"/>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3367239" y="90922833"/>
            <a:ext cx="2877333" cy="2160000"/>
          </a:xfrm>
          <a:prstGeom prst="rect">
            <a:avLst/>
          </a:prstGeom>
          <a:ln>
            <a:solidFill>
              <a:schemeClr val="tx1"/>
            </a:solidFill>
          </a:ln>
        </xdr:spPr>
      </xdr:pic>
      <xdr:pic>
        <xdr:nvPicPr>
          <xdr:cNvPr id="48" name="Picture 47"/>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4143852" y="93186966"/>
            <a:ext cx="2397778" cy="1800000"/>
          </a:xfrm>
          <a:prstGeom prst="rect">
            <a:avLst/>
          </a:prstGeom>
          <a:ln>
            <a:solidFill>
              <a:schemeClr val="tx1"/>
            </a:solidFill>
          </a:ln>
        </xdr:spPr>
      </xdr:pic>
      <xdr:pic>
        <xdr:nvPicPr>
          <xdr:cNvPr id="49" name="Picture 48"/>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1862949" y="95091099"/>
            <a:ext cx="1350000" cy="1632101"/>
          </a:xfrm>
          <a:prstGeom prst="rect">
            <a:avLst/>
          </a:prstGeom>
          <a:ln>
            <a:solidFill>
              <a:schemeClr val="tx1"/>
            </a:solidFill>
          </a:ln>
        </xdr:spPr>
      </xdr:pic>
      <xdr:sp macro="" textlink="">
        <xdr:nvSpPr>
          <xdr:cNvPr id="50" name="TextBox 49"/>
          <xdr:cNvSpPr txBox="1"/>
        </xdr:nvSpPr>
        <xdr:spPr>
          <a:xfrm>
            <a:off x="533400" y="88823800"/>
            <a:ext cx="58541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100" b="1" cap="none" spc="0">
                <a:ln w="0"/>
                <a:solidFill>
                  <a:srgbClr val="FFFF00"/>
                </a:solidFill>
                <a:effectLst>
                  <a:outerShdw blurRad="38100" dist="25400" dir="5400000" algn="ctr" rotWithShape="0">
                    <a:srgbClr val="6E747A">
                      <a:alpha val="43000"/>
                    </a:srgbClr>
                  </a:outerShdw>
                </a:effectLst>
              </a:rPr>
              <a:t>Type A</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493058</xdr:colOff>
      <xdr:row>1</xdr:row>
      <xdr:rowOff>168088</xdr:rowOff>
    </xdr:from>
    <xdr:to>
      <xdr:col>14</xdr:col>
      <xdr:colOff>253521</xdr:colOff>
      <xdr:row>24</xdr:row>
      <xdr:rowOff>95382</xdr:rowOff>
    </xdr:to>
    <xdr:pic>
      <xdr:nvPicPr>
        <xdr:cNvPr id="2" name="Picture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269"/>
        <a:stretch/>
      </xdr:blipFill>
      <xdr:spPr>
        <a:xfrm>
          <a:off x="9905999" y="358588"/>
          <a:ext cx="3256698" cy="43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47nTgTmECZUvydkP7"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Z540"/>
  <sheetViews>
    <sheetView tabSelected="1" view="pageBreakPreview" topLeftCell="A400" zoomScale="85" zoomScaleNormal="100" zoomScaleSheetLayoutView="85" zoomScalePageLayoutView="85" workbookViewId="0">
      <selection activeCell="L432" sqref="L432"/>
    </sheetView>
  </sheetViews>
  <sheetFormatPr defaultColWidth="9.140625" defaultRowHeight="15.75" x14ac:dyDescent="0.25"/>
  <cols>
    <col min="1" max="1" width="11.42578125" style="37" customWidth="1"/>
    <col min="2" max="2" width="12" style="37" customWidth="1"/>
    <col min="3" max="3" width="12.7109375" style="37" customWidth="1"/>
    <col min="4" max="4" width="13.7109375" style="37" customWidth="1"/>
    <col min="5" max="5" width="11.7109375" style="37" customWidth="1"/>
    <col min="6" max="6" width="11.140625" style="37" customWidth="1"/>
    <col min="7" max="8" width="11" style="37" customWidth="1"/>
    <col min="9" max="9" width="17.42578125" style="18" customWidth="1"/>
    <col min="10" max="10" width="11.42578125" style="18" customWidth="1"/>
    <col min="11" max="11" width="11.28515625" style="18" bestFit="1" customWidth="1"/>
    <col min="12" max="12" width="13.85546875" style="18" bestFit="1" customWidth="1"/>
    <col min="13" max="13" width="11.85546875" style="18" customWidth="1"/>
    <col min="14" max="14" width="12.5703125" style="18" customWidth="1"/>
    <col min="15" max="15" width="12.140625" style="18" customWidth="1"/>
    <col min="16" max="16" width="11.7109375" style="18" customWidth="1"/>
    <col min="17" max="18" width="9.140625" style="18"/>
    <col min="19" max="19" width="10.85546875" style="18" bestFit="1" customWidth="1"/>
    <col min="20" max="20" width="10.7109375" style="18" customWidth="1"/>
    <col min="21" max="247" width="9.140625" style="18"/>
    <col min="248" max="248" width="8.7109375" style="18" customWidth="1"/>
    <col min="249" max="249" width="9.85546875" style="18" customWidth="1"/>
    <col min="250" max="250" width="14.42578125" style="18" customWidth="1"/>
    <col min="251" max="251" width="7.28515625" style="18" customWidth="1"/>
    <col min="252" max="252" width="5.5703125" style="18" customWidth="1"/>
    <col min="253" max="253" width="9" style="18" customWidth="1"/>
    <col min="254" max="255" width="9.85546875" style="18" customWidth="1"/>
    <col min="256" max="256" width="11.140625" style="18" customWidth="1"/>
    <col min="257" max="257" width="2.85546875" style="18" customWidth="1"/>
    <col min="258" max="258" width="3.5703125" style="18" customWidth="1"/>
    <col min="259" max="503" width="9.140625" style="18"/>
    <col min="504" max="504" width="8.7109375" style="18" customWidth="1"/>
    <col min="505" max="505" width="9.85546875" style="18" customWidth="1"/>
    <col min="506" max="506" width="14.42578125" style="18" customWidth="1"/>
    <col min="507" max="507" width="7.28515625" style="18" customWidth="1"/>
    <col min="508" max="508" width="5.5703125" style="18" customWidth="1"/>
    <col min="509" max="509" width="9" style="18" customWidth="1"/>
    <col min="510" max="511" width="9.85546875" style="18" customWidth="1"/>
    <col min="512" max="512" width="11.140625" style="18" customWidth="1"/>
    <col min="513" max="513" width="2.85546875" style="18" customWidth="1"/>
    <col min="514" max="514" width="3.5703125" style="18" customWidth="1"/>
    <col min="515" max="759" width="9.140625" style="18"/>
    <col min="760" max="760" width="8.7109375" style="18" customWidth="1"/>
    <col min="761" max="761" width="9.85546875" style="18" customWidth="1"/>
    <col min="762" max="762" width="14.42578125" style="18" customWidth="1"/>
    <col min="763" max="763" width="7.28515625" style="18" customWidth="1"/>
    <col min="764" max="764" width="5.5703125" style="18" customWidth="1"/>
    <col min="765" max="765" width="9" style="18" customWidth="1"/>
    <col min="766" max="767" width="9.85546875" style="18" customWidth="1"/>
    <col min="768" max="768" width="11.140625" style="18" customWidth="1"/>
    <col min="769" max="769" width="2.85546875" style="18" customWidth="1"/>
    <col min="770" max="770" width="3.5703125" style="18" customWidth="1"/>
    <col min="771" max="1015" width="9.140625" style="18"/>
    <col min="1016" max="1016" width="8.7109375" style="18" customWidth="1"/>
    <col min="1017" max="1017" width="9.85546875" style="18" customWidth="1"/>
    <col min="1018" max="1018" width="14.42578125" style="18" customWidth="1"/>
    <col min="1019" max="1019" width="7.28515625" style="18" customWidth="1"/>
    <col min="1020" max="1020" width="5.5703125" style="18" customWidth="1"/>
    <col min="1021" max="1021" width="9" style="18" customWidth="1"/>
    <col min="1022" max="1023" width="9.85546875" style="18" customWidth="1"/>
    <col min="1024" max="1024" width="11.140625" style="18" customWidth="1"/>
    <col min="1025" max="1025" width="2.85546875" style="18" customWidth="1"/>
    <col min="1026" max="1026" width="3.5703125" style="18" customWidth="1"/>
    <col min="1027" max="1271" width="9.140625" style="18"/>
    <col min="1272" max="1272" width="8.7109375" style="18" customWidth="1"/>
    <col min="1273" max="1273" width="9.85546875" style="18" customWidth="1"/>
    <col min="1274" max="1274" width="14.42578125" style="18" customWidth="1"/>
    <col min="1275" max="1275" width="7.28515625" style="18" customWidth="1"/>
    <col min="1276" max="1276" width="5.5703125" style="18" customWidth="1"/>
    <col min="1277" max="1277" width="9" style="18" customWidth="1"/>
    <col min="1278" max="1279" width="9.85546875" style="18" customWidth="1"/>
    <col min="1280" max="1280" width="11.140625" style="18" customWidth="1"/>
    <col min="1281" max="1281" width="2.85546875" style="18" customWidth="1"/>
    <col min="1282" max="1282" width="3.5703125" style="18" customWidth="1"/>
    <col min="1283" max="1527" width="9.140625" style="18"/>
    <col min="1528" max="1528" width="8.7109375" style="18" customWidth="1"/>
    <col min="1529" max="1529" width="9.85546875" style="18" customWidth="1"/>
    <col min="1530" max="1530" width="14.42578125" style="18" customWidth="1"/>
    <col min="1531" max="1531" width="7.28515625" style="18" customWidth="1"/>
    <col min="1532" max="1532" width="5.5703125" style="18" customWidth="1"/>
    <col min="1533" max="1533" width="9" style="18" customWidth="1"/>
    <col min="1534" max="1535" width="9.85546875" style="18" customWidth="1"/>
    <col min="1536" max="1536" width="11.140625" style="18" customWidth="1"/>
    <col min="1537" max="1537" width="2.85546875" style="18" customWidth="1"/>
    <col min="1538" max="1538" width="3.5703125" style="18" customWidth="1"/>
    <col min="1539" max="1783" width="9.140625" style="18"/>
    <col min="1784" max="1784" width="8.7109375" style="18" customWidth="1"/>
    <col min="1785" max="1785" width="9.85546875" style="18" customWidth="1"/>
    <col min="1786" max="1786" width="14.42578125" style="18" customWidth="1"/>
    <col min="1787" max="1787" width="7.28515625" style="18" customWidth="1"/>
    <col min="1788" max="1788" width="5.5703125" style="18" customWidth="1"/>
    <col min="1789" max="1789" width="9" style="18" customWidth="1"/>
    <col min="1790" max="1791" width="9.85546875" style="18" customWidth="1"/>
    <col min="1792" max="1792" width="11.140625" style="18" customWidth="1"/>
    <col min="1793" max="1793" width="2.85546875" style="18" customWidth="1"/>
    <col min="1794" max="1794" width="3.5703125" style="18" customWidth="1"/>
    <col min="1795" max="2039" width="9.140625" style="18"/>
    <col min="2040" max="2040" width="8.7109375" style="18" customWidth="1"/>
    <col min="2041" max="2041" width="9.85546875" style="18" customWidth="1"/>
    <col min="2042" max="2042" width="14.42578125" style="18" customWidth="1"/>
    <col min="2043" max="2043" width="7.28515625" style="18" customWidth="1"/>
    <col min="2044" max="2044" width="5.5703125" style="18" customWidth="1"/>
    <col min="2045" max="2045" width="9" style="18" customWidth="1"/>
    <col min="2046" max="2047" width="9.85546875" style="18" customWidth="1"/>
    <col min="2048" max="2048" width="11.140625" style="18" customWidth="1"/>
    <col min="2049" max="2049" width="2.85546875" style="18" customWidth="1"/>
    <col min="2050" max="2050" width="3.5703125" style="18" customWidth="1"/>
    <col min="2051" max="2295" width="9.140625" style="18"/>
    <col min="2296" max="2296" width="8.7109375" style="18" customWidth="1"/>
    <col min="2297" max="2297" width="9.85546875" style="18" customWidth="1"/>
    <col min="2298" max="2298" width="14.42578125" style="18" customWidth="1"/>
    <col min="2299" max="2299" width="7.28515625" style="18" customWidth="1"/>
    <col min="2300" max="2300" width="5.5703125" style="18" customWidth="1"/>
    <col min="2301" max="2301" width="9" style="18" customWidth="1"/>
    <col min="2302" max="2303" width="9.85546875" style="18" customWidth="1"/>
    <col min="2304" max="2304" width="11.140625" style="18" customWidth="1"/>
    <col min="2305" max="2305" width="2.85546875" style="18" customWidth="1"/>
    <col min="2306" max="2306" width="3.5703125" style="18" customWidth="1"/>
    <col min="2307" max="2551" width="9.140625" style="18"/>
    <col min="2552" max="2552" width="8.7109375" style="18" customWidth="1"/>
    <col min="2553" max="2553" width="9.85546875" style="18" customWidth="1"/>
    <col min="2554" max="2554" width="14.42578125" style="18" customWidth="1"/>
    <col min="2555" max="2555" width="7.28515625" style="18" customWidth="1"/>
    <col min="2556" max="2556" width="5.5703125" style="18" customWidth="1"/>
    <col min="2557" max="2557" width="9" style="18" customWidth="1"/>
    <col min="2558" max="2559" width="9.85546875" style="18" customWidth="1"/>
    <col min="2560" max="2560" width="11.140625" style="18" customWidth="1"/>
    <col min="2561" max="2561" width="2.85546875" style="18" customWidth="1"/>
    <col min="2562" max="2562" width="3.5703125" style="18" customWidth="1"/>
    <col min="2563" max="2807" width="9.140625" style="18"/>
    <col min="2808" max="2808" width="8.7109375" style="18" customWidth="1"/>
    <col min="2809" max="2809" width="9.85546875" style="18" customWidth="1"/>
    <col min="2810" max="2810" width="14.42578125" style="18" customWidth="1"/>
    <col min="2811" max="2811" width="7.28515625" style="18" customWidth="1"/>
    <col min="2812" max="2812" width="5.5703125" style="18" customWidth="1"/>
    <col min="2813" max="2813" width="9" style="18" customWidth="1"/>
    <col min="2814" max="2815" width="9.85546875" style="18" customWidth="1"/>
    <col min="2816" max="2816" width="11.140625" style="18" customWidth="1"/>
    <col min="2817" max="2817" width="2.85546875" style="18" customWidth="1"/>
    <col min="2818" max="2818" width="3.5703125" style="18" customWidth="1"/>
    <col min="2819" max="3063" width="9.140625" style="18"/>
    <col min="3064" max="3064" width="8.7109375" style="18" customWidth="1"/>
    <col min="3065" max="3065" width="9.85546875" style="18" customWidth="1"/>
    <col min="3066" max="3066" width="14.42578125" style="18" customWidth="1"/>
    <col min="3067" max="3067" width="7.28515625" style="18" customWidth="1"/>
    <col min="3068" max="3068" width="5.5703125" style="18" customWidth="1"/>
    <col min="3069" max="3069" width="9" style="18" customWidth="1"/>
    <col min="3070" max="3071" width="9.85546875" style="18" customWidth="1"/>
    <col min="3072" max="3072" width="11.140625" style="18" customWidth="1"/>
    <col min="3073" max="3073" width="2.85546875" style="18" customWidth="1"/>
    <col min="3074" max="3074" width="3.5703125" style="18" customWidth="1"/>
    <col min="3075" max="3319" width="9.140625" style="18"/>
    <col min="3320" max="3320" width="8.7109375" style="18" customWidth="1"/>
    <col min="3321" max="3321" width="9.85546875" style="18" customWidth="1"/>
    <col min="3322" max="3322" width="14.42578125" style="18" customWidth="1"/>
    <col min="3323" max="3323" width="7.28515625" style="18" customWidth="1"/>
    <col min="3324" max="3324" width="5.5703125" style="18" customWidth="1"/>
    <col min="3325" max="3325" width="9" style="18" customWidth="1"/>
    <col min="3326" max="3327" width="9.85546875" style="18" customWidth="1"/>
    <col min="3328" max="3328" width="11.140625" style="18" customWidth="1"/>
    <col min="3329" max="3329" width="2.85546875" style="18" customWidth="1"/>
    <col min="3330" max="3330" width="3.5703125" style="18" customWidth="1"/>
    <col min="3331" max="3575" width="9.140625" style="18"/>
    <col min="3576" max="3576" width="8.7109375" style="18" customWidth="1"/>
    <col min="3577" max="3577" width="9.85546875" style="18" customWidth="1"/>
    <col min="3578" max="3578" width="14.42578125" style="18" customWidth="1"/>
    <col min="3579" max="3579" width="7.28515625" style="18" customWidth="1"/>
    <col min="3580" max="3580" width="5.5703125" style="18" customWidth="1"/>
    <col min="3581" max="3581" width="9" style="18" customWidth="1"/>
    <col min="3582" max="3583" width="9.85546875" style="18" customWidth="1"/>
    <col min="3584" max="3584" width="11.140625" style="18" customWidth="1"/>
    <col min="3585" max="3585" width="2.85546875" style="18" customWidth="1"/>
    <col min="3586" max="3586" width="3.5703125" style="18" customWidth="1"/>
    <col min="3587" max="3831" width="9.140625" style="18"/>
    <col min="3832" max="3832" width="8.7109375" style="18" customWidth="1"/>
    <col min="3833" max="3833" width="9.85546875" style="18" customWidth="1"/>
    <col min="3834" max="3834" width="14.42578125" style="18" customWidth="1"/>
    <col min="3835" max="3835" width="7.28515625" style="18" customWidth="1"/>
    <col min="3836" max="3836" width="5.5703125" style="18" customWidth="1"/>
    <col min="3837" max="3837" width="9" style="18" customWidth="1"/>
    <col min="3838" max="3839" width="9.85546875" style="18" customWidth="1"/>
    <col min="3840" max="3840" width="11.140625" style="18" customWidth="1"/>
    <col min="3841" max="3841" width="2.85546875" style="18" customWidth="1"/>
    <col min="3842" max="3842" width="3.5703125" style="18" customWidth="1"/>
    <col min="3843" max="4087" width="9.140625" style="18"/>
    <col min="4088" max="4088" width="8.7109375" style="18" customWidth="1"/>
    <col min="4089" max="4089" width="9.85546875" style="18" customWidth="1"/>
    <col min="4090" max="4090" width="14.42578125" style="18" customWidth="1"/>
    <col min="4091" max="4091" width="7.28515625" style="18" customWidth="1"/>
    <col min="4092" max="4092" width="5.5703125" style="18" customWidth="1"/>
    <col min="4093" max="4093" width="9" style="18" customWidth="1"/>
    <col min="4094" max="4095" width="9.85546875" style="18" customWidth="1"/>
    <col min="4096" max="4096" width="11.140625" style="18" customWidth="1"/>
    <col min="4097" max="4097" width="2.85546875" style="18" customWidth="1"/>
    <col min="4098" max="4098" width="3.5703125" style="18" customWidth="1"/>
    <col min="4099" max="4343" width="9.140625" style="18"/>
    <col min="4344" max="4344" width="8.7109375" style="18" customWidth="1"/>
    <col min="4345" max="4345" width="9.85546875" style="18" customWidth="1"/>
    <col min="4346" max="4346" width="14.42578125" style="18" customWidth="1"/>
    <col min="4347" max="4347" width="7.28515625" style="18" customWidth="1"/>
    <col min="4348" max="4348" width="5.5703125" style="18" customWidth="1"/>
    <col min="4349" max="4349" width="9" style="18" customWidth="1"/>
    <col min="4350" max="4351" width="9.85546875" style="18" customWidth="1"/>
    <col min="4352" max="4352" width="11.140625" style="18" customWidth="1"/>
    <col min="4353" max="4353" width="2.85546875" style="18" customWidth="1"/>
    <col min="4354" max="4354" width="3.5703125" style="18" customWidth="1"/>
    <col min="4355" max="4599" width="9.140625" style="18"/>
    <col min="4600" max="4600" width="8.7109375" style="18" customWidth="1"/>
    <col min="4601" max="4601" width="9.85546875" style="18" customWidth="1"/>
    <col min="4602" max="4602" width="14.42578125" style="18" customWidth="1"/>
    <col min="4603" max="4603" width="7.28515625" style="18" customWidth="1"/>
    <col min="4604" max="4604" width="5.5703125" style="18" customWidth="1"/>
    <col min="4605" max="4605" width="9" style="18" customWidth="1"/>
    <col min="4606" max="4607" width="9.85546875" style="18" customWidth="1"/>
    <col min="4608" max="4608" width="11.140625" style="18" customWidth="1"/>
    <col min="4609" max="4609" width="2.85546875" style="18" customWidth="1"/>
    <col min="4610" max="4610" width="3.5703125" style="18" customWidth="1"/>
    <col min="4611" max="4855" width="9.140625" style="18"/>
    <col min="4856" max="4856" width="8.7109375" style="18" customWidth="1"/>
    <col min="4857" max="4857" width="9.85546875" style="18" customWidth="1"/>
    <col min="4858" max="4858" width="14.42578125" style="18" customWidth="1"/>
    <col min="4859" max="4859" width="7.28515625" style="18" customWidth="1"/>
    <col min="4860" max="4860" width="5.5703125" style="18" customWidth="1"/>
    <col min="4861" max="4861" width="9" style="18" customWidth="1"/>
    <col min="4862" max="4863" width="9.85546875" style="18" customWidth="1"/>
    <col min="4864" max="4864" width="11.140625" style="18" customWidth="1"/>
    <col min="4865" max="4865" width="2.85546875" style="18" customWidth="1"/>
    <col min="4866" max="4866" width="3.5703125" style="18" customWidth="1"/>
    <col min="4867" max="5111" width="9.140625" style="18"/>
    <col min="5112" max="5112" width="8.7109375" style="18" customWidth="1"/>
    <col min="5113" max="5113" width="9.85546875" style="18" customWidth="1"/>
    <col min="5114" max="5114" width="14.42578125" style="18" customWidth="1"/>
    <col min="5115" max="5115" width="7.28515625" style="18" customWidth="1"/>
    <col min="5116" max="5116" width="5.5703125" style="18" customWidth="1"/>
    <col min="5117" max="5117" width="9" style="18" customWidth="1"/>
    <col min="5118" max="5119" width="9.85546875" style="18" customWidth="1"/>
    <col min="5120" max="5120" width="11.140625" style="18" customWidth="1"/>
    <col min="5121" max="5121" width="2.85546875" style="18" customWidth="1"/>
    <col min="5122" max="5122" width="3.5703125" style="18" customWidth="1"/>
    <col min="5123" max="5367" width="9.140625" style="18"/>
    <col min="5368" max="5368" width="8.7109375" style="18" customWidth="1"/>
    <col min="5369" max="5369" width="9.85546875" style="18" customWidth="1"/>
    <col min="5370" max="5370" width="14.42578125" style="18" customWidth="1"/>
    <col min="5371" max="5371" width="7.28515625" style="18" customWidth="1"/>
    <col min="5372" max="5372" width="5.5703125" style="18" customWidth="1"/>
    <col min="5373" max="5373" width="9" style="18" customWidth="1"/>
    <col min="5374" max="5375" width="9.85546875" style="18" customWidth="1"/>
    <col min="5376" max="5376" width="11.140625" style="18" customWidth="1"/>
    <col min="5377" max="5377" width="2.85546875" style="18" customWidth="1"/>
    <col min="5378" max="5378" width="3.5703125" style="18" customWidth="1"/>
    <col min="5379" max="5623" width="9.140625" style="18"/>
    <col min="5624" max="5624" width="8.7109375" style="18" customWidth="1"/>
    <col min="5625" max="5625" width="9.85546875" style="18" customWidth="1"/>
    <col min="5626" max="5626" width="14.42578125" style="18" customWidth="1"/>
    <col min="5627" max="5627" width="7.28515625" style="18" customWidth="1"/>
    <col min="5628" max="5628" width="5.5703125" style="18" customWidth="1"/>
    <col min="5629" max="5629" width="9" style="18" customWidth="1"/>
    <col min="5630" max="5631" width="9.85546875" style="18" customWidth="1"/>
    <col min="5632" max="5632" width="11.140625" style="18" customWidth="1"/>
    <col min="5633" max="5633" width="2.85546875" style="18" customWidth="1"/>
    <col min="5634" max="5634" width="3.5703125" style="18" customWidth="1"/>
    <col min="5635" max="5879" width="9.140625" style="18"/>
    <col min="5880" max="5880" width="8.7109375" style="18" customWidth="1"/>
    <col min="5881" max="5881" width="9.85546875" style="18" customWidth="1"/>
    <col min="5882" max="5882" width="14.42578125" style="18" customWidth="1"/>
    <col min="5883" max="5883" width="7.28515625" style="18" customWidth="1"/>
    <col min="5884" max="5884" width="5.5703125" style="18" customWidth="1"/>
    <col min="5885" max="5885" width="9" style="18" customWidth="1"/>
    <col min="5886" max="5887" width="9.85546875" style="18" customWidth="1"/>
    <col min="5888" max="5888" width="11.140625" style="18" customWidth="1"/>
    <col min="5889" max="5889" width="2.85546875" style="18" customWidth="1"/>
    <col min="5890" max="5890" width="3.5703125" style="18" customWidth="1"/>
    <col min="5891" max="6135" width="9.140625" style="18"/>
    <col min="6136" max="6136" width="8.7109375" style="18" customWidth="1"/>
    <col min="6137" max="6137" width="9.85546875" style="18" customWidth="1"/>
    <col min="6138" max="6138" width="14.42578125" style="18" customWidth="1"/>
    <col min="6139" max="6139" width="7.28515625" style="18" customWidth="1"/>
    <col min="6140" max="6140" width="5.5703125" style="18" customWidth="1"/>
    <col min="6141" max="6141" width="9" style="18" customWidth="1"/>
    <col min="6142" max="6143" width="9.85546875" style="18" customWidth="1"/>
    <col min="6144" max="6144" width="11.140625" style="18" customWidth="1"/>
    <col min="6145" max="6145" width="2.85546875" style="18" customWidth="1"/>
    <col min="6146" max="6146" width="3.5703125" style="18" customWidth="1"/>
    <col min="6147" max="6391" width="9.140625" style="18"/>
    <col min="6392" max="6392" width="8.7109375" style="18" customWidth="1"/>
    <col min="6393" max="6393" width="9.85546875" style="18" customWidth="1"/>
    <col min="6394" max="6394" width="14.42578125" style="18" customWidth="1"/>
    <col min="6395" max="6395" width="7.28515625" style="18" customWidth="1"/>
    <col min="6396" max="6396" width="5.5703125" style="18" customWidth="1"/>
    <col min="6397" max="6397" width="9" style="18" customWidth="1"/>
    <col min="6398" max="6399" width="9.85546875" style="18" customWidth="1"/>
    <col min="6400" max="6400" width="11.140625" style="18" customWidth="1"/>
    <col min="6401" max="6401" width="2.85546875" style="18" customWidth="1"/>
    <col min="6402" max="6402" width="3.5703125" style="18" customWidth="1"/>
    <col min="6403" max="6647" width="9.140625" style="18"/>
    <col min="6648" max="6648" width="8.7109375" style="18" customWidth="1"/>
    <col min="6649" max="6649" width="9.85546875" style="18" customWidth="1"/>
    <col min="6650" max="6650" width="14.42578125" style="18" customWidth="1"/>
    <col min="6651" max="6651" width="7.28515625" style="18" customWidth="1"/>
    <col min="6652" max="6652" width="5.5703125" style="18" customWidth="1"/>
    <col min="6653" max="6653" width="9" style="18" customWidth="1"/>
    <col min="6654" max="6655" width="9.85546875" style="18" customWidth="1"/>
    <col min="6656" max="6656" width="11.140625" style="18" customWidth="1"/>
    <col min="6657" max="6657" width="2.85546875" style="18" customWidth="1"/>
    <col min="6658" max="6658" width="3.5703125" style="18" customWidth="1"/>
    <col min="6659" max="6903" width="9.140625" style="18"/>
    <col min="6904" max="6904" width="8.7109375" style="18" customWidth="1"/>
    <col min="6905" max="6905" width="9.85546875" style="18" customWidth="1"/>
    <col min="6906" max="6906" width="14.42578125" style="18" customWidth="1"/>
    <col min="6907" max="6907" width="7.28515625" style="18" customWidth="1"/>
    <col min="6908" max="6908" width="5.5703125" style="18" customWidth="1"/>
    <col min="6909" max="6909" width="9" style="18" customWidth="1"/>
    <col min="6910" max="6911" width="9.85546875" style="18" customWidth="1"/>
    <col min="6912" max="6912" width="11.140625" style="18" customWidth="1"/>
    <col min="6913" max="6913" width="2.85546875" style="18" customWidth="1"/>
    <col min="6914" max="6914" width="3.5703125" style="18" customWidth="1"/>
    <col min="6915" max="7159" width="9.140625" style="18"/>
    <col min="7160" max="7160" width="8.7109375" style="18" customWidth="1"/>
    <col min="7161" max="7161" width="9.85546875" style="18" customWidth="1"/>
    <col min="7162" max="7162" width="14.42578125" style="18" customWidth="1"/>
    <col min="7163" max="7163" width="7.28515625" style="18" customWidth="1"/>
    <col min="7164" max="7164" width="5.5703125" style="18" customWidth="1"/>
    <col min="7165" max="7165" width="9" style="18" customWidth="1"/>
    <col min="7166" max="7167" width="9.85546875" style="18" customWidth="1"/>
    <col min="7168" max="7168" width="11.140625" style="18" customWidth="1"/>
    <col min="7169" max="7169" width="2.85546875" style="18" customWidth="1"/>
    <col min="7170" max="7170" width="3.5703125" style="18" customWidth="1"/>
    <col min="7171" max="7415" width="9.140625" style="18"/>
    <col min="7416" max="7416" width="8.7109375" style="18" customWidth="1"/>
    <col min="7417" max="7417" width="9.85546875" style="18" customWidth="1"/>
    <col min="7418" max="7418" width="14.42578125" style="18" customWidth="1"/>
    <col min="7419" max="7419" width="7.28515625" style="18" customWidth="1"/>
    <col min="7420" max="7420" width="5.5703125" style="18" customWidth="1"/>
    <col min="7421" max="7421" width="9" style="18" customWidth="1"/>
    <col min="7422" max="7423" width="9.85546875" style="18" customWidth="1"/>
    <col min="7424" max="7424" width="11.140625" style="18" customWidth="1"/>
    <col min="7425" max="7425" width="2.85546875" style="18" customWidth="1"/>
    <col min="7426" max="7426" width="3.5703125" style="18" customWidth="1"/>
    <col min="7427" max="7671" width="9.140625" style="18"/>
    <col min="7672" max="7672" width="8.7109375" style="18" customWidth="1"/>
    <col min="7673" max="7673" width="9.85546875" style="18" customWidth="1"/>
    <col min="7674" max="7674" width="14.42578125" style="18" customWidth="1"/>
    <col min="7675" max="7675" width="7.28515625" style="18" customWidth="1"/>
    <col min="7676" max="7676" width="5.5703125" style="18" customWidth="1"/>
    <col min="7677" max="7677" width="9" style="18" customWidth="1"/>
    <col min="7678" max="7679" width="9.85546875" style="18" customWidth="1"/>
    <col min="7680" max="7680" width="11.140625" style="18" customWidth="1"/>
    <col min="7681" max="7681" width="2.85546875" style="18" customWidth="1"/>
    <col min="7682" max="7682" width="3.5703125" style="18" customWidth="1"/>
    <col min="7683" max="7927" width="9.140625" style="18"/>
    <col min="7928" max="7928" width="8.7109375" style="18" customWidth="1"/>
    <col min="7929" max="7929" width="9.85546875" style="18" customWidth="1"/>
    <col min="7930" max="7930" width="14.42578125" style="18" customWidth="1"/>
    <col min="7931" max="7931" width="7.28515625" style="18" customWidth="1"/>
    <col min="7932" max="7932" width="5.5703125" style="18" customWidth="1"/>
    <col min="7933" max="7933" width="9" style="18" customWidth="1"/>
    <col min="7934" max="7935" width="9.85546875" style="18" customWidth="1"/>
    <col min="7936" max="7936" width="11.140625" style="18" customWidth="1"/>
    <col min="7937" max="7937" width="2.85546875" style="18" customWidth="1"/>
    <col min="7938" max="7938" width="3.5703125" style="18" customWidth="1"/>
    <col min="7939" max="8183" width="9.140625" style="18"/>
    <col min="8184" max="8184" width="8.7109375" style="18" customWidth="1"/>
    <col min="8185" max="8185" width="9.85546875" style="18" customWidth="1"/>
    <col min="8186" max="8186" width="14.42578125" style="18" customWidth="1"/>
    <col min="8187" max="8187" width="7.28515625" style="18" customWidth="1"/>
    <col min="8188" max="8188" width="5.5703125" style="18" customWidth="1"/>
    <col min="8189" max="8189" width="9" style="18" customWidth="1"/>
    <col min="8190" max="8191" width="9.85546875" style="18" customWidth="1"/>
    <col min="8192" max="8192" width="11.140625" style="18" customWidth="1"/>
    <col min="8193" max="8193" width="2.85546875" style="18" customWidth="1"/>
    <col min="8194" max="8194" width="3.5703125" style="18" customWidth="1"/>
    <col min="8195" max="8439" width="9.140625" style="18"/>
    <col min="8440" max="8440" width="8.7109375" style="18" customWidth="1"/>
    <col min="8441" max="8441" width="9.85546875" style="18" customWidth="1"/>
    <col min="8442" max="8442" width="14.42578125" style="18" customWidth="1"/>
    <col min="8443" max="8443" width="7.28515625" style="18" customWidth="1"/>
    <col min="8444" max="8444" width="5.5703125" style="18" customWidth="1"/>
    <col min="8445" max="8445" width="9" style="18" customWidth="1"/>
    <col min="8446" max="8447" width="9.85546875" style="18" customWidth="1"/>
    <col min="8448" max="8448" width="11.140625" style="18" customWidth="1"/>
    <col min="8449" max="8449" width="2.85546875" style="18" customWidth="1"/>
    <col min="8450" max="8450" width="3.5703125" style="18" customWidth="1"/>
    <col min="8451" max="8695" width="9.140625" style="18"/>
    <col min="8696" max="8696" width="8.7109375" style="18" customWidth="1"/>
    <col min="8697" max="8697" width="9.85546875" style="18" customWidth="1"/>
    <col min="8698" max="8698" width="14.42578125" style="18" customWidth="1"/>
    <col min="8699" max="8699" width="7.28515625" style="18" customWidth="1"/>
    <col min="8700" max="8700" width="5.5703125" style="18" customWidth="1"/>
    <col min="8701" max="8701" width="9" style="18" customWidth="1"/>
    <col min="8702" max="8703" width="9.85546875" style="18" customWidth="1"/>
    <col min="8704" max="8704" width="11.140625" style="18" customWidth="1"/>
    <col min="8705" max="8705" width="2.85546875" style="18" customWidth="1"/>
    <col min="8706" max="8706" width="3.5703125" style="18" customWidth="1"/>
    <col min="8707" max="8951" width="9.140625" style="18"/>
    <col min="8952" max="8952" width="8.7109375" style="18" customWidth="1"/>
    <col min="8953" max="8953" width="9.85546875" style="18" customWidth="1"/>
    <col min="8954" max="8954" width="14.42578125" style="18" customWidth="1"/>
    <col min="8955" max="8955" width="7.28515625" style="18" customWidth="1"/>
    <col min="8956" max="8956" width="5.5703125" style="18" customWidth="1"/>
    <col min="8957" max="8957" width="9" style="18" customWidth="1"/>
    <col min="8958" max="8959" width="9.85546875" style="18" customWidth="1"/>
    <col min="8960" max="8960" width="11.140625" style="18" customWidth="1"/>
    <col min="8961" max="8961" width="2.85546875" style="18" customWidth="1"/>
    <col min="8962" max="8962" width="3.5703125" style="18" customWidth="1"/>
    <col min="8963" max="9207" width="9.140625" style="18"/>
    <col min="9208" max="9208" width="8.7109375" style="18" customWidth="1"/>
    <col min="9209" max="9209" width="9.85546875" style="18" customWidth="1"/>
    <col min="9210" max="9210" width="14.42578125" style="18" customWidth="1"/>
    <col min="9211" max="9211" width="7.28515625" style="18" customWidth="1"/>
    <col min="9212" max="9212" width="5.5703125" style="18" customWidth="1"/>
    <col min="9213" max="9213" width="9" style="18" customWidth="1"/>
    <col min="9214" max="9215" width="9.85546875" style="18" customWidth="1"/>
    <col min="9216" max="9216" width="11.140625" style="18" customWidth="1"/>
    <col min="9217" max="9217" width="2.85546875" style="18" customWidth="1"/>
    <col min="9218" max="9218" width="3.5703125" style="18" customWidth="1"/>
    <col min="9219" max="9463" width="9.140625" style="18"/>
    <col min="9464" max="9464" width="8.7109375" style="18" customWidth="1"/>
    <col min="9465" max="9465" width="9.85546875" style="18" customWidth="1"/>
    <col min="9466" max="9466" width="14.42578125" style="18" customWidth="1"/>
    <col min="9467" max="9467" width="7.28515625" style="18" customWidth="1"/>
    <col min="9468" max="9468" width="5.5703125" style="18" customWidth="1"/>
    <col min="9469" max="9469" width="9" style="18" customWidth="1"/>
    <col min="9470" max="9471" width="9.85546875" style="18" customWidth="1"/>
    <col min="9472" max="9472" width="11.140625" style="18" customWidth="1"/>
    <col min="9473" max="9473" width="2.85546875" style="18" customWidth="1"/>
    <col min="9474" max="9474" width="3.5703125" style="18" customWidth="1"/>
    <col min="9475" max="9719" width="9.140625" style="18"/>
    <col min="9720" max="9720" width="8.7109375" style="18" customWidth="1"/>
    <col min="9721" max="9721" width="9.85546875" style="18" customWidth="1"/>
    <col min="9722" max="9722" width="14.42578125" style="18" customWidth="1"/>
    <col min="9723" max="9723" width="7.28515625" style="18" customWidth="1"/>
    <col min="9724" max="9724" width="5.5703125" style="18" customWidth="1"/>
    <col min="9725" max="9725" width="9" style="18" customWidth="1"/>
    <col min="9726" max="9727" width="9.85546875" style="18" customWidth="1"/>
    <col min="9728" max="9728" width="11.140625" style="18" customWidth="1"/>
    <col min="9729" max="9729" width="2.85546875" style="18" customWidth="1"/>
    <col min="9730" max="9730" width="3.5703125" style="18" customWidth="1"/>
    <col min="9731" max="9975" width="9.140625" style="18"/>
    <col min="9976" max="9976" width="8.7109375" style="18" customWidth="1"/>
    <col min="9977" max="9977" width="9.85546875" style="18" customWidth="1"/>
    <col min="9978" max="9978" width="14.42578125" style="18" customWidth="1"/>
    <col min="9979" max="9979" width="7.28515625" style="18" customWidth="1"/>
    <col min="9980" max="9980" width="5.5703125" style="18" customWidth="1"/>
    <col min="9981" max="9981" width="9" style="18" customWidth="1"/>
    <col min="9982" max="9983" width="9.85546875" style="18" customWidth="1"/>
    <col min="9984" max="9984" width="11.140625" style="18" customWidth="1"/>
    <col min="9985" max="9985" width="2.85546875" style="18" customWidth="1"/>
    <col min="9986" max="9986" width="3.5703125" style="18" customWidth="1"/>
    <col min="9987" max="10231" width="9.140625" style="18"/>
    <col min="10232" max="10232" width="8.7109375" style="18" customWidth="1"/>
    <col min="10233" max="10233" width="9.85546875" style="18" customWidth="1"/>
    <col min="10234" max="10234" width="14.42578125" style="18" customWidth="1"/>
    <col min="10235" max="10235" width="7.28515625" style="18" customWidth="1"/>
    <col min="10236" max="10236" width="5.5703125" style="18" customWidth="1"/>
    <col min="10237" max="10237" width="9" style="18" customWidth="1"/>
    <col min="10238" max="10239" width="9.85546875" style="18" customWidth="1"/>
    <col min="10240" max="10240" width="11.140625" style="18" customWidth="1"/>
    <col min="10241" max="10241" width="2.85546875" style="18" customWidth="1"/>
    <col min="10242" max="10242" width="3.5703125" style="18" customWidth="1"/>
    <col min="10243" max="10487" width="9.140625" style="18"/>
    <col min="10488" max="10488" width="8.7109375" style="18" customWidth="1"/>
    <col min="10489" max="10489" width="9.85546875" style="18" customWidth="1"/>
    <col min="10490" max="10490" width="14.42578125" style="18" customWidth="1"/>
    <col min="10491" max="10491" width="7.28515625" style="18" customWidth="1"/>
    <col min="10492" max="10492" width="5.5703125" style="18" customWidth="1"/>
    <col min="10493" max="10493" width="9" style="18" customWidth="1"/>
    <col min="10494" max="10495" width="9.85546875" style="18" customWidth="1"/>
    <col min="10496" max="10496" width="11.140625" style="18" customWidth="1"/>
    <col min="10497" max="10497" width="2.85546875" style="18" customWidth="1"/>
    <col min="10498" max="10498" width="3.5703125" style="18" customWidth="1"/>
    <col min="10499" max="10743" width="9.140625" style="18"/>
    <col min="10744" max="10744" width="8.7109375" style="18" customWidth="1"/>
    <col min="10745" max="10745" width="9.85546875" style="18" customWidth="1"/>
    <col min="10746" max="10746" width="14.42578125" style="18" customWidth="1"/>
    <col min="10747" max="10747" width="7.28515625" style="18" customWidth="1"/>
    <col min="10748" max="10748" width="5.5703125" style="18" customWidth="1"/>
    <col min="10749" max="10749" width="9" style="18" customWidth="1"/>
    <col min="10750" max="10751" width="9.85546875" style="18" customWidth="1"/>
    <col min="10752" max="10752" width="11.140625" style="18" customWidth="1"/>
    <col min="10753" max="10753" width="2.85546875" style="18" customWidth="1"/>
    <col min="10754" max="10754" width="3.5703125" style="18" customWidth="1"/>
    <col min="10755" max="10999" width="9.140625" style="18"/>
    <col min="11000" max="11000" width="8.7109375" style="18" customWidth="1"/>
    <col min="11001" max="11001" width="9.85546875" style="18" customWidth="1"/>
    <col min="11002" max="11002" width="14.42578125" style="18" customWidth="1"/>
    <col min="11003" max="11003" width="7.28515625" style="18" customWidth="1"/>
    <col min="11004" max="11004" width="5.5703125" style="18" customWidth="1"/>
    <col min="11005" max="11005" width="9" style="18" customWidth="1"/>
    <col min="11006" max="11007" width="9.85546875" style="18" customWidth="1"/>
    <col min="11008" max="11008" width="11.140625" style="18" customWidth="1"/>
    <col min="11009" max="11009" width="2.85546875" style="18" customWidth="1"/>
    <col min="11010" max="11010" width="3.5703125" style="18" customWidth="1"/>
    <col min="11011" max="11255" width="9.140625" style="18"/>
    <col min="11256" max="11256" width="8.7109375" style="18" customWidth="1"/>
    <col min="11257" max="11257" width="9.85546875" style="18" customWidth="1"/>
    <col min="11258" max="11258" width="14.42578125" style="18" customWidth="1"/>
    <col min="11259" max="11259" width="7.28515625" style="18" customWidth="1"/>
    <col min="11260" max="11260" width="5.5703125" style="18" customWidth="1"/>
    <col min="11261" max="11261" width="9" style="18" customWidth="1"/>
    <col min="11262" max="11263" width="9.85546875" style="18" customWidth="1"/>
    <col min="11264" max="11264" width="11.140625" style="18" customWidth="1"/>
    <col min="11265" max="11265" width="2.85546875" style="18" customWidth="1"/>
    <col min="11266" max="11266" width="3.5703125" style="18" customWidth="1"/>
    <col min="11267" max="11511" width="9.140625" style="18"/>
    <col min="11512" max="11512" width="8.7109375" style="18" customWidth="1"/>
    <col min="11513" max="11513" width="9.85546875" style="18" customWidth="1"/>
    <col min="11514" max="11514" width="14.42578125" style="18" customWidth="1"/>
    <col min="11515" max="11515" width="7.28515625" style="18" customWidth="1"/>
    <col min="11516" max="11516" width="5.5703125" style="18" customWidth="1"/>
    <col min="11517" max="11517" width="9" style="18" customWidth="1"/>
    <col min="11518" max="11519" width="9.85546875" style="18" customWidth="1"/>
    <col min="11520" max="11520" width="11.140625" style="18" customWidth="1"/>
    <col min="11521" max="11521" width="2.85546875" style="18" customWidth="1"/>
    <col min="11522" max="11522" width="3.5703125" style="18" customWidth="1"/>
    <col min="11523" max="11767" width="9.140625" style="18"/>
    <col min="11768" max="11768" width="8.7109375" style="18" customWidth="1"/>
    <col min="11769" max="11769" width="9.85546875" style="18" customWidth="1"/>
    <col min="11770" max="11770" width="14.42578125" style="18" customWidth="1"/>
    <col min="11771" max="11771" width="7.28515625" style="18" customWidth="1"/>
    <col min="11772" max="11772" width="5.5703125" style="18" customWidth="1"/>
    <col min="11773" max="11773" width="9" style="18" customWidth="1"/>
    <col min="11774" max="11775" width="9.85546875" style="18" customWidth="1"/>
    <col min="11776" max="11776" width="11.140625" style="18" customWidth="1"/>
    <col min="11777" max="11777" width="2.85546875" style="18" customWidth="1"/>
    <col min="11778" max="11778" width="3.5703125" style="18" customWidth="1"/>
    <col min="11779" max="12023" width="9.140625" style="18"/>
    <col min="12024" max="12024" width="8.7109375" style="18" customWidth="1"/>
    <col min="12025" max="12025" width="9.85546875" style="18" customWidth="1"/>
    <col min="12026" max="12026" width="14.42578125" style="18" customWidth="1"/>
    <col min="12027" max="12027" width="7.28515625" style="18" customWidth="1"/>
    <col min="12028" max="12028" width="5.5703125" style="18" customWidth="1"/>
    <col min="12029" max="12029" width="9" style="18" customWidth="1"/>
    <col min="12030" max="12031" width="9.85546875" style="18" customWidth="1"/>
    <col min="12032" max="12032" width="11.140625" style="18" customWidth="1"/>
    <col min="12033" max="12033" width="2.85546875" style="18" customWidth="1"/>
    <col min="12034" max="12034" width="3.5703125" style="18" customWidth="1"/>
    <col min="12035" max="12279" width="9.140625" style="18"/>
    <col min="12280" max="12280" width="8.7109375" style="18" customWidth="1"/>
    <col min="12281" max="12281" width="9.85546875" style="18" customWidth="1"/>
    <col min="12282" max="12282" width="14.42578125" style="18" customWidth="1"/>
    <col min="12283" max="12283" width="7.28515625" style="18" customWidth="1"/>
    <col min="12284" max="12284" width="5.5703125" style="18" customWidth="1"/>
    <col min="12285" max="12285" width="9" style="18" customWidth="1"/>
    <col min="12286" max="12287" width="9.85546875" style="18" customWidth="1"/>
    <col min="12288" max="12288" width="11.140625" style="18" customWidth="1"/>
    <col min="12289" max="12289" width="2.85546875" style="18" customWidth="1"/>
    <col min="12290" max="12290" width="3.5703125" style="18" customWidth="1"/>
    <col min="12291" max="12535" width="9.140625" style="18"/>
    <col min="12536" max="12536" width="8.7109375" style="18" customWidth="1"/>
    <col min="12537" max="12537" width="9.85546875" style="18" customWidth="1"/>
    <col min="12538" max="12538" width="14.42578125" style="18" customWidth="1"/>
    <col min="12539" max="12539" width="7.28515625" style="18" customWidth="1"/>
    <col min="12540" max="12540" width="5.5703125" style="18" customWidth="1"/>
    <col min="12541" max="12541" width="9" style="18" customWidth="1"/>
    <col min="12542" max="12543" width="9.85546875" style="18" customWidth="1"/>
    <col min="12544" max="12544" width="11.140625" style="18" customWidth="1"/>
    <col min="12545" max="12545" width="2.85546875" style="18" customWidth="1"/>
    <col min="12546" max="12546" width="3.5703125" style="18" customWidth="1"/>
    <col min="12547" max="12791" width="9.140625" style="18"/>
    <col min="12792" max="12792" width="8.7109375" style="18" customWidth="1"/>
    <col min="12793" max="12793" width="9.85546875" style="18" customWidth="1"/>
    <col min="12794" max="12794" width="14.42578125" style="18" customWidth="1"/>
    <col min="12795" max="12795" width="7.28515625" style="18" customWidth="1"/>
    <col min="12796" max="12796" width="5.5703125" style="18" customWidth="1"/>
    <col min="12797" max="12797" width="9" style="18" customWidth="1"/>
    <col min="12798" max="12799" width="9.85546875" style="18" customWidth="1"/>
    <col min="12800" max="12800" width="11.140625" style="18" customWidth="1"/>
    <col min="12801" max="12801" width="2.85546875" style="18" customWidth="1"/>
    <col min="12802" max="12802" width="3.5703125" style="18" customWidth="1"/>
    <col min="12803" max="13047" width="9.140625" style="18"/>
    <col min="13048" max="13048" width="8.7109375" style="18" customWidth="1"/>
    <col min="13049" max="13049" width="9.85546875" style="18" customWidth="1"/>
    <col min="13050" max="13050" width="14.42578125" style="18" customWidth="1"/>
    <col min="13051" max="13051" width="7.28515625" style="18" customWidth="1"/>
    <col min="13052" max="13052" width="5.5703125" style="18" customWidth="1"/>
    <col min="13053" max="13053" width="9" style="18" customWidth="1"/>
    <col min="13054" max="13055" width="9.85546875" style="18" customWidth="1"/>
    <col min="13056" max="13056" width="11.140625" style="18" customWidth="1"/>
    <col min="13057" max="13057" width="2.85546875" style="18" customWidth="1"/>
    <col min="13058" max="13058" width="3.5703125" style="18" customWidth="1"/>
    <col min="13059" max="13303" width="9.140625" style="18"/>
    <col min="13304" max="13304" width="8.7109375" style="18" customWidth="1"/>
    <col min="13305" max="13305" width="9.85546875" style="18" customWidth="1"/>
    <col min="13306" max="13306" width="14.42578125" style="18" customWidth="1"/>
    <col min="13307" max="13307" width="7.28515625" style="18" customWidth="1"/>
    <col min="13308" max="13308" width="5.5703125" style="18" customWidth="1"/>
    <col min="13309" max="13309" width="9" style="18" customWidth="1"/>
    <col min="13310" max="13311" width="9.85546875" style="18" customWidth="1"/>
    <col min="13312" max="13312" width="11.140625" style="18" customWidth="1"/>
    <col min="13313" max="13313" width="2.85546875" style="18" customWidth="1"/>
    <col min="13314" max="13314" width="3.5703125" style="18" customWidth="1"/>
    <col min="13315" max="13559" width="9.140625" style="18"/>
    <col min="13560" max="13560" width="8.7109375" style="18" customWidth="1"/>
    <col min="13561" max="13561" width="9.85546875" style="18" customWidth="1"/>
    <col min="13562" max="13562" width="14.42578125" style="18" customWidth="1"/>
    <col min="13563" max="13563" width="7.28515625" style="18" customWidth="1"/>
    <col min="13564" max="13564" width="5.5703125" style="18" customWidth="1"/>
    <col min="13565" max="13565" width="9" style="18" customWidth="1"/>
    <col min="13566" max="13567" width="9.85546875" style="18" customWidth="1"/>
    <col min="13568" max="13568" width="11.140625" style="18" customWidth="1"/>
    <col min="13569" max="13569" width="2.85546875" style="18" customWidth="1"/>
    <col min="13570" max="13570" width="3.5703125" style="18" customWidth="1"/>
    <col min="13571" max="13815" width="9.140625" style="18"/>
    <col min="13816" max="13816" width="8.7109375" style="18" customWidth="1"/>
    <col min="13817" max="13817" width="9.85546875" style="18" customWidth="1"/>
    <col min="13818" max="13818" width="14.42578125" style="18" customWidth="1"/>
    <col min="13819" max="13819" width="7.28515625" style="18" customWidth="1"/>
    <col min="13820" max="13820" width="5.5703125" style="18" customWidth="1"/>
    <col min="13821" max="13821" width="9" style="18" customWidth="1"/>
    <col min="13822" max="13823" width="9.85546875" style="18" customWidth="1"/>
    <col min="13824" max="13824" width="11.140625" style="18" customWidth="1"/>
    <col min="13825" max="13825" width="2.85546875" style="18" customWidth="1"/>
    <col min="13826" max="13826" width="3.5703125" style="18" customWidth="1"/>
    <col min="13827" max="14071" width="9.140625" style="18"/>
    <col min="14072" max="14072" width="8.7109375" style="18" customWidth="1"/>
    <col min="14073" max="14073" width="9.85546875" style="18" customWidth="1"/>
    <col min="14074" max="14074" width="14.42578125" style="18" customWidth="1"/>
    <col min="14075" max="14075" width="7.28515625" style="18" customWidth="1"/>
    <col min="14076" max="14076" width="5.5703125" style="18" customWidth="1"/>
    <col min="14077" max="14077" width="9" style="18" customWidth="1"/>
    <col min="14078" max="14079" width="9.85546875" style="18" customWidth="1"/>
    <col min="14080" max="14080" width="11.140625" style="18" customWidth="1"/>
    <col min="14081" max="14081" width="2.85546875" style="18" customWidth="1"/>
    <col min="14082" max="14082" width="3.5703125" style="18" customWidth="1"/>
    <col min="14083" max="14327" width="9.140625" style="18"/>
    <col min="14328" max="14328" width="8.7109375" style="18" customWidth="1"/>
    <col min="14329" max="14329" width="9.85546875" style="18" customWidth="1"/>
    <col min="14330" max="14330" width="14.42578125" style="18" customWidth="1"/>
    <col min="14331" max="14331" width="7.28515625" style="18" customWidth="1"/>
    <col min="14332" max="14332" width="5.5703125" style="18" customWidth="1"/>
    <col min="14333" max="14333" width="9" style="18" customWidth="1"/>
    <col min="14334" max="14335" width="9.85546875" style="18" customWidth="1"/>
    <col min="14336" max="14336" width="11.140625" style="18" customWidth="1"/>
    <col min="14337" max="14337" width="2.85546875" style="18" customWidth="1"/>
    <col min="14338" max="14338" width="3.5703125" style="18" customWidth="1"/>
    <col min="14339" max="14583" width="9.140625" style="18"/>
    <col min="14584" max="14584" width="8.7109375" style="18" customWidth="1"/>
    <col min="14585" max="14585" width="9.85546875" style="18" customWidth="1"/>
    <col min="14586" max="14586" width="14.42578125" style="18" customWidth="1"/>
    <col min="14587" max="14587" width="7.28515625" style="18" customWidth="1"/>
    <col min="14588" max="14588" width="5.5703125" style="18" customWidth="1"/>
    <col min="14589" max="14589" width="9" style="18" customWidth="1"/>
    <col min="14590" max="14591" width="9.85546875" style="18" customWidth="1"/>
    <col min="14592" max="14592" width="11.140625" style="18" customWidth="1"/>
    <col min="14593" max="14593" width="2.85546875" style="18" customWidth="1"/>
    <col min="14594" max="14594" width="3.5703125" style="18" customWidth="1"/>
    <col min="14595" max="14839" width="9.140625" style="18"/>
    <col min="14840" max="14840" width="8.7109375" style="18" customWidth="1"/>
    <col min="14841" max="14841" width="9.85546875" style="18" customWidth="1"/>
    <col min="14842" max="14842" width="14.42578125" style="18" customWidth="1"/>
    <col min="14843" max="14843" width="7.28515625" style="18" customWidth="1"/>
    <col min="14844" max="14844" width="5.5703125" style="18" customWidth="1"/>
    <col min="14845" max="14845" width="9" style="18" customWidth="1"/>
    <col min="14846" max="14847" width="9.85546875" style="18" customWidth="1"/>
    <col min="14848" max="14848" width="11.140625" style="18" customWidth="1"/>
    <col min="14849" max="14849" width="2.85546875" style="18" customWidth="1"/>
    <col min="14850" max="14850" width="3.5703125" style="18" customWidth="1"/>
    <col min="14851" max="15095" width="9.140625" style="18"/>
    <col min="15096" max="15096" width="8.7109375" style="18" customWidth="1"/>
    <col min="15097" max="15097" width="9.85546875" style="18" customWidth="1"/>
    <col min="15098" max="15098" width="14.42578125" style="18" customWidth="1"/>
    <col min="15099" max="15099" width="7.28515625" style="18" customWidth="1"/>
    <col min="15100" max="15100" width="5.5703125" style="18" customWidth="1"/>
    <col min="15101" max="15101" width="9" style="18" customWidth="1"/>
    <col min="15102" max="15103" width="9.85546875" style="18" customWidth="1"/>
    <col min="15104" max="15104" width="11.140625" style="18" customWidth="1"/>
    <col min="15105" max="15105" width="2.85546875" style="18" customWidth="1"/>
    <col min="15106" max="15106" width="3.5703125" style="18" customWidth="1"/>
    <col min="15107" max="15351" width="9.140625" style="18"/>
    <col min="15352" max="15352" width="8.7109375" style="18" customWidth="1"/>
    <col min="15353" max="15353" width="9.85546875" style="18" customWidth="1"/>
    <col min="15354" max="15354" width="14.42578125" style="18" customWidth="1"/>
    <col min="15355" max="15355" width="7.28515625" style="18" customWidth="1"/>
    <col min="15356" max="15356" width="5.5703125" style="18" customWidth="1"/>
    <col min="15357" max="15357" width="9" style="18" customWidth="1"/>
    <col min="15358" max="15359" width="9.85546875" style="18" customWidth="1"/>
    <col min="15360" max="15360" width="11.140625" style="18" customWidth="1"/>
    <col min="15361" max="15361" width="2.85546875" style="18" customWidth="1"/>
    <col min="15362" max="15362" width="3.5703125" style="18" customWidth="1"/>
    <col min="15363" max="15607" width="9.140625" style="18"/>
    <col min="15608" max="15608" width="8.7109375" style="18" customWidth="1"/>
    <col min="15609" max="15609" width="9.85546875" style="18" customWidth="1"/>
    <col min="15610" max="15610" width="14.42578125" style="18" customWidth="1"/>
    <col min="15611" max="15611" width="7.28515625" style="18" customWidth="1"/>
    <col min="15612" max="15612" width="5.5703125" style="18" customWidth="1"/>
    <col min="15613" max="15613" width="9" style="18" customWidth="1"/>
    <col min="15614" max="15615" width="9.85546875" style="18" customWidth="1"/>
    <col min="15616" max="15616" width="11.140625" style="18" customWidth="1"/>
    <col min="15617" max="15617" width="2.85546875" style="18" customWidth="1"/>
    <col min="15618" max="15618" width="3.5703125" style="18" customWidth="1"/>
    <col min="15619" max="15863" width="9.140625" style="18"/>
    <col min="15864" max="15864" width="8.7109375" style="18" customWidth="1"/>
    <col min="15865" max="15865" width="9.85546875" style="18" customWidth="1"/>
    <col min="15866" max="15866" width="14.42578125" style="18" customWidth="1"/>
    <col min="15867" max="15867" width="7.28515625" style="18" customWidth="1"/>
    <col min="15868" max="15868" width="5.5703125" style="18" customWidth="1"/>
    <col min="15869" max="15869" width="9" style="18" customWidth="1"/>
    <col min="15870" max="15871" width="9.85546875" style="18" customWidth="1"/>
    <col min="15872" max="15872" width="11.140625" style="18" customWidth="1"/>
    <col min="15873" max="15873" width="2.85546875" style="18" customWidth="1"/>
    <col min="15874" max="15874" width="3.5703125" style="18" customWidth="1"/>
    <col min="15875" max="16119" width="9.140625" style="18"/>
    <col min="16120" max="16120" width="8.7109375" style="18" customWidth="1"/>
    <col min="16121" max="16121" width="9.85546875" style="18" customWidth="1"/>
    <col min="16122" max="16122" width="14.42578125" style="18" customWidth="1"/>
    <col min="16123" max="16123" width="7.28515625" style="18" customWidth="1"/>
    <col min="16124" max="16124" width="5.5703125" style="18" customWidth="1"/>
    <col min="16125" max="16125" width="9" style="18" customWidth="1"/>
    <col min="16126" max="16127" width="9.85546875" style="18" customWidth="1"/>
    <col min="16128" max="16128" width="11.140625" style="18" customWidth="1"/>
    <col min="16129" max="16129" width="2.85546875" style="18" customWidth="1"/>
    <col min="16130" max="16130" width="3.5703125" style="18" customWidth="1"/>
    <col min="16131" max="16384" width="9.140625" style="18"/>
  </cols>
  <sheetData>
    <row r="1" spans="1:26" ht="46.5" customHeight="1" x14ac:dyDescent="0.25">
      <c r="A1" s="232" t="s">
        <v>162</v>
      </c>
      <c r="B1" s="232"/>
      <c r="C1" s="232"/>
      <c r="D1" s="232"/>
      <c r="E1" s="232"/>
      <c r="F1" s="232"/>
      <c r="G1" s="232"/>
      <c r="H1" s="232"/>
    </row>
    <row r="2" spans="1:26" ht="16.5" customHeight="1" x14ac:dyDescent="0.25">
      <c r="A2" s="195" t="s">
        <v>0</v>
      </c>
      <c r="B2" s="195"/>
      <c r="C2" s="195"/>
      <c r="D2" s="195"/>
      <c r="E2" s="195"/>
      <c r="F2" s="195"/>
      <c r="G2" s="195"/>
      <c r="H2" s="195"/>
    </row>
    <row r="3" spans="1:26" x14ac:dyDescent="0.25">
      <c r="A3" s="159" t="s">
        <v>1</v>
      </c>
      <c r="B3" s="159"/>
      <c r="C3" s="159"/>
      <c r="D3" s="159"/>
      <c r="E3" s="159" t="str">
        <f ca="1">TEXT(TODAY(),"DD/MM/YYYY")</f>
        <v>02/09/2025</v>
      </c>
      <c r="F3" s="159"/>
      <c r="G3" s="159"/>
      <c r="H3" s="159"/>
      <c r="K3" s="51" t="s">
        <v>235</v>
      </c>
      <c r="L3" s="48" t="s">
        <v>233</v>
      </c>
      <c r="M3" s="48" t="s">
        <v>238</v>
      </c>
      <c r="N3" s="48" t="s">
        <v>236</v>
      </c>
      <c r="O3" s="48" t="s">
        <v>356</v>
      </c>
      <c r="P3" s="48" t="s">
        <v>239</v>
      </c>
    </row>
    <row r="4" spans="1:26" ht="15" customHeight="1" x14ac:dyDescent="0.25">
      <c r="A4" s="159" t="s">
        <v>232</v>
      </c>
      <c r="B4" s="159"/>
      <c r="C4" s="159"/>
      <c r="D4" s="159"/>
      <c r="E4" s="159" t="s">
        <v>356</v>
      </c>
      <c r="F4" s="159"/>
      <c r="G4" s="159"/>
      <c r="H4" s="159"/>
      <c r="K4" s="47" t="s">
        <v>234</v>
      </c>
      <c r="L4" s="48" t="s">
        <v>168</v>
      </c>
      <c r="M4" s="48" t="s">
        <v>243</v>
      </c>
      <c r="N4" s="48" t="s">
        <v>245</v>
      </c>
      <c r="O4" s="48" t="s">
        <v>340</v>
      </c>
      <c r="P4" s="48"/>
    </row>
    <row r="5" spans="1:26" ht="15" customHeight="1" x14ac:dyDescent="0.25">
      <c r="A5" s="159" t="s">
        <v>2</v>
      </c>
      <c r="B5" s="159"/>
      <c r="C5" s="159"/>
      <c r="D5" s="159"/>
      <c r="E5" s="159" t="s">
        <v>343</v>
      </c>
      <c r="F5" s="159"/>
      <c r="G5" s="159"/>
      <c r="H5" s="159"/>
      <c r="K5" s="47"/>
      <c r="L5" s="48" t="s">
        <v>240</v>
      </c>
      <c r="M5" s="48" t="s">
        <v>244</v>
      </c>
      <c r="N5" s="48" t="s">
        <v>246</v>
      </c>
      <c r="O5" s="48" t="s">
        <v>341</v>
      </c>
      <c r="P5" s="48"/>
    </row>
    <row r="6" spans="1:26" x14ac:dyDescent="0.25">
      <c r="A6" s="159" t="s">
        <v>3</v>
      </c>
      <c r="B6" s="159"/>
      <c r="C6" s="159"/>
      <c r="D6" s="159"/>
      <c r="E6" s="233">
        <v>45901</v>
      </c>
      <c r="F6" s="159"/>
      <c r="G6" s="159"/>
      <c r="H6" s="159"/>
      <c r="K6" s="47"/>
      <c r="L6" s="48" t="s">
        <v>241</v>
      </c>
      <c r="M6" s="48" t="s">
        <v>354</v>
      </c>
      <c r="N6" s="48"/>
      <c r="O6" s="48" t="s">
        <v>342</v>
      </c>
      <c r="P6" s="48"/>
    </row>
    <row r="7" spans="1:26" ht="16.5" customHeight="1" x14ac:dyDescent="0.25">
      <c r="A7" s="159" t="s">
        <v>4</v>
      </c>
      <c r="B7" s="159"/>
      <c r="C7" s="159"/>
      <c r="D7" s="159"/>
      <c r="E7" s="159" t="s">
        <v>376</v>
      </c>
      <c r="F7" s="159"/>
      <c r="G7" s="159"/>
      <c r="H7" s="159"/>
      <c r="K7" s="47"/>
      <c r="L7" s="48" t="s">
        <v>242</v>
      </c>
      <c r="M7" s="48"/>
      <c r="N7" s="48"/>
      <c r="O7" s="48" t="s">
        <v>342</v>
      </c>
      <c r="P7" s="48"/>
    </row>
    <row r="8" spans="1:26" ht="15" customHeight="1" x14ac:dyDescent="0.25">
      <c r="A8" s="159" t="s">
        <v>5</v>
      </c>
      <c r="B8" s="159"/>
      <c r="C8" s="159"/>
      <c r="D8" s="159"/>
      <c r="E8" s="159" t="str">
        <f>E7</f>
        <v>Aditya Realtors</v>
      </c>
      <c r="F8" s="159"/>
      <c r="G8" s="159"/>
      <c r="H8" s="159"/>
      <c r="K8" s="47"/>
      <c r="L8" s="48"/>
      <c r="M8" s="48"/>
      <c r="N8" s="48"/>
      <c r="O8" s="48" t="s">
        <v>343</v>
      </c>
      <c r="P8" s="48"/>
    </row>
    <row r="9" spans="1:26" x14ac:dyDescent="0.25">
      <c r="A9" s="159" t="s">
        <v>6</v>
      </c>
      <c r="B9" s="159"/>
      <c r="C9" s="159"/>
      <c r="D9" s="159"/>
      <c r="E9" s="134" t="s">
        <v>377</v>
      </c>
      <c r="F9" s="134"/>
      <c r="G9" s="134"/>
      <c r="H9" s="134"/>
      <c r="K9" s="47"/>
      <c r="L9" s="48"/>
      <c r="M9" s="48"/>
      <c r="N9" s="48"/>
      <c r="O9" s="48" t="s">
        <v>344</v>
      </c>
      <c r="P9" s="48"/>
    </row>
    <row r="10" spans="1:26" x14ac:dyDescent="0.25">
      <c r="A10" s="159" t="s">
        <v>165</v>
      </c>
      <c r="B10" s="159"/>
      <c r="C10" s="159"/>
      <c r="D10" s="159"/>
      <c r="E10" s="159" t="s">
        <v>378</v>
      </c>
      <c r="F10" s="159"/>
      <c r="G10" s="159"/>
      <c r="H10" s="159"/>
      <c r="K10" s="47"/>
      <c r="L10" s="48"/>
      <c r="M10" s="48"/>
      <c r="N10" s="48"/>
      <c r="O10" s="48" t="s">
        <v>345</v>
      </c>
      <c r="P10" s="48"/>
    </row>
    <row r="11" spans="1:26" x14ac:dyDescent="0.25">
      <c r="A11" s="159" t="s">
        <v>166</v>
      </c>
      <c r="B11" s="159"/>
      <c r="C11" s="159"/>
      <c r="D11" s="159"/>
      <c r="E11" s="159" t="s">
        <v>28</v>
      </c>
      <c r="F11" s="159"/>
      <c r="G11" s="159"/>
      <c r="H11" s="159"/>
      <c r="O11" s="48" t="s">
        <v>346</v>
      </c>
    </row>
    <row r="12" spans="1:26" ht="81.599999999999994" customHeight="1" x14ac:dyDescent="0.25">
      <c r="A12" s="159" t="s">
        <v>7</v>
      </c>
      <c r="B12" s="159"/>
      <c r="C12" s="159"/>
      <c r="D12" s="159"/>
      <c r="E12" s="234" t="s">
        <v>418</v>
      </c>
      <c r="F12" s="159"/>
      <c r="G12" s="159"/>
      <c r="H12" s="159"/>
    </row>
    <row r="13" spans="1:26" hidden="1" x14ac:dyDescent="0.25">
      <c r="A13" s="159" t="s">
        <v>169</v>
      </c>
      <c r="B13" s="159"/>
      <c r="C13" s="159"/>
      <c r="D13" s="159"/>
      <c r="E13" s="159"/>
      <c r="F13" s="159"/>
      <c r="G13" s="159"/>
      <c r="H13" s="159"/>
      <c r="S13" s="48" t="s">
        <v>178</v>
      </c>
      <c r="T13" s="48" t="s">
        <v>187</v>
      </c>
      <c r="U13" s="48" t="s">
        <v>170</v>
      </c>
      <c r="V13" s="48" t="s">
        <v>192</v>
      </c>
      <c r="W13" s="48" t="s">
        <v>210</v>
      </c>
      <c r="X13"/>
      <c r="Y13" t="s">
        <v>192</v>
      </c>
      <c r="Z13" t="e">
        <f ca="1">OFFSET($S$13,1,MATCH($G20,$S$13:$W$13,0)-1,15,1)</f>
        <v>#VALUE!</v>
      </c>
    </row>
    <row r="14" spans="1:26" x14ac:dyDescent="0.25">
      <c r="A14" s="159" t="s">
        <v>278</v>
      </c>
      <c r="B14" s="159"/>
      <c r="C14" s="159"/>
      <c r="D14" s="159"/>
      <c r="E14" s="234" t="s">
        <v>225</v>
      </c>
      <c r="F14" s="234"/>
      <c r="G14" s="234"/>
      <c r="H14" s="234"/>
      <c r="S14" s="48" t="s">
        <v>178</v>
      </c>
      <c r="T14" s="48" t="s">
        <v>185</v>
      </c>
      <c r="U14" s="48" t="s">
        <v>207</v>
      </c>
      <c r="V14" s="48" t="s">
        <v>193</v>
      </c>
      <c r="W14" s="48" t="s">
        <v>211</v>
      </c>
      <c r="X14"/>
      <c r="Y14"/>
      <c r="Z14"/>
    </row>
    <row r="15" spans="1:26" x14ac:dyDescent="0.25">
      <c r="A15" s="159" t="s">
        <v>8</v>
      </c>
      <c r="B15" s="159"/>
      <c r="C15" s="159"/>
      <c r="D15" s="159"/>
      <c r="E15" s="234" t="s">
        <v>379</v>
      </c>
      <c r="F15" s="159"/>
      <c r="G15" s="159"/>
      <c r="H15" s="159"/>
      <c r="I15" s="192" t="e">
        <f ca="1">OFFSET($D$5,1,MATCH($J13,$D$5:$H$5,0)-1,15,1)</f>
        <v>#N/A</v>
      </c>
      <c r="J15" s="193"/>
      <c r="K15" s="193"/>
      <c r="L15" s="193"/>
      <c r="M15" s="193"/>
      <c r="N15" s="193"/>
      <c r="O15" s="193"/>
      <c r="P15" s="193"/>
      <c r="S15" s="48" t="s">
        <v>179</v>
      </c>
      <c r="T15" s="48" t="s">
        <v>186</v>
      </c>
      <c r="U15" s="48" t="s">
        <v>208</v>
      </c>
      <c r="V15" s="48" t="s">
        <v>194</v>
      </c>
      <c r="W15" s="48" t="s">
        <v>224</v>
      </c>
      <c r="X15"/>
      <c r="Y15"/>
      <c r="Z15"/>
    </row>
    <row r="16" spans="1:26" ht="48.75" customHeight="1" x14ac:dyDescent="0.25">
      <c r="A16" s="234" t="s">
        <v>9</v>
      </c>
      <c r="B16" s="234"/>
      <c r="C16" s="234" t="str">
        <f>CONCATENATE((IF(OR(E9="",E9="NA"),"",E9)),", ",(IF(OR(A17="",A17="NA"),"",A17)),".",(IF(OR(C17="",C17="NA"),"",C17)),", near ",(IF(OR(C22="",C22="NA"),"",C22)),", ",(IF(OR(C19="",C19="NA"),"",C19)),", ",(IF(OR(C18="",C18="NA"),"",C18)),", ",(IF(OR(G19="",G19="NA"),"",G19)),", ",(IF(OR(C20="",C20="NA"),"",C20)),", ",(IF(OR(C21="",C21="NA"),"",C21)),", ",(IF(OR(G20="",G20="NA"),"",G20))," - ",(IF(OR(G21="",G21="NA"),"",G21)),".")</f>
        <v>AV Smart City Phase 1, Survey No.1023/8 (Old S.No.1023/1 + 2/4), near Gayatri Park, Haranwadi Road, Haranwadi, Mahim, Palghar (West), Palghar, Palghar - 401404.</v>
      </c>
      <c r="D16" s="234"/>
      <c r="E16" s="234"/>
      <c r="F16" s="234"/>
      <c r="G16" s="234"/>
      <c r="H16" s="234"/>
      <c r="S16" s="48" t="s">
        <v>180</v>
      </c>
      <c r="T16" s="48" t="s">
        <v>188</v>
      </c>
      <c r="U16" s="48" t="s">
        <v>209</v>
      </c>
      <c r="V16" s="48" t="s">
        <v>195</v>
      </c>
      <c r="W16" s="48" t="s">
        <v>212</v>
      </c>
      <c r="X16"/>
      <c r="Y16"/>
      <c r="Z16"/>
    </row>
    <row r="17" spans="1:26" x14ac:dyDescent="0.25">
      <c r="A17" s="234" t="s">
        <v>380</v>
      </c>
      <c r="B17" s="234"/>
      <c r="C17" s="234" t="s">
        <v>381</v>
      </c>
      <c r="D17" s="234"/>
      <c r="E17" s="234"/>
      <c r="F17" s="234"/>
      <c r="G17" s="234"/>
      <c r="H17" s="234"/>
      <c r="S17" s="48" t="s">
        <v>181</v>
      </c>
      <c r="T17" s="48" t="s">
        <v>189</v>
      </c>
      <c r="U17" s="48" t="s">
        <v>170</v>
      </c>
      <c r="V17" s="48" t="s">
        <v>196</v>
      </c>
      <c r="W17" s="48" t="s">
        <v>213</v>
      </c>
      <c r="X17"/>
      <c r="Y17"/>
      <c r="Z17"/>
    </row>
    <row r="18" spans="1:26" ht="15.75" customHeight="1" x14ac:dyDescent="0.25">
      <c r="A18" s="234" t="s">
        <v>160</v>
      </c>
      <c r="B18" s="234"/>
      <c r="C18" s="234" t="s">
        <v>386</v>
      </c>
      <c r="D18" s="234"/>
      <c r="E18" s="234"/>
      <c r="F18" s="234"/>
      <c r="G18" s="234"/>
      <c r="H18" s="234"/>
      <c r="S18" s="48" t="s">
        <v>182</v>
      </c>
      <c r="T18" s="48" t="s">
        <v>187</v>
      </c>
      <c r="U18" s="48"/>
      <c r="V18" s="48" t="s">
        <v>197</v>
      </c>
      <c r="W18" s="48" t="s">
        <v>214</v>
      </c>
      <c r="X18"/>
      <c r="Y18"/>
      <c r="Z18"/>
    </row>
    <row r="19" spans="1:26" ht="15.75" customHeight="1" x14ac:dyDescent="0.25">
      <c r="A19" s="234" t="s">
        <v>10</v>
      </c>
      <c r="B19" s="234"/>
      <c r="C19" s="159" t="s">
        <v>389</v>
      </c>
      <c r="D19" s="159"/>
      <c r="E19" s="234" t="s">
        <v>69</v>
      </c>
      <c r="F19" s="234"/>
      <c r="G19" s="234" t="s">
        <v>382</v>
      </c>
      <c r="H19" s="234"/>
      <c r="S19" s="48" t="s">
        <v>183</v>
      </c>
      <c r="T19" s="48" t="s">
        <v>190</v>
      </c>
      <c r="U19" s="48"/>
      <c r="V19" s="48" t="s">
        <v>198</v>
      </c>
      <c r="W19" s="48" t="s">
        <v>215</v>
      </c>
      <c r="X19"/>
      <c r="Y19"/>
      <c r="Z19"/>
    </row>
    <row r="20" spans="1:26" x14ac:dyDescent="0.25">
      <c r="A20" s="159" t="s">
        <v>12</v>
      </c>
      <c r="B20" s="159"/>
      <c r="C20" s="234" t="s">
        <v>385</v>
      </c>
      <c r="D20" s="234"/>
      <c r="E20" s="234" t="s">
        <v>11</v>
      </c>
      <c r="F20" s="234"/>
      <c r="G20" s="235" t="s">
        <v>187</v>
      </c>
      <c r="H20" s="235"/>
      <c r="S20" s="48" t="s">
        <v>184</v>
      </c>
      <c r="T20" s="48" t="s">
        <v>191</v>
      </c>
      <c r="U20" s="48"/>
      <c r="V20" s="48" t="s">
        <v>199</v>
      </c>
      <c r="W20" s="48" t="s">
        <v>216</v>
      </c>
      <c r="X20"/>
      <c r="Y20"/>
      <c r="Z20"/>
    </row>
    <row r="21" spans="1:26" x14ac:dyDescent="0.25">
      <c r="A21" s="159" t="s">
        <v>70</v>
      </c>
      <c r="B21" s="159"/>
      <c r="C21" s="234" t="s">
        <v>187</v>
      </c>
      <c r="D21" s="234"/>
      <c r="E21" s="234" t="s">
        <v>13</v>
      </c>
      <c r="F21" s="234"/>
      <c r="G21" s="234">
        <v>401404</v>
      </c>
      <c r="H21" s="234"/>
      <c r="S21" s="48"/>
      <c r="T21" s="48"/>
      <c r="U21" s="48"/>
      <c r="V21" s="48" t="s">
        <v>200</v>
      </c>
      <c r="W21" s="48" t="s">
        <v>217</v>
      </c>
      <c r="X21"/>
      <c r="Y21"/>
      <c r="Z21"/>
    </row>
    <row r="22" spans="1:26" ht="32.25" customHeight="1" x14ac:dyDescent="0.25">
      <c r="A22" s="159" t="s">
        <v>116</v>
      </c>
      <c r="B22" s="159"/>
      <c r="C22" s="234" t="s">
        <v>388</v>
      </c>
      <c r="D22" s="234"/>
      <c r="E22" s="234" t="s">
        <v>14</v>
      </c>
      <c r="F22" s="234"/>
      <c r="G22" s="234" t="s">
        <v>387</v>
      </c>
      <c r="H22" s="234"/>
      <c r="S22" s="48"/>
      <c r="T22" s="48"/>
      <c r="U22" s="48"/>
      <c r="V22" s="48" t="s">
        <v>201</v>
      </c>
      <c r="W22" s="48" t="s">
        <v>218</v>
      </c>
      <c r="X22"/>
      <c r="Y22"/>
      <c r="Z22"/>
    </row>
    <row r="23" spans="1:26" ht="15" customHeight="1" x14ac:dyDescent="0.25">
      <c r="A23" s="183" t="s">
        <v>72</v>
      </c>
      <c r="B23" s="183"/>
      <c r="C23" s="183"/>
      <c r="D23" s="183"/>
      <c r="E23" s="159" t="s">
        <v>15</v>
      </c>
      <c r="F23" s="159"/>
      <c r="G23" s="159"/>
      <c r="H23" s="159"/>
      <c r="S23" s="48"/>
      <c r="T23" s="48"/>
      <c r="U23" s="48"/>
      <c r="V23" s="48" t="s">
        <v>202</v>
      </c>
      <c r="W23" s="48" t="s">
        <v>219</v>
      </c>
      <c r="X23"/>
      <c r="Y23"/>
      <c r="Z23"/>
    </row>
    <row r="24" spans="1:26" ht="18.75" customHeight="1" x14ac:dyDescent="0.25">
      <c r="A24" s="183"/>
      <c r="B24" s="183"/>
      <c r="C24" s="183"/>
      <c r="D24" s="183"/>
      <c r="E24" s="159"/>
      <c r="F24" s="159"/>
      <c r="G24" s="159"/>
      <c r="H24" s="159"/>
      <c r="S24" s="48"/>
      <c r="T24" s="48"/>
      <c r="U24" s="48"/>
      <c r="V24" s="48" t="s">
        <v>203</v>
      </c>
      <c r="W24" s="48" t="s">
        <v>220</v>
      </c>
      <c r="X24"/>
      <c r="Y24"/>
      <c r="Z24"/>
    </row>
    <row r="25" spans="1:26" ht="15" customHeight="1" x14ac:dyDescent="0.25">
      <c r="A25" s="183" t="s">
        <v>16</v>
      </c>
      <c r="B25" s="183"/>
      <c r="C25" s="183"/>
      <c r="D25" s="183"/>
      <c r="E25" s="234" t="s">
        <v>17</v>
      </c>
      <c r="F25" s="234"/>
      <c r="G25" s="234"/>
      <c r="H25" s="234"/>
      <c r="S25" s="48"/>
      <c r="T25" s="48"/>
      <c r="U25" s="48"/>
      <c r="V25" s="48" t="s">
        <v>204</v>
      </c>
      <c r="W25" s="48" t="s">
        <v>221</v>
      </c>
      <c r="X25"/>
      <c r="Y25"/>
      <c r="Z25"/>
    </row>
    <row r="26" spans="1:26" ht="15" customHeight="1" x14ac:dyDescent="0.25">
      <c r="A26" s="191" t="s">
        <v>18</v>
      </c>
      <c r="B26" s="191"/>
      <c r="C26" s="191"/>
      <c r="D26" s="191"/>
      <c r="E26" s="234" t="str">
        <f>IF(AND(G20="Mumbai"),"Upper Class","Middle Class")</f>
        <v>Middle Class</v>
      </c>
      <c r="F26" s="234"/>
      <c r="G26" s="234"/>
      <c r="H26" s="234"/>
      <c r="S26" s="48"/>
      <c r="T26" s="48"/>
      <c r="U26" s="48"/>
      <c r="V26" s="48" t="s">
        <v>205</v>
      </c>
      <c r="W26" s="48" t="s">
        <v>222</v>
      </c>
      <c r="X26"/>
      <c r="Y26"/>
      <c r="Z26"/>
    </row>
    <row r="27" spans="1:26" x14ac:dyDescent="0.25">
      <c r="A27" s="191" t="s">
        <v>19</v>
      </c>
      <c r="B27" s="191"/>
      <c r="C27" s="191"/>
      <c r="D27" s="191"/>
      <c r="E27" s="234" t="s">
        <v>20</v>
      </c>
      <c r="F27" s="234"/>
      <c r="G27" s="234"/>
      <c r="H27" s="234"/>
      <c r="S27" s="48"/>
      <c r="T27" s="48"/>
      <c r="U27" s="48"/>
      <c r="V27" s="48" t="s">
        <v>206</v>
      </c>
      <c r="W27" s="48" t="s">
        <v>223</v>
      </c>
      <c r="X27"/>
      <c r="Y27"/>
      <c r="Z27"/>
    </row>
    <row r="28" spans="1:26" ht="15.75" customHeight="1" x14ac:dyDescent="0.25">
      <c r="A28" s="191" t="s">
        <v>21</v>
      </c>
      <c r="B28" s="191"/>
      <c r="C28" s="191"/>
      <c r="D28" s="191"/>
      <c r="E28" s="234" t="str">
        <f>IF(AND(G20="Mumbai"),"Developed","Developing")</f>
        <v>Developing</v>
      </c>
      <c r="F28" s="234"/>
      <c r="G28" s="234"/>
      <c r="H28" s="234"/>
    </row>
    <row r="29" spans="1:26" x14ac:dyDescent="0.25">
      <c r="A29" s="191" t="s">
        <v>22</v>
      </c>
      <c r="B29" s="191"/>
      <c r="C29" s="191"/>
      <c r="D29" s="191"/>
      <c r="E29" s="234" t="s">
        <v>23</v>
      </c>
      <c r="F29" s="234"/>
      <c r="G29" s="234"/>
      <c r="H29" s="234"/>
    </row>
    <row r="30" spans="1:26" ht="15.75" customHeight="1" x14ac:dyDescent="0.25">
      <c r="A30" s="191" t="s">
        <v>77</v>
      </c>
      <c r="B30" s="191"/>
      <c r="C30" s="191"/>
      <c r="D30" s="191"/>
      <c r="E30" s="234" t="s">
        <v>78</v>
      </c>
      <c r="F30" s="234"/>
      <c r="G30" s="234"/>
      <c r="H30" s="234"/>
    </row>
    <row r="31" spans="1:26" ht="15" customHeight="1" x14ac:dyDescent="0.25">
      <c r="A31" s="191" t="s">
        <v>30</v>
      </c>
      <c r="B31" s="191"/>
      <c r="C31" s="191"/>
      <c r="D31" s="191"/>
      <c r="E31" s="234" t="str">
        <f>IF(AND(ISNUMBER(SEARCH("Flat",D64)),ISNUMBER(SEARCH("Shop",D64)),ISNUMBER(SEARCH("Office",D64))),"Residential + Commercial",IF(AND(ISNUMBER(SEARCH("Flat",D64)),ISNUMBER(SEARCH("Shop",D64))),"Residential + Commercial",IF(AND(ISNUMBER(SEARCH("Flat",D64)),ISNUMBER(SEARCH("Office",D64))),"Residential + Commercial",IF(AND(ISNUMBER(SEARCH("Shop",D64)),ISNUMBER(SEARCH("Office",D64))),"Commercial",IF(ISNUMBER(SEARCH("Shop",D64)),"Commercial",IF(ISNUMBER(SEARCH("Office",D64)),"Commercial",IF(ISNUMBER(SEARCH("Flat",D64)),"Residential")))))))</f>
        <v>Residential + Commercial</v>
      </c>
      <c r="F31" s="234"/>
      <c r="G31" s="234"/>
      <c r="H31" s="234"/>
    </row>
    <row r="32" spans="1:26" ht="15.75" customHeight="1" x14ac:dyDescent="0.25">
      <c r="A32" s="191" t="s">
        <v>88</v>
      </c>
      <c r="B32" s="191"/>
      <c r="C32" s="191"/>
      <c r="D32" s="191"/>
      <c r="E32" s="234" t="s">
        <v>31</v>
      </c>
      <c r="F32" s="234"/>
      <c r="G32" s="234"/>
      <c r="H32" s="234"/>
    </row>
    <row r="33" spans="1:19" s="19" customFormat="1" x14ac:dyDescent="0.25">
      <c r="A33" s="248" t="s">
        <v>89</v>
      </c>
      <c r="B33" s="248"/>
      <c r="C33" s="195" t="s">
        <v>171</v>
      </c>
      <c r="D33" s="195"/>
      <c r="E33" s="195"/>
      <c r="F33" s="195" t="s">
        <v>29</v>
      </c>
      <c r="G33" s="195"/>
      <c r="H33" s="195"/>
      <c r="S33" s="19" t="e">
        <f ca="1">OFFSET($S$13,1,MATCH($G20,$S$13:$W$13,0)-1,15,1)</f>
        <v>#VALUE!</v>
      </c>
    </row>
    <row r="34" spans="1:19" s="19" customFormat="1" x14ac:dyDescent="0.25">
      <c r="A34" s="246" t="s">
        <v>24</v>
      </c>
      <c r="B34" s="246" t="s">
        <v>28</v>
      </c>
      <c r="C34" s="247" t="s">
        <v>391</v>
      </c>
      <c r="D34" s="247"/>
      <c r="E34" s="247"/>
      <c r="F34" s="247" t="s">
        <v>390</v>
      </c>
      <c r="G34" s="247"/>
      <c r="H34" s="247"/>
    </row>
    <row r="35" spans="1:19" x14ac:dyDescent="0.25">
      <c r="A35" s="246" t="s">
        <v>25</v>
      </c>
      <c r="B35" s="246" t="s">
        <v>28</v>
      </c>
      <c r="C35" s="247" t="s">
        <v>392</v>
      </c>
      <c r="D35" s="247"/>
      <c r="E35" s="247"/>
      <c r="F35" s="247" t="s">
        <v>390</v>
      </c>
      <c r="G35" s="247"/>
      <c r="H35" s="247"/>
    </row>
    <row r="36" spans="1:19" s="19" customFormat="1" x14ac:dyDescent="0.25">
      <c r="A36" s="246" t="s">
        <v>27</v>
      </c>
      <c r="B36" s="246" t="s">
        <v>28</v>
      </c>
      <c r="C36" s="247" t="s">
        <v>390</v>
      </c>
      <c r="D36" s="247"/>
      <c r="E36" s="247"/>
      <c r="F36" s="247" t="s">
        <v>390</v>
      </c>
      <c r="G36" s="247"/>
      <c r="H36" s="247"/>
    </row>
    <row r="37" spans="1:19" x14ac:dyDescent="0.25">
      <c r="A37" s="246" t="s">
        <v>26</v>
      </c>
      <c r="B37" s="246" t="s">
        <v>28</v>
      </c>
      <c r="C37" s="247" t="s">
        <v>393</v>
      </c>
      <c r="D37" s="247"/>
      <c r="E37" s="247"/>
      <c r="F37" s="247" t="s">
        <v>389</v>
      </c>
      <c r="G37" s="247"/>
      <c r="H37" s="247"/>
    </row>
    <row r="38" spans="1:19" x14ac:dyDescent="0.25">
      <c r="A38" s="191" t="s">
        <v>279</v>
      </c>
      <c r="B38" s="191"/>
      <c r="C38" s="191"/>
      <c r="D38" s="191"/>
      <c r="E38" s="191"/>
      <c r="F38" s="191"/>
      <c r="G38" s="191"/>
      <c r="H38" s="191"/>
    </row>
    <row r="39" spans="1:19" ht="15.75" customHeight="1" x14ac:dyDescent="0.25">
      <c r="A39" s="191" t="s">
        <v>163</v>
      </c>
      <c r="B39" s="191"/>
      <c r="C39" s="228" t="s">
        <v>384</v>
      </c>
      <c r="D39" s="228"/>
      <c r="E39" s="228"/>
      <c r="F39" s="228"/>
      <c r="G39" s="228"/>
      <c r="H39" s="228"/>
    </row>
    <row r="40" spans="1:19" x14ac:dyDescent="0.25">
      <c r="A40" s="191" t="s">
        <v>159</v>
      </c>
      <c r="B40" s="191"/>
      <c r="C40" s="270" t="s">
        <v>383</v>
      </c>
      <c r="D40" s="234"/>
      <c r="E40" s="234"/>
      <c r="F40" s="234"/>
      <c r="G40" s="234"/>
      <c r="H40" s="234"/>
    </row>
    <row r="41" spans="1:19" x14ac:dyDescent="0.25">
      <c r="A41" s="228" t="s">
        <v>32</v>
      </c>
      <c r="B41" s="228"/>
      <c r="C41" s="228"/>
      <c r="D41" s="228"/>
      <c r="E41" s="228"/>
      <c r="F41" s="228"/>
      <c r="G41" s="228"/>
      <c r="H41" s="228"/>
    </row>
    <row r="42" spans="1:19" x14ac:dyDescent="0.25">
      <c r="A42" s="191" t="s">
        <v>33</v>
      </c>
      <c r="B42" s="191"/>
      <c r="C42" s="191"/>
      <c r="D42" s="191"/>
      <c r="E42" s="253">
        <v>11340.81</v>
      </c>
      <c r="F42" s="253"/>
      <c r="G42" s="253"/>
      <c r="H42" s="253"/>
    </row>
    <row r="43" spans="1:19" x14ac:dyDescent="0.25">
      <c r="A43" s="191" t="s">
        <v>34</v>
      </c>
      <c r="B43" s="191"/>
      <c r="C43" s="191"/>
      <c r="D43" s="191"/>
      <c r="E43" s="245">
        <v>1</v>
      </c>
      <c r="F43" s="245"/>
      <c r="G43" s="245"/>
      <c r="H43" s="245"/>
    </row>
    <row r="44" spans="1:19" x14ac:dyDescent="0.25">
      <c r="A44" s="191" t="s">
        <v>35</v>
      </c>
      <c r="B44" s="191"/>
      <c r="C44" s="191"/>
      <c r="D44" s="191"/>
      <c r="E44" s="245">
        <f>E46/E42-E43</f>
        <v>0.59838318426990655</v>
      </c>
      <c r="F44" s="245"/>
      <c r="G44" s="245"/>
      <c r="H44" s="245"/>
    </row>
    <row r="45" spans="1:19" x14ac:dyDescent="0.25">
      <c r="A45" s="191" t="s">
        <v>36</v>
      </c>
      <c r="B45" s="191"/>
      <c r="C45" s="191"/>
      <c r="D45" s="191"/>
      <c r="E45" s="245">
        <f>E43+E44</f>
        <v>1.5983831842699066</v>
      </c>
      <c r="F45" s="245"/>
      <c r="G45" s="245"/>
      <c r="H45" s="245"/>
    </row>
    <row r="46" spans="1:19" x14ac:dyDescent="0.25">
      <c r="A46" s="191" t="s">
        <v>87</v>
      </c>
      <c r="B46" s="191"/>
      <c r="C46" s="191"/>
      <c r="D46" s="191"/>
      <c r="E46" s="255">
        <v>18126.96</v>
      </c>
      <c r="F46" s="255"/>
      <c r="G46" s="255"/>
      <c r="H46" s="255"/>
    </row>
    <row r="47" spans="1:19" x14ac:dyDescent="0.25">
      <c r="A47" s="159" t="s">
        <v>37</v>
      </c>
      <c r="B47" s="159"/>
      <c r="C47" s="159"/>
      <c r="D47" s="159"/>
      <c r="E47" s="295" t="s">
        <v>419</v>
      </c>
      <c r="F47" s="295"/>
      <c r="G47" s="295"/>
      <c r="H47" s="295"/>
    </row>
    <row r="48" spans="1:19" x14ac:dyDescent="0.25">
      <c r="A48" s="228" t="s">
        <v>38</v>
      </c>
      <c r="B48" s="228"/>
      <c r="C48" s="228"/>
      <c r="D48" s="228"/>
      <c r="E48" s="228"/>
      <c r="F48" s="228"/>
      <c r="G48" s="228"/>
      <c r="H48" s="228"/>
    </row>
    <row r="49" spans="1:24" ht="33.75" customHeight="1" x14ac:dyDescent="0.25">
      <c r="A49" s="180" t="s">
        <v>148</v>
      </c>
      <c r="B49" s="181"/>
      <c r="C49" s="257" t="s">
        <v>349</v>
      </c>
      <c r="D49" s="258"/>
      <c r="E49" s="258"/>
      <c r="F49" s="258"/>
      <c r="G49" s="258"/>
      <c r="H49" s="259"/>
      <c r="R49" t="s">
        <v>252</v>
      </c>
      <c r="S49" s="52" t="s">
        <v>170</v>
      </c>
      <c r="T49" s="52" t="s">
        <v>178</v>
      </c>
      <c r="U49" s="52" t="s">
        <v>192</v>
      </c>
      <c r="V49" s="52" t="s">
        <v>187</v>
      </c>
    </row>
    <row r="50" spans="1:24" ht="15.75" customHeight="1" x14ac:dyDescent="0.25">
      <c r="A50" s="180" t="s">
        <v>39</v>
      </c>
      <c r="B50" s="181"/>
      <c r="C50" s="180" t="s">
        <v>394</v>
      </c>
      <c r="D50" s="238"/>
      <c r="E50" s="181"/>
      <c r="F50" s="17" t="s">
        <v>40</v>
      </c>
      <c r="G50" s="251">
        <v>44929</v>
      </c>
      <c r="H50" s="252"/>
      <c r="R50"/>
      <c r="S50" s="52" t="s">
        <v>253</v>
      </c>
      <c r="T50" s="52" t="s">
        <v>258</v>
      </c>
      <c r="U50" s="52" t="s">
        <v>269</v>
      </c>
      <c r="V50" s="52" t="s">
        <v>274</v>
      </c>
    </row>
    <row r="51" spans="1:24" x14ac:dyDescent="0.25">
      <c r="A51" s="180" t="s">
        <v>41</v>
      </c>
      <c r="B51" s="181"/>
      <c r="C51" s="180" t="str">
        <f>C50</f>
        <v>MHSL/K-1/MJ1/BSP/SR/CR/121/2022</v>
      </c>
      <c r="D51" s="238"/>
      <c r="E51" s="181"/>
      <c r="F51" s="17" t="s">
        <v>40</v>
      </c>
      <c r="G51" s="251">
        <f>G50</f>
        <v>44929</v>
      </c>
      <c r="H51" s="252"/>
      <c r="R51"/>
      <c r="S51" s="52" t="s">
        <v>254</v>
      </c>
      <c r="T51" s="52" t="s">
        <v>357</v>
      </c>
      <c r="U51" s="52" t="s">
        <v>267</v>
      </c>
      <c r="V51" s="52" t="s">
        <v>275</v>
      </c>
    </row>
    <row r="52" spans="1:24" s="20" customFormat="1" ht="15.75" customHeight="1" x14ac:dyDescent="0.25">
      <c r="A52" s="264" t="s">
        <v>152</v>
      </c>
      <c r="B52" s="265"/>
      <c r="C52" s="264" t="s">
        <v>435</v>
      </c>
      <c r="D52" s="268"/>
      <c r="E52" s="265"/>
      <c r="F52" s="17" t="s">
        <v>40</v>
      </c>
      <c r="G52" s="251">
        <v>44929</v>
      </c>
      <c r="H52" s="252"/>
      <c r="I52" s="19" t="str">
        <f ca="1">IF(G52&gt;EDATE(E3,-48),"NO REMARK","CC REMARK FOR CC")</f>
        <v>NO REMARK</v>
      </c>
      <c r="J52" s="79"/>
      <c r="R52"/>
      <c r="S52" s="52" t="s">
        <v>255</v>
      </c>
      <c r="T52" s="52" t="s">
        <v>260</v>
      </c>
      <c r="U52" s="52" t="s">
        <v>257</v>
      </c>
      <c r="V52" s="52" t="s">
        <v>276</v>
      </c>
    </row>
    <row r="53" spans="1:24" s="20" customFormat="1" ht="127.5" customHeight="1" x14ac:dyDescent="0.25">
      <c r="A53" s="266"/>
      <c r="B53" s="267"/>
      <c r="C53" s="180" t="s">
        <v>395</v>
      </c>
      <c r="D53" s="238"/>
      <c r="E53" s="238"/>
      <c r="F53" s="238"/>
      <c r="G53" s="238"/>
      <c r="H53" s="181"/>
      <c r="R53"/>
      <c r="S53" s="52"/>
      <c r="T53" s="52"/>
      <c r="U53" s="52"/>
      <c r="V53" s="72"/>
    </row>
    <row r="54" spans="1:24" s="20" customFormat="1" hidden="1" x14ac:dyDescent="0.25">
      <c r="A54" s="203" t="s">
        <v>280</v>
      </c>
      <c r="B54" s="204"/>
      <c r="C54" s="180" t="e">
        <f>#REF!</f>
        <v>#REF!</v>
      </c>
      <c r="D54" s="238"/>
      <c r="E54" s="181"/>
      <c r="F54" s="17" t="s">
        <v>40</v>
      </c>
      <c r="G54" s="251"/>
      <c r="H54" s="252"/>
      <c r="K54" s="80">
        <f>EDATE(G52,-48)</f>
        <v>43468</v>
      </c>
      <c r="L54" s="20" t="str">
        <f ca="1">IF(G52&gt;EDATE(E3,-48),"NO REMARK","CC REMARK FOR CC")</f>
        <v>NO REMARK</v>
      </c>
      <c r="R54"/>
      <c r="S54" s="52" t="s">
        <v>255</v>
      </c>
      <c r="T54" s="52" t="s">
        <v>260</v>
      </c>
      <c r="U54" s="52" t="s">
        <v>257</v>
      </c>
      <c r="V54" s="52" t="s">
        <v>276</v>
      </c>
    </row>
    <row r="55" spans="1:24" s="20" customFormat="1" ht="32.25" hidden="1" customHeight="1" x14ac:dyDescent="0.25">
      <c r="A55" s="205"/>
      <c r="B55" s="206"/>
      <c r="C55" s="261"/>
      <c r="D55" s="262"/>
      <c r="E55" s="262"/>
      <c r="F55" s="262"/>
      <c r="G55" s="262"/>
      <c r="H55" s="263"/>
      <c r="R55"/>
      <c r="S55" s="52" t="s">
        <v>257</v>
      </c>
      <c r="T55" s="52" t="s">
        <v>261</v>
      </c>
      <c r="U55" s="52" t="s">
        <v>271</v>
      </c>
      <c r="V55" s="73"/>
      <c r="W55" s="18"/>
      <c r="X55" s="18"/>
    </row>
    <row r="56" spans="1:24" s="20" customFormat="1" ht="34.5" hidden="1" customHeight="1" x14ac:dyDescent="0.25">
      <c r="A56" s="203" t="s">
        <v>281</v>
      </c>
      <c r="B56" s="204"/>
      <c r="C56" s="180">
        <f>C55</f>
        <v>0</v>
      </c>
      <c r="D56" s="238"/>
      <c r="E56" s="181"/>
      <c r="F56" s="17" t="s">
        <v>40</v>
      </c>
      <c r="G56" s="251">
        <f>G55</f>
        <v>0</v>
      </c>
      <c r="H56" s="252"/>
      <c r="R56"/>
      <c r="S56" s="73"/>
      <c r="T56" s="52" t="s">
        <v>262</v>
      </c>
      <c r="U56" s="52" t="s">
        <v>272</v>
      </c>
      <c r="V56" s="73"/>
      <c r="W56" s="18"/>
      <c r="X56" s="18"/>
    </row>
    <row r="57" spans="1:24" s="20" customFormat="1" ht="41.25" hidden="1" customHeight="1" x14ac:dyDescent="0.25">
      <c r="A57" s="205"/>
      <c r="B57" s="206"/>
      <c r="C57" s="180"/>
      <c r="D57" s="238"/>
      <c r="E57" s="238"/>
      <c r="F57" s="238"/>
      <c r="G57" s="238"/>
      <c r="H57" s="181"/>
      <c r="R57"/>
      <c r="S57" s="73"/>
      <c r="T57" s="52" t="s">
        <v>264</v>
      </c>
      <c r="U57" s="52" t="s">
        <v>273</v>
      </c>
      <c r="V57" s="73"/>
      <c r="W57" s="18"/>
      <c r="X57" s="18"/>
    </row>
    <row r="58" spans="1:24" s="20" customFormat="1" ht="15.75" hidden="1" customHeight="1" x14ac:dyDescent="0.25">
      <c r="A58" s="203" t="s">
        <v>352</v>
      </c>
      <c r="B58" s="204"/>
      <c r="C58" s="239"/>
      <c r="D58" s="240"/>
      <c r="E58" s="241"/>
      <c r="F58" s="17" t="s">
        <v>40</v>
      </c>
      <c r="G58" s="251"/>
      <c r="H58" s="252"/>
      <c r="R58"/>
      <c r="S58" s="73"/>
      <c r="T58" s="52" t="s">
        <v>265</v>
      </c>
      <c r="U58" s="73" t="s">
        <v>295</v>
      </c>
      <c r="V58" s="73"/>
      <c r="W58" s="18"/>
      <c r="X58" s="18"/>
    </row>
    <row r="59" spans="1:24" s="20" customFormat="1" ht="33.75" hidden="1" customHeight="1" x14ac:dyDescent="0.25">
      <c r="A59" s="236"/>
      <c r="B59" s="237"/>
      <c r="C59" s="242"/>
      <c r="D59" s="243"/>
      <c r="E59" s="244"/>
      <c r="F59" s="17" t="s">
        <v>353</v>
      </c>
      <c r="G59" s="251"/>
      <c r="H59" s="252"/>
      <c r="R59"/>
      <c r="S59" s="73"/>
      <c r="T59" s="52" t="s">
        <v>266</v>
      </c>
      <c r="U59" s="73"/>
      <c r="V59" s="73"/>
      <c r="W59" s="18"/>
      <c r="X59" s="18"/>
    </row>
    <row r="60" spans="1:24" s="20" customFormat="1" ht="33.75" hidden="1" customHeight="1" x14ac:dyDescent="0.25">
      <c r="A60" s="205"/>
      <c r="B60" s="206"/>
      <c r="C60" s="180" t="s">
        <v>375</v>
      </c>
      <c r="D60" s="238"/>
      <c r="E60" s="238"/>
      <c r="F60" s="238"/>
      <c r="G60" s="238"/>
      <c r="H60" s="181"/>
      <c r="R60"/>
      <c r="S60" s="73"/>
      <c r="T60" s="52"/>
      <c r="U60" s="73"/>
      <c r="V60" s="73"/>
      <c r="W60" s="18"/>
      <c r="X60" s="18"/>
    </row>
    <row r="61" spans="1:24" x14ac:dyDescent="0.25">
      <c r="A61" s="197" t="s">
        <v>42</v>
      </c>
      <c r="B61" s="198"/>
      <c r="C61" s="197" t="s">
        <v>101</v>
      </c>
      <c r="D61" s="199"/>
      <c r="E61" s="198"/>
      <c r="F61" s="40" t="s">
        <v>40</v>
      </c>
      <c r="G61" s="201" t="s">
        <v>28</v>
      </c>
      <c r="H61" s="202"/>
      <c r="R61"/>
      <c r="S61" s="73"/>
      <c r="T61" s="52" t="s">
        <v>268</v>
      </c>
      <c r="U61" s="73"/>
      <c r="V61" s="73"/>
    </row>
    <row r="62" spans="1:24" x14ac:dyDescent="0.25">
      <c r="A62" s="230" t="s">
        <v>44</v>
      </c>
      <c r="B62" s="230"/>
      <c r="C62" s="230"/>
      <c r="D62" s="230"/>
      <c r="E62" s="230"/>
      <c r="F62" s="230"/>
      <c r="G62" s="230"/>
      <c r="H62" s="230"/>
      <c r="S62" s="73"/>
      <c r="T62" s="52" t="s">
        <v>277</v>
      </c>
      <c r="U62" s="73"/>
      <c r="V62" s="73"/>
    </row>
    <row r="63" spans="1:24" ht="32.1" customHeight="1" x14ac:dyDescent="0.25">
      <c r="A63" s="183" t="s">
        <v>432</v>
      </c>
      <c r="B63" s="183"/>
      <c r="C63" s="183"/>
      <c r="D63" s="191">
        <f>3040.5+2902.14+2928.93+2732.66+2928.93+2732.66</f>
        <v>17265.82</v>
      </c>
      <c r="E63" s="191"/>
      <c r="F63" s="191"/>
      <c r="G63" s="191"/>
      <c r="H63" s="191"/>
      <c r="R63"/>
    </row>
    <row r="64" spans="1:24" x14ac:dyDescent="0.25">
      <c r="A64" s="234" t="s">
        <v>45</v>
      </c>
      <c r="B64" s="159"/>
      <c r="C64" s="159"/>
      <c r="D64" s="159" t="s">
        <v>433</v>
      </c>
      <c r="E64" s="159"/>
      <c r="F64" s="159"/>
      <c r="G64" s="159"/>
      <c r="H64" s="159"/>
      <c r="I64" s="21"/>
      <c r="R64"/>
    </row>
    <row r="65" spans="1:19" ht="79.5" customHeight="1" x14ac:dyDescent="0.25">
      <c r="A65" s="160" t="s">
        <v>46</v>
      </c>
      <c r="B65" s="161"/>
      <c r="C65" s="162"/>
      <c r="D65" s="184" t="s">
        <v>417</v>
      </c>
      <c r="E65" s="256"/>
      <c r="F65" s="256"/>
      <c r="G65" s="256"/>
      <c r="H65" s="256"/>
      <c r="R65"/>
    </row>
    <row r="66" spans="1:19" ht="15.75" customHeight="1" x14ac:dyDescent="0.25">
      <c r="A66" s="160" t="s">
        <v>85</v>
      </c>
      <c r="B66" s="161"/>
      <c r="C66" s="162"/>
      <c r="D66" s="159" t="s">
        <v>420</v>
      </c>
      <c r="E66" s="159"/>
      <c r="F66" s="159"/>
      <c r="G66" s="159"/>
      <c r="H66" s="159"/>
      <c r="R66"/>
    </row>
    <row r="67" spans="1:19" ht="15.75" customHeight="1" x14ac:dyDescent="0.25">
      <c r="A67" s="163"/>
      <c r="B67" s="164"/>
      <c r="C67" s="165"/>
      <c r="D67" s="159" t="s">
        <v>421</v>
      </c>
      <c r="E67" s="159"/>
      <c r="F67" s="159"/>
      <c r="G67" s="159"/>
      <c r="H67" s="159"/>
      <c r="R67"/>
    </row>
    <row r="68" spans="1:19" ht="15.75" customHeight="1" x14ac:dyDescent="0.25">
      <c r="A68" s="163"/>
      <c r="B68" s="164"/>
      <c r="C68" s="165"/>
      <c r="D68" s="159" t="s">
        <v>422</v>
      </c>
      <c r="E68" s="159"/>
      <c r="F68" s="159"/>
      <c r="G68" s="159"/>
      <c r="H68" s="159"/>
      <c r="S68"/>
    </row>
    <row r="69" spans="1:19" ht="15.75" customHeight="1" x14ac:dyDescent="0.25">
      <c r="A69" s="163"/>
      <c r="B69" s="164"/>
      <c r="C69" s="165"/>
      <c r="D69" s="159" t="s">
        <v>423</v>
      </c>
      <c r="E69" s="159"/>
      <c r="F69" s="159"/>
      <c r="G69" s="159"/>
      <c r="H69" s="159"/>
      <c r="R69"/>
    </row>
    <row r="70" spans="1:19" ht="15.75" customHeight="1" x14ac:dyDescent="0.25">
      <c r="A70" s="163"/>
      <c r="B70" s="164"/>
      <c r="C70" s="165"/>
      <c r="D70" s="159" t="s">
        <v>424</v>
      </c>
      <c r="E70" s="159"/>
      <c r="F70" s="159"/>
      <c r="G70" s="159"/>
      <c r="H70" s="159"/>
      <c r="S70"/>
    </row>
    <row r="71" spans="1:19" ht="15.75" customHeight="1" x14ac:dyDescent="0.25">
      <c r="A71" s="166"/>
      <c r="B71" s="167"/>
      <c r="C71" s="168"/>
      <c r="D71" s="159" t="s">
        <v>425</v>
      </c>
      <c r="E71" s="159"/>
      <c r="F71" s="159"/>
      <c r="G71" s="159"/>
      <c r="H71" s="159"/>
      <c r="S71"/>
    </row>
    <row r="72" spans="1:19" ht="15.75" customHeight="1" x14ac:dyDescent="0.25">
      <c r="A72" s="191" t="s">
        <v>43</v>
      </c>
      <c r="B72" s="191"/>
      <c r="C72" s="191"/>
      <c r="D72" s="260" t="s">
        <v>396</v>
      </c>
      <c r="E72" s="260"/>
      <c r="F72" s="260"/>
      <c r="G72" s="260"/>
      <c r="H72" s="260"/>
      <c r="J72" s="22"/>
      <c r="K72" s="21"/>
      <c r="N72" s="21"/>
      <c r="S72"/>
    </row>
    <row r="73" spans="1:19" ht="15.75" customHeight="1" x14ac:dyDescent="0.25">
      <c r="A73" s="191" t="s">
        <v>83</v>
      </c>
      <c r="B73" s="191"/>
      <c r="C73" s="191"/>
      <c r="D73" s="254" t="str">
        <f>(IF(G61="NA","60 Years After Completion",IF(G61&lt;&gt;"NA",""&amp;60-ROUNDDOWN((E3-G61)/360,0)&amp;" Years"," ")))</f>
        <v>60 Years After Completion</v>
      </c>
      <c r="E73" s="254"/>
      <c r="F73" s="254"/>
      <c r="G73" s="254"/>
      <c r="H73" s="254"/>
      <c r="N73" s="21"/>
      <c r="S73"/>
    </row>
    <row r="74" spans="1:19" ht="15.75" customHeight="1" x14ac:dyDescent="0.25">
      <c r="A74" s="191" t="s">
        <v>84</v>
      </c>
      <c r="B74" s="191"/>
      <c r="C74" s="191"/>
      <c r="D74" s="183" t="s">
        <v>23</v>
      </c>
      <c r="E74" s="183"/>
      <c r="F74" s="183"/>
      <c r="G74" s="183"/>
      <c r="H74" s="183"/>
      <c r="J74" s="23"/>
      <c r="K74" s="23"/>
      <c r="S74"/>
    </row>
    <row r="75" spans="1:19" ht="47.45" customHeight="1" x14ac:dyDescent="0.25">
      <c r="A75" s="159" t="s">
        <v>398</v>
      </c>
      <c r="B75" s="159"/>
      <c r="C75" s="159"/>
      <c r="D75" s="234" t="s">
        <v>397</v>
      </c>
      <c r="E75" s="183"/>
      <c r="F75" s="183"/>
      <c r="G75" s="183"/>
      <c r="H75" s="183"/>
      <c r="S75"/>
    </row>
    <row r="76" spans="1:19" x14ac:dyDescent="0.25">
      <c r="A76" s="183" t="s">
        <v>144</v>
      </c>
      <c r="B76" s="183"/>
      <c r="C76" s="183"/>
      <c r="D76" s="183" t="s">
        <v>28</v>
      </c>
      <c r="E76" s="183"/>
      <c r="F76" s="183"/>
      <c r="G76" s="183"/>
      <c r="H76" s="183"/>
      <c r="I76" s="24"/>
      <c r="J76" s="24"/>
      <c r="K76" s="24"/>
      <c r="L76" s="24"/>
      <c r="M76" s="24"/>
      <c r="N76" s="24"/>
    </row>
    <row r="77" spans="1:19" ht="15.75" customHeight="1" x14ac:dyDescent="0.25">
      <c r="A77" s="250" t="s">
        <v>82</v>
      </c>
      <c r="B77" s="250"/>
      <c r="C77" s="250"/>
      <c r="D77" s="184" t="str">
        <f ca="1">(IF(G83&gt;95%,"Nothing",IF(G83&gt;0%,"Cement, Aggregate, Steel, etc",IF(G83=0%,"Work not yet Started"))))</f>
        <v>Cement, Aggregate, Steel, etc</v>
      </c>
      <c r="E77" s="184"/>
      <c r="F77" s="184"/>
      <c r="G77" s="184"/>
      <c r="H77" s="184"/>
      <c r="J77" s="23"/>
      <c r="S77"/>
    </row>
    <row r="78" spans="1:19" ht="33.75" customHeight="1" thickBot="1" x14ac:dyDescent="0.3">
      <c r="A78" s="249" t="s">
        <v>114</v>
      </c>
      <c r="B78" s="249"/>
      <c r="C78" s="249"/>
      <c r="D78" s="184" t="str">
        <f ca="1">(IF(D77="Nothing","Yes",IF(D77="Cement, Aggregate, Steel, etc","Under Construction",IF(D77="Work not yet Started","Work not yet Started"))))</f>
        <v>Under Construction</v>
      </c>
      <c r="E78" s="184"/>
      <c r="F78" s="184" t="str">
        <f ca="1">(IF(D77="Nothing","Yes",IF(D77="Cement, Aggregate, Steel, etc","Under Construction",IF(D77="Work not yet Started","Work not yet Started"))))</f>
        <v>Under Construction</v>
      </c>
      <c r="G78" s="184"/>
      <c r="H78" s="184"/>
      <c r="S78"/>
    </row>
    <row r="79" spans="1:19" ht="15.75" customHeight="1" x14ac:dyDescent="0.25">
      <c r="A79" s="128" t="s">
        <v>134</v>
      </c>
      <c r="B79" s="129"/>
      <c r="C79" s="130" t="str">
        <f>D66</f>
        <v xml:space="preserve">Building No.1 (Type A) = Gr + 1st to 7th Floor </v>
      </c>
      <c r="D79" s="131"/>
      <c r="E79" s="131"/>
      <c r="F79" s="131"/>
      <c r="G79" s="131"/>
      <c r="H79" s="132"/>
      <c r="I79" s="42" t="str">
        <f ca="1">IF(D92=100%,"All work Completed. Possession granted to the Building.",IF(D91=100%,"All work Completed, Waiting for OC",I80&amp;""&amp;I81&amp;""&amp;J80&amp;""&amp;J79&amp;" "&amp;J81))</f>
        <v>Excavation, Plinth, RCC Slab, Brickwork Completed, Internal Plaster upto 4 Floor, External Plaster upto 3 Floor Completed</v>
      </c>
      <c r="J79" s="43" t="str">
        <f ca="1">(IF(C85=(D80+F80+H80),"",IF(C85&gt;0,", RCC upto "&amp;C85&amp;" Slab","")))&amp;(IF(C86=H80,"",IF(C86&gt;0,", Brickwork upto "&amp;C86&amp;" Floor","")))&amp;(IF(C87=H80,"",IF(C87&gt;0,", Internal Plaster upto "&amp;C87&amp;" Floor","")))&amp;(IF(C88=H80,"",IF(C88&gt;0,", External Plaster upto "&amp;C88&amp;" Floor","")))&amp;(IF(C89=H80,"",IF(C89&gt;0,", Flooring upto "&amp;C89&amp;" Floor","")))&amp;(IF(C90=H80,"",IF(C90&gt;0,", Painting upto "&amp;C90&amp;" Floor","")))&amp;(IF(C91=H80,"",IF(C91&gt;0,", Finishing upto "&amp;C91&amp;" Floor","")))&amp;(IF(C92=H80,"",IF(C92&gt;0,", Possession upto "&amp;C92&amp;" Floor","")))</f>
        <v>, Internal Plaster upto 4 Floor, External Plaster upto 3 Floor</v>
      </c>
      <c r="S79"/>
    </row>
    <row r="80" spans="1:19" x14ac:dyDescent="0.25">
      <c r="A80" s="15" t="s">
        <v>136</v>
      </c>
      <c r="B80" s="101">
        <f>IF(AND(ISNUMBER(SEARCH("1B",C79))),1,IF(AND(ISNUMBER(SEARCH("2B",C79))),2,IF(AND(ISNUMBER(SEARCH("3B",C79))),3,IF(AND(ISNUMBER(SEARCH("4B",C79))),4,IF(ISNUMBER(SEARCH("5B",C79)),5,0)))))</f>
        <v>0</v>
      </c>
      <c r="C80" s="101" t="s">
        <v>68</v>
      </c>
      <c r="D80" s="101">
        <v>1</v>
      </c>
      <c r="E80" s="101" t="s">
        <v>67</v>
      </c>
      <c r="F80" s="101">
        <v>0</v>
      </c>
      <c r="G80" s="101" t="s">
        <v>76</v>
      </c>
      <c r="H80" s="16">
        <f ca="1">--TRIM(RIGHT(SUBSTITUTE(LEFT(C79,_xlfn.AGGREGATE(16,6,FIND({0,1,2,3,4,5,6,7,8,9},C79,ROW(INDIRECT("1:"&amp;LEN(C79)))),1))," ",REPT(" ",LEN(C79))),LEN(C79)))</f>
        <v>7</v>
      </c>
      <c r="I80" s="44" t="str">
        <f ca="1">IF(D83=100%,"Excavation","")&amp;IF(D84=100%,", Plinth","")&amp;IF(D85=100%,", RCC Slab","")&amp;IF(D86=100%,", Brickwork","")&amp;IF(D87=100%,", Internal Plaster","")&amp;IF(D88=100%,", External Plaster","")&amp;IF(D89=100%,", Flooring","")&amp;IF(D90=100%,", Painting","")&amp;IF(D91=100%,", Building common Amenities","")</f>
        <v>Excavation, Plinth, RCC Slab, Brickwork</v>
      </c>
      <c r="J80" s="45" t="str">
        <f ca="1">(IF(C83=0,"Work not yet Started.",IF(D83=25%,"Piling work in process",IF(D83=50%,"Excavation work in process",IF(D83=100%,"","0")))))&amp;(IF(C84=0%,"",IF(C84=J85,", Footing work is process",IF(C84=J86,", Footing work Completed",IF(C84=J87,", 1st Basement Completed",IF(C84=J88,", 1st &amp; 2nd Basement Completed",IF(C84=J89,", 1st to 3rd Basement Completed",IF(C84=J90,", 1st to 4th Basement Completed",IF(C84=J91,", Plinth work is process",IF(C84=J92,"","0"))))))))))</f>
        <v/>
      </c>
      <c r="S80"/>
    </row>
    <row r="81" spans="1:19" ht="33" customHeight="1" x14ac:dyDescent="0.25">
      <c r="A81" s="133" t="s">
        <v>86</v>
      </c>
      <c r="B81" s="134"/>
      <c r="C81" s="135" t="str">
        <f ca="1">I79</f>
        <v>Excavation, Plinth, RCC Slab, Brickwork Completed, Internal Plaster upto 4 Floor, External Plaster upto 3 Floor Completed</v>
      </c>
      <c r="D81" s="135"/>
      <c r="E81" s="135"/>
      <c r="F81" s="135"/>
      <c r="G81" s="135"/>
      <c r="H81" s="136"/>
      <c r="I81" s="44" t="str">
        <f ca="1">IF(I80&lt;&gt;""," Completed","")</f>
        <v xml:space="preserve"> Completed</v>
      </c>
      <c r="J81" s="45" t="str">
        <f ca="1">IF(J79&lt;&gt;"","Completed","")</f>
        <v>Completed</v>
      </c>
      <c r="S81"/>
    </row>
    <row r="82" spans="1:19" ht="15.75" customHeight="1" x14ac:dyDescent="0.25">
      <c r="A82" s="137" t="s">
        <v>47</v>
      </c>
      <c r="B82" s="138"/>
      <c r="C82" s="107" t="s">
        <v>133</v>
      </c>
      <c r="D82" s="107" t="s">
        <v>79</v>
      </c>
      <c r="E82" s="138" t="s">
        <v>81</v>
      </c>
      <c r="F82" s="138"/>
      <c r="G82" s="138" t="s">
        <v>80</v>
      </c>
      <c r="H82" s="139"/>
      <c r="I82" s="13" t="s">
        <v>135</v>
      </c>
      <c r="J82" s="25">
        <f ca="1">H80*25%</f>
        <v>1.75</v>
      </c>
      <c r="S82"/>
    </row>
    <row r="83" spans="1:19" x14ac:dyDescent="0.25">
      <c r="A83" s="137" t="s">
        <v>122</v>
      </c>
      <c r="B83" s="138"/>
      <c r="C83" s="107">
        <f ca="1">J84</f>
        <v>7</v>
      </c>
      <c r="D83" s="108">
        <f ca="1">((100/H80)*C83)/100</f>
        <v>1</v>
      </c>
      <c r="E83" s="140">
        <f ca="1">(((C84/H80*10)+(40/(D80+F80+H80)*C85)+(7.5/(H80)*C86)+(7.5/(H80)*C87)+(10/H80*C88)+(10/H80*C89)+(5/H80*C90)+(5/H80*C91)+(5/H80*C92))/100)</f>
        <v>0.6607142857142857</v>
      </c>
      <c r="F83" s="141"/>
      <c r="G83" s="140">
        <f ca="1">((((C83/H80)*20)+((C84/H80)*25)+(30/(H80+F80+D80)*C85)+(5/H80*C86)+(5/H80*C87)+(5/H80*C88)+(5/H80*C89)+(0/H80*C90)+(0/H80*C91)+(5/H80*C92))/100)</f>
        <v>0.85</v>
      </c>
      <c r="H83" s="146"/>
      <c r="I83" s="13" t="s">
        <v>96</v>
      </c>
      <c r="J83" s="26">
        <f ca="1">H80*50%</f>
        <v>3.5</v>
      </c>
    </row>
    <row r="84" spans="1:19" x14ac:dyDescent="0.25">
      <c r="A84" s="137" t="s">
        <v>48</v>
      </c>
      <c r="B84" s="138"/>
      <c r="C84" s="107">
        <f ca="1">J92</f>
        <v>7</v>
      </c>
      <c r="D84" s="108">
        <f ca="1">((100/H80)*C84)/100</f>
        <v>1</v>
      </c>
      <c r="E84" s="142"/>
      <c r="F84" s="143"/>
      <c r="G84" s="142"/>
      <c r="H84" s="147"/>
      <c r="I84" s="13" t="s">
        <v>97</v>
      </c>
      <c r="J84" s="26">
        <f ca="1">H80</f>
        <v>7</v>
      </c>
      <c r="S84"/>
    </row>
    <row r="85" spans="1:19" ht="15.75" customHeight="1" x14ac:dyDescent="0.25">
      <c r="A85" s="137" t="s">
        <v>123</v>
      </c>
      <c r="B85" s="138"/>
      <c r="C85" s="107">
        <v>8</v>
      </c>
      <c r="D85" s="108">
        <f ca="1">((100/(D80+F80+H80))*C85)/100</f>
        <v>1</v>
      </c>
      <c r="E85" s="142"/>
      <c r="F85" s="143"/>
      <c r="G85" s="142"/>
      <c r="H85" s="147"/>
      <c r="I85" s="13" t="s">
        <v>98</v>
      </c>
      <c r="J85" s="27">
        <f ca="1">(IF(B80&gt;1,(H80/(B80+2)),H80/4))</f>
        <v>1.75</v>
      </c>
      <c r="S85"/>
    </row>
    <row r="86" spans="1:19" ht="15.75" customHeight="1" x14ac:dyDescent="0.25">
      <c r="A86" s="137" t="s">
        <v>130</v>
      </c>
      <c r="B86" s="138" t="s">
        <v>124</v>
      </c>
      <c r="C86" s="107">
        <v>7</v>
      </c>
      <c r="D86" s="108">
        <f ca="1">((100/H80)*C86)/100</f>
        <v>1</v>
      </c>
      <c r="E86" s="142"/>
      <c r="F86" s="143"/>
      <c r="G86" s="142"/>
      <c r="H86" s="147"/>
      <c r="I86" s="13" t="s">
        <v>99</v>
      </c>
      <c r="J86" s="27">
        <f ca="1">(IF(B80&gt;1,(H80/(B80+2)+J85),H80/4+J85))</f>
        <v>3.5</v>
      </c>
    </row>
    <row r="87" spans="1:19" ht="15.75" customHeight="1" x14ac:dyDescent="0.25">
      <c r="A87" s="137" t="s">
        <v>131</v>
      </c>
      <c r="B87" s="138" t="s">
        <v>124</v>
      </c>
      <c r="C87" s="107">
        <v>4</v>
      </c>
      <c r="D87" s="108">
        <f ca="1">((100/H80)*C87)/100</f>
        <v>0.57142857142857151</v>
      </c>
      <c r="E87" s="142"/>
      <c r="F87" s="143"/>
      <c r="G87" s="142"/>
      <c r="H87" s="147"/>
      <c r="I87" s="13" t="s">
        <v>142</v>
      </c>
      <c r="J87" s="27">
        <f>(IF(B80&gt;1,(H80/(B80+2)+J86),0))</f>
        <v>0</v>
      </c>
    </row>
    <row r="88" spans="1:19" ht="15" customHeight="1" x14ac:dyDescent="0.25">
      <c r="A88" s="137" t="s">
        <v>129</v>
      </c>
      <c r="B88" s="138" t="s">
        <v>126</v>
      </c>
      <c r="C88" s="107">
        <v>3</v>
      </c>
      <c r="D88" s="108">
        <f ca="1">((100/(H80))*C88)/100</f>
        <v>0.4285714285714286</v>
      </c>
      <c r="E88" s="142"/>
      <c r="F88" s="143"/>
      <c r="G88" s="142"/>
      <c r="H88" s="147"/>
      <c r="I88" s="13" t="s">
        <v>137</v>
      </c>
      <c r="J88" s="27">
        <f>(IF(B80&gt;2,(H80/(B80+2)+J87),0))</f>
        <v>0</v>
      </c>
    </row>
    <row r="89" spans="1:19" ht="15.75" customHeight="1" x14ac:dyDescent="0.25">
      <c r="A89" s="137" t="s">
        <v>125</v>
      </c>
      <c r="B89" s="138" t="s">
        <v>125</v>
      </c>
      <c r="C89" s="107">
        <v>0</v>
      </c>
      <c r="D89" s="108">
        <f ca="1">((100/H80)*C89)/100</f>
        <v>0</v>
      </c>
      <c r="E89" s="142"/>
      <c r="F89" s="143"/>
      <c r="G89" s="142"/>
      <c r="H89" s="147"/>
      <c r="I89" s="13" t="s">
        <v>138</v>
      </c>
      <c r="J89" s="28">
        <f>(IF(B80&gt;3,(H80/(B80+2)+J88),0))</f>
        <v>0</v>
      </c>
    </row>
    <row r="90" spans="1:19" ht="15.75" customHeight="1" x14ac:dyDescent="0.25">
      <c r="A90" s="137" t="s">
        <v>132</v>
      </c>
      <c r="B90" s="138"/>
      <c r="C90" s="107">
        <v>0</v>
      </c>
      <c r="D90" s="108">
        <f ca="1">((100/H80)*C90)/100</f>
        <v>0</v>
      </c>
      <c r="E90" s="142"/>
      <c r="F90" s="143"/>
      <c r="G90" s="142"/>
      <c r="H90" s="147"/>
      <c r="I90" s="13" t="s">
        <v>139</v>
      </c>
      <c r="J90" s="27">
        <f>(IF(B80&gt;4,(H80/(B80+2)+J89),0))</f>
        <v>0</v>
      </c>
    </row>
    <row r="91" spans="1:19" ht="15.75" customHeight="1" x14ac:dyDescent="0.25">
      <c r="A91" s="137" t="s">
        <v>127</v>
      </c>
      <c r="B91" s="138" t="s">
        <v>127</v>
      </c>
      <c r="C91" s="107">
        <v>0</v>
      </c>
      <c r="D91" s="108">
        <f ca="1">((100/(H80))*C91)/100</f>
        <v>0</v>
      </c>
      <c r="E91" s="142"/>
      <c r="F91" s="143"/>
      <c r="G91" s="142"/>
      <c r="H91" s="147"/>
      <c r="I91" s="13" t="s">
        <v>143</v>
      </c>
      <c r="J91" s="27">
        <f ca="1">(IF(B80=1,(H80/(B80+3)+J86),IF(B80=0,(H80/4+J86),IF(B80&gt;1,0))))</f>
        <v>5.25</v>
      </c>
    </row>
    <row r="92" spans="1:19" ht="16.5" thickBot="1" x14ac:dyDescent="0.3">
      <c r="A92" s="149" t="s">
        <v>128</v>
      </c>
      <c r="B92" s="150"/>
      <c r="C92" s="109">
        <v>0</v>
      </c>
      <c r="D92" s="110">
        <f ca="1">((100/(H80))*C92)/100</f>
        <v>0</v>
      </c>
      <c r="E92" s="144"/>
      <c r="F92" s="145"/>
      <c r="G92" s="144"/>
      <c r="H92" s="148"/>
      <c r="I92" s="14" t="s">
        <v>100</v>
      </c>
      <c r="J92" s="29">
        <f ca="1">(IF(B80&gt;1.5,(H80/(B80+2)+J86+MAX(0,J87-J86)+MAX(0,J88-J87)+MAX(0,J89-J88)+MAX(0,J90-J89)+MAX(0,J91-J90)),IF(B80=1,(H80/(B80+3)+J91),IF(B80=0,H80/4+J91))))</f>
        <v>7</v>
      </c>
    </row>
    <row r="93" spans="1:19" ht="15.75" customHeight="1" x14ac:dyDescent="0.25">
      <c r="A93" s="128" t="s">
        <v>134</v>
      </c>
      <c r="B93" s="129"/>
      <c r="C93" s="130" t="str">
        <f>D67</f>
        <v xml:space="preserve">Building No.1 (Type B) = Gr + 1st to 7th Floor </v>
      </c>
      <c r="D93" s="131"/>
      <c r="E93" s="131"/>
      <c r="F93" s="131"/>
      <c r="G93" s="131"/>
      <c r="H93" s="132"/>
      <c r="I93" s="42" t="str">
        <f ca="1">IF(D106=100%,"All work Completed. Possession granted to the Building.",IF(D105=100%,"All work Completed, Waiting for OC",I94&amp;""&amp;I95&amp;""&amp;J94&amp;""&amp;J93&amp;" "&amp;J95))</f>
        <v>Excavation, Plinth Completed, RCC upto 5 Slab, Brickwork upto 4 Floor Completed</v>
      </c>
      <c r="J93" s="43" t="str">
        <f ca="1">(IF(C99=(D94+F94+H94),"",IF(C99&gt;0,", RCC upto "&amp;C99&amp;" Slab","")))&amp;(IF(C100=H94,"",IF(C100&gt;0,", Brickwork upto "&amp;C100&amp;" Floor","")))&amp;(IF(C101=H94,"",IF(C101&gt;0,", Internal Plaster upto "&amp;C101&amp;" Floor","")))&amp;(IF(C102=H94,"",IF(C102&gt;0,", External Plaster upto "&amp;C102&amp;" Floor","")))&amp;(IF(C103=H94,"",IF(C103&gt;0,", Flooring upto "&amp;C103&amp;" Floor","")))&amp;(IF(C104=H94,"",IF(C104&gt;0,", Painting upto "&amp;C104&amp;" Floor","")))&amp;(IF(C105=H94,"",IF(C105&gt;0,", Finishing upto "&amp;C105&amp;" Floor","")))&amp;(IF(C106=H94,"",IF(C106&gt;0,", Possession upto "&amp;C106&amp;" Floor","")))</f>
        <v>, RCC upto 5 Slab, Brickwork upto 4 Floor</v>
      </c>
      <c r="S93"/>
    </row>
    <row r="94" spans="1:19" x14ac:dyDescent="0.25">
      <c r="A94" s="15" t="s">
        <v>136</v>
      </c>
      <c r="B94" s="101">
        <f>IF(AND(ISNUMBER(SEARCH("1B",C93))),1,IF(AND(ISNUMBER(SEARCH("2B",C93))),2,IF(AND(ISNUMBER(SEARCH("3B",C93))),3,IF(AND(ISNUMBER(SEARCH("4B",C93))),4,IF(ISNUMBER(SEARCH("5B",C93)),5,0)))))</f>
        <v>0</v>
      </c>
      <c r="C94" s="101" t="s">
        <v>68</v>
      </c>
      <c r="D94" s="101">
        <v>1</v>
      </c>
      <c r="E94" s="101" t="s">
        <v>67</v>
      </c>
      <c r="F94" s="101">
        <v>0</v>
      </c>
      <c r="G94" s="101" t="s">
        <v>76</v>
      </c>
      <c r="H94" s="16">
        <f ca="1">--TRIM(RIGHT(SUBSTITUTE(LEFT(C93,_xlfn.AGGREGATE(16,6,FIND({0,1,2,3,4,5,6,7,8,9},C93,ROW(INDIRECT("1:"&amp;LEN(C93)))),1))," ",REPT(" ",LEN(C93))),LEN(C93)))</f>
        <v>7</v>
      </c>
      <c r="I94" s="44" t="str">
        <f ca="1">IF(D97=100%,"Excavation","")&amp;IF(D98=100%,", Plinth","")&amp;IF(D99=100%,", RCC Slab","")&amp;IF(D100=100%,", Brickwork","")&amp;IF(D101=100%,", Internal Plaster","")&amp;IF(D102=100%,", External Plaster","")&amp;IF(D103=100%,", Flooring","")&amp;IF(D104=100%,", Painting","")&amp;IF(D105=100%,", Building common Amenities","")</f>
        <v>Excavation, Plinth</v>
      </c>
      <c r="J94" s="45" t="str">
        <f ca="1">(IF(C97=0,"Work not yet Started.",IF(D97=25%,"Piling work in process",IF(D97=50%,"Excavation work in process",IF(D97=100%,"","0")))))&amp;(IF(C98=0%,"",IF(C98=J99,", Footing work is process",IF(C98=J100,", Footing work Completed",IF(C98=J101,", 1st Basement Completed",IF(C98=J102,", 1st &amp; 2nd Basement Completed",IF(C98=J103,", 1st to 3rd Basement Completed",IF(C98=J104,", 1st to 4th Basement Completed",IF(C98=J105,", Plinth work is process",IF(C98=J106,"","0"))))))))))</f>
        <v/>
      </c>
      <c r="S94"/>
    </row>
    <row r="95" spans="1:19" ht="33" customHeight="1" x14ac:dyDescent="0.25">
      <c r="A95" s="133" t="s">
        <v>86</v>
      </c>
      <c r="B95" s="134"/>
      <c r="C95" s="135" t="str">
        <f ca="1">I93</f>
        <v>Excavation, Plinth Completed, RCC upto 5 Slab, Brickwork upto 4 Floor Completed</v>
      </c>
      <c r="D95" s="135"/>
      <c r="E95" s="135"/>
      <c r="F95" s="135"/>
      <c r="G95" s="135"/>
      <c r="H95" s="136"/>
      <c r="I95" s="44" t="str">
        <f ca="1">IF(I94&lt;&gt;""," Completed","")</f>
        <v xml:space="preserve"> Completed</v>
      </c>
      <c r="J95" s="45" t="str">
        <f ca="1">IF(J93&lt;&gt;"","Completed","")</f>
        <v>Completed</v>
      </c>
      <c r="S95"/>
    </row>
    <row r="96" spans="1:19" ht="15.75" customHeight="1" x14ac:dyDescent="0.25">
      <c r="A96" s="137" t="s">
        <v>47</v>
      </c>
      <c r="B96" s="138"/>
      <c r="C96" s="107" t="s">
        <v>133</v>
      </c>
      <c r="D96" s="107" t="s">
        <v>79</v>
      </c>
      <c r="E96" s="138" t="s">
        <v>81</v>
      </c>
      <c r="F96" s="138"/>
      <c r="G96" s="138" t="s">
        <v>80</v>
      </c>
      <c r="H96" s="139"/>
      <c r="I96" s="13" t="s">
        <v>135</v>
      </c>
      <c r="J96" s="25">
        <f ca="1">H94*25%</f>
        <v>1.75</v>
      </c>
      <c r="S96"/>
    </row>
    <row r="97" spans="1:19" x14ac:dyDescent="0.25">
      <c r="A97" s="138" t="s">
        <v>122</v>
      </c>
      <c r="B97" s="138"/>
      <c r="C97" s="107">
        <f ca="1">J98</f>
        <v>7</v>
      </c>
      <c r="D97" s="108">
        <f ca="1">((100/H94)*C97)/100</f>
        <v>1</v>
      </c>
      <c r="E97" s="169">
        <f ca="1">(((C98/H94*10)+(40/(D94+F94+H94)*C99)+(7.5/(H94)*C100)+(7.5/(H94)*C101)+(10/H94*C102)+(10/H94*C103)+(5/H94*C104)+(5/H94*C105)+(5/H94*C106))/100)</f>
        <v>0.39285714285714285</v>
      </c>
      <c r="F97" s="169"/>
      <c r="G97" s="169">
        <f ca="1">((((C97/H94)*20)+((C98/H94)*25)+(30/(H94+F94+D94)*C99)+(5/H94*C100)+(5/H94*C101)+(5/H94*C102)+(5/H94*C103)+(0/H94*C104)+(0/H94*C105)+(5/H94*C106))/100)</f>
        <v>0.66607142857142865</v>
      </c>
      <c r="H97" s="169"/>
      <c r="I97" s="13" t="s">
        <v>96</v>
      </c>
      <c r="J97" s="26">
        <f ca="1">H94*50%</f>
        <v>3.5</v>
      </c>
    </row>
    <row r="98" spans="1:19" x14ac:dyDescent="0.25">
      <c r="A98" s="138" t="s">
        <v>48</v>
      </c>
      <c r="B98" s="138"/>
      <c r="C98" s="107">
        <f ca="1">J106</f>
        <v>7</v>
      </c>
      <c r="D98" s="108">
        <f ca="1">((100/H94)*C98)/100</f>
        <v>1</v>
      </c>
      <c r="E98" s="169"/>
      <c r="F98" s="169"/>
      <c r="G98" s="169"/>
      <c r="H98" s="169"/>
      <c r="I98" s="13" t="s">
        <v>97</v>
      </c>
      <c r="J98" s="26">
        <f ca="1">H94</f>
        <v>7</v>
      </c>
      <c r="S98"/>
    </row>
    <row r="99" spans="1:19" ht="15.75" customHeight="1" x14ac:dyDescent="0.25">
      <c r="A99" s="138" t="s">
        <v>123</v>
      </c>
      <c r="B99" s="138"/>
      <c r="C99" s="107">
        <v>5</v>
      </c>
      <c r="D99" s="108">
        <f ca="1">((100/(D94+F94+H94))*C99)/100</f>
        <v>0.625</v>
      </c>
      <c r="E99" s="169"/>
      <c r="F99" s="169"/>
      <c r="G99" s="169"/>
      <c r="H99" s="169"/>
      <c r="I99" s="13" t="s">
        <v>98</v>
      </c>
      <c r="J99" s="27">
        <f ca="1">(IF(B94&gt;1,(H94/(B94+2)),H94/4))</f>
        <v>1.75</v>
      </c>
      <c r="S99"/>
    </row>
    <row r="100" spans="1:19" ht="15.75" customHeight="1" x14ac:dyDescent="0.25">
      <c r="A100" s="138" t="s">
        <v>130</v>
      </c>
      <c r="B100" s="138" t="s">
        <v>124</v>
      </c>
      <c r="C100" s="107">
        <v>4</v>
      </c>
      <c r="D100" s="108">
        <f ca="1">((100/H94)*C100)/100</f>
        <v>0.57142857142857151</v>
      </c>
      <c r="E100" s="169"/>
      <c r="F100" s="169"/>
      <c r="G100" s="169"/>
      <c r="H100" s="169"/>
      <c r="I100" s="13" t="s">
        <v>99</v>
      </c>
      <c r="J100" s="27">
        <f ca="1">(IF(B94&gt;1,(H94/(B94+2)+J99),H94/4+J99))</f>
        <v>3.5</v>
      </c>
    </row>
    <row r="101" spans="1:19" ht="15.75" customHeight="1" x14ac:dyDescent="0.25">
      <c r="A101" s="138" t="s">
        <v>131</v>
      </c>
      <c r="B101" s="138" t="s">
        <v>124</v>
      </c>
      <c r="C101" s="107">
        <v>0</v>
      </c>
      <c r="D101" s="108">
        <f ca="1">((100/H94)*C101)/100</f>
        <v>0</v>
      </c>
      <c r="E101" s="169"/>
      <c r="F101" s="169"/>
      <c r="G101" s="169"/>
      <c r="H101" s="169"/>
      <c r="I101" s="13" t="s">
        <v>142</v>
      </c>
      <c r="J101" s="27">
        <f>(IF(B94&gt;1,(H94/(B94+2)+J100),0))</f>
        <v>0</v>
      </c>
    </row>
    <row r="102" spans="1:19" ht="15" customHeight="1" x14ac:dyDescent="0.25">
      <c r="A102" s="138" t="s">
        <v>129</v>
      </c>
      <c r="B102" s="138" t="s">
        <v>126</v>
      </c>
      <c r="C102" s="107">
        <v>0</v>
      </c>
      <c r="D102" s="108">
        <f ca="1">((100/(H94))*C102)/100</f>
        <v>0</v>
      </c>
      <c r="E102" s="169"/>
      <c r="F102" s="169"/>
      <c r="G102" s="169"/>
      <c r="H102" s="169"/>
      <c r="I102" s="13" t="s">
        <v>137</v>
      </c>
      <c r="J102" s="27">
        <f>(IF(B94&gt;2,(H94/(B94+2)+J101),0))</f>
        <v>0</v>
      </c>
    </row>
    <row r="103" spans="1:19" ht="15.75" customHeight="1" x14ac:dyDescent="0.25">
      <c r="A103" s="138" t="s">
        <v>125</v>
      </c>
      <c r="B103" s="138" t="s">
        <v>125</v>
      </c>
      <c r="C103" s="107">
        <v>0</v>
      </c>
      <c r="D103" s="108">
        <f ca="1">((100/H94)*C103)/100</f>
        <v>0</v>
      </c>
      <c r="E103" s="169"/>
      <c r="F103" s="169"/>
      <c r="G103" s="169"/>
      <c r="H103" s="169"/>
      <c r="I103" s="13" t="s">
        <v>138</v>
      </c>
      <c r="J103" s="28">
        <f>(IF(B94&gt;3,(H94/(B94+2)+J102),0))</f>
        <v>0</v>
      </c>
    </row>
    <row r="104" spans="1:19" ht="15.75" customHeight="1" x14ac:dyDescent="0.25">
      <c r="A104" s="138" t="s">
        <v>132</v>
      </c>
      <c r="B104" s="138"/>
      <c r="C104" s="107">
        <v>0</v>
      </c>
      <c r="D104" s="108">
        <f ca="1">((100/H94)*C104)/100</f>
        <v>0</v>
      </c>
      <c r="E104" s="169"/>
      <c r="F104" s="169"/>
      <c r="G104" s="169"/>
      <c r="H104" s="169"/>
      <c r="I104" s="13" t="s">
        <v>139</v>
      </c>
      <c r="J104" s="27">
        <f>(IF(B94&gt;4,(H94/(B94+2)+J103),0))</f>
        <v>0</v>
      </c>
    </row>
    <row r="105" spans="1:19" ht="15.75" customHeight="1" x14ac:dyDescent="0.25">
      <c r="A105" s="138" t="s">
        <v>127</v>
      </c>
      <c r="B105" s="138" t="s">
        <v>127</v>
      </c>
      <c r="C105" s="107">
        <v>0</v>
      </c>
      <c r="D105" s="108">
        <f ca="1">((100/(H94))*C105)/100</f>
        <v>0</v>
      </c>
      <c r="E105" s="169"/>
      <c r="F105" s="169"/>
      <c r="G105" s="169"/>
      <c r="H105" s="169"/>
      <c r="I105" s="13" t="s">
        <v>143</v>
      </c>
      <c r="J105" s="27">
        <f ca="1">(IF(B94=1,(H94/(B94+3)+J100),IF(B94=0,(H94/4+J100),IF(B94&gt;1,0))))</f>
        <v>5.25</v>
      </c>
    </row>
    <row r="106" spans="1:19" ht="16.5" thickBot="1" x14ac:dyDescent="0.3">
      <c r="A106" s="138" t="s">
        <v>128</v>
      </c>
      <c r="B106" s="138"/>
      <c r="C106" s="107">
        <v>0</v>
      </c>
      <c r="D106" s="108">
        <f ca="1">((100/(H94))*C106)/100</f>
        <v>0</v>
      </c>
      <c r="E106" s="169"/>
      <c r="F106" s="169"/>
      <c r="G106" s="169"/>
      <c r="H106" s="169"/>
      <c r="I106" s="14" t="s">
        <v>100</v>
      </c>
      <c r="J106" s="29">
        <f ca="1">(IF(B94&gt;1.5,(H94/(B94+2)+J100+MAX(0,J101-J100)+MAX(0,J102-J101)+MAX(0,J103-J102)+MAX(0,J104-J103)+MAX(0,J105-J104)),IF(B94=1,(H94/(B94+3)+J105),IF(B94=0,H94/4+J105))))</f>
        <v>7</v>
      </c>
    </row>
    <row r="107" spans="1:19" ht="15.75" customHeight="1" x14ac:dyDescent="0.25">
      <c r="A107" s="135" t="s">
        <v>134</v>
      </c>
      <c r="B107" s="135"/>
      <c r="C107" s="135" t="str">
        <f>D68</f>
        <v>Building No.2 (Type C) = Gr + 1st to 7th Floor</v>
      </c>
      <c r="D107" s="135"/>
      <c r="E107" s="135"/>
      <c r="F107" s="135"/>
      <c r="G107" s="135"/>
      <c r="H107" s="135"/>
      <c r="I107" s="111" t="str">
        <f ca="1">IF(D120=100%,"All work Completed. Possession granted to the Building.",IF(D119=100%,"All work Completed, Waiting for OC",I108&amp;""&amp;I109&amp;""&amp;J108&amp;""&amp;J107&amp;" "&amp;J109))</f>
        <v xml:space="preserve">Excavation, Plinth Completed </v>
      </c>
      <c r="J107" s="43" t="str">
        <f ca="1">(IF(C113=(D108+F108+H108),"",IF(C113&gt;0,", RCC upto "&amp;C113&amp;" Slab","")))&amp;(IF(C114=H108,"",IF(C114&gt;0,", Brickwork upto "&amp;C114&amp;" Floor","")))&amp;(IF(C115=H108,"",IF(C115&gt;0,", Internal Plaster upto "&amp;C115&amp;" Floor","")))&amp;(IF(C116=H108,"",IF(C116&gt;0,", External Plaster upto "&amp;C116&amp;" Floor","")))&amp;(IF(C117=H108,"",IF(C117&gt;0,", Flooring upto "&amp;C117&amp;" Floor","")))&amp;(IF(C118=H108,"",IF(C118&gt;0,", Painting upto "&amp;C118&amp;" Floor","")))&amp;(IF(C119=H108,"",IF(C119&gt;0,", Finishing upto "&amp;C119&amp;" Floor","")))&amp;(IF(C120=H108,"",IF(C120&gt;0,", Possession upto "&amp;C120&amp;" Floor","")))</f>
        <v/>
      </c>
      <c r="S107"/>
    </row>
    <row r="108" spans="1:19" x14ac:dyDescent="0.25">
      <c r="A108" s="101" t="s">
        <v>136</v>
      </c>
      <c r="B108" s="101">
        <f>IF(AND(ISNUMBER(SEARCH("1B",C107))),1,IF(AND(ISNUMBER(SEARCH("2B",C107))),2,IF(AND(ISNUMBER(SEARCH("3B",C107))),3,IF(AND(ISNUMBER(SEARCH("4B",C107))),4,IF(ISNUMBER(SEARCH("5B",C107)),5,0)))))</f>
        <v>0</v>
      </c>
      <c r="C108" s="101" t="s">
        <v>68</v>
      </c>
      <c r="D108" s="101">
        <v>1</v>
      </c>
      <c r="E108" s="101" t="s">
        <v>67</v>
      </c>
      <c r="F108" s="101">
        <v>0</v>
      </c>
      <c r="G108" s="101" t="s">
        <v>76</v>
      </c>
      <c r="H108" s="101">
        <f ca="1">--TRIM(RIGHT(SUBSTITUTE(LEFT(C107,_xlfn.AGGREGATE(16,6,FIND({0,1,2,3,4,5,6,7,8,9},C107,ROW(INDIRECT("1:"&amp;LEN(C107)))),1))," ",REPT(" ",LEN(C107))),LEN(C107)))</f>
        <v>7</v>
      </c>
      <c r="I108" s="112" t="str">
        <f ca="1">IF(D111=100%,"Excavation","")&amp;IF(D112=100%,", Plinth","")&amp;IF(D113=100%,", RCC Slab","")&amp;IF(D114=100%,", Brickwork","")&amp;IF(D115=100%,", Internal Plaster","")&amp;IF(D116=100%,", External Plaster","")&amp;IF(D117=100%,", Flooring","")&amp;IF(D118=100%,", Painting","")&amp;IF(D119=100%,", Building common Amenities","")</f>
        <v>Excavation, Plinth</v>
      </c>
      <c r="J108" s="45" t="str">
        <f ca="1">(IF(C111=0,"Work not yet Started.",IF(D111=25%,"Piling work in process",IF(D111=50%,"Excavation work in process",IF(D111=100%,"","0")))))&amp;(IF(C112=0%,"",IF(C112=J113,", Footing work is process",IF(C112=J114,", Footing work Completed",IF(C112=J115,", 1st Basement Completed",IF(C112=J116,", 1st &amp; 2nd Basement Completed",IF(C112=J117,", 1st to 3rd Basement Completed",IF(C112=J118,", 1st to 4th Basement Completed",IF(C112=J119,", Plinth work is process",IF(C112=J120,"","0"))))))))))</f>
        <v/>
      </c>
      <c r="S108"/>
    </row>
    <row r="109" spans="1:19" x14ac:dyDescent="0.25">
      <c r="A109" s="134" t="s">
        <v>86</v>
      </c>
      <c r="B109" s="134"/>
      <c r="C109" s="135" t="str">
        <f ca="1">I107</f>
        <v xml:space="preserve">Excavation, Plinth Completed </v>
      </c>
      <c r="D109" s="135"/>
      <c r="E109" s="135"/>
      <c r="F109" s="135"/>
      <c r="G109" s="135"/>
      <c r="H109" s="135"/>
      <c r="I109" s="112" t="str">
        <f ca="1">IF(I108&lt;&gt;""," Completed","")</f>
        <v xml:space="preserve"> Completed</v>
      </c>
      <c r="J109" s="45" t="str">
        <f ca="1">IF(J107&lt;&gt;"","Completed","")</f>
        <v/>
      </c>
      <c r="S109"/>
    </row>
    <row r="110" spans="1:19" ht="15.75" customHeight="1" x14ac:dyDescent="0.25">
      <c r="A110" s="138" t="s">
        <v>47</v>
      </c>
      <c r="B110" s="138"/>
      <c r="C110" s="107" t="s">
        <v>133</v>
      </c>
      <c r="D110" s="107" t="s">
        <v>79</v>
      </c>
      <c r="E110" s="138" t="s">
        <v>81</v>
      </c>
      <c r="F110" s="138"/>
      <c r="G110" s="138" t="s">
        <v>80</v>
      </c>
      <c r="H110" s="138"/>
      <c r="I110" s="13" t="s">
        <v>135</v>
      </c>
      <c r="J110" s="25">
        <f ca="1">H108*25%</f>
        <v>1.75</v>
      </c>
      <c r="S110"/>
    </row>
    <row r="111" spans="1:19" x14ac:dyDescent="0.25">
      <c r="A111" s="138" t="s">
        <v>122</v>
      </c>
      <c r="B111" s="138"/>
      <c r="C111" s="107">
        <f ca="1">J112</f>
        <v>7</v>
      </c>
      <c r="D111" s="108">
        <f ca="1">((100/H108)*C111)/100</f>
        <v>1</v>
      </c>
      <c r="E111" s="169">
        <f ca="1">(((C112/H108*10)+(40/(D108+F108+H108)*C113)+(7.5/(H108)*C114)+(7.5/(H108)*C115)+(10/H108*C116)+(10/H108*C117)+(5/H108*C118)+(5/H108*C119)+(5/H108*C120))/100)</f>
        <v>0.1</v>
      </c>
      <c r="F111" s="169"/>
      <c r="G111" s="169">
        <f ca="1">((((C111/H108)*20)+((C112/H108)*25)+(30/(H108+F108+D108)*C113)+(5/H108*C114)+(5/H108*C115)+(5/H108*C116)+(5/H108*C117)+(0/H108*C118)+(0/H108*C119)+(5/H108*C120))/100)</f>
        <v>0.45</v>
      </c>
      <c r="H111" s="169"/>
      <c r="I111" s="13" t="s">
        <v>96</v>
      </c>
      <c r="J111" s="26">
        <f ca="1">H108*50%</f>
        <v>3.5</v>
      </c>
    </row>
    <row r="112" spans="1:19" x14ac:dyDescent="0.25">
      <c r="A112" s="138" t="s">
        <v>48</v>
      </c>
      <c r="B112" s="138"/>
      <c r="C112" s="107">
        <f ca="1">J120</f>
        <v>7</v>
      </c>
      <c r="D112" s="108">
        <f ca="1">((100/H108)*C112)/100</f>
        <v>1</v>
      </c>
      <c r="E112" s="169"/>
      <c r="F112" s="169"/>
      <c r="G112" s="169"/>
      <c r="H112" s="169"/>
      <c r="I112" s="13" t="s">
        <v>97</v>
      </c>
      <c r="J112" s="26">
        <f ca="1">H108</f>
        <v>7</v>
      </c>
      <c r="S112"/>
    </row>
    <row r="113" spans="1:19" ht="15.75" customHeight="1" x14ac:dyDescent="0.25">
      <c r="A113" s="138" t="s">
        <v>123</v>
      </c>
      <c r="B113" s="138"/>
      <c r="C113" s="107">
        <v>0</v>
      </c>
      <c r="D113" s="108">
        <f ca="1">((100/(D108+F108+H108))*C113)/100</f>
        <v>0</v>
      </c>
      <c r="E113" s="169"/>
      <c r="F113" s="169"/>
      <c r="G113" s="169"/>
      <c r="H113" s="169"/>
      <c r="I113" s="13" t="s">
        <v>98</v>
      </c>
      <c r="J113" s="27">
        <f ca="1">(IF(B108&gt;1,(H108/(B108+2)),H108/4))</f>
        <v>1.75</v>
      </c>
      <c r="S113"/>
    </row>
    <row r="114" spans="1:19" ht="15.75" customHeight="1" x14ac:dyDescent="0.25">
      <c r="A114" s="138" t="s">
        <v>130</v>
      </c>
      <c r="B114" s="138" t="s">
        <v>124</v>
      </c>
      <c r="C114" s="107">
        <v>0</v>
      </c>
      <c r="D114" s="108">
        <f ca="1">((100/H108)*C114)/100</f>
        <v>0</v>
      </c>
      <c r="E114" s="169"/>
      <c r="F114" s="169"/>
      <c r="G114" s="169"/>
      <c r="H114" s="169"/>
      <c r="I114" s="13" t="s">
        <v>99</v>
      </c>
      <c r="J114" s="27">
        <f ca="1">(IF(B108&gt;1,(H108/(B108+2)+J113),H108/4+J113))</f>
        <v>3.5</v>
      </c>
    </row>
    <row r="115" spans="1:19" ht="15.75" customHeight="1" x14ac:dyDescent="0.25">
      <c r="A115" s="138" t="s">
        <v>131</v>
      </c>
      <c r="B115" s="138" t="s">
        <v>124</v>
      </c>
      <c r="C115" s="107">
        <v>0</v>
      </c>
      <c r="D115" s="108">
        <f ca="1">((100/H108)*C115)/100</f>
        <v>0</v>
      </c>
      <c r="E115" s="169"/>
      <c r="F115" s="169"/>
      <c r="G115" s="169"/>
      <c r="H115" s="169"/>
      <c r="I115" s="13" t="s">
        <v>142</v>
      </c>
      <c r="J115" s="27">
        <f>(IF(B108&gt;1,(H108/(B108+2)+J114),0))</f>
        <v>0</v>
      </c>
    </row>
    <row r="116" spans="1:19" ht="15" customHeight="1" x14ac:dyDescent="0.25">
      <c r="A116" s="138" t="s">
        <v>129</v>
      </c>
      <c r="B116" s="138" t="s">
        <v>126</v>
      </c>
      <c r="C116" s="107">
        <v>0</v>
      </c>
      <c r="D116" s="108">
        <f ca="1">((100/(H108))*C116)/100</f>
        <v>0</v>
      </c>
      <c r="E116" s="169"/>
      <c r="F116" s="169"/>
      <c r="G116" s="169"/>
      <c r="H116" s="169"/>
      <c r="I116" s="13" t="s">
        <v>137</v>
      </c>
      <c r="J116" s="27">
        <f>(IF(B108&gt;2,(H108/(B108+2)+J115),0))</f>
        <v>0</v>
      </c>
    </row>
    <row r="117" spans="1:19" ht="15.75" customHeight="1" x14ac:dyDescent="0.25">
      <c r="A117" s="138" t="s">
        <v>125</v>
      </c>
      <c r="B117" s="138" t="s">
        <v>125</v>
      </c>
      <c r="C117" s="107">
        <v>0</v>
      </c>
      <c r="D117" s="108">
        <f ca="1">((100/H108)*C117)/100</f>
        <v>0</v>
      </c>
      <c r="E117" s="169"/>
      <c r="F117" s="169"/>
      <c r="G117" s="169"/>
      <c r="H117" s="169"/>
      <c r="I117" s="13" t="s">
        <v>138</v>
      </c>
      <c r="J117" s="28">
        <f>(IF(B108&gt;3,(H108/(B108+2)+J116),0))</f>
        <v>0</v>
      </c>
    </row>
    <row r="118" spans="1:19" ht="15.75" customHeight="1" x14ac:dyDescent="0.25">
      <c r="A118" s="138" t="s">
        <v>132</v>
      </c>
      <c r="B118" s="138"/>
      <c r="C118" s="107">
        <v>0</v>
      </c>
      <c r="D118" s="108">
        <f ca="1">((100/H108)*C118)/100</f>
        <v>0</v>
      </c>
      <c r="E118" s="169"/>
      <c r="F118" s="169"/>
      <c r="G118" s="169"/>
      <c r="H118" s="169"/>
      <c r="I118" s="13" t="s">
        <v>139</v>
      </c>
      <c r="J118" s="27">
        <f>(IF(B108&gt;4,(H108/(B108+2)+J117),0))</f>
        <v>0</v>
      </c>
    </row>
    <row r="119" spans="1:19" ht="15.75" customHeight="1" x14ac:dyDescent="0.25">
      <c r="A119" s="138" t="s">
        <v>127</v>
      </c>
      <c r="B119" s="138" t="s">
        <v>127</v>
      </c>
      <c r="C119" s="107">
        <v>0</v>
      </c>
      <c r="D119" s="108">
        <f ca="1">((100/(H108))*C119)/100</f>
        <v>0</v>
      </c>
      <c r="E119" s="169"/>
      <c r="F119" s="169"/>
      <c r="G119" s="169"/>
      <c r="H119" s="169"/>
      <c r="I119" s="13" t="s">
        <v>143</v>
      </c>
      <c r="J119" s="27">
        <f ca="1">(IF(B108=1,(H108/(B108+3)+J114),IF(B108=0,(H108/4+J114),IF(B108&gt;1,0))))</f>
        <v>5.25</v>
      </c>
    </row>
    <row r="120" spans="1:19" ht="16.5" thickBot="1" x14ac:dyDescent="0.3">
      <c r="A120" s="138" t="s">
        <v>128</v>
      </c>
      <c r="B120" s="138"/>
      <c r="C120" s="107">
        <v>0</v>
      </c>
      <c r="D120" s="108">
        <f ca="1">((100/(H108))*C120)/100</f>
        <v>0</v>
      </c>
      <c r="E120" s="169"/>
      <c r="F120" s="169"/>
      <c r="G120" s="169"/>
      <c r="H120" s="169"/>
      <c r="I120" s="14" t="s">
        <v>100</v>
      </c>
      <c r="J120" s="29">
        <f ca="1">(IF(B108&gt;1.5,(H108/(B108+2)+J114+MAX(0,J115-J114)+MAX(0,J116-J115)+MAX(0,J117-J116)+MAX(0,J118-J117)+MAX(0,J119-J118)),IF(B108=1,(H108/(B108+3)+J119),IF(B108=0,H108/4+J119))))</f>
        <v>7</v>
      </c>
    </row>
    <row r="121" spans="1:19" ht="15.75" customHeight="1" x14ac:dyDescent="0.25">
      <c r="A121" s="135" t="s">
        <v>134</v>
      </c>
      <c r="B121" s="135"/>
      <c r="C121" s="135" t="str">
        <f>D69</f>
        <v>Building No.3 (Type D) = Gr + 1st to 7th Floor</v>
      </c>
      <c r="D121" s="135"/>
      <c r="E121" s="135"/>
      <c r="F121" s="135"/>
      <c r="G121" s="135"/>
      <c r="H121" s="135"/>
      <c r="I121" s="111" t="str">
        <f ca="1">IF(D134=100%,"All work Completed. Possession granted to the Building.",IF(D133=100%,"All work Completed, Waiting for OC",I122&amp;""&amp;I123&amp;""&amp;J122&amp;""&amp;J121&amp;" "&amp;J123))</f>
        <v xml:space="preserve">Work not yet Started. </v>
      </c>
      <c r="J121" s="43" t="str">
        <f ca="1">(IF(C127=(D122+F122+H122),"",IF(C127&gt;0,", RCC upto "&amp;C127&amp;" Slab","")))&amp;(IF(C128=H122,"",IF(C128&gt;0,", Brickwork upto "&amp;C128&amp;" Floor","")))&amp;(IF(C129=H122,"",IF(C129&gt;0,", Internal Plaster upto "&amp;C129&amp;" Floor","")))&amp;(IF(C130=H122,"",IF(C130&gt;0,", External Plaster upto "&amp;C130&amp;" Floor","")))&amp;(IF(C131=H122,"",IF(C131&gt;0,", Flooring upto "&amp;C131&amp;" Floor","")))&amp;(IF(C132=H122,"",IF(C132&gt;0,", Painting upto "&amp;C132&amp;" Floor","")))&amp;(IF(C133=H122,"",IF(C133&gt;0,", Finishing upto "&amp;C133&amp;" Floor","")))&amp;(IF(C134=H122,"",IF(C134&gt;0,", Possession upto "&amp;C134&amp;" Floor","")))</f>
        <v/>
      </c>
      <c r="S121"/>
    </row>
    <row r="122" spans="1:19" x14ac:dyDescent="0.25">
      <c r="A122" s="101" t="s">
        <v>136</v>
      </c>
      <c r="B122" s="101">
        <f>IF(AND(ISNUMBER(SEARCH("1B",C121))),1,IF(AND(ISNUMBER(SEARCH("2B",C121))),2,IF(AND(ISNUMBER(SEARCH("3B",C121))),3,IF(AND(ISNUMBER(SEARCH("4B",C121))),4,IF(ISNUMBER(SEARCH("5B",C121)),5,0)))))</f>
        <v>0</v>
      </c>
      <c r="C122" s="101" t="s">
        <v>68</v>
      </c>
      <c r="D122" s="101">
        <v>1</v>
      </c>
      <c r="E122" s="101" t="s">
        <v>67</v>
      </c>
      <c r="F122" s="101">
        <v>0</v>
      </c>
      <c r="G122" s="101" t="s">
        <v>76</v>
      </c>
      <c r="H122" s="101">
        <f ca="1">--TRIM(RIGHT(SUBSTITUTE(LEFT(C121,_xlfn.AGGREGATE(16,6,FIND({0,1,2,3,4,5,6,7,8,9},C121,ROW(INDIRECT("1:"&amp;LEN(C121)))),1))," ",REPT(" ",LEN(C121))),LEN(C121)))</f>
        <v>7</v>
      </c>
      <c r="I122" s="112" t="str">
        <f ca="1">IF(D125=100%,"Excavation","")&amp;IF(D126=100%,", Plinth","")&amp;IF(D127=100%,", RCC Slab","")&amp;IF(D128=100%,", Brickwork","")&amp;IF(D129=100%,", Internal Plaster","")&amp;IF(D130=100%,", External Plaster","")&amp;IF(D131=100%,", Flooring","")&amp;IF(D132=100%,", Painting","")&amp;IF(D133=100%,", Building common Amenities","")</f>
        <v/>
      </c>
      <c r="J122" s="45" t="str">
        <f>(IF(C125=0,"Work not yet Started.",IF(D125=25%,"Piling work in process",IF(D125=50%,"Excavation work in process",IF(D125=100%,"","0")))))&amp;(IF(C126=0%,"",IF(C126=J127,", Footing work is process",IF(C126=J128,", Footing work Completed",IF(C126=J129,", 1st Basement Completed",IF(C126=J130,", 1st &amp; 2nd Basement Completed",IF(C126=J131,", 1st to 3rd Basement Completed",IF(C126=J132,", 1st to 4th Basement Completed",IF(C126=J133,", Plinth work is process",IF(C126=J134,"","0"))))))))))</f>
        <v>Work not yet Started.</v>
      </c>
      <c r="S122"/>
    </row>
    <row r="123" spans="1:19" x14ac:dyDescent="0.25">
      <c r="A123" s="134" t="s">
        <v>86</v>
      </c>
      <c r="B123" s="134"/>
      <c r="C123" s="135" t="str">
        <f ca="1">I121</f>
        <v xml:space="preserve">Work not yet Started. </v>
      </c>
      <c r="D123" s="135"/>
      <c r="E123" s="135"/>
      <c r="F123" s="135"/>
      <c r="G123" s="135"/>
      <c r="H123" s="135"/>
      <c r="I123" s="112" t="str">
        <f ca="1">IF(I122&lt;&gt;""," Completed","")</f>
        <v/>
      </c>
      <c r="J123" s="45" t="str">
        <f ca="1">IF(J121&lt;&gt;"","Completed","")</f>
        <v/>
      </c>
      <c r="S123"/>
    </row>
    <row r="124" spans="1:19" ht="15.75" customHeight="1" x14ac:dyDescent="0.25">
      <c r="A124" s="138" t="s">
        <v>47</v>
      </c>
      <c r="B124" s="138"/>
      <c r="C124" s="107" t="s">
        <v>133</v>
      </c>
      <c r="D124" s="107" t="s">
        <v>79</v>
      </c>
      <c r="E124" s="138" t="s">
        <v>81</v>
      </c>
      <c r="F124" s="138"/>
      <c r="G124" s="138" t="s">
        <v>80</v>
      </c>
      <c r="H124" s="138"/>
      <c r="I124" s="13" t="s">
        <v>135</v>
      </c>
      <c r="J124" s="25">
        <f ca="1">H122*25%</f>
        <v>1.75</v>
      </c>
      <c r="S124"/>
    </row>
    <row r="125" spans="1:19" x14ac:dyDescent="0.25">
      <c r="A125" s="138" t="s">
        <v>122</v>
      </c>
      <c r="B125" s="138"/>
      <c r="C125" s="107">
        <v>0</v>
      </c>
      <c r="D125" s="108">
        <f ca="1">((100/H122)*C125)/100</f>
        <v>0</v>
      </c>
      <c r="E125" s="169">
        <f ca="1">(((C126/H122*10)+(40/(D122+F122+H122)*C127)+(7.5/(H122)*C128)+(7.5/(H122)*C129)+(10/H122*C130)+(10/H122*C131)+(5/H122*C132)+(5/H122*C133)+(5/H122*C134))/100)</f>
        <v>0</v>
      </c>
      <c r="F125" s="169"/>
      <c r="G125" s="169">
        <f ca="1">((((C125/H122)*20)+((C126/H122)*25)+(30/(H122+F122+D122)*C127)+(5/H122*C128)+(5/H122*C129)+(5/H122*C130)+(5/H122*C131)+(0/H122*C132)+(0/H122*C133)+(5/H122*C134))/100)</f>
        <v>0</v>
      </c>
      <c r="H125" s="169"/>
      <c r="I125" s="13" t="s">
        <v>96</v>
      </c>
      <c r="J125" s="26">
        <f ca="1">H122*50%</f>
        <v>3.5</v>
      </c>
    </row>
    <row r="126" spans="1:19" x14ac:dyDescent="0.25">
      <c r="A126" s="138" t="s">
        <v>48</v>
      </c>
      <c r="B126" s="138"/>
      <c r="C126" s="107">
        <v>0</v>
      </c>
      <c r="D126" s="108">
        <f ca="1">((100/H122)*C126)/100</f>
        <v>0</v>
      </c>
      <c r="E126" s="169"/>
      <c r="F126" s="169"/>
      <c r="G126" s="169"/>
      <c r="H126" s="169"/>
      <c r="I126" s="13" t="s">
        <v>97</v>
      </c>
      <c r="J126" s="26">
        <f ca="1">H122</f>
        <v>7</v>
      </c>
      <c r="S126"/>
    </row>
    <row r="127" spans="1:19" ht="15.75" customHeight="1" x14ac:dyDescent="0.25">
      <c r="A127" s="138" t="s">
        <v>123</v>
      </c>
      <c r="B127" s="138"/>
      <c r="C127" s="107">
        <v>0</v>
      </c>
      <c r="D127" s="108">
        <f ca="1">((100/(D122+F122+H122))*C127)/100</f>
        <v>0</v>
      </c>
      <c r="E127" s="169"/>
      <c r="F127" s="169"/>
      <c r="G127" s="169"/>
      <c r="H127" s="169"/>
      <c r="I127" s="13" t="s">
        <v>98</v>
      </c>
      <c r="J127" s="27">
        <f ca="1">(IF(B122&gt;1,(H122/(B122+2)),H122/4))</f>
        <v>1.75</v>
      </c>
      <c r="S127"/>
    </row>
    <row r="128" spans="1:19" ht="15.75" customHeight="1" x14ac:dyDescent="0.25">
      <c r="A128" s="138" t="s">
        <v>130</v>
      </c>
      <c r="B128" s="138" t="s">
        <v>124</v>
      </c>
      <c r="C128" s="107">
        <v>0</v>
      </c>
      <c r="D128" s="108">
        <f ca="1">((100/H122)*C128)/100</f>
        <v>0</v>
      </c>
      <c r="E128" s="169"/>
      <c r="F128" s="169"/>
      <c r="G128" s="169"/>
      <c r="H128" s="169"/>
      <c r="I128" s="13" t="s">
        <v>99</v>
      </c>
      <c r="J128" s="27">
        <f ca="1">(IF(B122&gt;1,(H122/(B122+2)+J127),H122/4+J127))</f>
        <v>3.5</v>
      </c>
    </row>
    <row r="129" spans="1:19" ht="15.75" customHeight="1" x14ac:dyDescent="0.25">
      <c r="A129" s="138" t="s">
        <v>131</v>
      </c>
      <c r="B129" s="138" t="s">
        <v>124</v>
      </c>
      <c r="C129" s="107">
        <v>0</v>
      </c>
      <c r="D129" s="108">
        <f ca="1">((100/H122)*C129)/100</f>
        <v>0</v>
      </c>
      <c r="E129" s="169"/>
      <c r="F129" s="169"/>
      <c r="G129" s="169"/>
      <c r="H129" s="169"/>
      <c r="I129" s="13" t="s">
        <v>142</v>
      </c>
      <c r="J129" s="27">
        <f>(IF(B122&gt;1,(H122/(B122+2)+J128),0))</f>
        <v>0</v>
      </c>
    </row>
    <row r="130" spans="1:19" ht="15" customHeight="1" x14ac:dyDescent="0.25">
      <c r="A130" s="138" t="s">
        <v>129</v>
      </c>
      <c r="B130" s="138" t="s">
        <v>126</v>
      </c>
      <c r="C130" s="107">
        <v>0</v>
      </c>
      <c r="D130" s="108">
        <f ca="1">((100/(H122))*C130)/100</f>
        <v>0</v>
      </c>
      <c r="E130" s="169"/>
      <c r="F130" s="169"/>
      <c r="G130" s="169"/>
      <c r="H130" s="169"/>
      <c r="I130" s="13" t="s">
        <v>137</v>
      </c>
      <c r="J130" s="27">
        <f>(IF(B122&gt;2,(H122/(B122+2)+J129),0))</f>
        <v>0</v>
      </c>
    </row>
    <row r="131" spans="1:19" ht="15.75" customHeight="1" x14ac:dyDescent="0.25">
      <c r="A131" s="138" t="s">
        <v>125</v>
      </c>
      <c r="B131" s="138" t="s">
        <v>125</v>
      </c>
      <c r="C131" s="107">
        <v>0</v>
      </c>
      <c r="D131" s="108">
        <f ca="1">((100/H122)*C131)/100</f>
        <v>0</v>
      </c>
      <c r="E131" s="169"/>
      <c r="F131" s="169"/>
      <c r="G131" s="169"/>
      <c r="H131" s="169"/>
      <c r="I131" s="13" t="s">
        <v>138</v>
      </c>
      <c r="J131" s="28">
        <f>(IF(B122&gt;3,(H122/(B122+2)+J130),0))</f>
        <v>0</v>
      </c>
    </row>
    <row r="132" spans="1:19" ht="15.75" customHeight="1" x14ac:dyDescent="0.25">
      <c r="A132" s="138" t="s">
        <v>132</v>
      </c>
      <c r="B132" s="138"/>
      <c r="C132" s="107">
        <v>0</v>
      </c>
      <c r="D132" s="108">
        <f ca="1">((100/H122)*C132)/100</f>
        <v>0</v>
      </c>
      <c r="E132" s="169"/>
      <c r="F132" s="169"/>
      <c r="G132" s="169"/>
      <c r="H132" s="169"/>
      <c r="I132" s="13" t="s">
        <v>139</v>
      </c>
      <c r="J132" s="27">
        <f>(IF(B122&gt;4,(H122/(B122+2)+J131),0))</f>
        <v>0</v>
      </c>
    </row>
    <row r="133" spans="1:19" ht="15.75" customHeight="1" x14ac:dyDescent="0.25">
      <c r="A133" s="138" t="s">
        <v>127</v>
      </c>
      <c r="B133" s="138" t="s">
        <v>127</v>
      </c>
      <c r="C133" s="107">
        <v>0</v>
      </c>
      <c r="D133" s="108">
        <f ca="1">((100/(H122))*C133)/100</f>
        <v>0</v>
      </c>
      <c r="E133" s="169"/>
      <c r="F133" s="169"/>
      <c r="G133" s="169"/>
      <c r="H133" s="169"/>
      <c r="I133" s="13" t="s">
        <v>143</v>
      </c>
      <c r="J133" s="27">
        <f ca="1">(IF(B122=1,(H122/(B122+3)+J128),IF(B122=0,(H122/4+J128),IF(B122&gt;1,0))))</f>
        <v>5.25</v>
      </c>
    </row>
    <row r="134" spans="1:19" ht="16.5" thickBot="1" x14ac:dyDescent="0.3">
      <c r="A134" s="138" t="s">
        <v>128</v>
      </c>
      <c r="B134" s="138"/>
      <c r="C134" s="107">
        <v>0</v>
      </c>
      <c r="D134" s="108">
        <f ca="1">((100/(H122))*C134)/100</f>
        <v>0</v>
      </c>
      <c r="E134" s="169"/>
      <c r="F134" s="169"/>
      <c r="G134" s="169"/>
      <c r="H134" s="169"/>
      <c r="I134" s="14" t="s">
        <v>100</v>
      </c>
      <c r="J134" s="29">
        <f ca="1">(IF(B122&gt;1.5,(H122/(B122+2)+J128+MAX(0,J129-J128)+MAX(0,J130-J129)+MAX(0,J131-J130)+MAX(0,J132-J131)+MAX(0,J133-J132)),IF(B122=1,(H122/(B122+3)+J133),IF(B122=0,H122/4+J133))))</f>
        <v>7</v>
      </c>
    </row>
    <row r="135" spans="1:19" ht="15.75" customHeight="1" x14ac:dyDescent="0.25">
      <c r="A135" s="151" t="s">
        <v>134</v>
      </c>
      <c r="B135" s="152"/>
      <c r="C135" s="153" t="str">
        <f>D70</f>
        <v>Building No.4 (Type C1) = Gr + 1st to 7th Floor</v>
      </c>
      <c r="D135" s="154"/>
      <c r="E135" s="154"/>
      <c r="F135" s="154"/>
      <c r="G135" s="154"/>
      <c r="H135" s="155"/>
      <c r="I135" s="42" t="str">
        <f ca="1">IF(D148=100%,"All work Completed. Possession granted to the Building.",IF(D147=100%,"All work Completed, Waiting for OC",I136&amp;""&amp;I137&amp;""&amp;J136&amp;""&amp;J135&amp;" "&amp;J137))</f>
        <v>Excavation, Plinth, RCC Slab, Brickwork, Internal Plaster, External Plaster, Flooring Completed, Painting upto 6 Floor Completed</v>
      </c>
      <c r="J135" s="43" t="str">
        <f ca="1">(IF(C141=(D136+F136+H136),"",IF(C141&gt;0,", RCC upto "&amp;C141&amp;" Slab","")))&amp;(IF(C142=H136,"",IF(C142&gt;0,", Brickwork upto "&amp;C142&amp;" Floor","")))&amp;(IF(C143=H136,"",IF(C143&gt;0,", Internal Plaster upto "&amp;C143&amp;" Floor","")))&amp;(IF(C144=H136,"",IF(C144&gt;0,", External Plaster upto "&amp;C144&amp;" Floor","")))&amp;(IF(C145=H136,"",IF(C145&gt;0,", Flooring upto "&amp;C145&amp;" Floor","")))&amp;(IF(C146=H136,"",IF(C146&gt;0,", Painting upto "&amp;C146&amp;" Floor","")))&amp;(IF(C147=H136,"",IF(C147&gt;0,", Finishing upto "&amp;C147&amp;" Floor","")))&amp;(IF(C148=H136,"",IF(C148&gt;0,", Possession upto "&amp;C148&amp;" Floor","")))</f>
        <v>, Painting upto 6 Floor</v>
      </c>
      <c r="S135"/>
    </row>
    <row r="136" spans="1:19" x14ac:dyDescent="0.25">
      <c r="A136" s="15" t="s">
        <v>136</v>
      </c>
      <c r="B136" s="101">
        <f>IF(AND(ISNUMBER(SEARCH("1B",C135))),1,IF(AND(ISNUMBER(SEARCH("2B",C135))),2,IF(AND(ISNUMBER(SEARCH("3B",C135))),3,IF(AND(ISNUMBER(SEARCH("4B",C135))),4,IF(ISNUMBER(SEARCH("5B",C135)),5,0)))))</f>
        <v>0</v>
      </c>
      <c r="C136" s="101" t="s">
        <v>68</v>
      </c>
      <c r="D136" s="101">
        <v>1</v>
      </c>
      <c r="E136" s="101" t="s">
        <v>67</v>
      </c>
      <c r="F136" s="101">
        <v>0</v>
      </c>
      <c r="G136" s="101" t="s">
        <v>76</v>
      </c>
      <c r="H136" s="16">
        <f ca="1">--TRIM(RIGHT(SUBSTITUTE(LEFT(C135,_xlfn.AGGREGATE(16,6,FIND({0,1,2,3,4,5,6,7,8,9},C135,ROW(INDIRECT("1:"&amp;LEN(C135)))),1))," ",REPT(" ",LEN(C135))),LEN(C135)))</f>
        <v>7</v>
      </c>
      <c r="I136" s="44" t="str">
        <f ca="1">IF(D139=100%,"Excavation","")&amp;IF(D140=100%,", Plinth","")&amp;IF(D141=100%,", RCC Slab","")&amp;IF(D142=100%,", Brickwork","")&amp;IF(D143=100%,", Internal Plaster","")&amp;IF(D144=100%,", External Plaster","")&amp;IF(D145=100%,", Flooring","")&amp;IF(D146=100%,", Painting","")&amp;IF(D147=100%,", Building common Amenities","")</f>
        <v>Excavation, Plinth, RCC Slab, Brickwork, Internal Plaster, External Plaster, Flooring</v>
      </c>
      <c r="J136" s="45" t="str">
        <f ca="1">(IF(C139=0,"Work not yet Started.",IF(D139=25%,"Piling work in process",IF(D139=50%,"Excavation work in process",IF(D139=100%,"","0")))))&amp;(IF(C140=0%,"",IF(C140=J141,", Footing work is process",IF(C140=J142,", Footing work Completed",IF(C140=J143,", 1st Basement Completed",IF(C140=J144,", 1st &amp; 2nd Basement Completed",IF(C140=J145,", 1st to 3rd Basement Completed",IF(C140=J146,", 1st to 4th Basement Completed",IF(C140=J147,", Plinth work is process",IF(C140=J148,"","0"))))))))))</f>
        <v/>
      </c>
      <c r="S136"/>
    </row>
    <row r="137" spans="1:19" ht="33.75" customHeight="1" x14ac:dyDescent="0.25">
      <c r="A137" s="133" t="s">
        <v>86</v>
      </c>
      <c r="B137" s="134"/>
      <c r="C137" s="135" t="str">
        <f ca="1">I135</f>
        <v>Excavation, Plinth, RCC Slab, Brickwork, Internal Plaster, External Plaster, Flooring Completed, Painting upto 6 Floor Completed</v>
      </c>
      <c r="D137" s="135"/>
      <c r="E137" s="135"/>
      <c r="F137" s="135"/>
      <c r="G137" s="135"/>
      <c r="H137" s="136"/>
      <c r="I137" s="44" t="str">
        <f ca="1">IF(I136&lt;&gt;""," Completed","")</f>
        <v xml:space="preserve"> Completed</v>
      </c>
      <c r="J137" s="45" t="str">
        <f ca="1">IF(J135&lt;&gt;"","Completed","")</f>
        <v>Completed</v>
      </c>
      <c r="S137"/>
    </row>
    <row r="138" spans="1:19" ht="15.75" customHeight="1" x14ac:dyDescent="0.25">
      <c r="A138" s="137" t="s">
        <v>47</v>
      </c>
      <c r="B138" s="138"/>
      <c r="C138" s="107" t="s">
        <v>133</v>
      </c>
      <c r="D138" s="107" t="s">
        <v>79</v>
      </c>
      <c r="E138" s="138" t="s">
        <v>81</v>
      </c>
      <c r="F138" s="138"/>
      <c r="G138" s="138" t="s">
        <v>80</v>
      </c>
      <c r="H138" s="139"/>
      <c r="I138" s="13" t="s">
        <v>135</v>
      </c>
      <c r="J138" s="25">
        <f ca="1">H136*25%</f>
        <v>1.75</v>
      </c>
      <c r="S138"/>
    </row>
    <row r="139" spans="1:19" x14ac:dyDescent="0.25">
      <c r="A139" s="137" t="s">
        <v>122</v>
      </c>
      <c r="B139" s="138"/>
      <c r="C139" s="107">
        <f ca="1">J140</f>
        <v>7</v>
      </c>
      <c r="D139" s="108">
        <f ca="1">((100/H136)*C139)/100</f>
        <v>1</v>
      </c>
      <c r="E139" s="140">
        <f ca="1">(((C140/H136*10)+(40/(D136+F136+H136)*C141)+(7.5/(H136)*C142)+(7.5/(H136)*C143)+(10/H136*C144)+(10/H136*C145)+(5/H136*C146)+(5/H136*C147)+(5/H136*C148))/100)</f>
        <v>0.8928571428571429</v>
      </c>
      <c r="F139" s="141"/>
      <c r="G139" s="140">
        <f ca="1">((((C139/H136)*20)+((C140/H136)*25)+(30/(H136+F136+D136)*C141)+(5/H136*C142)+(5/H136*C143)+(5/H136*C144)+(5/H136*C145)+(0/H136*C146)+(0/H136*C147)+(5/H136*C148))/100)</f>
        <v>0.95</v>
      </c>
      <c r="H139" s="146"/>
      <c r="I139" s="13" t="s">
        <v>96</v>
      </c>
      <c r="J139" s="26">
        <f ca="1">H136*50%</f>
        <v>3.5</v>
      </c>
    </row>
    <row r="140" spans="1:19" x14ac:dyDescent="0.25">
      <c r="A140" s="137" t="s">
        <v>48</v>
      </c>
      <c r="B140" s="138"/>
      <c r="C140" s="107">
        <f ca="1">J148</f>
        <v>7</v>
      </c>
      <c r="D140" s="108">
        <f ca="1">((100/H136)*C140)/100</f>
        <v>1</v>
      </c>
      <c r="E140" s="142"/>
      <c r="F140" s="143"/>
      <c r="G140" s="142"/>
      <c r="H140" s="147"/>
      <c r="I140" s="13" t="s">
        <v>97</v>
      </c>
      <c r="J140" s="26">
        <f ca="1">H136</f>
        <v>7</v>
      </c>
      <c r="S140"/>
    </row>
    <row r="141" spans="1:19" ht="15.75" customHeight="1" x14ac:dyDescent="0.25">
      <c r="A141" s="137" t="s">
        <v>123</v>
      </c>
      <c r="B141" s="138"/>
      <c r="C141" s="107">
        <v>8</v>
      </c>
      <c r="D141" s="108">
        <f ca="1">((100/(D136+F136+H136))*C141)/100</f>
        <v>1</v>
      </c>
      <c r="E141" s="142"/>
      <c r="F141" s="143"/>
      <c r="G141" s="142"/>
      <c r="H141" s="147"/>
      <c r="I141" s="13" t="s">
        <v>98</v>
      </c>
      <c r="J141" s="27">
        <f ca="1">(IF(B136&gt;1,(H136/(B136+2)),H136/4))</f>
        <v>1.75</v>
      </c>
      <c r="S141"/>
    </row>
    <row r="142" spans="1:19" ht="15.75" customHeight="1" x14ac:dyDescent="0.25">
      <c r="A142" s="137" t="s">
        <v>130</v>
      </c>
      <c r="B142" s="138" t="s">
        <v>124</v>
      </c>
      <c r="C142" s="107">
        <v>7</v>
      </c>
      <c r="D142" s="108">
        <f ca="1">((100/H136)*C142)/100</f>
        <v>1</v>
      </c>
      <c r="E142" s="142"/>
      <c r="F142" s="143"/>
      <c r="G142" s="142"/>
      <c r="H142" s="147"/>
      <c r="I142" s="13" t="s">
        <v>99</v>
      </c>
      <c r="J142" s="27">
        <f ca="1">(IF(B136&gt;1,(H136/(B136+2)+J141),H136/4+J141))</f>
        <v>3.5</v>
      </c>
    </row>
    <row r="143" spans="1:19" ht="15.75" customHeight="1" x14ac:dyDescent="0.25">
      <c r="A143" s="137" t="s">
        <v>131</v>
      </c>
      <c r="B143" s="138" t="s">
        <v>124</v>
      </c>
      <c r="C143" s="107">
        <v>7</v>
      </c>
      <c r="D143" s="108">
        <f ca="1">((100/H136)*C143)/100</f>
        <v>1</v>
      </c>
      <c r="E143" s="142"/>
      <c r="F143" s="143"/>
      <c r="G143" s="142"/>
      <c r="H143" s="147"/>
      <c r="I143" s="13" t="s">
        <v>142</v>
      </c>
      <c r="J143" s="27">
        <f>(IF(B136&gt;1,(H136/(B136+2)+J142),0))</f>
        <v>0</v>
      </c>
    </row>
    <row r="144" spans="1:19" ht="15" customHeight="1" x14ac:dyDescent="0.25">
      <c r="A144" s="137" t="s">
        <v>129</v>
      </c>
      <c r="B144" s="138" t="s">
        <v>126</v>
      </c>
      <c r="C144" s="107">
        <v>7</v>
      </c>
      <c r="D144" s="108">
        <f ca="1">((100/(H136))*C144)/100</f>
        <v>1</v>
      </c>
      <c r="E144" s="142"/>
      <c r="F144" s="143"/>
      <c r="G144" s="142"/>
      <c r="H144" s="147"/>
      <c r="I144" s="13" t="s">
        <v>137</v>
      </c>
      <c r="J144" s="27">
        <f>(IF(B136&gt;2,(H136/(B136+2)+J143),0))</f>
        <v>0</v>
      </c>
    </row>
    <row r="145" spans="1:19" ht="15.75" customHeight="1" x14ac:dyDescent="0.25">
      <c r="A145" s="137" t="s">
        <v>125</v>
      </c>
      <c r="B145" s="138" t="s">
        <v>125</v>
      </c>
      <c r="C145" s="107">
        <v>7</v>
      </c>
      <c r="D145" s="108">
        <f ca="1">((100/H136)*C145)/100</f>
        <v>1</v>
      </c>
      <c r="E145" s="142"/>
      <c r="F145" s="143"/>
      <c r="G145" s="142"/>
      <c r="H145" s="147"/>
      <c r="I145" s="13" t="s">
        <v>138</v>
      </c>
      <c r="J145" s="28">
        <f>(IF(B136&gt;3,(H136/(B136+2)+J144),0))</f>
        <v>0</v>
      </c>
    </row>
    <row r="146" spans="1:19" ht="15.75" customHeight="1" x14ac:dyDescent="0.25">
      <c r="A146" s="137" t="s">
        <v>132</v>
      </c>
      <c r="B146" s="138"/>
      <c r="C146" s="107">
        <v>6</v>
      </c>
      <c r="D146" s="108">
        <f ca="1">((100/H136)*C146)/100</f>
        <v>0.85714285714285721</v>
      </c>
      <c r="E146" s="142"/>
      <c r="F146" s="143"/>
      <c r="G146" s="142"/>
      <c r="H146" s="147"/>
      <c r="I146" s="13" t="s">
        <v>139</v>
      </c>
      <c r="J146" s="27">
        <f>(IF(B136&gt;4,(H136/(B136+2)+J145),0))</f>
        <v>0</v>
      </c>
    </row>
    <row r="147" spans="1:19" ht="15.75" customHeight="1" x14ac:dyDescent="0.25">
      <c r="A147" s="137" t="s">
        <v>127</v>
      </c>
      <c r="B147" s="138" t="s">
        <v>127</v>
      </c>
      <c r="C147" s="107">
        <v>0</v>
      </c>
      <c r="D147" s="108">
        <f ca="1">((100/(H136))*C147)/100</f>
        <v>0</v>
      </c>
      <c r="E147" s="142"/>
      <c r="F147" s="143"/>
      <c r="G147" s="142"/>
      <c r="H147" s="147"/>
      <c r="I147" s="13" t="s">
        <v>143</v>
      </c>
      <c r="J147" s="27">
        <f ca="1">(IF(B136=1,(H136/(B136+3)+J142),IF(B136=0,(H136/4+J142),IF(B136&gt;1,0))))</f>
        <v>5.25</v>
      </c>
    </row>
    <row r="148" spans="1:19" ht="16.5" thickBot="1" x14ac:dyDescent="0.3">
      <c r="A148" s="149" t="s">
        <v>128</v>
      </c>
      <c r="B148" s="150"/>
      <c r="C148" s="109">
        <v>0</v>
      </c>
      <c r="D148" s="110">
        <f ca="1">((100/(H136))*C148)/100</f>
        <v>0</v>
      </c>
      <c r="E148" s="144"/>
      <c r="F148" s="145"/>
      <c r="G148" s="144"/>
      <c r="H148" s="148"/>
      <c r="I148" s="14" t="s">
        <v>100</v>
      </c>
      <c r="J148" s="29">
        <f ca="1">(IF(B136&gt;1.5,(H136/(B136+2)+J142+MAX(0,J143-J142)+MAX(0,J144-J143)+MAX(0,J145-J144)+MAX(0,J146-J145)+MAX(0,J147-J146)),IF(B136=1,(H136/(B136+3)+J147),IF(B136=0,H136/4+J147))))</f>
        <v>7</v>
      </c>
    </row>
    <row r="149" spans="1:19" ht="15.75" customHeight="1" x14ac:dyDescent="0.25">
      <c r="A149" s="128" t="s">
        <v>134</v>
      </c>
      <c r="B149" s="129"/>
      <c r="C149" s="130" t="str">
        <f>D71</f>
        <v>Building No.5 (Type D1) = Gr + 1st to 7th Floor</v>
      </c>
      <c r="D149" s="131"/>
      <c r="E149" s="131"/>
      <c r="F149" s="131"/>
      <c r="G149" s="131"/>
      <c r="H149" s="132"/>
      <c r="I149" s="42" t="str">
        <f ca="1">IF(D162=100%,"All work Completed. Possession granted to the Building.",IF(D161=100%,"All work Completed, Waiting for OC",I150&amp;""&amp;I151&amp;""&amp;J150&amp;""&amp;J149&amp;" "&amp;J151))</f>
        <v>Excavation, Plinth, RCC Slab, Brickwork, Internal Plaster Completed, External Plaster upto 5 Floor Completed</v>
      </c>
      <c r="J149" s="43" t="str">
        <f ca="1">(IF(C155=(D150+F150+H150),"",IF(C155&gt;0,", RCC upto "&amp;C155&amp;" Slab","")))&amp;(IF(C156=H150,"",IF(C156&gt;0,", Brickwork upto "&amp;C156&amp;" Floor","")))&amp;(IF(C157=H150,"",IF(C157&gt;0,", Internal Plaster upto "&amp;C157&amp;" Floor","")))&amp;(IF(C158=H150,"",IF(C158&gt;0,", External Plaster upto "&amp;C158&amp;" Floor","")))&amp;(IF(C159=H150,"",IF(C159&gt;0,", Flooring upto "&amp;C159&amp;" Floor","")))&amp;(IF(C160=H150,"",IF(C160&gt;0,", Painting upto "&amp;C160&amp;" Floor","")))&amp;(IF(C161=H150,"",IF(C161&gt;0,", Finishing upto "&amp;C161&amp;" Floor","")))&amp;(IF(C162=H150,"",IF(C162&gt;0,", Possession upto "&amp;C162&amp;" Floor","")))</f>
        <v>, External Plaster upto 5 Floor</v>
      </c>
      <c r="S149"/>
    </row>
    <row r="150" spans="1:19" x14ac:dyDescent="0.25">
      <c r="A150" s="15" t="s">
        <v>136</v>
      </c>
      <c r="B150" s="101">
        <f>IF(AND(ISNUMBER(SEARCH("1B",C149))),1,IF(AND(ISNUMBER(SEARCH("2B",C149))),2,IF(AND(ISNUMBER(SEARCH("3B",C149))),3,IF(AND(ISNUMBER(SEARCH("4B",C149))),4,IF(ISNUMBER(SEARCH("5B",C149)),5,0)))))</f>
        <v>0</v>
      </c>
      <c r="C150" s="101" t="s">
        <v>68</v>
      </c>
      <c r="D150" s="101">
        <v>1</v>
      </c>
      <c r="E150" s="101" t="s">
        <v>67</v>
      </c>
      <c r="F150" s="101">
        <v>0</v>
      </c>
      <c r="G150" s="101" t="s">
        <v>76</v>
      </c>
      <c r="H150" s="16">
        <f ca="1">--TRIM(RIGHT(SUBSTITUTE(LEFT(C149,_xlfn.AGGREGATE(16,6,FIND({0,1,2,3,4,5,6,7,8,9},C149,ROW(INDIRECT("1:"&amp;LEN(C149)))),1))," ",REPT(" ",LEN(C149))),LEN(C149)))</f>
        <v>7</v>
      </c>
      <c r="I150" s="44" t="str">
        <f ca="1">IF(D153=100%,"Excavation","")&amp;IF(D154=100%,", Plinth","")&amp;IF(D155=100%,", RCC Slab","")&amp;IF(D156=100%,", Brickwork","")&amp;IF(D157=100%,", Internal Plaster","")&amp;IF(D158=100%,", External Plaster","")&amp;IF(D159=100%,", Flooring","")&amp;IF(D160=100%,", Painting","")&amp;IF(D161=100%,", Building common Amenities","")</f>
        <v>Excavation, Plinth, RCC Slab, Brickwork, Internal Plaster</v>
      </c>
      <c r="J150" s="45" t="str">
        <f ca="1">(IF(C153=0,"Work not yet Started.",IF(D153=25%,"Piling work in process",IF(D153=50%,"Excavation work in process",IF(D153=100%,"","0")))))&amp;(IF(C154=0%,"",IF(C154=J155,", Footing work is process",IF(C154=J156,", Footing work Completed",IF(C154=J157,", 1st Basement Completed",IF(C154=J158,", 1st &amp; 2nd Basement Completed",IF(C154=J159,", 1st to 3rd Basement Completed",IF(C154=J160,", 1st to 4th Basement Completed",IF(C154=J161,", Plinth work is process",IF(C154=J162,"","0"))))))))))</f>
        <v/>
      </c>
      <c r="S150"/>
    </row>
    <row r="151" spans="1:19" ht="31.5" customHeight="1" x14ac:dyDescent="0.25">
      <c r="A151" s="133" t="s">
        <v>86</v>
      </c>
      <c r="B151" s="134"/>
      <c r="C151" s="135" t="str">
        <f ca="1">I149</f>
        <v>Excavation, Plinth, RCC Slab, Brickwork, Internal Plaster Completed, External Plaster upto 5 Floor Completed</v>
      </c>
      <c r="D151" s="135"/>
      <c r="E151" s="135"/>
      <c r="F151" s="135"/>
      <c r="G151" s="135"/>
      <c r="H151" s="136"/>
      <c r="I151" s="44" t="str">
        <f ca="1">IF(I150&lt;&gt;""," Completed","")</f>
        <v xml:space="preserve"> Completed</v>
      </c>
      <c r="J151" s="45" t="str">
        <f ca="1">IF(J149&lt;&gt;"","Completed","")</f>
        <v>Completed</v>
      </c>
      <c r="S151"/>
    </row>
    <row r="152" spans="1:19" ht="15.75" customHeight="1" x14ac:dyDescent="0.25">
      <c r="A152" s="137" t="s">
        <v>47</v>
      </c>
      <c r="B152" s="138"/>
      <c r="C152" s="107" t="s">
        <v>133</v>
      </c>
      <c r="D152" s="107" t="s">
        <v>79</v>
      </c>
      <c r="E152" s="138" t="s">
        <v>81</v>
      </c>
      <c r="F152" s="138"/>
      <c r="G152" s="138" t="s">
        <v>80</v>
      </c>
      <c r="H152" s="139"/>
      <c r="I152" s="13" t="s">
        <v>135</v>
      </c>
      <c r="J152" s="25">
        <f ca="1">H150*25%</f>
        <v>1.75</v>
      </c>
      <c r="S152"/>
    </row>
    <row r="153" spans="1:19" x14ac:dyDescent="0.25">
      <c r="A153" s="137" t="s">
        <v>122</v>
      </c>
      <c r="B153" s="138"/>
      <c r="C153" s="107">
        <f ca="1">J154</f>
        <v>7</v>
      </c>
      <c r="D153" s="108">
        <f ca="1">((100/H150)*C153)/100</f>
        <v>1</v>
      </c>
      <c r="E153" s="140">
        <f ca="1">(((C154/H150*10)+(40/(D150+F150+H150)*C155)+(7.5/(H150)*C156)+(7.5/(H150)*C157)+(10/H150*C158)+(10/H150*C159)+(5/H150*C160)+(5/H150*C161)+(5/H150*C162))/100)</f>
        <v>0.72142857142857142</v>
      </c>
      <c r="F153" s="141"/>
      <c r="G153" s="140">
        <f ca="1">((((C153/H150)*20)+((C154/H150)*25)+(30/(H150+F150+D150)*C155)+(5/H150*C156)+(5/H150*C157)+(5/H150*C158)+(5/H150*C159)+(0/H150*C160)+(0/H150*C161)+(5/H150*C162))/100)</f>
        <v>0.88571428571428568</v>
      </c>
      <c r="H153" s="146"/>
      <c r="I153" s="13" t="s">
        <v>96</v>
      </c>
      <c r="J153" s="26">
        <f ca="1">H150*50%</f>
        <v>3.5</v>
      </c>
    </row>
    <row r="154" spans="1:19" x14ac:dyDescent="0.25">
      <c r="A154" s="137" t="s">
        <v>48</v>
      </c>
      <c r="B154" s="138"/>
      <c r="C154" s="107">
        <f ca="1">J162</f>
        <v>7</v>
      </c>
      <c r="D154" s="108">
        <f ca="1">((100/H150)*C154)/100</f>
        <v>1</v>
      </c>
      <c r="E154" s="142"/>
      <c r="F154" s="143"/>
      <c r="G154" s="142"/>
      <c r="H154" s="147"/>
      <c r="I154" s="13" t="s">
        <v>97</v>
      </c>
      <c r="J154" s="26">
        <f ca="1">H150</f>
        <v>7</v>
      </c>
      <c r="S154"/>
    </row>
    <row r="155" spans="1:19" ht="15.75" customHeight="1" x14ac:dyDescent="0.25">
      <c r="A155" s="137" t="s">
        <v>123</v>
      </c>
      <c r="B155" s="138"/>
      <c r="C155" s="107">
        <v>8</v>
      </c>
      <c r="D155" s="108">
        <f ca="1">((100/(D150+F150+H150))*C155)/100</f>
        <v>1</v>
      </c>
      <c r="E155" s="142"/>
      <c r="F155" s="143"/>
      <c r="G155" s="142"/>
      <c r="H155" s="147"/>
      <c r="I155" s="13" t="s">
        <v>98</v>
      </c>
      <c r="J155" s="27">
        <f ca="1">(IF(B150&gt;1,(H150/(B150+2)),H150/4))</f>
        <v>1.75</v>
      </c>
      <c r="S155"/>
    </row>
    <row r="156" spans="1:19" ht="15.75" customHeight="1" x14ac:dyDescent="0.25">
      <c r="A156" s="137" t="s">
        <v>130</v>
      </c>
      <c r="B156" s="138" t="s">
        <v>124</v>
      </c>
      <c r="C156" s="107">
        <v>7</v>
      </c>
      <c r="D156" s="108">
        <f ca="1">((100/H150)*C156)/100</f>
        <v>1</v>
      </c>
      <c r="E156" s="142"/>
      <c r="F156" s="143"/>
      <c r="G156" s="142"/>
      <c r="H156" s="147"/>
      <c r="I156" s="13" t="s">
        <v>99</v>
      </c>
      <c r="J156" s="27">
        <f ca="1">(IF(B150&gt;1,(H150/(B150+2)+J155),H150/4+J155))</f>
        <v>3.5</v>
      </c>
    </row>
    <row r="157" spans="1:19" ht="15.75" customHeight="1" x14ac:dyDescent="0.25">
      <c r="A157" s="137" t="s">
        <v>131</v>
      </c>
      <c r="B157" s="138" t="s">
        <v>124</v>
      </c>
      <c r="C157" s="107">
        <v>7</v>
      </c>
      <c r="D157" s="108">
        <f ca="1">((100/H150)*C157)/100</f>
        <v>1</v>
      </c>
      <c r="E157" s="142"/>
      <c r="F157" s="143"/>
      <c r="G157" s="142"/>
      <c r="H157" s="147"/>
      <c r="I157" s="13" t="s">
        <v>142</v>
      </c>
      <c r="J157" s="27">
        <f>(IF(B150&gt;1,(H150/(B150+2)+J156),0))</f>
        <v>0</v>
      </c>
    </row>
    <row r="158" spans="1:19" ht="15" customHeight="1" x14ac:dyDescent="0.25">
      <c r="A158" s="137" t="s">
        <v>129</v>
      </c>
      <c r="B158" s="138" t="s">
        <v>126</v>
      </c>
      <c r="C158" s="107">
        <v>5</v>
      </c>
      <c r="D158" s="108">
        <f ca="1">((100/(H150))*C158)/100</f>
        <v>0.7142857142857143</v>
      </c>
      <c r="E158" s="142"/>
      <c r="F158" s="143"/>
      <c r="G158" s="142"/>
      <c r="H158" s="147"/>
      <c r="I158" s="13" t="s">
        <v>137</v>
      </c>
      <c r="J158" s="27">
        <f>(IF(B150&gt;2,(H150/(B150+2)+J157),0))</f>
        <v>0</v>
      </c>
    </row>
    <row r="159" spans="1:19" ht="15.75" customHeight="1" x14ac:dyDescent="0.25">
      <c r="A159" s="137" t="s">
        <v>125</v>
      </c>
      <c r="B159" s="138" t="s">
        <v>125</v>
      </c>
      <c r="C159" s="107">
        <v>0</v>
      </c>
      <c r="D159" s="108">
        <f ca="1">((100/H150)*C159)/100</f>
        <v>0</v>
      </c>
      <c r="E159" s="142"/>
      <c r="F159" s="143"/>
      <c r="G159" s="142"/>
      <c r="H159" s="147"/>
      <c r="I159" s="13" t="s">
        <v>138</v>
      </c>
      <c r="J159" s="28">
        <f>(IF(B150&gt;3,(H150/(B150+2)+J158),0))</f>
        <v>0</v>
      </c>
    </row>
    <row r="160" spans="1:19" ht="15.75" customHeight="1" x14ac:dyDescent="0.25">
      <c r="A160" s="137" t="s">
        <v>132</v>
      </c>
      <c r="B160" s="138"/>
      <c r="C160" s="107">
        <v>0</v>
      </c>
      <c r="D160" s="108">
        <f ca="1">((100/H150)*C160)/100</f>
        <v>0</v>
      </c>
      <c r="E160" s="142"/>
      <c r="F160" s="143"/>
      <c r="G160" s="142"/>
      <c r="H160" s="147"/>
      <c r="I160" s="13" t="s">
        <v>139</v>
      </c>
      <c r="J160" s="27">
        <f>(IF(B150&gt;4,(H150/(B150+2)+J159),0))</f>
        <v>0</v>
      </c>
    </row>
    <row r="161" spans="1:22" ht="15.75" customHeight="1" x14ac:dyDescent="0.25">
      <c r="A161" s="137" t="s">
        <v>127</v>
      </c>
      <c r="B161" s="138" t="s">
        <v>127</v>
      </c>
      <c r="C161" s="107">
        <v>0</v>
      </c>
      <c r="D161" s="108">
        <f ca="1">((100/(H150))*C161)/100</f>
        <v>0</v>
      </c>
      <c r="E161" s="142"/>
      <c r="F161" s="143"/>
      <c r="G161" s="142"/>
      <c r="H161" s="147"/>
      <c r="I161" s="13" t="s">
        <v>143</v>
      </c>
      <c r="J161" s="27">
        <f ca="1">(IF(B150=1,(H150/(B150+3)+J156),IF(B150=0,(H150/4+J156),IF(B150&gt;1,0))))</f>
        <v>5.25</v>
      </c>
    </row>
    <row r="162" spans="1:22" ht="16.5" thickBot="1" x14ac:dyDescent="0.3">
      <c r="A162" s="149" t="s">
        <v>128</v>
      </c>
      <c r="B162" s="150"/>
      <c r="C162" s="109">
        <v>0</v>
      </c>
      <c r="D162" s="110">
        <f ca="1">((100/(H150))*C162)/100</f>
        <v>0</v>
      </c>
      <c r="E162" s="144"/>
      <c r="F162" s="145"/>
      <c r="G162" s="144"/>
      <c r="H162" s="148"/>
      <c r="I162" s="14" t="s">
        <v>100</v>
      </c>
      <c r="J162" s="29">
        <f ca="1">(IF(B150&gt;1.5,(H150/(B150+2)+J156+MAX(0,J157-J156)+MAX(0,J158-J157)+MAX(0,J159-J158)+MAX(0,J160-J159)+MAX(0,J161-J160)),IF(B150=1,(H150/(B150+3)+J161),IF(B150=0,H150/4+J161))))</f>
        <v>7</v>
      </c>
    </row>
    <row r="163" spans="1:22" x14ac:dyDescent="0.25">
      <c r="A163" s="222" t="s">
        <v>154</v>
      </c>
      <c r="B163" s="222"/>
      <c r="C163" s="222"/>
      <c r="D163" s="222"/>
      <c r="E163" s="222"/>
      <c r="F163" s="186" t="s">
        <v>158</v>
      </c>
      <c r="G163" s="186"/>
      <c r="H163" s="186"/>
      <c r="R163" t="s">
        <v>252</v>
      </c>
      <c r="S163" t="s">
        <v>170</v>
      </c>
      <c r="T163" t="s">
        <v>178</v>
      </c>
      <c r="U163" t="s">
        <v>192</v>
      </c>
      <c r="V163" t="s">
        <v>187</v>
      </c>
    </row>
    <row r="164" spans="1:22" x14ac:dyDescent="0.25">
      <c r="A164" s="191" t="s">
        <v>156</v>
      </c>
      <c r="B164" s="191"/>
      <c r="C164" s="191"/>
      <c r="D164" s="191"/>
      <c r="E164" s="191"/>
      <c r="F164" s="194">
        <v>4000</v>
      </c>
      <c r="G164" s="194"/>
      <c r="H164" s="194"/>
      <c r="R164"/>
      <c r="S164">
        <v>800000</v>
      </c>
      <c r="T164">
        <v>150000</v>
      </c>
      <c r="U164">
        <v>100000</v>
      </c>
      <c r="V164">
        <v>100000</v>
      </c>
    </row>
    <row r="165" spans="1:22" hidden="1" x14ac:dyDescent="0.25">
      <c r="A165" s="191" t="s">
        <v>155</v>
      </c>
      <c r="B165" s="191"/>
      <c r="C165" s="191"/>
      <c r="D165" s="191"/>
      <c r="E165" s="191"/>
      <c r="F165" s="194">
        <v>6000</v>
      </c>
      <c r="G165" s="194"/>
      <c r="H165" s="194"/>
      <c r="R165"/>
      <c r="S165">
        <v>900000</v>
      </c>
      <c r="T165">
        <v>200000</v>
      </c>
      <c r="U165">
        <v>150000</v>
      </c>
      <c r="V165">
        <v>150000</v>
      </c>
    </row>
    <row r="166" spans="1:22" hidden="1" x14ac:dyDescent="0.25">
      <c r="A166" s="191" t="s">
        <v>157</v>
      </c>
      <c r="B166" s="191"/>
      <c r="C166" s="191"/>
      <c r="D166" s="191"/>
      <c r="E166" s="191"/>
      <c r="F166" s="194"/>
      <c r="G166" s="194"/>
      <c r="H166" s="194"/>
      <c r="R166"/>
      <c r="S166">
        <v>1000000</v>
      </c>
      <c r="T166">
        <v>250000</v>
      </c>
      <c r="U166">
        <v>200000</v>
      </c>
      <c r="V166">
        <v>200000</v>
      </c>
    </row>
    <row r="167" spans="1:22" s="30" customFormat="1" hidden="1" x14ac:dyDescent="0.25">
      <c r="A167" s="191" t="s">
        <v>173</v>
      </c>
      <c r="B167" s="191"/>
      <c r="C167" s="191"/>
      <c r="D167" s="191"/>
      <c r="E167" s="191"/>
      <c r="F167" s="194"/>
      <c r="G167" s="194"/>
      <c r="H167" s="194"/>
      <c r="R167"/>
      <c r="S167">
        <v>1100000</v>
      </c>
      <c r="T167">
        <v>300000</v>
      </c>
      <c r="U167">
        <v>250000</v>
      </c>
      <c r="V167" s="20">
        <v>250000</v>
      </c>
    </row>
    <row r="168" spans="1:22" s="30" customFormat="1" hidden="1" x14ac:dyDescent="0.25">
      <c r="A168" s="191" t="s">
        <v>90</v>
      </c>
      <c r="B168" s="191"/>
      <c r="C168" s="191"/>
      <c r="D168" s="191"/>
      <c r="E168" s="191"/>
      <c r="F168" s="194"/>
      <c r="G168" s="194"/>
      <c r="H168" s="194"/>
      <c r="R168"/>
      <c r="S168">
        <v>1200000</v>
      </c>
      <c r="T168">
        <v>350000</v>
      </c>
      <c r="U168">
        <v>300000</v>
      </c>
      <c r="V168">
        <v>300000</v>
      </c>
    </row>
    <row r="169" spans="1:22" s="30" customFormat="1" hidden="1" x14ac:dyDescent="0.25">
      <c r="A169" s="191" t="s">
        <v>91</v>
      </c>
      <c r="B169" s="191"/>
      <c r="C169" s="191"/>
      <c r="D169" s="191"/>
      <c r="E169" s="191"/>
      <c r="F169" s="194"/>
      <c r="G169" s="194"/>
      <c r="H169" s="194"/>
      <c r="R169"/>
      <c r="S169">
        <v>1300000</v>
      </c>
      <c r="T169">
        <v>400000</v>
      </c>
      <c r="U169">
        <v>350000</v>
      </c>
      <c r="V169" s="20">
        <v>400000</v>
      </c>
    </row>
    <row r="170" spans="1:22" s="30" customFormat="1" hidden="1" x14ac:dyDescent="0.25">
      <c r="A170" s="191" t="s">
        <v>92</v>
      </c>
      <c r="B170" s="191"/>
      <c r="C170" s="191"/>
      <c r="D170" s="191"/>
      <c r="E170" s="191"/>
      <c r="F170" s="194"/>
      <c r="G170" s="194"/>
      <c r="H170" s="194"/>
      <c r="R170"/>
      <c r="S170">
        <v>1400000</v>
      </c>
      <c r="T170">
        <v>500000</v>
      </c>
      <c r="U170">
        <v>400000</v>
      </c>
      <c r="V170"/>
    </row>
    <row r="171" spans="1:22" s="30" customFormat="1" hidden="1" x14ac:dyDescent="0.25">
      <c r="A171" s="191" t="s">
        <v>93</v>
      </c>
      <c r="B171" s="191"/>
      <c r="C171" s="191"/>
      <c r="D171" s="191"/>
      <c r="E171" s="191"/>
      <c r="F171" s="194"/>
      <c r="G171" s="194"/>
      <c r="H171" s="194"/>
      <c r="R171"/>
      <c r="S171">
        <v>1500000</v>
      </c>
      <c r="T171">
        <v>600000</v>
      </c>
      <c r="U171">
        <v>500000</v>
      </c>
      <c r="V171" s="20"/>
    </row>
    <row r="172" spans="1:22" s="30" customFormat="1" hidden="1" x14ac:dyDescent="0.25">
      <c r="A172" s="191" t="s">
        <v>94</v>
      </c>
      <c r="B172" s="191"/>
      <c r="C172" s="191"/>
      <c r="D172" s="191"/>
      <c r="E172" s="191"/>
      <c r="F172" s="194"/>
      <c r="G172" s="194"/>
      <c r="H172" s="194"/>
      <c r="R172"/>
      <c r="S172">
        <v>1600000</v>
      </c>
      <c r="T172">
        <v>700000</v>
      </c>
      <c r="U172">
        <v>600000</v>
      </c>
      <c r="V172"/>
    </row>
    <row r="173" spans="1:22" s="30" customFormat="1" hidden="1" x14ac:dyDescent="0.25">
      <c r="A173" s="191" t="s">
        <v>95</v>
      </c>
      <c r="B173" s="191"/>
      <c r="C173" s="191"/>
      <c r="D173" s="191"/>
      <c r="E173" s="191"/>
      <c r="F173" s="194"/>
      <c r="G173" s="194"/>
      <c r="H173" s="194"/>
      <c r="R173"/>
      <c r="S173">
        <v>1700000</v>
      </c>
      <c r="T173">
        <v>800000</v>
      </c>
      <c r="U173"/>
      <c r="V173" s="20"/>
    </row>
    <row r="174" spans="1:22" x14ac:dyDescent="0.25">
      <c r="A174" s="191" t="s">
        <v>49</v>
      </c>
      <c r="B174" s="191"/>
      <c r="C174" s="191"/>
      <c r="D174" s="191"/>
      <c r="E174" s="191"/>
      <c r="F174" s="194">
        <v>100000</v>
      </c>
      <c r="G174" s="194"/>
      <c r="H174" s="194"/>
      <c r="R174"/>
      <c r="S174">
        <v>1800000</v>
      </c>
      <c r="T174">
        <v>900000</v>
      </c>
      <c r="U174"/>
    </row>
    <row r="175" spans="1:22" s="31" customFormat="1" x14ac:dyDescent="0.25">
      <c r="A175" s="228" t="s">
        <v>50</v>
      </c>
      <c r="B175" s="228"/>
      <c r="C175" s="228"/>
      <c r="D175" s="228"/>
      <c r="E175" s="228"/>
      <c r="F175" s="194">
        <f>F164*0.8</f>
        <v>3200</v>
      </c>
      <c r="G175" s="194"/>
      <c r="H175" s="194"/>
      <c r="R175" s="18"/>
      <c r="S175" s="18"/>
      <c r="T175">
        <v>1000000</v>
      </c>
      <c r="U175"/>
      <c r="V175" s="18"/>
    </row>
    <row r="176" spans="1:22" s="32" customFormat="1" ht="15.75" customHeight="1" x14ac:dyDescent="0.25">
      <c r="A176" s="227" t="s">
        <v>71</v>
      </c>
      <c r="B176" s="227"/>
      <c r="C176" s="227"/>
      <c r="D176" s="227"/>
      <c r="E176" s="227"/>
      <c r="F176" s="227"/>
      <c r="G176" s="227"/>
      <c r="H176" s="227"/>
      <c r="R176"/>
      <c r="S176" s="18"/>
      <c r="T176"/>
      <c r="U176"/>
      <c r="V176" s="18"/>
    </row>
    <row r="177" spans="1:22" s="32" customFormat="1" ht="15.75" customHeight="1" x14ac:dyDescent="0.25">
      <c r="A177" s="196" t="s">
        <v>51</v>
      </c>
      <c r="B177" s="196"/>
      <c r="C177" s="200" t="s">
        <v>74</v>
      </c>
      <c r="D177" s="200"/>
      <c r="E177" s="185" t="s">
        <v>52</v>
      </c>
      <c r="F177" s="185"/>
      <c r="G177" s="196" t="s">
        <v>53</v>
      </c>
      <c r="H177" s="196"/>
      <c r="R177"/>
      <c r="S177" s="18"/>
      <c r="T177"/>
      <c r="U177" s="18"/>
      <c r="V177" s="18"/>
    </row>
    <row r="178" spans="1:22" s="32" customFormat="1" x14ac:dyDescent="0.25">
      <c r="A178" s="125" t="s">
        <v>401</v>
      </c>
      <c r="B178" s="125"/>
      <c r="C178" s="126">
        <f>COUNT(F199:F218)</f>
        <v>20</v>
      </c>
      <c r="D178" s="127"/>
      <c r="E178" s="126">
        <f>SUM(F199:F218)</f>
        <v>3102.1848000000005</v>
      </c>
      <c r="F178" s="127"/>
      <c r="G178" s="126">
        <f>SUM(H199:H218)</f>
        <v>4653.2771999999986</v>
      </c>
      <c r="H178" s="127"/>
      <c r="R178"/>
      <c r="S178" s="18"/>
      <c r="T178"/>
      <c r="U178" s="18"/>
      <c r="V178" s="18"/>
    </row>
    <row r="179" spans="1:22" s="32" customFormat="1" x14ac:dyDescent="0.25">
      <c r="A179" s="125" t="s">
        <v>404</v>
      </c>
      <c r="B179" s="125"/>
      <c r="C179" s="126">
        <f>COUNT(F221:F229)</f>
        <v>9</v>
      </c>
      <c r="D179" s="127"/>
      <c r="E179" s="126">
        <f>SUM(F221:F229)</f>
        <v>1378.4378400000001</v>
      </c>
      <c r="F179" s="127"/>
      <c r="G179" s="126">
        <f>SUM(H221:H229)</f>
        <v>2067.6567599999998</v>
      </c>
      <c r="H179" s="127"/>
      <c r="R179"/>
      <c r="S179" s="18"/>
      <c r="T179"/>
      <c r="U179" s="18"/>
      <c r="V179" s="18"/>
    </row>
    <row r="180" spans="1:22" s="32" customFormat="1" x14ac:dyDescent="0.25">
      <c r="A180" s="125" t="s">
        <v>410</v>
      </c>
      <c r="B180" s="125"/>
      <c r="C180" s="126">
        <f>COUNT(F232:F244)</f>
        <v>13</v>
      </c>
      <c r="D180" s="127"/>
      <c r="E180" s="126">
        <f>SUM(F232:F244)</f>
        <v>2007.2707199999995</v>
      </c>
      <c r="F180" s="127"/>
      <c r="G180" s="126">
        <f>SUM(H232:H244)</f>
        <v>3010.9060799999993</v>
      </c>
      <c r="H180" s="127"/>
      <c r="R180"/>
      <c r="S180" s="18"/>
      <c r="T180"/>
      <c r="U180" s="18"/>
      <c r="V180" s="18"/>
    </row>
    <row r="181" spans="1:22" s="32" customFormat="1" x14ac:dyDescent="0.25">
      <c r="A181" s="125" t="s">
        <v>414</v>
      </c>
      <c r="B181" s="125"/>
      <c r="C181" s="126">
        <f>COUNT(F247:F259)</f>
        <v>13</v>
      </c>
      <c r="D181" s="127"/>
      <c r="E181" s="126">
        <f>SUM(F247:F259)</f>
        <v>2007.3783599999999</v>
      </c>
      <c r="F181" s="127"/>
      <c r="G181" s="126">
        <f>SUM(H247:H259)</f>
        <v>3011.0675399999996</v>
      </c>
      <c r="H181" s="127"/>
      <c r="R181"/>
      <c r="S181" s="18"/>
      <c r="T181"/>
      <c r="U181" s="18"/>
      <c r="V181" s="18"/>
    </row>
    <row r="182" spans="1:22" s="32" customFormat="1" x14ac:dyDescent="0.25">
      <c r="A182" s="227" t="s">
        <v>147</v>
      </c>
      <c r="B182" s="227"/>
      <c r="C182" s="277">
        <f>SUM(C178:C181)</f>
        <v>55</v>
      </c>
      <c r="D182" s="200"/>
      <c r="E182" s="278">
        <f>SUM(E178:E181)</f>
        <v>8495.2717200000006</v>
      </c>
      <c r="F182" s="185"/>
      <c r="G182" s="196">
        <f>SUM(G178:G181)</f>
        <v>12742.907579999997</v>
      </c>
      <c r="H182" s="196"/>
      <c r="R182"/>
      <c r="S182" s="18"/>
      <c r="T182"/>
      <c r="U182" s="18"/>
      <c r="V182" s="18"/>
    </row>
    <row r="183" spans="1:22" s="32" customFormat="1" x14ac:dyDescent="0.25">
      <c r="A183" s="227" t="s">
        <v>66</v>
      </c>
      <c r="B183" s="227"/>
      <c r="C183" s="227"/>
      <c r="D183" s="227"/>
      <c r="E183" s="227"/>
      <c r="F183" s="227"/>
      <c r="G183" s="227"/>
      <c r="H183" s="227"/>
      <c r="T183"/>
    </row>
    <row r="184" spans="1:22" s="32" customFormat="1" ht="15.75" customHeight="1" x14ac:dyDescent="0.25">
      <c r="A184" s="196" t="s">
        <v>51</v>
      </c>
      <c r="B184" s="196"/>
      <c r="C184" s="200" t="s">
        <v>74</v>
      </c>
      <c r="D184" s="200"/>
      <c r="E184" s="185" t="s">
        <v>52</v>
      </c>
      <c r="F184" s="185"/>
      <c r="G184" s="196" t="s">
        <v>53</v>
      </c>
      <c r="H184" s="196"/>
      <c r="T184"/>
    </row>
    <row r="185" spans="1:22" s="32" customFormat="1" x14ac:dyDescent="0.25">
      <c r="A185" s="125" t="s">
        <v>401</v>
      </c>
      <c r="B185" s="125"/>
      <c r="C185" s="126">
        <f>COUNT(F265:F273)+COUNT(F275:F283)*5+COUNT(F285:F288)</f>
        <v>58</v>
      </c>
      <c r="D185" s="126"/>
      <c r="E185" s="126">
        <f>SUM(F265:F273)+SUM(F275:F283)*5+SUM(F285:F288)</f>
        <v>21135.329280000002</v>
      </c>
      <c r="F185" s="126"/>
      <c r="G185" s="126">
        <f>SUM(H265:H273)+SUM(H275:H283)*5+SUM(H285:H288)</f>
        <v>31390.389868499999</v>
      </c>
      <c r="H185" s="126"/>
      <c r="T185"/>
    </row>
    <row r="186" spans="1:22" s="32" customFormat="1" x14ac:dyDescent="0.25">
      <c r="A186" s="125" t="s">
        <v>404</v>
      </c>
      <c r="B186" s="125"/>
      <c r="C186" s="126">
        <f>COUNT(F291:F299)+COUNT(F301:F309)*5+COUNT(F311:F314)</f>
        <v>58</v>
      </c>
      <c r="D186" s="126"/>
      <c r="E186" s="126">
        <f>SUM(F291:F299)+SUM(F301:F309)*5+SUM(F311:F314)</f>
        <v>21135.329279999998</v>
      </c>
      <c r="F186" s="126"/>
      <c r="G186" s="126">
        <f>SUM(H291:H299)+SUM(H301:H309)*5+SUM(H311:H314)</f>
        <v>31197.479344200001</v>
      </c>
      <c r="H186" s="126"/>
      <c r="T186"/>
    </row>
    <row r="187" spans="1:22" s="32" customFormat="1" x14ac:dyDescent="0.25">
      <c r="A187" s="125" t="s">
        <v>410</v>
      </c>
      <c r="B187" s="125"/>
      <c r="C187" s="126">
        <f>COUNT(F317:F325)+COUNT(F327:F335)*5+COUNT(F337:F340)</f>
        <v>58</v>
      </c>
      <c r="D187" s="126"/>
      <c r="E187" s="126">
        <f>SUM(F317:F325)+SUM(F327:F335)*5+SUM(F337:F340)</f>
        <v>21135.329279999998</v>
      </c>
      <c r="F187" s="126"/>
      <c r="G187" s="126">
        <f>SUM(H317:H325)+SUM(H327:H335)*5+SUM(H337:H340)</f>
        <v>31238.882532</v>
      </c>
      <c r="H187" s="126"/>
      <c r="T187"/>
    </row>
    <row r="188" spans="1:22" s="32" customFormat="1" x14ac:dyDescent="0.25">
      <c r="A188" s="125" t="s">
        <v>411</v>
      </c>
      <c r="B188" s="125"/>
      <c r="C188" s="126">
        <f>COUNT(F344:F352)*6+COUNT(F354:F357)</f>
        <v>58</v>
      </c>
      <c r="D188" s="126"/>
      <c r="E188" s="126">
        <f>SUM(F344:F352)*6+SUM(F354:F357)</f>
        <v>21135.329280000002</v>
      </c>
      <c r="F188" s="126"/>
      <c r="G188" s="126">
        <f>SUM(H344:H352)*6+SUM(H354:H357)</f>
        <v>30980.675700000003</v>
      </c>
      <c r="H188" s="126"/>
      <c r="T188"/>
    </row>
    <row r="189" spans="1:22" s="32" customFormat="1" x14ac:dyDescent="0.25">
      <c r="A189" s="125" t="s">
        <v>414</v>
      </c>
      <c r="B189" s="125"/>
      <c r="C189" s="126">
        <f>COUNT(F360:F368)+COUNT(F370:F378)*5+COUNT(F380:F383)</f>
        <v>58</v>
      </c>
      <c r="D189" s="126"/>
      <c r="E189" s="126">
        <f>SUM(F360:F368)+SUM(F370:F378)*5+SUM(F380:F383)</f>
        <v>21135.329280000002</v>
      </c>
      <c r="F189" s="126"/>
      <c r="G189" s="126">
        <f>SUM(H360:H368)+SUM(H370:H378)*5+SUM(H380:H383)</f>
        <v>31217.459481000002</v>
      </c>
      <c r="H189" s="126"/>
      <c r="T189"/>
    </row>
    <row r="190" spans="1:22" s="32" customFormat="1" x14ac:dyDescent="0.25">
      <c r="A190" s="125" t="s">
        <v>415</v>
      </c>
      <c r="B190" s="125"/>
      <c r="C190" s="126">
        <f>COUNT(F387:F395)*6+COUNT(F397:F400)</f>
        <v>58</v>
      </c>
      <c r="D190" s="126"/>
      <c r="E190" s="126">
        <f>SUM(F387:F395)*6+SUM(F397:F400)</f>
        <v>21135.329279999998</v>
      </c>
      <c r="F190" s="126"/>
      <c r="G190" s="126">
        <f>SUM(H387:H395)*6+SUM(H397:H400)</f>
        <v>30961.949031000004</v>
      </c>
      <c r="H190" s="126"/>
      <c r="T190"/>
    </row>
    <row r="191" spans="1:22" s="32" customFormat="1" ht="16.5" thickBot="1" x14ac:dyDescent="0.3">
      <c r="A191" s="273" t="s">
        <v>147</v>
      </c>
      <c r="B191" s="273"/>
      <c r="C191" s="212">
        <f>SUM(C185:C190)</f>
        <v>348</v>
      </c>
      <c r="D191" s="213"/>
      <c r="E191" s="274">
        <f>SUM(E185:E190)</f>
        <v>126811.97568</v>
      </c>
      <c r="F191" s="275"/>
      <c r="G191" s="276">
        <f>SUM(G185:G190)</f>
        <v>186986.8359567</v>
      </c>
      <c r="H191" s="276"/>
      <c r="T191"/>
    </row>
    <row r="192" spans="1:22" s="32" customFormat="1" ht="16.5" thickBot="1" x14ac:dyDescent="0.3">
      <c r="A192" s="220" t="s">
        <v>164</v>
      </c>
      <c r="B192" s="221"/>
      <c r="C192" s="231">
        <f>C182+C191</f>
        <v>403</v>
      </c>
      <c r="D192" s="231"/>
      <c r="E192" s="269">
        <f>E182+E191</f>
        <v>135307.24739999999</v>
      </c>
      <c r="F192" s="269"/>
      <c r="G192" s="271">
        <f>G182+G191</f>
        <v>199729.7435367</v>
      </c>
      <c r="H192" s="272"/>
      <c r="T192"/>
    </row>
    <row r="193" spans="1:20" s="31" customFormat="1" x14ac:dyDescent="0.25">
      <c r="A193" s="186" t="s">
        <v>355</v>
      </c>
      <c r="B193" s="186"/>
      <c r="C193" s="186"/>
      <c r="D193" s="186"/>
      <c r="E193" s="186"/>
      <c r="F193" s="186"/>
      <c r="G193" s="186"/>
      <c r="H193" s="186"/>
      <c r="T193" s="32"/>
    </row>
    <row r="194" spans="1:20" x14ac:dyDescent="0.25">
      <c r="A194" s="195" t="s">
        <v>172</v>
      </c>
      <c r="B194" s="195"/>
      <c r="C194" s="195"/>
      <c r="D194" s="195"/>
      <c r="E194" s="195"/>
      <c r="F194" s="195"/>
      <c r="G194" s="195"/>
      <c r="H194" s="195"/>
      <c r="T194" s="32"/>
    </row>
    <row r="195" spans="1:20" ht="47.25" customHeight="1" x14ac:dyDescent="0.25">
      <c r="A195" s="189" t="s">
        <v>431</v>
      </c>
      <c r="B195" s="189" t="s">
        <v>174</v>
      </c>
      <c r="C195" s="189" t="s">
        <v>54</v>
      </c>
      <c r="D195" s="189" t="s">
        <v>231</v>
      </c>
      <c r="E195" s="223" t="s">
        <v>153</v>
      </c>
      <c r="F195" s="189" t="s">
        <v>55</v>
      </c>
      <c r="G195" s="223" t="s">
        <v>56</v>
      </c>
      <c r="H195" s="113" t="s">
        <v>145</v>
      </c>
      <c r="T195" s="32"/>
    </row>
    <row r="196" spans="1:20" s="34" customFormat="1" x14ac:dyDescent="0.25">
      <c r="A196" s="190"/>
      <c r="B196" s="190"/>
      <c r="C196" s="190"/>
      <c r="D196" s="190"/>
      <c r="E196" s="224"/>
      <c r="F196" s="190"/>
      <c r="G196" s="224"/>
      <c r="H196" s="114">
        <v>0.5</v>
      </c>
      <c r="T196" s="32"/>
    </row>
    <row r="197" spans="1:20" s="96" customFormat="1" x14ac:dyDescent="0.25">
      <c r="A197" s="279" t="s">
        <v>401</v>
      </c>
      <c r="B197" s="280"/>
      <c r="C197" s="280"/>
      <c r="D197" s="280"/>
      <c r="E197" s="280"/>
      <c r="F197" s="280"/>
      <c r="G197" s="280"/>
      <c r="H197" s="281"/>
      <c r="J197" s="33"/>
      <c r="T197" s="32"/>
    </row>
    <row r="198" spans="1:20" s="96" customFormat="1" ht="15.6" customHeight="1" x14ac:dyDescent="0.25">
      <c r="A198" s="282" t="s">
        <v>402</v>
      </c>
      <c r="B198" s="282"/>
      <c r="C198" s="282"/>
      <c r="D198" s="282"/>
      <c r="E198" s="282"/>
      <c r="F198" s="282"/>
      <c r="G198" s="283"/>
      <c r="H198" s="282"/>
      <c r="J198" s="33"/>
      <c r="T198" s="32"/>
    </row>
    <row r="199" spans="1:20" s="96" customFormat="1" ht="15.75" customHeight="1" x14ac:dyDescent="0.25">
      <c r="A199" s="207">
        <v>10</v>
      </c>
      <c r="B199" s="209"/>
      <c r="C199" s="117" t="s">
        <v>403</v>
      </c>
      <c r="D199" s="116">
        <f>(16.07)*10.764</f>
        <v>172.97747999999999</v>
      </c>
      <c r="E199" s="117">
        <v>0</v>
      </c>
      <c r="F199" s="117">
        <f t="shared" ref="F199:F218" si="0">D199+(IF(E199&lt;201,E199,IF(E199&lt;301,E199/2,E199/3)))</f>
        <v>172.97747999999999</v>
      </c>
      <c r="G199" s="118">
        <v>0</v>
      </c>
      <c r="H199" s="117">
        <f t="shared" ref="H199:H218" si="1">(F199+(IF(G199&lt;101,G199,IF(G199&lt;201,G199/2,IF(G199&lt;=301,G199/3,G199/4)))))*(($H$196)+1)</f>
        <v>259.46621999999996</v>
      </c>
      <c r="I199" s="33"/>
      <c r="L199" s="158"/>
      <c r="M199" s="158"/>
      <c r="N199" s="33"/>
      <c r="T199" s="32"/>
    </row>
    <row r="200" spans="1:20" s="96" customFormat="1" ht="15.75" customHeight="1" x14ac:dyDescent="0.25">
      <c r="A200" s="207">
        <f t="shared" ref="A200:A218" si="2">A199+1</f>
        <v>11</v>
      </c>
      <c r="B200" s="209"/>
      <c r="C200" s="117" t="s">
        <v>403</v>
      </c>
      <c r="D200" s="116">
        <f>(16.07)*10.764</f>
        <v>172.97747999999999</v>
      </c>
      <c r="E200" s="117">
        <v>0</v>
      </c>
      <c r="F200" s="117">
        <f t="shared" si="0"/>
        <v>172.97747999999999</v>
      </c>
      <c r="G200" s="117">
        <v>0</v>
      </c>
      <c r="H200" s="117">
        <f t="shared" si="1"/>
        <v>259.46621999999996</v>
      </c>
      <c r="I200" s="33"/>
      <c r="L200" s="158"/>
      <c r="M200" s="158"/>
      <c r="N200" s="33"/>
      <c r="T200" s="31"/>
    </row>
    <row r="201" spans="1:20" s="96" customFormat="1" ht="15.75" customHeight="1" x14ac:dyDescent="0.25">
      <c r="A201" s="207">
        <f t="shared" si="2"/>
        <v>12</v>
      </c>
      <c r="B201" s="209"/>
      <c r="C201" s="117" t="s">
        <v>403</v>
      </c>
      <c r="D201" s="116">
        <f>(12.55)*10.764</f>
        <v>135.0882</v>
      </c>
      <c r="E201" s="117">
        <v>0</v>
      </c>
      <c r="F201" s="117">
        <f t="shared" si="0"/>
        <v>135.0882</v>
      </c>
      <c r="G201" s="117">
        <v>0</v>
      </c>
      <c r="H201" s="117">
        <f t="shared" si="1"/>
        <v>202.63229999999999</v>
      </c>
      <c r="I201" s="33"/>
      <c r="L201" s="158"/>
      <c r="M201" s="158"/>
      <c r="N201" s="33"/>
      <c r="T201" s="18"/>
    </row>
    <row r="202" spans="1:20" s="96" customFormat="1" ht="15.75" customHeight="1" x14ac:dyDescent="0.25">
      <c r="A202" s="207">
        <f t="shared" si="2"/>
        <v>13</v>
      </c>
      <c r="B202" s="209"/>
      <c r="C202" s="117" t="s">
        <v>403</v>
      </c>
      <c r="D202" s="116">
        <f>(16.07)*10.764</f>
        <v>172.97747999999999</v>
      </c>
      <c r="E202" s="117">
        <v>0</v>
      </c>
      <c r="F202" s="117">
        <f t="shared" si="0"/>
        <v>172.97747999999999</v>
      </c>
      <c r="G202" s="117">
        <v>0</v>
      </c>
      <c r="H202" s="117">
        <f t="shared" si="1"/>
        <v>259.46621999999996</v>
      </c>
      <c r="I202" s="33"/>
      <c r="L202" s="158"/>
      <c r="M202" s="158"/>
      <c r="N202" s="33"/>
      <c r="T202" s="18"/>
    </row>
    <row r="203" spans="1:20" s="96" customFormat="1" ht="15.75" customHeight="1" x14ac:dyDescent="0.25">
      <c r="A203" s="156">
        <f t="shared" si="2"/>
        <v>14</v>
      </c>
      <c r="B203" s="157"/>
      <c r="C203" s="97" t="s">
        <v>403</v>
      </c>
      <c r="D203" s="103">
        <f>(16.07)*10.764</f>
        <v>172.97747999999999</v>
      </c>
      <c r="E203" s="97">
        <v>0</v>
      </c>
      <c r="F203" s="97">
        <f t="shared" si="0"/>
        <v>172.97747999999999</v>
      </c>
      <c r="G203" s="97">
        <v>0</v>
      </c>
      <c r="H203" s="97">
        <f t="shared" si="1"/>
        <v>259.46621999999996</v>
      </c>
      <c r="I203" s="33"/>
      <c r="L203" s="158"/>
      <c r="M203" s="158"/>
      <c r="N203" s="33"/>
      <c r="T203" s="31"/>
    </row>
    <row r="204" spans="1:20" s="96" customFormat="1" ht="15.75" customHeight="1" x14ac:dyDescent="0.25">
      <c r="A204" s="156">
        <f t="shared" si="2"/>
        <v>15</v>
      </c>
      <c r="B204" s="157"/>
      <c r="C204" s="97" t="s">
        <v>403</v>
      </c>
      <c r="D204" s="103">
        <f>(12.55)*10.764</f>
        <v>135.0882</v>
      </c>
      <c r="E204" s="97">
        <v>0</v>
      </c>
      <c r="F204" s="97">
        <f t="shared" si="0"/>
        <v>135.0882</v>
      </c>
      <c r="G204" s="97">
        <v>0</v>
      </c>
      <c r="H204" s="97">
        <f t="shared" si="1"/>
        <v>202.63229999999999</v>
      </c>
      <c r="I204" s="33"/>
      <c r="L204" s="158"/>
      <c r="M204" s="158"/>
      <c r="N204" s="33"/>
      <c r="T204" s="18"/>
    </row>
    <row r="205" spans="1:20" s="96" customFormat="1" ht="15.75" customHeight="1" x14ac:dyDescent="0.25">
      <c r="A205" s="156">
        <f t="shared" si="2"/>
        <v>16</v>
      </c>
      <c r="B205" s="157"/>
      <c r="C205" s="97" t="s">
        <v>403</v>
      </c>
      <c r="D205" s="103">
        <f>(12.26)*10.764</f>
        <v>131.96663999999998</v>
      </c>
      <c r="E205" s="97">
        <v>0</v>
      </c>
      <c r="F205" s="97">
        <f t="shared" si="0"/>
        <v>131.96663999999998</v>
      </c>
      <c r="G205" s="97">
        <v>0</v>
      </c>
      <c r="H205" s="97">
        <f t="shared" si="1"/>
        <v>197.94995999999998</v>
      </c>
      <c r="I205" s="33"/>
      <c r="L205" s="158"/>
      <c r="M205" s="158"/>
      <c r="N205" s="33"/>
      <c r="T205" s="18"/>
    </row>
    <row r="206" spans="1:20" s="96" customFormat="1" ht="15.75" customHeight="1" x14ac:dyDescent="0.25">
      <c r="A206" s="156">
        <f t="shared" si="2"/>
        <v>17</v>
      </c>
      <c r="B206" s="157"/>
      <c r="C206" s="97" t="s">
        <v>403</v>
      </c>
      <c r="D206" s="103">
        <f>(10.51)*10.764</f>
        <v>113.12963999999999</v>
      </c>
      <c r="E206" s="97">
        <v>0</v>
      </c>
      <c r="F206" s="97">
        <f t="shared" si="0"/>
        <v>113.12963999999999</v>
      </c>
      <c r="G206" s="97">
        <v>0</v>
      </c>
      <c r="H206" s="97">
        <f t="shared" si="1"/>
        <v>169.69445999999999</v>
      </c>
      <c r="I206" s="33"/>
      <c r="L206" s="158"/>
      <c r="M206" s="158"/>
      <c r="N206" s="33"/>
      <c r="T206" s="31"/>
    </row>
    <row r="207" spans="1:20" s="96" customFormat="1" ht="15.75" customHeight="1" x14ac:dyDescent="0.25">
      <c r="A207" s="156">
        <f t="shared" si="2"/>
        <v>18</v>
      </c>
      <c r="B207" s="157"/>
      <c r="C207" s="97" t="s">
        <v>403</v>
      </c>
      <c r="D207" s="103">
        <f>(19.05)*10.764</f>
        <v>205.05420000000001</v>
      </c>
      <c r="E207" s="97">
        <v>0</v>
      </c>
      <c r="F207" s="97">
        <f t="shared" si="0"/>
        <v>205.05420000000001</v>
      </c>
      <c r="G207" s="97">
        <v>0</v>
      </c>
      <c r="H207" s="97">
        <f t="shared" si="1"/>
        <v>307.5813</v>
      </c>
      <c r="I207" s="33"/>
      <c r="L207" s="158"/>
      <c r="M207" s="158"/>
      <c r="N207" s="33"/>
      <c r="T207" s="18"/>
    </row>
    <row r="208" spans="1:20" s="96" customFormat="1" ht="15.75" customHeight="1" x14ac:dyDescent="0.25">
      <c r="A208" s="156">
        <f t="shared" si="2"/>
        <v>19</v>
      </c>
      <c r="B208" s="157"/>
      <c r="C208" s="97" t="s">
        <v>403</v>
      </c>
      <c r="D208" s="103">
        <f>(16.07)*10.764</f>
        <v>172.97747999999999</v>
      </c>
      <c r="E208" s="97">
        <v>0</v>
      </c>
      <c r="F208" s="97">
        <f t="shared" si="0"/>
        <v>172.97747999999999</v>
      </c>
      <c r="G208" s="97">
        <v>0</v>
      </c>
      <c r="H208" s="97">
        <f t="shared" si="1"/>
        <v>259.46621999999996</v>
      </c>
      <c r="I208" s="33"/>
      <c r="L208" s="158"/>
      <c r="M208" s="158"/>
      <c r="N208" s="33"/>
      <c r="T208" s="18"/>
    </row>
    <row r="209" spans="1:20" s="96" customFormat="1" ht="15.75" customHeight="1" x14ac:dyDescent="0.25">
      <c r="A209" s="156">
        <f t="shared" si="2"/>
        <v>20</v>
      </c>
      <c r="B209" s="157"/>
      <c r="C209" s="97" t="s">
        <v>403</v>
      </c>
      <c r="D209" s="103">
        <f>(16.07)*10.764</f>
        <v>172.97747999999999</v>
      </c>
      <c r="E209" s="97">
        <v>0</v>
      </c>
      <c r="F209" s="97">
        <f t="shared" si="0"/>
        <v>172.97747999999999</v>
      </c>
      <c r="G209" s="97">
        <v>0</v>
      </c>
      <c r="H209" s="97">
        <f t="shared" si="1"/>
        <v>259.46621999999996</v>
      </c>
      <c r="I209" s="33"/>
      <c r="L209" s="158"/>
      <c r="M209" s="158"/>
      <c r="N209" s="33"/>
      <c r="T209" s="31"/>
    </row>
    <row r="210" spans="1:20" s="96" customFormat="1" ht="15.75" customHeight="1" x14ac:dyDescent="0.25">
      <c r="A210" s="156">
        <f t="shared" si="2"/>
        <v>21</v>
      </c>
      <c r="B210" s="157"/>
      <c r="C210" s="97" t="s">
        <v>403</v>
      </c>
      <c r="D210" s="103">
        <f>(12.55)*10.764</f>
        <v>135.0882</v>
      </c>
      <c r="E210" s="97">
        <v>0</v>
      </c>
      <c r="F210" s="97">
        <f t="shared" si="0"/>
        <v>135.0882</v>
      </c>
      <c r="G210" s="97">
        <v>0</v>
      </c>
      <c r="H210" s="97">
        <f t="shared" si="1"/>
        <v>202.63229999999999</v>
      </c>
      <c r="I210" s="33"/>
      <c r="L210" s="158"/>
      <c r="M210" s="158"/>
      <c r="N210" s="33"/>
      <c r="T210" s="18"/>
    </row>
    <row r="211" spans="1:20" s="96" customFormat="1" ht="15.75" customHeight="1" x14ac:dyDescent="0.25">
      <c r="A211" s="156">
        <f t="shared" si="2"/>
        <v>22</v>
      </c>
      <c r="B211" s="157"/>
      <c r="C211" s="97" t="s">
        <v>403</v>
      </c>
      <c r="D211" s="103">
        <f>(12.26)*10.764</f>
        <v>131.96663999999998</v>
      </c>
      <c r="E211" s="97">
        <v>0</v>
      </c>
      <c r="F211" s="97">
        <f t="shared" si="0"/>
        <v>131.96663999999998</v>
      </c>
      <c r="G211" s="97">
        <v>0</v>
      </c>
      <c r="H211" s="97">
        <f t="shared" si="1"/>
        <v>197.94995999999998</v>
      </c>
      <c r="I211" s="33"/>
      <c r="L211" s="158"/>
      <c r="M211" s="158"/>
      <c r="N211" s="33"/>
      <c r="T211" s="18"/>
    </row>
    <row r="212" spans="1:20" s="96" customFormat="1" ht="15.75" customHeight="1" x14ac:dyDescent="0.25">
      <c r="A212" s="156">
        <f t="shared" si="2"/>
        <v>23</v>
      </c>
      <c r="B212" s="157"/>
      <c r="C212" s="97" t="s">
        <v>403</v>
      </c>
      <c r="D212" s="103">
        <f>(16.07)*10.764</f>
        <v>172.97747999999999</v>
      </c>
      <c r="E212" s="97">
        <v>0</v>
      </c>
      <c r="F212" s="97">
        <f t="shared" si="0"/>
        <v>172.97747999999999</v>
      </c>
      <c r="G212" s="97">
        <v>0</v>
      </c>
      <c r="H212" s="97">
        <f t="shared" si="1"/>
        <v>259.46621999999996</v>
      </c>
      <c r="I212" s="33"/>
      <c r="L212" s="158"/>
      <c r="M212" s="158"/>
      <c r="N212" s="33"/>
      <c r="T212" s="31"/>
    </row>
    <row r="213" spans="1:20" s="96" customFormat="1" ht="15.75" customHeight="1" x14ac:dyDescent="0.25">
      <c r="A213" s="156">
        <f t="shared" si="2"/>
        <v>24</v>
      </c>
      <c r="B213" s="157"/>
      <c r="C213" s="97" t="s">
        <v>403</v>
      </c>
      <c r="D213" s="103">
        <f>(12.55)*10.764</f>
        <v>135.0882</v>
      </c>
      <c r="E213" s="97">
        <v>0</v>
      </c>
      <c r="F213" s="97">
        <f t="shared" si="0"/>
        <v>135.0882</v>
      </c>
      <c r="G213" s="97">
        <v>0</v>
      </c>
      <c r="H213" s="97">
        <f t="shared" si="1"/>
        <v>202.63229999999999</v>
      </c>
      <c r="I213" s="33"/>
      <c r="L213" s="158"/>
      <c r="M213" s="158"/>
      <c r="N213" s="33"/>
      <c r="T213" s="18"/>
    </row>
    <row r="214" spans="1:20" s="96" customFormat="1" ht="15.75" customHeight="1" x14ac:dyDescent="0.25">
      <c r="A214" s="156">
        <f t="shared" si="2"/>
        <v>25</v>
      </c>
      <c r="B214" s="157"/>
      <c r="C214" s="97" t="s">
        <v>403</v>
      </c>
      <c r="D214" s="103">
        <f>(10.67)*10.764</f>
        <v>114.85187999999999</v>
      </c>
      <c r="E214" s="97">
        <v>0</v>
      </c>
      <c r="F214" s="97">
        <f t="shared" si="0"/>
        <v>114.85187999999999</v>
      </c>
      <c r="G214" s="97">
        <v>0</v>
      </c>
      <c r="H214" s="97">
        <f t="shared" si="1"/>
        <v>172.27781999999999</v>
      </c>
      <c r="I214" s="33"/>
      <c r="L214" s="158"/>
      <c r="M214" s="158"/>
      <c r="N214" s="33"/>
      <c r="T214" s="18"/>
    </row>
    <row r="215" spans="1:20" s="96" customFormat="1" ht="15.75" customHeight="1" x14ac:dyDescent="0.25">
      <c r="A215" s="156">
        <f t="shared" si="2"/>
        <v>26</v>
      </c>
      <c r="B215" s="157"/>
      <c r="C215" s="97" t="s">
        <v>403</v>
      </c>
      <c r="D215" s="103">
        <f>(16.07)*10.764</f>
        <v>172.97747999999999</v>
      </c>
      <c r="E215" s="97">
        <v>0</v>
      </c>
      <c r="F215" s="97">
        <f t="shared" si="0"/>
        <v>172.97747999999999</v>
      </c>
      <c r="G215" s="97">
        <v>0</v>
      </c>
      <c r="H215" s="97">
        <f t="shared" si="1"/>
        <v>259.46621999999996</v>
      </c>
      <c r="I215" s="33"/>
      <c r="L215" s="158"/>
      <c r="M215" s="158"/>
      <c r="N215" s="33"/>
      <c r="T215" s="31"/>
    </row>
    <row r="216" spans="1:20" s="96" customFormat="1" ht="15.75" customHeight="1" x14ac:dyDescent="0.25">
      <c r="A216" s="156">
        <f t="shared" si="2"/>
        <v>27</v>
      </c>
      <c r="B216" s="157"/>
      <c r="C216" s="97" t="s">
        <v>403</v>
      </c>
      <c r="D216" s="103">
        <f>(16.07)*10.764</f>
        <v>172.97747999999999</v>
      </c>
      <c r="E216" s="97">
        <v>0</v>
      </c>
      <c r="F216" s="97">
        <f t="shared" si="0"/>
        <v>172.97747999999999</v>
      </c>
      <c r="G216" s="97">
        <v>0</v>
      </c>
      <c r="H216" s="97">
        <f t="shared" si="1"/>
        <v>259.46621999999996</v>
      </c>
      <c r="I216" s="33"/>
      <c r="L216" s="158"/>
      <c r="M216" s="158"/>
      <c r="N216" s="33"/>
      <c r="T216" s="18"/>
    </row>
    <row r="217" spans="1:20" s="96" customFormat="1" ht="15.75" customHeight="1" x14ac:dyDescent="0.25">
      <c r="A217" s="156">
        <f t="shared" si="2"/>
        <v>28</v>
      </c>
      <c r="B217" s="157"/>
      <c r="C217" s="97" t="s">
        <v>403</v>
      </c>
      <c r="D217" s="103">
        <f>(12.55)*10.764</f>
        <v>135.0882</v>
      </c>
      <c r="E217" s="97">
        <v>0</v>
      </c>
      <c r="F217" s="97">
        <f t="shared" si="0"/>
        <v>135.0882</v>
      </c>
      <c r="G217" s="97">
        <v>0</v>
      </c>
      <c r="H217" s="97">
        <f t="shared" si="1"/>
        <v>202.63229999999999</v>
      </c>
      <c r="I217" s="33"/>
      <c r="L217" s="158"/>
      <c r="M217" s="158"/>
      <c r="N217" s="33"/>
      <c r="T217" s="18"/>
    </row>
    <row r="218" spans="1:20" s="96" customFormat="1" ht="15.75" customHeight="1" x14ac:dyDescent="0.25">
      <c r="A218" s="156">
        <f t="shared" si="2"/>
        <v>29</v>
      </c>
      <c r="B218" s="157"/>
      <c r="C218" s="97" t="s">
        <v>403</v>
      </c>
      <c r="D218" s="103">
        <f>(16.07)*10.764</f>
        <v>172.97747999999999</v>
      </c>
      <c r="E218" s="97">
        <v>0</v>
      </c>
      <c r="F218" s="97">
        <f t="shared" si="0"/>
        <v>172.97747999999999</v>
      </c>
      <c r="G218" s="97">
        <v>0</v>
      </c>
      <c r="H218" s="97">
        <f t="shared" si="1"/>
        <v>259.46621999999996</v>
      </c>
      <c r="I218" s="33"/>
      <c r="L218" s="158"/>
      <c r="M218" s="158"/>
      <c r="N218" s="33"/>
      <c r="T218" s="18"/>
    </row>
    <row r="219" spans="1:20" s="96" customFormat="1" x14ac:dyDescent="0.25">
      <c r="A219" s="284" t="s">
        <v>404</v>
      </c>
      <c r="B219" s="285"/>
      <c r="C219" s="285"/>
      <c r="D219" s="285"/>
      <c r="E219" s="285"/>
      <c r="F219" s="285"/>
      <c r="G219" s="285"/>
      <c r="H219" s="286"/>
      <c r="J219" s="33"/>
      <c r="T219" s="32"/>
    </row>
    <row r="220" spans="1:20" s="96" customFormat="1" ht="15.6" customHeight="1" x14ac:dyDescent="0.25">
      <c r="A220" s="175" t="s">
        <v>405</v>
      </c>
      <c r="B220" s="175"/>
      <c r="C220" s="175"/>
      <c r="D220" s="175"/>
      <c r="E220" s="175"/>
      <c r="F220" s="175"/>
      <c r="G220" s="176"/>
      <c r="H220" s="175"/>
      <c r="J220" s="33"/>
      <c r="T220" s="32"/>
    </row>
    <row r="221" spans="1:20" s="96" customFormat="1" ht="15.75" customHeight="1" x14ac:dyDescent="0.25">
      <c r="A221" s="156">
        <v>1</v>
      </c>
      <c r="B221" s="157"/>
      <c r="C221" s="97" t="s">
        <v>403</v>
      </c>
      <c r="D221" s="103">
        <f>(15.91)*10.764</f>
        <v>171.25523999999999</v>
      </c>
      <c r="E221" s="97">
        <v>0</v>
      </c>
      <c r="F221" s="97">
        <f t="shared" ref="F221:F229" si="3">D221+(IF(E221&lt;201,E221,IF(E221&lt;301,E221/2,E221/3)))</f>
        <v>171.25523999999999</v>
      </c>
      <c r="G221" s="57">
        <v>0</v>
      </c>
      <c r="H221" s="97">
        <f t="shared" ref="H221:H229" si="4">(F221+(IF(G221&lt;101,G221,IF(G221&lt;201,G221/2,IF(G221&lt;=301,G221/3,G221/4)))))*(($H$196)+1)</f>
        <v>256.88285999999999</v>
      </c>
      <c r="I221" s="33"/>
      <c r="L221" s="158"/>
      <c r="M221" s="158"/>
      <c r="N221" s="33"/>
      <c r="T221" s="32"/>
    </row>
    <row r="222" spans="1:20" s="96" customFormat="1" ht="15.75" customHeight="1" x14ac:dyDescent="0.25">
      <c r="A222" s="156">
        <f t="shared" ref="A222:A229" si="5">A221+1</f>
        <v>2</v>
      </c>
      <c r="B222" s="157"/>
      <c r="C222" s="97" t="s">
        <v>403</v>
      </c>
      <c r="D222" s="103">
        <f>(10.51)*10.764</f>
        <v>113.12963999999999</v>
      </c>
      <c r="E222" s="97">
        <v>0</v>
      </c>
      <c r="F222" s="97">
        <f t="shared" si="3"/>
        <v>113.12963999999999</v>
      </c>
      <c r="G222" s="97">
        <v>0</v>
      </c>
      <c r="H222" s="97">
        <f t="shared" si="4"/>
        <v>169.69445999999999</v>
      </c>
      <c r="I222" s="33"/>
      <c r="L222" s="158"/>
      <c r="M222" s="158"/>
      <c r="N222" s="33"/>
      <c r="T222" s="31"/>
    </row>
    <row r="223" spans="1:20" s="96" customFormat="1" ht="15.75" customHeight="1" x14ac:dyDescent="0.25">
      <c r="A223" s="156">
        <f t="shared" si="5"/>
        <v>3</v>
      </c>
      <c r="B223" s="157"/>
      <c r="C223" s="97" t="s">
        <v>403</v>
      </c>
      <c r="D223" s="103">
        <f>(12.26)*10.764</f>
        <v>131.96663999999998</v>
      </c>
      <c r="E223" s="97">
        <v>0</v>
      </c>
      <c r="F223" s="97">
        <f t="shared" si="3"/>
        <v>131.96663999999998</v>
      </c>
      <c r="G223" s="97">
        <v>0</v>
      </c>
      <c r="H223" s="97">
        <f t="shared" si="4"/>
        <v>197.94995999999998</v>
      </c>
      <c r="I223" s="33"/>
      <c r="L223" s="158"/>
      <c r="M223" s="158"/>
      <c r="N223" s="33"/>
      <c r="T223" s="18"/>
    </row>
    <row r="224" spans="1:20" s="96" customFormat="1" ht="15.75" customHeight="1" x14ac:dyDescent="0.25">
      <c r="A224" s="156">
        <f t="shared" si="5"/>
        <v>4</v>
      </c>
      <c r="B224" s="157"/>
      <c r="C224" s="97" t="s">
        <v>403</v>
      </c>
      <c r="D224" s="103">
        <f>(12.55)*10.764</f>
        <v>135.0882</v>
      </c>
      <c r="E224" s="97">
        <v>0</v>
      </c>
      <c r="F224" s="97">
        <f t="shared" si="3"/>
        <v>135.0882</v>
      </c>
      <c r="G224" s="97">
        <v>0</v>
      </c>
      <c r="H224" s="97">
        <f t="shared" si="4"/>
        <v>202.63229999999999</v>
      </c>
      <c r="I224" s="33"/>
      <c r="L224" s="158"/>
      <c r="M224" s="158"/>
      <c r="N224" s="33"/>
      <c r="T224" s="18"/>
    </row>
    <row r="225" spans="1:20" s="96" customFormat="1" ht="15.75" customHeight="1" x14ac:dyDescent="0.25">
      <c r="A225" s="156">
        <f t="shared" si="5"/>
        <v>5</v>
      </c>
      <c r="B225" s="157"/>
      <c r="C225" s="97" t="s">
        <v>403</v>
      </c>
      <c r="D225" s="103">
        <f>(16.07)*10.764</f>
        <v>172.97747999999999</v>
      </c>
      <c r="E225" s="97">
        <v>0</v>
      </c>
      <c r="F225" s="97">
        <f t="shared" si="3"/>
        <v>172.97747999999999</v>
      </c>
      <c r="G225" s="97">
        <v>0</v>
      </c>
      <c r="H225" s="97">
        <f t="shared" si="4"/>
        <v>259.46621999999996</v>
      </c>
      <c r="I225" s="33"/>
      <c r="L225" s="158"/>
      <c r="M225" s="158"/>
      <c r="N225" s="33"/>
      <c r="T225" s="31"/>
    </row>
    <row r="226" spans="1:20" s="96" customFormat="1" ht="15.75" customHeight="1" x14ac:dyDescent="0.25">
      <c r="A226" s="156">
        <f t="shared" si="5"/>
        <v>6</v>
      </c>
      <c r="B226" s="157"/>
      <c r="C226" s="97" t="s">
        <v>403</v>
      </c>
      <c r="D226" s="103">
        <f>(16.07)*10.764</f>
        <v>172.97747999999999</v>
      </c>
      <c r="E226" s="97">
        <v>0</v>
      </c>
      <c r="F226" s="97">
        <f t="shared" si="3"/>
        <v>172.97747999999999</v>
      </c>
      <c r="G226" s="97">
        <v>0</v>
      </c>
      <c r="H226" s="97">
        <f t="shared" si="4"/>
        <v>259.46621999999996</v>
      </c>
      <c r="I226" s="33"/>
      <c r="L226" s="158"/>
      <c r="M226" s="158"/>
      <c r="N226" s="33"/>
      <c r="T226" s="18"/>
    </row>
    <row r="227" spans="1:20" s="96" customFormat="1" ht="15.75" customHeight="1" x14ac:dyDescent="0.25">
      <c r="A227" s="156">
        <f t="shared" si="5"/>
        <v>7</v>
      </c>
      <c r="B227" s="157"/>
      <c r="C227" s="97" t="s">
        <v>403</v>
      </c>
      <c r="D227" s="103">
        <f>(12.55)*10.764</f>
        <v>135.0882</v>
      </c>
      <c r="E227" s="97">
        <v>0</v>
      </c>
      <c r="F227" s="97">
        <f t="shared" si="3"/>
        <v>135.0882</v>
      </c>
      <c r="G227" s="97">
        <v>0</v>
      </c>
      <c r="H227" s="97">
        <f t="shared" si="4"/>
        <v>202.63229999999999</v>
      </c>
      <c r="I227" s="33"/>
      <c r="L227" s="158"/>
      <c r="M227" s="158"/>
      <c r="N227" s="33"/>
      <c r="T227" s="18"/>
    </row>
    <row r="228" spans="1:20" s="96" customFormat="1" ht="15.75" customHeight="1" x14ac:dyDescent="0.25">
      <c r="A228" s="156">
        <f t="shared" si="5"/>
        <v>8</v>
      </c>
      <c r="B228" s="157"/>
      <c r="C228" s="97" t="s">
        <v>403</v>
      </c>
      <c r="D228" s="103">
        <f>(16.07)*10.764</f>
        <v>172.97747999999999</v>
      </c>
      <c r="E228" s="97">
        <v>0</v>
      </c>
      <c r="F228" s="97">
        <f t="shared" si="3"/>
        <v>172.97747999999999</v>
      </c>
      <c r="G228" s="97">
        <v>0</v>
      </c>
      <c r="H228" s="97">
        <f t="shared" si="4"/>
        <v>259.46621999999996</v>
      </c>
      <c r="I228" s="33"/>
      <c r="L228" s="158"/>
      <c r="M228" s="158"/>
      <c r="N228" s="33"/>
      <c r="T228" s="18"/>
    </row>
    <row r="229" spans="1:20" s="96" customFormat="1" ht="15.75" customHeight="1" x14ac:dyDescent="0.25">
      <c r="A229" s="156">
        <f t="shared" si="5"/>
        <v>9</v>
      </c>
      <c r="B229" s="157"/>
      <c r="C229" s="97" t="s">
        <v>403</v>
      </c>
      <c r="D229" s="103">
        <f>(16.07)*10.764</f>
        <v>172.97747999999999</v>
      </c>
      <c r="E229" s="97">
        <v>0</v>
      </c>
      <c r="F229" s="97">
        <f t="shared" si="3"/>
        <v>172.97747999999999</v>
      </c>
      <c r="G229" s="97">
        <v>0</v>
      </c>
      <c r="H229" s="97">
        <f t="shared" si="4"/>
        <v>259.46621999999996</v>
      </c>
      <c r="I229" s="33"/>
      <c r="L229" s="158"/>
      <c r="M229" s="158"/>
      <c r="N229" s="33"/>
      <c r="T229" s="18"/>
    </row>
    <row r="230" spans="1:20" s="105" customFormat="1" ht="17.45" customHeight="1" x14ac:dyDescent="0.25">
      <c r="A230" s="173" t="s">
        <v>410</v>
      </c>
      <c r="B230" s="173"/>
      <c r="C230" s="173"/>
      <c r="D230" s="173"/>
      <c r="E230" s="173"/>
      <c r="F230" s="173"/>
      <c r="G230" s="174"/>
      <c r="H230" s="173"/>
    </row>
    <row r="231" spans="1:20" s="34" customFormat="1" ht="15.6" customHeight="1" x14ac:dyDescent="0.25">
      <c r="A231" s="175" t="s">
        <v>402</v>
      </c>
      <c r="B231" s="175"/>
      <c r="C231" s="175"/>
      <c r="D231" s="175"/>
      <c r="E231" s="175"/>
      <c r="F231" s="175"/>
      <c r="G231" s="176"/>
      <c r="H231" s="175"/>
      <c r="J231" s="33"/>
      <c r="T231" s="32"/>
    </row>
    <row r="232" spans="1:20" s="34" customFormat="1" ht="15.75" customHeight="1" x14ac:dyDescent="0.25">
      <c r="A232" s="156">
        <v>1</v>
      </c>
      <c r="B232" s="157"/>
      <c r="C232" s="97" t="s">
        <v>403</v>
      </c>
      <c r="D232" s="103">
        <f>(16.07)*10.764</f>
        <v>172.97747999999999</v>
      </c>
      <c r="E232" s="39">
        <v>0</v>
      </c>
      <c r="F232" s="56">
        <f t="shared" ref="F232:F244" si="6">D232+(IF(E232&lt;201,E232,IF(E232&lt;301,E232/2,E232/3)))</f>
        <v>172.97747999999999</v>
      </c>
      <c r="G232" s="57">
        <v>0</v>
      </c>
      <c r="H232" s="56">
        <f t="shared" ref="H232:H244" si="7">(F232+(IF(G232&lt;101,G232,IF(G232&lt;201,G232/2,IF(G232&lt;=301,G232/3,G232/4)))))*(($H$196)+1)</f>
        <v>259.46621999999996</v>
      </c>
      <c r="I232" s="33"/>
      <c r="L232" s="158"/>
      <c r="M232" s="158"/>
      <c r="N232" s="33"/>
      <c r="T232" s="32"/>
    </row>
    <row r="233" spans="1:20" s="34" customFormat="1" ht="15.75" customHeight="1" x14ac:dyDescent="0.25">
      <c r="A233" s="156">
        <f t="shared" ref="A233:A244" si="8">A232+1</f>
        <v>2</v>
      </c>
      <c r="B233" s="157"/>
      <c r="C233" s="97" t="s">
        <v>403</v>
      </c>
      <c r="D233" s="103">
        <f>(12.55)*10.764</f>
        <v>135.0882</v>
      </c>
      <c r="E233" s="39">
        <v>0</v>
      </c>
      <c r="F233" s="56">
        <f t="shared" si="6"/>
        <v>135.0882</v>
      </c>
      <c r="G233" s="49">
        <v>0</v>
      </c>
      <c r="H233" s="56">
        <f t="shared" si="7"/>
        <v>202.63229999999999</v>
      </c>
      <c r="I233" s="33"/>
      <c r="L233" s="158"/>
      <c r="M233" s="158"/>
      <c r="N233" s="33"/>
      <c r="T233" s="31"/>
    </row>
    <row r="234" spans="1:20" s="34" customFormat="1" ht="15.75" customHeight="1" x14ac:dyDescent="0.25">
      <c r="A234" s="156">
        <f t="shared" si="8"/>
        <v>3</v>
      </c>
      <c r="B234" s="157"/>
      <c r="C234" s="97" t="s">
        <v>403</v>
      </c>
      <c r="D234" s="103">
        <f>(16.07)*10.764</f>
        <v>172.97747999999999</v>
      </c>
      <c r="E234" s="39">
        <v>0</v>
      </c>
      <c r="F234" s="56">
        <f t="shared" si="6"/>
        <v>172.97747999999999</v>
      </c>
      <c r="G234" s="49">
        <v>0</v>
      </c>
      <c r="H234" s="56">
        <f t="shared" si="7"/>
        <v>259.46621999999996</v>
      </c>
      <c r="I234" s="33"/>
      <c r="L234" s="158"/>
      <c r="M234" s="158"/>
      <c r="N234" s="33"/>
      <c r="T234" s="18"/>
    </row>
    <row r="235" spans="1:20" s="34" customFormat="1" ht="15.75" customHeight="1" x14ac:dyDescent="0.25">
      <c r="A235" s="156">
        <f t="shared" si="8"/>
        <v>4</v>
      </c>
      <c r="B235" s="157"/>
      <c r="C235" s="97" t="s">
        <v>403</v>
      </c>
      <c r="D235" s="103">
        <f>(16.07)*10.764</f>
        <v>172.97747999999999</v>
      </c>
      <c r="E235" s="39">
        <v>0</v>
      </c>
      <c r="F235" s="56">
        <f t="shared" si="6"/>
        <v>172.97747999999999</v>
      </c>
      <c r="G235" s="49">
        <v>0</v>
      </c>
      <c r="H235" s="56">
        <f t="shared" si="7"/>
        <v>259.46621999999996</v>
      </c>
      <c r="I235" s="33"/>
      <c r="L235" s="158"/>
      <c r="M235" s="158"/>
      <c r="N235" s="33"/>
      <c r="T235" s="18"/>
    </row>
    <row r="236" spans="1:20" s="96" customFormat="1" ht="15.75" customHeight="1" x14ac:dyDescent="0.25">
      <c r="A236" s="156">
        <f t="shared" si="8"/>
        <v>5</v>
      </c>
      <c r="B236" s="157"/>
      <c r="C236" s="97" t="s">
        <v>403</v>
      </c>
      <c r="D236" s="103">
        <f>(10.67)*10.764</f>
        <v>114.85187999999999</v>
      </c>
      <c r="E236" s="97">
        <v>0</v>
      </c>
      <c r="F236" s="97">
        <f t="shared" si="6"/>
        <v>114.85187999999999</v>
      </c>
      <c r="G236" s="97">
        <v>0</v>
      </c>
      <c r="H236" s="97">
        <f t="shared" si="7"/>
        <v>172.27781999999999</v>
      </c>
      <c r="I236" s="33"/>
      <c r="L236" s="158"/>
      <c r="M236" s="158"/>
      <c r="N236" s="33"/>
      <c r="T236" s="31"/>
    </row>
    <row r="237" spans="1:20" s="96" customFormat="1" ht="15.75" customHeight="1" x14ac:dyDescent="0.25">
      <c r="A237" s="156">
        <f t="shared" si="8"/>
        <v>6</v>
      </c>
      <c r="B237" s="157"/>
      <c r="C237" s="97" t="s">
        <v>403</v>
      </c>
      <c r="D237" s="103">
        <f>(12.55)*10.764</f>
        <v>135.0882</v>
      </c>
      <c r="E237" s="97">
        <v>0</v>
      </c>
      <c r="F237" s="97">
        <f t="shared" si="6"/>
        <v>135.0882</v>
      </c>
      <c r="G237" s="97">
        <v>0</v>
      </c>
      <c r="H237" s="97">
        <f t="shared" si="7"/>
        <v>202.63229999999999</v>
      </c>
      <c r="I237" s="33"/>
      <c r="L237" s="158"/>
      <c r="M237" s="158"/>
      <c r="N237" s="33"/>
      <c r="T237" s="18"/>
    </row>
    <row r="238" spans="1:20" s="96" customFormat="1" ht="15.75" customHeight="1" x14ac:dyDescent="0.25">
      <c r="A238" s="156">
        <f t="shared" si="8"/>
        <v>7</v>
      </c>
      <c r="B238" s="157"/>
      <c r="C238" s="97" t="s">
        <v>403</v>
      </c>
      <c r="D238" s="103">
        <f>(16.07)*10.764</f>
        <v>172.97747999999999</v>
      </c>
      <c r="E238" s="97">
        <v>0</v>
      </c>
      <c r="F238" s="97">
        <f t="shared" si="6"/>
        <v>172.97747999999999</v>
      </c>
      <c r="G238" s="97">
        <v>0</v>
      </c>
      <c r="H238" s="97">
        <f t="shared" si="7"/>
        <v>259.46621999999996</v>
      </c>
      <c r="I238" s="33"/>
      <c r="L238" s="158"/>
      <c r="M238" s="158"/>
      <c r="N238" s="33"/>
      <c r="T238" s="18"/>
    </row>
    <row r="239" spans="1:20" s="96" customFormat="1" ht="15.75" customHeight="1" x14ac:dyDescent="0.25">
      <c r="A239" s="156">
        <f t="shared" si="8"/>
        <v>8</v>
      </c>
      <c r="B239" s="157"/>
      <c r="C239" s="97" t="s">
        <v>403</v>
      </c>
      <c r="D239" s="103">
        <f>(12.26)*10.764</f>
        <v>131.96663999999998</v>
      </c>
      <c r="E239" s="97">
        <v>0</v>
      </c>
      <c r="F239" s="97">
        <f t="shared" si="6"/>
        <v>131.96663999999998</v>
      </c>
      <c r="G239" s="97">
        <v>0</v>
      </c>
      <c r="H239" s="97">
        <f t="shared" si="7"/>
        <v>197.94995999999998</v>
      </c>
      <c r="I239" s="33"/>
      <c r="L239" s="158"/>
      <c r="M239" s="158"/>
      <c r="N239" s="33"/>
      <c r="T239" s="31"/>
    </row>
    <row r="240" spans="1:20" s="96" customFormat="1" ht="15.75" customHeight="1" x14ac:dyDescent="0.25">
      <c r="A240" s="156">
        <f t="shared" si="8"/>
        <v>9</v>
      </c>
      <c r="B240" s="157"/>
      <c r="C240" s="97" t="s">
        <v>403</v>
      </c>
      <c r="D240" s="103">
        <f>(12.55)*10.764</f>
        <v>135.0882</v>
      </c>
      <c r="E240" s="97">
        <v>0</v>
      </c>
      <c r="F240" s="97">
        <f t="shared" si="6"/>
        <v>135.0882</v>
      </c>
      <c r="G240" s="97">
        <v>0</v>
      </c>
      <c r="H240" s="97">
        <f t="shared" si="7"/>
        <v>202.63229999999999</v>
      </c>
      <c r="I240" s="33"/>
      <c r="L240" s="158"/>
      <c r="M240" s="158"/>
      <c r="N240" s="33"/>
      <c r="T240" s="18"/>
    </row>
    <row r="241" spans="1:20" s="96" customFormat="1" ht="15.75" customHeight="1" x14ac:dyDescent="0.25">
      <c r="A241" s="156">
        <f t="shared" si="8"/>
        <v>10</v>
      </c>
      <c r="B241" s="157"/>
      <c r="C241" s="97" t="s">
        <v>403</v>
      </c>
      <c r="D241" s="103">
        <f>(16.07)*10.764</f>
        <v>172.97747999999999</v>
      </c>
      <c r="E241" s="97">
        <v>0</v>
      </c>
      <c r="F241" s="97">
        <f t="shared" si="6"/>
        <v>172.97747999999999</v>
      </c>
      <c r="G241" s="97">
        <v>0</v>
      </c>
      <c r="H241" s="97">
        <f t="shared" si="7"/>
        <v>259.46621999999996</v>
      </c>
      <c r="I241" s="33"/>
      <c r="L241" s="158"/>
      <c r="M241" s="158"/>
      <c r="N241" s="33"/>
      <c r="T241" s="18"/>
    </row>
    <row r="242" spans="1:20" s="96" customFormat="1" ht="15.75" customHeight="1" x14ac:dyDescent="0.25">
      <c r="A242" s="156">
        <f t="shared" si="8"/>
        <v>11</v>
      </c>
      <c r="B242" s="157"/>
      <c r="C242" s="97" t="s">
        <v>403</v>
      </c>
      <c r="D242" s="103">
        <f>(16.07)*10.764</f>
        <v>172.97747999999999</v>
      </c>
      <c r="E242" s="97">
        <v>0</v>
      </c>
      <c r="F242" s="97">
        <f t="shared" si="6"/>
        <v>172.97747999999999</v>
      </c>
      <c r="G242" s="97">
        <v>0</v>
      </c>
      <c r="H242" s="97">
        <f t="shared" si="7"/>
        <v>259.46621999999996</v>
      </c>
      <c r="I242" s="33"/>
      <c r="L242" s="158"/>
      <c r="M242" s="158"/>
      <c r="N242" s="33"/>
      <c r="T242" s="31"/>
    </row>
    <row r="243" spans="1:20" s="96" customFormat="1" ht="15.75" customHeight="1" x14ac:dyDescent="0.25">
      <c r="A243" s="156">
        <f t="shared" si="8"/>
        <v>12</v>
      </c>
      <c r="B243" s="157"/>
      <c r="C243" s="97" t="s">
        <v>403</v>
      </c>
      <c r="D243" s="103">
        <f>(13.41)*10.764</f>
        <v>144.34523999999999</v>
      </c>
      <c r="E243" s="97">
        <v>0</v>
      </c>
      <c r="F243" s="97">
        <f t="shared" si="6"/>
        <v>144.34523999999999</v>
      </c>
      <c r="G243" s="97">
        <v>0</v>
      </c>
      <c r="H243" s="97">
        <f t="shared" si="7"/>
        <v>216.51785999999998</v>
      </c>
      <c r="I243" s="33"/>
      <c r="L243" s="158"/>
      <c r="M243" s="158"/>
      <c r="N243" s="33"/>
      <c r="T243" s="18"/>
    </row>
    <row r="244" spans="1:20" s="96" customFormat="1" ht="15.75" customHeight="1" x14ac:dyDescent="0.25">
      <c r="A244" s="156">
        <f t="shared" si="8"/>
        <v>13</v>
      </c>
      <c r="B244" s="157"/>
      <c r="C244" s="97" t="s">
        <v>403</v>
      </c>
      <c r="D244" s="103">
        <f>(16.07)*10.764</f>
        <v>172.97747999999999</v>
      </c>
      <c r="E244" s="97">
        <v>0</v>
      </c>
      <c r="F244" s="97">
        <f t="shared" si="6"/>
        <v>172.97747999999999</v>
      </c>
      <c r="G244" s="97">
        <v>0</v>
      </c>
      <c r="H244" s="97">
        <f t="shared" si="7"/>
        <v>259.46621999999996</v>
      </c>
      <c r="I244" s="33"/>
      <c r="L244" s="158"/>
      <c r="M244" s="158"/>
      <c r="N244" s="33"/>
      <c r="T244" s="18"/>
    </row>
    <row r="245" spans="1:20" s="105" customFormat="1" ht="17.45" customHeight="1" x14ac:dyDescent="0.25">
      <c r="A245" s="288" t="s">
        <v>414</v>
      </c>
      <c r="B245" s="288"/>
      <c r="C245" s="288"/>
      <c r="D245" s="288"/>
      <c r="E245" s="288"/>
      <c r="F245" s="288"/>
      <c r="G245" s="289"/>
      <c r="H245" s="288"/>
    </row>
    <row r="246" spans="1:20" s="96" customFormat="1" ht="17.45" customHeight="1" x14ac:dyDescent="0.25">
      <c r="A246" s="175" t="s">
        <v>402</v>
      </c>
      <c r="B246" s="175"/>
      <c r="C246" s="175"/>
      <c r="D246" s="175"/>
      <c r="E246" s="175"/>
      <c r="F246" s="175"/>
      <c r="G246" s="176"/>
      <c r="H246" s="175"/>
      <c r="J246" s="33"/>
      <c r="T246" s="32"/>
    </row>
    <row r="247" spans="1:20" s="96" customFormat="1" ht="15.75" customHeight="1" x14ac:dyDescent="0.25">
      <c r="A247" s="156">
        <v>1</v>
      </c>
      <c r="B247" s="157"/>
      <c r="C247" s="97" t="s">
        <v>403</v>
      </c>
      <c r="D247" s="103">
        <f>(16.07)*10.764</f>
        <v>172.97747999999999</v>
      </c>
      <c r="E247" s="97">
        <v>0</v>
      </c>
      <c r="F247" s="97">
        <f t="shared" ref="F247:F259" si="9">D247+(IF(E247&lt;201,E247,IF(E247&lt;301,E247/2,E247/3)))</f>
        <v>172.97747999999999</v>
      </c>
      <c r="G247" s="57">
        <v>0</v>
      </c>
      <c r="H247" s="97">
        <f t="shared" ref="H247:H259" si="10">(F247+(IF(G247&lt;101,G247,IF(G247&lt;201,G247/2,IF(G247&lt;=301,G247/3,G247/4)))))*(($H$196)+1)</f>
        <v>259.46621999999996</v>
      </c>
      <c r="I247" s="33"/>
      <c r="L247" s="158"/>
      <c r="M247" s="158"/>
      <c r="N247" s="33"/>
      <c r="T247" s="32"/>
    </row>
    <row r="248" spans="1:20" s="96" customFormat="1" ht="15.75" customHeight="1" x14ac:dyDescent="0.25">
      <c r="A248" s="156">
        <f t="shared" ref="A248:A259" si="11">A247+1</f>
        <v>2</v>
      </c>
      <c r="B248" s="157"/>
      <c r="C248" s="97" t="s">
        <v>403</v>
      </c>
      <c r="D248" s="103">
        <f>(13.41)*10.764</f>
        <v>144.34523999999999</v>
      </c>
      <c r="E248" s="97">
        <v>0</v>
      </c>
      <c r="F248" s="97">
        <f t="shared" si="9"/>
        <v>144.34523999999999</v>
      </c>
      <c r="G248" s="97">
        <v>0</v>
      </c>
      <c r="H248" s="97">
        <f t="shared" si="10"/>
        <v>216.51785999999998</v>
      </c>
      <c r="I248" s="33"/>
      <c r="L248" s="158"/>
      <c r="M248" s="158"/>
      <c r="N248" s="33"/>
      <c r="T248" s="31"/>
    </row>
    <row r="249" spans="1:20" s="96" customFormat="1" ht="15.75" customHeight="1" x14ac:dyDescent="0.25">
      <c r="A249" s="156">
        <f t="shared" si="11"/>
        <v>3</v>
      </c>
      <c r="B249" s="157"/>
      <c r="C249" s="97" t="s">
        <v>403</v>
      </c>
      <c r="D249" s="103">
        <f>(16.07)*10.764</f>
        <v>172.97747999999999</v>
      </c>
      <c r="E249" s="97">
        <v>0</v>
      </c>
      <c r="F249" s="97">
        <f t="shared" si="9"/>
        <v>172.97747999999999</v>
      </c>
      <c r="G249" s="97">
        <v>0</v>
      </c>
      <c r="H249" s="97">
        <f t="shared" si="10"/>
        <v>259.46621999999996</v>
      </c>
      <c r="I249" s="33"/>
      <c r="L249" s="158"/>
      <c r="M249" s="158"/>
      <c r="N249" s="33"/>
      <c r="T249" s="18"/>
    </row>
    <row r="250" spans="1:20" s="96" customFormat="1" ht="15.75" customHeight="1" x14ac:dyDescent="0.25">
      <c r="A250" s="156">
        <f t="shared" si="11"/>
        <v>4</v>
      </c>
      <c r="B250" s="157"/>
      <c r="C250" s="97" t="s">
        <v>403</v>
      </c>
      <c r="D250" s="103">
        <f>(16.07)*10.764</f>
        <v>172.97747999999999</v>
      </c>
      <c r="E250" s="97">
        <v>0</v>
      </c>
      <c r="F250" s="97">
        <f t="shared" si="9"/>
        <v>172.97747999999999</v>
      </c>
      <c r="G250" s="97">
        <v>0</v>
      </c>
      <c r="H250" s="97">
        <f t="shared" si="10"/>
        <v>259.46621999999996</v>
      </c>
      <c r="I250" s="33"/>
      <c r="L250" s="158"/>
      <c r="M250" s="158"/>
      <c r="N250" s="33"/>
      <c r="T250" s="18"/>
    </row>
    <row r="251" spans="1:20" s="96" customFormat="1" ht="15.75" customHeight="1" x14ac:dyDescent="0.25">
      <c r="A251" s="156">
        <f t="shared" si="11"/>
        <v>5</v>
      </c>
      <c r="B251" s="157"/>
      <c r="C251" s="97" t="s">
        <v>403</v>
      </c>
      <c r="D251" s="103">
        <f>(12.55)*10.764</f>
        <v>135.0882</v>
      </c>
      <c r="E251" s="97">
        <v>0</v>
      </c>
      <c r="F251" s="97">
        <f t="shared" si="9"/>
        <v>135.0882</v>
      </c>
      <c r="G251" s="97">
        <v>0</v>
      </c>
      <c r="H251" s="97">
        <f t="shared" si="10"/>
        <v>202.63229999999999</v>
      </c>
      <c r="I251" s="33"/>
      <c r="L251" s="158"/>
      <c r="M251" s="158"/>
      <c r="N251" s="33"/>
      <c r="T251" s="31"/>
    </row>
    <row r="252" spans="1:20" s="96" customFormat="1" ht="15.75" customHeight="1" x14ac:dyDescent="0.25">
      <c r="A252" s="156">
        <f t="shared" si="11"/>
        <v>6</v>
      </c>
      <c r="B252" s="157"/>
      <c r="C252" s="97" t="s">
        <v>403</v>
      </c>
      <c r="D252" s="103">
        <f>(12.27)*10.764</f>
        <v>132.07427999999999</v>
      </c>
      <c r="E252" s="97">
        <v>0</v>
      </c>
      <c r="F252" s="97">
        <f t="shared" si="9"/>
        <v>132.07427999999999</v>
      </c>
      <c r="G252" s="97">
        <v>0</v>
      </c>
      <c r="H252" s="97">
        <f t="shared" si="10"/>
        <v>198.11141999999998</v>
      </c>
      <c r="I252" s="33"/>
      <c r="L252" s="158"/>
      <c r="M252" s="158"/>
      <c r="N252" s="33"/>
      <c r="T252" s="18"/>
    </row>
    <row r="253" spans="1:20" s="96" customFormat="1" ht="15.75" customHeight="1" x14ac:dyDescent="0.25">
      <c r="A253" s="156">
        <f t="shared" si="11"/>
        <v>7</v>
      </c>
      <c r="B253" s="157"/>
      <c r="C253" s="97" t="s">
        <v>403</v>
      </c>
      <c r="D253" s="103">
        <f>(16.07)*10.764</f>
        <v>172.97747999999999</v>
      </c>
      <c r="E253" s="97">
        <v>0</v>
      </c>
      <c r="F253" s="97">
        <f t="shared" si="9"/>
        <v>172.97747999999999</v>
      </c>
      <c r="G253" s="97">
        <v>0</v>
      </c>
      <c r="H253" s="97">
        <f t="shared" si="10"/>
        <v>259.46621999999996</v>
      </c>
      <c r="I253" s="33"/>
      <c r="L253" s="158"/>
      <c r="M253" s="158"/>
      <c r="N253" s="33"/>
      <c r="T253" s="18"/>
    </row>
    <row r="254" spans="1:20" s="96" customFormat="1" ht="15.75" customHeight="1" x14ac:dyDescent="0.25">
      <c r="A254" s="156">
        <f t="shared" si="11"/>
        <v>8</v>
      </c>
      <c r="B254" s="157"/>
      <c r="C254" s="97" t="s">
        <v>403</v>
      </c>
      <c r="D254" s="103">
        <f>(12.55)*10.764</f>
        <v>135.0882</v>
      </c>
      <c r="E254" s="97">
        <v>0</v>
      </c>
      <c r="F254" s="97">
        <f t="shared" si="9"/>
        <v>135.0882</v>
      </c>
      <c r="G254" s="97">
        <v>0</v>
      </c>
      <c r="H254" s="97">
        <f t="shared" si="10"/>
        <v>202.63229999999999</v>
      </c>
      <c r="I254" s="33"/>
      <c r="L254" s="158"/>
      <c r="M254" s="158"/>
      <c r="N254" s="33"/>
      <c r="T254" s="31"/>
    </row>
    <row r="255" spans="1:20" s="96" customFormat="1" ht="15.75" customHeight="1" x14ac:dyDescent="0.25">
      <c r="A255" s="156">
        <f t="shared" si="11"/>
        <v>9</v>
      </c>
      <c r="B255" s="157"/>
      <c r="C255" s="97" t="s">
        <v>403</v>
      </c>
      <c r="D255" s="103">
        <f>(10.67)*10.764</f>
        <v>114.85187999999999</v>
      </c>
      <c r="E255" s="97">
        <v>0</v>
      </c>
      <c r="F255" s="97">
        <f t="shared" si="9"/>
        <v>114.85187999999999</v>
      </c>
      <c r="G255" s="97">
        <v>0</v>
      </c>
      <c r="H255" s="97">
        <f t="shared" si="10"/>
        <v>172.27781999999999</v>
      </c>
      <c r="I255" s="33"/>
      <c r="L255" s="158"/>
      <c r="M255" s="158"/>
      <c r="N255" s="33"/>
      <c r="T255" s="18"/>
    </row>
    <row r="256" spans="1:20" s="96" customFormat="1" ht="15.75" customHeight="1" x14ac:dyDescent="0.25">
      <c r="A256" s="156">
        <f t="shared" si="11"/>
        <v>10</v>
      </c>
      <c r="B256" s="157"/>
      <c r="C256" s="97" t="s">
        <v>403</v>
      </c>
      <c r="D256" s="103">
        <f>(16.07)*10.764</f>
        <v>172.97747999999999</v>
      </c>
      <c r="E256" s="97">
        <v>0</v>
      </c>
      <c r="F256" s="97">
        <f t="shared" si="9"/>
        <v>172.97747999999999</v>
      </c>
      <c r="G256" s="97">
        <v>0</v>
      </c>
      <c r="H256" s="97">
        <f t="shared" si="10"/>
        <v>259.46621999999996</v>
      </c>
      <c r="I256" s="33"/>
      <c r="L256" s="158"/>
      <c r="M256" s="158"/>
      <c r="N256" s="33"/>
      <c r="T256" s="18"/>
    </row>
    <row r="257" spans="1:20" s="96" customFormat="1" ht="15.75" customHeight="1" x14ac:dyDescent="0.25">
      <c r="A257" s="156">
        <f t="shared" si="11"/>
        <v>11</v>
      </c>
      <c r="B257" s="157"/>
      <c r="C257" s="97" t="s">
        <v>403</v>
      </c>
      <c r="D257" s="103">
        <f>(16.07)*10.764</f>
        <v>172.97747999999999</v>
      </c>
      <c r="E257" s="97">
        <v>0</v>
      </c>
      <c r="F257" s="97">
        <f t="shared" si="9"/>
        <v>172.97747999999999</v>
      </c>
      <c r="G257" s="97">
        <v>0</v>
      </c>
      <c r="H257" s="97">
        <f t="shared" si="10"/>
        <v>259.46621999999996</v>
      </c>
      <c r="I257" s="33"/>
      <c r="L257" s="158"/>
      <c r="M257" s="158"/>
      <c r="N257" s="33"/>
      <c r="T257" s="31"/>
    </row>
    <row r="258" spans="1:20" s="96" customFormat="1" ht="15.75" customHeight="1" x14ac:dyDescent="0.25">
      <c r="A258" s="156">
        <f t="shared" si="11"/>
        <v>12</v>
      </c>
      <c r="B258" s="157"/>
      <c r="C258" s="97" t="s">
        <v>403</v>
      </c>
      <c r="D258" s="103">
        <f>(12.55)*10.764</f>
        <v>135.0882</v>
      </c>
      <c r="E258" s="97">
        <v>0</v>
      </c>
      <c r="F258" s="97">
        <f t="shared" si="9"/>
        <v>135.0882</v>
      </c>
      <c r="G258" s="97">
        <v>0</v>
      </c>
      <c r="H258" s="97">
        <f t="shared" si="10"/>
        <v>202.63229999999999</v>
      </c>
      <c r="I258" s="33"/>
      <c r="L258" s="158"/>
      <c r="M258" s="158"/>
      <c r="N258" s="33"/>
      <c r="T258" s="18"/>
    </row>
    <row r="259" spans="1:20" s="96" customFormat="1" ht="15.75" customHeight="1" x14ac:dyDescent="0.25">
      <c r="A259" s="156">
        <f t="shared" si="11"/>
        <v>13</v>
      </c>
      <c r="B259" s="157"/>
      <c r="C259" s="97" t="s">
        <v>403</v>
      </c>
      <c r="D259" s="103">
        <f>(16.07)*10.764</f>
        <v>172.97747999999999</v>
      </c>
      <c r="E259" s="97">
        <v>0</v>
      </c>
      <c r="F259" s="97">
        <f t="shared" si="9"/>
        <v>172.97747999999999</v>
      </c>
      <c r="G259" s="97">
        <v>0</v>
      </c>
      <c r="H259" s="97">
        <f t="shared" si="10"/>
        <v>259.46621999999996</v>
      </c>
      <c r="I259" s="33"/>
      <c r="L259" s="158"/>
      <c r="M259" s="158"/>
      <c r="N259" s="33"/>
      <c r="T259" s="18"/>
    </row>
    <row r="260" spans="1:20" s="34" customFormat="1" x14ac:dyDescent="0.25">
      <c r="A260" s="207"/>
      <c r="B260" s="208"/>
      <c r="C260" s="208"/>
      <c r="D260" s="208"/>
      <c r="E260" s="208"/>
      <c r="F260" s="208"/>
      <c r="G260" s="208"/>
      <c r="H260" s="209"/>
      <c r="I260" s="33"/>
      <c r="N260" s="33"/>
    </row>
    <row r="261" spans="1:20" ht="47.25" customHeight="1" x14ac:dyDescent="0.25">
      <c r="A261" s="187" t="s">
        <v>430</v>
      </c>
      <c r="B261" s="189" t="s">
        <v>175</v>
      </c>
      <c r="C261" s="189" t="s">
        <v>54</v>
      </c>
      <c r="D261" s="189" t="s">
        <v>231</v>
      </c>
      <c r="E261" s="189" t="s">
        <v>230</v>
      </c>
      <c r="F261" s="189" t="s">
        <v>55</v>
      </c>
      <c r="G261" s="223" t="s">
        <v>56</v>
      </c>
      <c r="H261" s="113" t="s">
        <v>145</v>
      </c>
      <c r="I261" s="33"/>
      <c r="T261" s="34"/>
    </row>
    <row r="262" spans="1:20" s="34" customFormat="1" x14ac:dyDescent="0.25">
      <c r="A262" s="188"/>
      <c r="B262" s="190"/>
      <c r="C262" s="190"/>
      <c r="D262" s="190"/>
      <c r="E262" s="190"/>
      <c r="F262" s="190"/>
      <c r="G262" s="224"/>
      <c r="H262" s="114">
        <v>0.45</v>
      </c>
      <c r="I262" s="33"/>
    </row>
    <row r="263" spans="1:20" s="96" customFormat="1" x14ac:dyDescent="0.25">
      <c r="A263" s="279" t="s">
        <v>401</v>
      </c>
      <c r="B263" s="280"/>
      <c r="C263" s="280"/>
      <c r="D263" s="280"/>
      <c r="E263" s="280"/>
      <c r="F263" s="280"/>
      <c r="G263" s="280"/>
      <c r="H263" s="281"/>
      <c r="J263" s="33"/>
      <c r="T263" s="32"/>
    </row>
    <row r="264" spans="1:20" s="96" customFormat="1" x14ac:dyDescent="0.25">
      <c r="A264" s="287" t="s">
        <v>406</v>
      </c>
      <c r="B264" s="287"/>
      <c r="C264" s="287"/>
      <c r="D264" s="287"/>
      <c r="E264" s="287"/>
      <c r="F264" s="287"/>
      <c r="G264" s="287"/>
      <c r="H264" s="287"/>
      <c r="I264" s="33"/>
      <c r="L264" s="158"/>
      <c r="M264" s="158"/>
    </row>
    <row r="265" spans="1:20" s="96" customFormat="1" x14ac:dyDescent="0.25">
      <c r="A265" s="211">
        <v>1</v>
      </c>
      <c r="B265" s="211"/>
      <c r="C265" s="104" t="s">
        <v>416</v>
      </c>
      <c r="D265" s="116">
        <f>(42.99)*10.764</f>
        <v>462.74435999999997</v>
      </c>
      <c r="E265" s="116">
        <f>(2.13)*10.764</f>
        <v>22.927319999999998</v>
      </c>
      <c r="F265" s="117">
        <f t="shared" ref="F265:F273" si="12">D265+E265</f>
        <v>485.67167999999998</v>
      </c>
      <c r="G265" s="116">
        <v>0</v>
      </c>
      <c r="H265" s="117">
        <f t="shared" ref="H265:H273" si="13">F265*(($H$262)+1)+(IF(G265&lt;101,G265,IF(G265&lt;201,G265/2,IF(G265&lt;=301,G265/3,G265/4))))</f>
        <v>704.22393599999998</v>
      </c>
      <c r="I265" s="33"/>
      <c r="N265" s="33"/>
    </row>
    <row r="266" spans="1:20" s="96" customFormat="1" x14ac:dyDescent="0.25">
      <c r="A266" s="211">
        <f t="shared" ref="A266:A273" si="14">A265+1</f>
        <v>2</v>
      </c>
      <c r="B266" s="211"/>
      <c r="C266" s="115" t="s">
        <v>407</v>
      </c>
      <c r="D266" s="116">
        <f>(28.74)*10.764</f>
        <v>309.35735999999997</v>
      </c>
      <c r="E266" s="116">
        <f>(2.13)*10.764</f>
        <v>22.927319999999998</v>
      </c>
      <c r="F266" s="117">
        <f t="shared" si="12"/>
        <v>332.28467999999998</v>
      </c>
      <c r="G266" s="116">
        <v>0</v>
      </c>
      <c r="H266" s="117">
        <f t="shared" si="13"/>
        <v>481.81278599999996</v>
      </c>
      <c r="I266" s="33"/>
      <c r="N266" s="33"/>
    </row>
    <row r="267" spans="1:20" s="96" customFormat="1" x14ac:dyDescent="0.25">
      <c r="A267" s="211">
        <f t="shared" si="14"/>
        <v>3</v>
      </c>
      <c r="B267" s="211"/>
      <c r="C267" s="115" t="s">
        <v>407</v>
      </c>
      <c r="D267" s="116">
        <f>(28.74)*10.764</f>
        <v>309.35735999999997</v>
      </c>
      <c r="E267" s="116">
        <f>(2.13)*10.764</f>
        <v>22.927319999999998</v>
      </c>
      <c r="F267" s="117">
        <f t="shared" si="12"/>
        <v>332.28467999999998</v>
      </c>
      <c r="G267" s="103">
        <f>(1.75*2.74+0.95*2.74+0.4*2.43+1.5*1.83+0.75*1.67)*10.764</f>
        <v>133.12376999999998</v>
      </c>
      <c r="H267" s="117">
        <f t="shared" si="13"/>
        <v>548.37467099999992</v>
      </c>
      <c r="I267" s="33"/>
      <c r="N267" s="33"/>
    </row>
    <row r="268" spans="1:20" s="96" customFormat="1" x14ac:dyDescent="0.25">
      <c r="A268" s="211">
        <f t="shared" si="14"/>
        <v>4</v>
      </c>
      <c r="B268" s="211"/>
      <c r="C268" s="104" t="s">
        <v>416</v>
      </c>
      <c r="D268" s="116">
        <f>(42.99)*10.764</f>
        <v>462.74435999999997</v>
      </c>
      <c r="E268" s="116">
        <f>(2.13)*10.764</f>
        <v>22.927319999999998</v>
      </c>
      <c r="F268" s="117">
        <f t="shared" si="12"/>
        <v>485.67167999999998</v>
      </c>
      <c r="G268" s="116">
        <f>(1.1*2.74+0.4*2.89)*10.764</f>
        <v>44.885880000000007</v>
      </c>
      <c r="H268" s="117">
        <f t="shared" si="13"/>
        <v>749.10981600000002</v>
      </c>
      <c r="I268" s="33"/>
      <c r="N268" s="33"/>
    </row>
    <row r="269" spans="1:20" s="96" customFormat="1" x14ac:dyDescent="0.25">
      <c r="A269" s="211">
        <f t="shared" si="14"/>
        <v>5</v>
      </c>
      <c r="B269" s="211"/>
      <c r="C269" s="104" t="s">
        <v>407</v>
      </c>
      <c r="D269" s="103">
        <f>(27.73)*10.764</f>
        <v>298.48572000000001</v>
      </c>
      <c r="E269" s="103">
        <f>(2.13)*10.764</f>
        <v>22.927319999999998</v>
      </c>
      <c r="F269" s="97">
        <f t="shared" si="12"/>
        <v>321.41304000000002</v>
      </c>
      <c r="G269" s="103">
        <f>(1.9*2.74+0.6*2.74)*10.764</f>
        <v>73.733400000000003</v>
      </c>
      <c r="H269" s="97">
        <f t="shared" si="13"/>
        <v>539.78230800000006</v>
      </c>
      <c r="I269" s="33"/>
      <c r="N269" s="33"/>
    </row>
    <row r="270" spans="1:20" s="96" customFormat="1" x14ac:dyDescent="0.25">
      <c r="A270" s="211">
        <f t="shared" si="14"/>
        <v>6</v>
      </c>
      <c r="B270" s="211"/>
      <c r="C270" s="104" t="s">
        <v>407</v>
      </c>
      <c r="D270" s="103">
        <f>(28.94)*10.764</f>
        <v>311.51015999999998</v>
      </c>
      <c r="E270" s="103">
        <f>(1.98)*10.764</f>
        <v>21.312719999999999</v>
      </c>
      <c r="F270" s="97">
        <f t="shared" si="12"/>
        <v>332.82288</v>
      </c>
      <c r="G270" s="103">
        <f>(2.74*1.9+2.74*0.9+0.5*2.58+1.98*1.7)*10.764</f>
        <v>132.69859199999999</v>
      </c>
      <c r="H270" s="97">
        <f t="shared" si="13"/>
        <v>548.94247199999995</v>
      </c>
      <c r="I270" s="33"/>
      <c r="N270" s="33"/>
    </row>
    <row r="271" spans="1:20" s="96" customFormat="1" x14ac:dyDescent="0.25">
      <c r="A271" s="211">
        <f t="shared" si="14"/>
        <v>7</v>
      </c>
      <c r="B271" s="211"/>
      <c r="C271" s="104" t="s">
        <v>407</v>
      </c>
      <c r="D271" s="103">
        <f>(27.73)*10.764</f>
        <v>298.48572000000001</v>
      </c>
      <c r="E271" s="103">
        <f>(2.13)*10.764</f>
        <v>22.927319999999998</v>
      </c>
      <c r="F271" s="97">
        <f t="shared" si="12"/>
        <v>321.41304000000002</v>
      </c>
      <c r="G271" s="103">
        <f>(2.74*1.9+2.74*0.5+0.35*2.43)*10.764</f>
        <v>79.938845999999998</v>
      </c>
      <c r="H271" s="97">
        <f t="shared" si="13"/>
        <v>545.987754</v>
      </c>
      <c r="I271" s="33"/>
      <c r="N271" s="33"/>
    </row>
    <row r="272" spans="1:20" s="96" customFormat="1" x14ac:dyDescent="0.25">
      <c r="A272" s="211">
        <f t="shared" si="14"/>
        <v>8</v>
      </c>
      <c r="B272" s="211"/>
      <c r="C272" s="104" t="s">
        <v>407</v>
      </c>
      <c r="D272" s="103">
        <f>(27.69)*10.764</f>
        <v>298.05516</v>
      </c>
      <c r="E272" s="103">
        <f>(2.13)*10.764</f>
        <v>22.927319999999998</v>
      </c>
      <c r="F272" s="97">
        <f t="shared" si="12"/>
        <v>320.98248000000001</v>
      </c>
      <c r="G272" s="103">
        <f>(2.74*1.9+0.4*2.43+2.74*0.9+2.8*5.6+1.8*1.9+2.05*0.65)*10.764</f>
        <v>312.979446</v>
      </c>
      <c r="H272" s="97">
        <f t="shared" si="13"/>
        <v>543.66945750000002</v>
      </c>
      <c r="I272" s="33"/>
      <c r="N272" s="33"/>
    </row>
    <row r="273" spans="1:20" s="96" customFormat="1" x14ac:dyDescent="0.25">
      <c r="A273" s="211">
        <f t="shared" si="14"/>
        <v>9</v>
      </c>
      <c r="B273" s="211"/>
      <c r="C273" s="104" t="s">
        <v>407</v>
      </c>
      <c r="D273" s="103">
        <f>(27.69)*10.764</f>
        <v>298.05516</v>
      </c>
      <c r="E273" s="103">
        <f>(2.13)*10.764</f>
        <v>22.927319999999998</v>
      </c>
      <c r="F273" s="97">
        <f t="shared" si="12"/>
        <v>320.98248000000001</v>
      </c>
      <c r="G273" s="103">
        <v>0</v>
      </c>
      <c r="H273" s="97">
        <f t="shared" si="13"/>
        <v>465.42459600000001</v>
      </c>
      <c r="I273" s="33"/>
      <c r="N273" s="33"/>
    </row>
    <row r="274" spans="1:20" s="96" customFormat="1" x14ac:dyDescent="0.25">
      <c r="A274" s="229" t="s">
        <v>408</v>
      </c>
      <c r="B274" s="229"/>
      <c r="C274" s="229"/>
      <c r="D274" s="229"/>
      <c r="E274" s="229"/>
      <c r="F274" s="229"/>
      <c r="G274" s="229"/>
      <c r="H274" s="229"/>
      <c r="I274" s="33"/>
      <c r="L274" s="158"/>
      <c r="M274" s="158"/>
    </row>
    <row r="275" spans="1:20" s="96" customFormat="1" x14ac:dyDescent="0.25">
      <c r="A275" s="211">
        <v>1</v>
      </c>
      <c r="B275" s="211"/>
      <c r="C275" s="104" t="s">
        <v>416</v>
      </c>
      <c r="D275" s="103">
        <f>(42.99)*10.764</f>
        <v>462.74435999999997</v>
      </c>
      <c r="E275" s="103">
        <f>(2.13)*10.764</f>
        <v>22.927319999999998</v>
      </c>
      <c r="F275" s="97">
        <f t="shared" ref="F275:F283" si="15">D275+E275</f>
        <v>485.67167999999998</v>
      </c>
      <c r="G275" s="103">
        <v>0</v>
      </c>
      <c r="H275" s="97">
        <f t="shared" ref="H275:H283" si="16">F275*(($H$262)+1)+(IF(G275&lt;101,G275,IF(G275&lt;201,G275/2,IF(G275&lt;=301,G275/3,G275/4))))</f>
        <v>704.22393599999998</v>
      </c>
      <c r="I275" s="33"/>
      <c r="N275" s="33"/>
    </row>
    <row r="276" spans="1:20" s="96" customFormat="1" x14ac:dyDescent="0.25">
      <c r="A276" s="211">
        <f t="shared" ref="A276:A283" si="17">A275+1</f>
        <v>2</v>
      </c>
      <c r="B276" s="211"/>
      <c r="C276" s="104" t="s">
        <v>407</v>
      </c>
      <c r="D276" s="103">
        <f>(28.74)*10.764</f>
        <v>309.35735999999997</v>
      </c>
      <c r="E276" s="103">
        <f>(2.13)*10.764</f>
        <v>22.927319999999998</v>
      </c>
      <c r="F276" s="97">
        <f t="shared" si="15"/>
        <v>332.28467999999998</v>
      </c>
      <c r="G276" s="103">
        <v>0</v>
      </c>
      <c r="H276" s="97">
        <f t="shared" si="16"/>
        <v>481.81278599999996</v>
      </c>
      <c r="I276" s="33"/>
      <c r="N276" s="33"/>
    </row>
    <row r="277" spans="1:20" s="96" customFormat="1" x14ac:dyDescent="0.25">
      <c r="A277" s="211">
        <f t="shared" si="17"/>
        <v>3</v>
      </c>
      <c r="B277" s="211"/>
      <c r="C277" s="104" t="s">
        <v>407</v>
      </c>
      <c r="D277" s="103">
        <f>(28.74)*10.764</f>
        <v>309.35735999999997</v>
      </c>
      <c r="E277" s="103">
        <f>(2.13)*10.764</f>
        <v>22.927319999999998</v>
      </c>
      <c r="F277" s="97">
        <f t="shared" si="15"/>
        <v>332.28467999999998</v>
      </c>
      <c r="G277" s="103">
        <v>0</v>
      </c>
      <c r="H277" s="97">
        <f t="shared" si="16"/>
        <v>481.81278599999996</v>
      </c>
      <c r="I277" s="33"/>
      <c r="N277" s="33"/>
    </row>
    <row r="278" spans="1:20" s="96" customFormat="1" x14ac:dyDescent="0.25">
      <c r="A278" s="211">
        <f t="shared" si="17"/>
        <v>4</v>
      </c>
      <c r="B278" s="211"/>
      <c r="C278" s="104" t="s">
        <v>416</v>
      </c>
      <c r="D278" s="103">
        <f>(42.99)*10.764</f>
        <v>462.74435999999997</v>
      </c>
      <c r="E278" s="103">
        <f>(2.13)*10.764</f>
        <v>22.927319999999998</v>
      </c>
      <c r="F278" s="97">
        <f t="shared" si="15"/>
        <v>485.67167999999998</v>
      </c>
      <c r="G278" s="103">
        <v>0</v>
      </c>
      <c r="H278" s="97">
        <f t="shared" si="16"/>
        <v>704.22393599999998</v>
      </c>
      <c r="I278" s="33"/>
      <c r="N278" s="33"/>
    </row>
    <row r="279" spans="1:20" s="96" customFormat="1" x14ac:dyDescent="0.25">
      <c r="A279" s="211">
        <f t="shared" si="17"/>
        <v>5</v>
      </c>
      <c r="B279" s="211"/>
      <c r="C279" s="104" t="s">
        <v>407</v>
      </c>
      <c r="D279" s="103">
        <f>(27.73)*10.764</f>
        <v>298.48572000000001</v>
      </c>
      <c r="E279" s="103">
        <f>(2.13)*10.764</f>
        <v>22.927319999999998</v>
      </c>
      <c r="F279" s="97">
        <f t="shared" si="15"/>
        <v>321.41304000000002</v>
      </c>
      <c r="G279" s="103">
        <v>0</v>
      </c>
      <c r="H279" s="97">
        <f t="shared" si="16"/>
        <v>466.04890800000004</v>
      </c>
      <c r="I279" s="33"/>
      <c r="N279" s="33"/>
    </row>
    <row r="280" spans="1:20" s="96" customFormat="1" x14ac:dyDescent="0.25">
      <c r="A280" s="211">
        <f t="shared" si="17"/>
        <v>6</v>
      </c>
      <c r="B280" s="211"/>
      <c r="C280" s="104" t="s">
        <v>407</v>
      </c>
      <c r="D280" s="103">
        <f>(28.94)*10.764</f>
        <v>311.51015999999998</v>
      </c>
      <c r="E280" s="103">
        <f>(1.98)*10.764</f>
        <v>21.312719999999999</v>
      </c>
      <c r="F280" s="97">
        <f t="shared" si="15"/>
        <v>332.82288</v>
      </c>
      <c r="G280" s="103">
        <v>0</v>
      </c>
      <c r="H280" s="97">
        <f t="shared" si="16"/>
        <v>482.59317599999997</v>
      </c>
      <c r="I280" s="33"/>
      <c r="N280" s="33"/>
    </row>
    <row r="281" spans="1:20" s="96" customFormat="1" x14ac:dyDescent="0.25">
      <c r="A281" s="211">
        <f t="shared" si="17"/>
        <v>7</v>
      </c>
      <c r="B281" s="211"/>
      <c r="C281" s="104" t="s">
        <v>407</v>
      </c>
      <c r="D281" s="103">
        <f>(27.73)*10.764</f>
        <v>298.48572000000001</v>
      </c>
      <c r="E281" s="103">
        <f>(2.13)*10.764</f>
        <v>22.927319999999998</v>
      </c>
      <c r="F281" s="97">
        <f t="shared" si="15"/>
        <v>321.41304000000002</v>
      </c>
      <c r="G281" s="103">
        <v>0</v>
      </c>
      <c r="H281" s="97">
        <f t="shared" si="16"/>
        <v>466.04890800000004</v>
      </c>
      <c r="I281" s="33"/>
      <c r="N281" s="33"/>
    </row>
    <row r="282" spans="1:20" s="96" customFormat="1" x14ac:dyDescent="0.25">
      <c r="A282" s="211">
        <f t="shared" si="17"/>
        <v>8</v>
      </c>
      <c r="B282" s="211"/>
      <c r="C282" s="104" t="s">
        <v>407</v>
      </c>
      <c r="D282" s="103">
        <f>(27.69)*10.764</f>
        <v>298.05516</v>
      </c>
      <c r="E282" s="103">
        <f>(2.13)*10.764</f>
        <v>22.927319999999998</v>
      </c>
      <c r="F282" s="97">
        <f t="shared" si="15"/>
        <v>320.98248000000001</v>
      </c>
      <c r="G282" s="103">
        <v>0</v>
      </c>
      <c r="H282" s="97">
        <f t="shared" si="16"/>
        <v>465.42459600000001</v>
      </c>
      <c r="I282" s="33"/>
      <c r="N282" s="33"/>
    </row>
    <row r="283" spans="1:20" s="96" customFormat="1" x14ac:dyDescent="0.25">
      <c r="A283" s="211">
        <f t="shared" si="17"/>
        <v>9</v>
      </c>
      <c r="B283" s="211"/>
      <c r="C283" s="104" t="s">
        <v>407</v>
      </c>
      <c r="D283" s="103">
        <f>(27.69)*10.764</f>
        <v>298.05516</v>
      </c>
      <c r="E283" s="103">
        <f>(2.13)*10.764</f>
        <v>22.927319999999998</v>
      </c>
      <c r="F283" s="97">
        <f t="shared" si="15"/>
        <v>320.98248000000001</v>
      </c>
      <c r="G283" s="103">
        <v>0</v>
      </c>
      <c r="H283" s="97">
        <f t="shared" si="16"/>
        <v>465.42459600000001</v>
      </c>
      <c r="I283" s="33"/>
      <c r="N283" s="33"/>
    </row>
    <row r="284" spans="1:20" s="96" customFormat="1" x14ac:dyDescent="0.25">
      <c r="A284" s="170" t="s">
        <v>409</v>
      </c>
      <c r="B284" s="171"/>
      <c r="C284" s="171"/>
      <c r="D284" s="171"/>
      <c r="E284" s="171"/>
      <c r="F284" s="171"/>
      <c r="G284" s="171"/>
      <c r="H284" s="172"/>
      <c r="J284" s="33"/>
    </row>
    <row r="285" spans="1:20" s="96" customFormat="1" ht="15.75" customHeight="1" x14ac:dyDescent="0.25">
      <c r="A285" s="156">
        <v>1</v>
      </c>
      <c r="B285" s="157"/>
      <c r="C285" s="104" t="s">
        <v>416</v>
      </c>
      <c r="D285" s="97">
        <f>(42.99)*10.764</f>
        <v>462.74435999999997</v>
      </c>
      <c r="E285" s="97">
        <f>(2.13)*10.764</f>
        <v>22.927319999999998</v>
      </c>
      <c r="F285" s="97">
        <f>D285+E285</f>
        <v>485.67167999999998</v>
      </c>
      <c r="G285" s="97">
        <f>(3.9*2.9+5.25*1.1+4.55*1.1+3.9*1+3.2*1.95)*10.764</f>
        <v>346.92371999999995</v>
      </c>
      <c r="H285" s="97">
        <f>F285*(($H$262)+1)+(IF(G285&lt;101,G285,IF(G285&lt;201,G285/2,IF(G285&lt;=301,G285/3,G285/4))))</f>
        <v>790.95486599999992</v>
      </c>
      <c r="I285" s="33"/>
      <c r="L285" s="158"/>
      <c r="M285" s="158"/>
      <c r="N285" s="33"/>
    </row>
    <row r="286" spans="1:20" s="96" customFormat="1" ht="15.75" customHeight="1" x14ac:dyDescent="0.25">
      <c r="A286" s="156">
        <f>A285+1</f>
        <v>2</v>
      </c>
      <c r="B286" s="157"/>
      <c r="C286" s="104" t="s">
        <v>416</v>
      </c>
      <c r="D286" s="97">
        <f>(42.99)*10.764</f>
        <v>462.74435999999997</v>
      </c>
      <c r="E286" s="97">
        <f t="shared" ref="E286:E288" si="18">(2.13)*10.764</f>
        <v>22.927319999999998</v>
      </c>
      <c r="F286" s="97">
        <f>D286+E286</f>
        <v>485.67167999999998</v>
      </c>
      <c r="G286" s="99">
        <f>(3.9*2.9+5.25*1.1+4.55*1.1+3.9*1+3.2*1.95)*10.764</f>
        <v>346.92371999999995</v>
      </c>
      <c r="H286" s="97">
        <f>F286*(($H$262)+1)+(IF(G286&lt;101,G286,IF(G286&lt;201,G286/2,IF(G286&lt;=301,G286/3,G286/4))))</f>
        <v>790.95486599999992</v>
      </c>
      <c r="I286" s="33"/>
      <c r="L286" s="158"/>
      <c r="M286" s="158"/>
      <c r="N286" s="33"/>
    </row>
    <row r="287" spans="1:20" s="96" customFormat="1" ht="15.75" customHeight="1" x14ac:dyDescent="0.25">
      <c r="A287" s="156">
        <f>A286+1</f>
        <v>3</v>
      </c>
      <c r="B287" s="157"/>
      <c r="C287" s="97" t="s">
        <v>407</v>
      </c>
      <c r="D287" s="97">
        <f>(27.73)*10.764</f>
        <v>298.48572000000001</v>
      </c>
      <c r="E287" s="97">
        <f t="shared" si="18"/>
        <v>22.927319999999998</v>
      </c>
      <c r="F287" s="97">
        <f>D287+E287</f>
        <v>321.41304000000002</v>
      </c>
      <c r="G287" s="97">
        <f>(3.81*2.85+4.95*2.2+4.7*1+2.5*1.85)*10.764</f>
        <v>334.47515399999997</v>
      </c>
      <c r="H287" s="97">
        <f>F287*(($H$262)+1)+(IF(G287&lt;101,G287,IF(G287&lt;201,G287/2,IF(G287&lt;=301,G287/3,G287/4))))</f>
        <v>549.66769650000003</v>
      </c>
      <c r="I287" s="33"/>
      <c r="L287" s="158"/>
      <c r="M287" s="158"/>
      <c r="N287" s="33"/>
    </row>
    <row r="288" spans="1:20" s="96" customFormat="1" ht="15.75" customHeight="1" x14ac:dyDescent="0.25">
      <c r="A288" s="156">
        <f>A287+1</f>
        <v>4</v>
      </c>
      <c r="B288" s="157"/>
      <c r="C288" s="97" t="s">
        <v>407</v>
      </c>
      <c r="D288" s="97">
        <f>(27.73)*10.764</f>
        <v>298.48572000000001</v>
      </c>
      <c r="E288" s="97">
        <f t="shared" si="18"/>
        <v>22.927319999999998</v>
      </c>
      <c r="F288" s="97">
        <f>D288+E288</f>
        <v>321.41304000000002</v>
      </c>
      <c r="G288" s="97">
        <f>(2.8*3.81+1*5.1+0.8*4.4+1.2*3.8+1.85*2.65)*10.764</f>
        <v>309.47038199999997</v>
      </c>
      <c r="H288" s="97">
        <f>F288*(($H$262)+1)+(IF(G288&lt;101,G288,IF(G288&lt;201,G288/2,IF(G288&lt;=301,G288/3,G288/4))))</f>
        <v>543.41650350000009</v>
      </c>
      <c r="I288" s="33"/>
      <c r="L288" s="158"/>
      <c r="M288" s="158"/>
      <c r="N288" s="33"/>
      <c r="T288" s="18"/>
    </row>
    <row r="289" spans="1:20" s="96" customFormat="1" x14ac:dyDescent="0.25">
      <c r="A289" s="284" t="s">
        <v>404</v>
      </c>
      <c r="B289" s="285"/>
      <c r="C289" s="285"/>
      <c r="D289" s="285"/>
      <c r="E289" s="285"/>
      <c r="F289" s="285"/>
      <c r="G289" s="285"/>
      <c r="H289" s="286"/>
      <c r="J289" s="33"/>
      <c r="T289" s="32"/>
    </row>
    <row r="290" spans="1:20" s="96" customFormat="1" x14ac:dyDescent="0.25">
      <c r="A290" s="229" t="s">
        <v>406</v>
      </c>
      <c r="B290" s="229"/>
      <c r="C290" s="229"/>
      <c r="D290" s="229"/>
      <c r="E290" s="229"/>
      <c r="F290" s="229"/>
      <c r="G290" s="229"/>
      <c r="H290" s="229"/>
      <c r="I290" s="33"/>
      <c r="L290" s="158"/>
      <c r="M290" s="158"/>
    </row>
    <row r="291" spans="1:20" s="96" customFormat="1" x14ac:dyDescent="0.25">
      <c r="A291" s="211">
        <v>1</v>
      </c>
      <c r="B291" s="211"/>
      <c r="C291" s="97" t="s">
        <v>407</v>
      </c>
      <c r="D291" s="103">
        <f>(27.69)*10.764</f>
        <v>298.05516</v>
      </c>
      <c r="E291" s="103">
        <f>(2.13)*10.764</f>
        <v>22.927319999999998</v>
      </c>
      <c r="F291" s="97">
        <f t="shared" ref="F291:F299" si="19">D291+E291</f>
        <v>320.98248000000001</v>
      </c>
      <c r="G291" s="97">
        <v>0</v>
      </c>
      <c r="H291" s="97">
        <f t="shared" ref="H291:H299" si="20">F291*(($H$262)+1)+(IF(G291&lt;101,G291,IF(G291&lt;201,G291/2,IF(G291&lt;=301,G291/3,G291/4))))</f>
        <v>465.42459600000001</v>
      </c>
      <c r="I291" s="33"/>
      <c r="N291" s="33"/>
    </row>
    <row r="292" spans="1:20" s="96" customFormat="1" x14ac:dyDescent="0.25">
      <c r="A292" s="211">
        <f t="shared" ref="A292:A299" si="21">A291+1</f>
        <v>2</v>
      </c>
      <c r="B292" s="211"/>
      <c r="C292" s="97" t="s">
        <v>407</v>
      </c>
      <c r="D292" s="103">
        <f>(27.69)*10.764</f>
        <v>298.05516</v>
      </c>
      <c r="E292" s="103">
        <f>(2.13)*10.764</f>
        <v>22.927319999999998</v>
      </c>
      <c r="F292" s="97">
        <f t="shared" si="19"/>
        <v>320.98248000000001</v>
      </c>
      <c r="G292" s="103">
        <f>(2.74*1.9+2.43*0.4+2.89*0.88+2.8*5.9+1.83*1.95+1.97*0.65)*10.764</f>
        <v>323.89091279999997</v>
      </c>
      <c r="H292" s="97">
        <f t="shared" si="20"/>
        <v>546.39732419999996</v>
      </c>
      <c r="I292" s="33"/>
      <c r="N292" s="33"/>
    </row>
    <row r="293" spans="1:20" s="96" customFormat="1" x14ac:dyDescent="0.25">
      <c r="A293" s="211">
        <f t="shared" si="21"/>
        <v>3</v>
      </c>
      <c r="B293" s="211"/>
      <c r="C293" s="97" t="s">
        <v>407</v>
      </c>
      <c r="D293" s="103">
        <f>(27.73)*10.764</f>
        <v>298.48572000000001</v>
      </c>
      <c r="E293" s="103">
        <f>(2.13)*10.764</f>
        <v>22.927319999999998</v>
      </c>
      <c r="F293" s="97">
        <f t="shared" si="19"/>
        <v>321.41304000000002</v>
      </c>
      <c r="G293" s="103">
        <f>(2.74*1.9+2.43*0.4+2.74*0.6)*10.764</f>
        <v>84.196008000000006</v>
      </c>
      <c r="H293" s="97">
        <f t="shared" si="20"/>
        <v>550.2449160000001</v>
      </c>
      <c r="I293" s="33"/>
      <c r="N293" s="33"/>
    </row>
    <row r="294" spans="1:20" s="96" customFormat="1" x14ac:dyDescent="0.25">
      <c r="A294" s="211">
        <f t="shared" si="21"/>
        <v>4</v>
      </c>
      <c r="B294" s="211"/>
      <c r="C294" s="97" t="s">
        <v>407</v>
      </c>
      <c r="D294" s="103">
        <f>(28.94)*10.764</f>
        <v>311.51015999999998</v>
      </c>
      <c r="E294" s="103">
        <f>(1.98)*10.764</f>
        <v>21.312719999999999</v>
      </c>
      <c r="F294" s="97">
        <f t="shared" si="19"/>
        <v>332.82288</v>
      </c>
      <c r="G294" s="103">
        <f>(1.98*1.8+0.45*2.74)*10.764</f>
        <v>51.634908000000003</v>
      </c>
      <c r="H294" s="97">
        <f t="shared" si="20"/>
        <v>534.22808399999997</v>
      </c>
      <c r="I294" s="33"/>
      <c r="N294" s="33"/>
    </row>
    <row r="295" spans="1:20" s="96" customFormat="1" x14ac:dyDescent="0.25">
      <c r="A295" s="211">
        <f t="shared" si="21"/>
        <v>5</v>
      </c>
      <c r="B295" s="211"/>
      <c r="C295" s="97" t="s">
        <v>407</v>
      </c>
      <c r="D295" s="103">
        <f>(27.73)*10.764</f>
        <v>298.48572000000001</v>
      </c>
      <c r="E295" s="103">
        <f>(2.13)*10.764</f>
        <v>22.927319999999998</v>
      </c>
      <c r="F295" s="97">
        <f t="shared" si="19"/>
        <v>321.41304000000002</v>
      </c>
      <c r="G295" s="97">
        <v>0</v>
      </c>
      <c r="H295" s="97">
        <f t="shared" si="20"/>
        <v>466.04890800000004</v>
      </c>
      <c r="I295" s="33"/>
      <c r="N295" s="33"/>
    </row>
    <row r="296" spans="1:20" s="96" customFormat="1" x14ac:dyDescent="0.25">
      <c r="A296" s="211">
        <f t="shared" si="21"/>
        <v>6</v>
      </c>
      <c r="B296" s="211"/>
      <c r="C296" s="104" t="s">
        <v>416</v>
      </c>
      <c r="D296" s="103">
        <f>(42.99)*10.764</f>
        <v>462.74435999999997</v>
      </c>
      <c r="E296" s="103">
        <f>(2.13)*10.764</f>
        <v>22.927319999999998</v>
      </c>
      <c r="F296" s="97">
        <f t="shared" si="19"/>
        <v>485.67167999999998</v>
      </c>
      <c r="G296" s="97">
        <v>0</v>
      </c>
      <c r="H296" s="97">
        <f t="shared" si="20"/>
        <v>704.22393599999998</v>
      </c>
      <c r="I296" s="33"/>
      <c r="N296" s="33"/>
    </row>
    <row r="297" spans="1:20" s="96" customFormat="1" x14ac:dyDescent="0.25">
      <c r="A297" s="211">
        <f t="shared" si="21"/>
        <v>7</v>
      </c>
      <c r="B297" s="211"/>
      <c r="C297" s="97" t="s">
        <v>407</v>
      </c>
      <c r="D297" s="103">
        <f>(28.74)*10.764</f>
        <v>309.35735999999997</v>
      </c>
      <c r="E297" s="103">
        <f>(2.13)*10.764</f>
        <v>22.927319999999998</v>
      </c>
      <c r="F297" s="97">
        <f t="shared" si="19"/>
        <v>332.28467999999998</v>
      </c>
      <c r="G297" s="97">
        <v>0</v>
      </c>
      <c r="H297" s="97">
        <f t="shared" si="20"/>
        <v>481.81278599999996</v>
      </c>
      <c r="I297" s="33"/>
      <c r="N297" s="33"/>
    </row>
    <row r="298" spans="1:20" s="96" customFormat="1" x14ac:dyDescent="0.25">
      <c r="A298" s="211">
        <f t="shared" si="21"/>
        <v>8</v>
      </c>
      <c r="B298" s="211"/>
      <c r="C298" s="97" t="s">
        <v>407</v>
      </c>
      <c r="D298" s="103">
        <f>(28.74)*10.764</f>
        <v>309.35735999999997</v>
      </c>
      <c r="E298" s="103">
        <f>(2.13)*10.764</f>
        <v>22.927319999999998</v>
      </c>
      <c r="F298" s="97">
        <f t="shared" si="19"/>
        <v>332.28467999999998</v>
      </c>
      <c r="G298" s="97">
        <v>0</v>
      </c>
      <c r="H298" s="97">
        <f t="shared" si="20"/>
        <v>481.81278599999996</v>
      </c>
      <c r="I298" s="33"/>
      <c r="N298" s="33"/>
    </row>
    <row r="299" spans="1:20" s="96" customFormat="1" x14ac:dyDescent="0.25">
      <c r="A299" s="211">
        <f t="shared" si="21"/>
        <v>9</v>
      </c>
      <c r="B299" s="211"/>
      <c r="C299" s="104" t="s">
        <v>416</v>
      </c>
      <c r="D299" s="103">
        <f>(42.99)*10.764</f>
        <v>462.74435999999997</v>
      </c>
      <c r="E299" s="103">
        <f>(2.13)*10.764</f>
        <v>22.927319999999998</v>
      </c>
      <c r="F299" s="97">
        <f t="shared" si="19"/>
        <v>485.67167999999998</v>
      </c>
      <c r="G299" s="97">
        <v>0</v>
      </c>
      <c r="H299" s="97">
        <f t="shared" si="20"/>
        <v>704.22393599999998</v>
      </c>
      <c r="I299" s="33"/>
      <c r="N299" s="33"/>
    </row>
    <row r="300" spans="1:20" s="96" customFormat="1" ht="15.6" customHeight="1" x14ac:dyDescent="0.25">
      <c r="A300" s="229" t="s">
        <v>408</v>
      </c>
      <c r="B300" s="229"/>
      <c r="C300" s="229"/>
      <c r="D300" s="229"/>
      <c r="E300" s="229"/>
      <c r="F300" s="229"/>
      <c r="G300" s="229"/>
      <c r="H300" s="229"/>
      <c r="I300" s="33"/>
      <c r="L300" s="158"/>
      <c r="M300" s="158"/>
    </row>
    <row r="301" spans="1:20" s="96" customFormat="1" x14ac:dyDescent="0.25">
      <c r="A301" s="211">
        <v>1</v>
      </c>
      <c r="B301" s="211"/>
      <c r="C301" s="97" t="s">
        <v>407</v>
      </c>
      <c r="D301" s="103">
        <f>(27.69)*10.764</f>
        <v>298.05516</v>
      </c>
      <c r="E301" s="103">
        <f>(2.13)*10.764</f>
        <v>22.927319999999998</v>
      </c>
      <c r="F301" s="97">
        <f t="shared" ref="F301:F309" si="22">D301+E301</f>
        <v>320.98248000000001</v>
      </c>
      <c r="G301" s="97">
        <v>0</v>
      </c>
      <c r="H301" s="97">
        <f t="shared" ref="H301:H309" si="23">F301*(($H$262)+1)+(IF(G301&lt;101,G301,IF(G301&lt;201,G301/2,IF(G301&lt;=301,G301/3,G301/4))))</f>
        <v>465.42459600000001</v>
      </c>
      <c r="I301" s="33"/>
      <c r="N301" s="33"/>
    </row>
    <row r="302" spans="1:20" s="96" customFormat="1" x14ac:dyDescent="0.25">
      <c r="A302" s="211">
        <f t="shared" ref="A302:A309" si="24">A301+1</f>
        <v>2</v>
      </c>
      <c r="B302" s="211"/>
      <c r="C302" s="97" t="s">
        <v>407</v>
      </c>
      <c r="D302" s="103">
        <f>(27.69)*10.764</f>
        <v>298.05516</v>
      </c>
      <c r="E302" s="103">
        <f>(2.13)*10.764</f>
        <v>22.927319999999998</v>
      </c>
      <c r="F302" s="97">
        <f t="shared" si="22"/>
        <v>320.98248000000001</v>
      </c>
      <c r="G302" s="97">
        <v>0</v>
      </c>
      <c r="H302" s="97">
        <f t="shared" si="23"/>
        <v>465.42459600000001</v>
      </c>
      <c r="I302" s="33"/>
      <c r="N302" s="33"/>
    </row>
    <row r="303" spans="1:20" s="96" customFormat="1" x14ac:dyDescent="0.25">
      <c r="A303" s="211">
        <f t="shared" si="24"/>
        <v>3</v>
      </c>
      <c r="B303" s="211"/>
      <c r="C303" s="97" t="s">
        <v>407</v>
      </c>
      <c r="D303" s="103">
        <f>(27.73)*10.764</f>
        <v>298.48572000000001</v>
      </c>
      <c r="E303" s="103">
        <f>(2.13)*10.764</f>
        <v>22.927319999999998</v>
      </c>
      <c r="F303" s="97">
        <f t="shared" si="22"/>
        <v>321.41304000000002</v>
      </c>
      <c r="G303" s="97">
        <v>0</v>
      </c>
      <c r="H303" s="97">
        <f t="shared" si="23"/>
        <v>466.04890800000004</v>
      </c>
      <c r="I303" s="33"/>
      <c r="N303" s="33"/>
    </row>
    <row r="304" spans="1:20" s="96" customFormat="1" x14ac:dyDescent="0.25">
      <c r="A304" s="211">
        <f t="shared" si="24"/>
        <v>4</v>
      </c>
      <c r="B304" s="211"/>
      <c r="C304" s="97" t="s">
        <v>407</v>
      </c>
      <c r="D304" s="103">
        <f>(28.94)*10.764</f>
        <v>311.51015999999998</v>
      </c>
      <c r="E304" s="103">
        <f>(1.98)*10.764</f>
        <v>21.312719999999999</v>
      </c>
      <c r="F304" s="97">
        <f t="shared" si="22"/>
        <v>332.82288</v>
      </c>
      <c r="G304" s="97">
        <v>0</v>
      </c>
      <c r="H304" s="97">
        <f t="shared" si="23"/>
        <v>482.59317599999997</v>
      </c>
      <c r="I304" s="33"/>
      <c r="N304" s="33"/>
    </row>
    <row r="305" spans="1:20" s="96" customFormat="1" x14ac:dyDescent="0.25">
      <c r="A305" s="211">
        <f t="shared" si="24"/>
        <v>5</v>
      </c>
      <c r="B305" s="211"/>
      <c r="C305" s="97" t="s">
        <v>407</v>
      </c>
      <c r="D305" s="103">
        <f>(27.73)*10.764</f>
        <v>298.48572000000001</v>
      </c>
      <c r="E305" s="103">
        <f>(2.13)*10.764</f>
        <v>22.927319999999998</v>
      </c>
      <c r="F305" s="97">
        <f t="shared" si="22"/>
        <v>321.41304000000002</v>
      </c>
      <c r="G305" s="97">
        <v>0</v>
      </c>
      <c r="H305" s="97">
        <f t="shared" si="23"/>
        <v>466.04890800000004</v>
      </c>
      <c r="I305" s="33"/>
      <c r="N305" s="33"/>
    </row>
    <row r="306" spans="1:20" s="96" customFormat="1" x14ac:dyDescent="0.25">
      <c r="A306" s="211">
        <f t="shared" si="24"/>
        <v>6</v>
      </c>
      <c r="B306" s="211"/>
      <c r="C306" s="104" t="s">
        <v>416</v>
      </c>
      <c r="D306" s="103">
        <f>(42.99)*10.764</f>
        <v>462.74435999999997</v>
      </c>
      <c r="E306" s="103">
        <f>(2.13)*10.764</f>
        <v>22.927319999999998</v>
      </c>
      <c r="F306" s="97">
        <f t="shared" si="22"/>
        <v>485.67167999999998</v>
      </c>
      <c r="G306" s="97">
        <v>0</v>
      </c>
      <c r="H306" s="97">
        <f t="shared" si="23"/>
        <v>704.22393599999998</v>
      </c>
      <c r="I306" s="33"/>
      <c r="N306" s="33"/>
    </row>
    <row r="307" spans="1:20" s="96" customFormat="1" x14ac:dyDescent="0.25">
      <c r="A307" s="211">
        <f t="shared" si="24"/>
        <v>7</v>
      </c>
      <c r="B307" s="211"/>
      <c r="C307" s="97" t="s">
        <v>407</v>
      </c>
      <c r="D307" s="103">
        <f>(28.74)*10.764</f>
        <v>309.35735999999997</v>
      </c>
      <c r="E307" s="103">
        <f>(2.13)*10.764</f>
        <v>22.927319999999998</v>
      </c>
      <c r="F307" s="97">
        <f t="shared" si="22"/>
        <v>332.28467999999998</v>
      </c>
      <c r="G307" s="97">
        <v>0</v>
      </c>
      <c r="H307" s="97">
        <f t="shared" si="23"/>
        <v>481.81278599999996</v>
      </c>
      <c r="I307" s="33"/>
      <c r="N307" s="33"/>
    </row>
    <row r="308" spans="1:20" s="96" customFormat="1" x14ac:dyDescent="0.25">
      <c r="A308" s="211">
        <f t="shared" si="24"/>
        <v>8</v>
      </c>
      <c r="B308" s="211"/>
      <c r="C308" s="97" t="s">
        <v>407</v>
      </c>
      <c r="D308" s="103">
        <f>(28.74)*10.764</f>
        <v>309.35735999999997</v>
      </c>
      <c r="E308" s="103">
        <f>(2.13)*10.764</f>
        <v>22.927319999999998</v>
      </c>
      <c r="F308" s="97">
        <f t="shared" si="22"/>
        <v>332.28467999999998</v>
      </c>
      <c r="G308" s="97">
        <v>0</v>
      </c>
      <c r="H308" s="97">
        <f t="shared" si="23"/>
        <v>481.81278599999996</v>
      </c>
      <c r="I308" s="33"/>
      <c r="N308" s="33"/>
    </row>
    <row r="309" spans="1:20" s="96" customFormat="1" x14ac:dyDescent="0.25">
      <c r="A309" s="211">
        <f t="shared" si="24"/>
        <v>9</v>
      </c>
      <c r="B309" s="211"/>
      <c r="C309" s="104" t="s">
        <v>416</v>
      </c>
      <c r="D309" s="103">
        <f>(42.99)*10.764</f>
        <v>462.74435999999997</v>
      </c>
      <c r="E309" s="103">
        <f>(2.13)*10.764</f>
        <v>22.927319999999998</v>
      </c>
      <c r="F309" s="97">
        <f t="shared" si="22"/>
        <v>485.67167999999998</v>
      </c>
      <c r="G309" s="97">
        <v>0</v>
      </c>
      <c r="H309" s="97">
        <f t="shared" si="23"/>
        <v>704.22393599999998</v>
      </c>
      <c r="I309" s="33"/>
      <c r="N309" s="33"/>
    </row>
    <row r="310" spans="1:20" s="96" customFormat="1" x14ac:dyDescent="0.25">
      <c r="A310" s="170" t="s">
        <v>409</v>
      </c>
      <c r="B310" s="171"/>
      <c r="C310" s="171"/>
      <c r="D310" s="171"/>
      <c r="E310" s="171"/>
      <c r="F310" s="171"/>
      <c r="G310" s="171"/>
      <c r="H310" s="172"/>
      <c r="J310" s="33"/>
    </row>
    <row r="311" spans="1:20" s="96" customFormat="1" ht="15.75" customHeight="1" x14ac:dyDescent="0.25">
      <c r="A311" s="156">
        <v>1</v>
      </c>
      <c r="B311" s="157"/>
      <c r="C311" s="97" t="s">
        <v>407</v>
      </c>
      <c r="D311" s="102">
        <f>(27.73)*10.764</f>
        <v>298.48572000000001</v>
      </c>
      <c r="E311" s="102">
        <f>(2.13)*10.764</f>
        <v>22.927319999999998</v>
      </c>
      <c r="F311" s="97">
        <f>D311+E311</f>
        <v>321.41304000000002</v>
      </c>
      <c r="G311" s="99">
        <f>(2.8*3.81+1*5.1+0.8*4.4+1.2*3.8+1.85*2.65)*10.764</f>
        <v>309.47038199999997</v>
      </c>
      <c r="H311" s="97">
        <f>F311*(($H$262)+1)+(IF(G311&lt;101,G311,IF(G311&lt;201,G311/2,IF(G311&lt;=301,G311/3,G311/4))))</f>
        <v>543.41650350000009</v>
      </c>
      <c r="I311" s="33"/>
      <c r="L311" s="158"/>
      <c r="M311" s="158"/>
      <c r="N311" s="33"/>
    </row>
    <row r="312" spans="1:20" s="96" customFormat="1" ht="15.75" customHeight="1" x14ac:dyDescent="0.25">
      <c r="A312" s="156">
        <f>A311+1</f>
        <v>2</v>
      </c>
      <c r="B312" s="157"/>
      <c r="C312" s="97" t="s">
        <v>407</v>
      </c>
      <c r="D312" s="102">
        <f>(27.73)*10.764</f>
        <v>298.48572000000001</v>
      </c>
      <c r="E312" s="102">
        <f>(2.13)*10.764</f>
        <v>22.927319999999998</v>
      </c>
      <c r="F312" s="97">
        <f>D312+E312</f>
        <v>321.41304000000002</v>
      </c>
      <c r="G312" s="99">
        <f>(3.81*2.85+4.95*2.2+4.7*1+2.5*1.85)*10.764</f>
        <v>334.47515399999997</v>
      </c>
      <c r="H312" s="97">
        <f>F312*(($H$262)+1)+(IF(G312&lt;101,G312,IF(G312&lt;201,G312/2,IF(G312&lt;=301,G312/3,G312/4))))</f>
        <v>549.66769650000003</v>
      </c>
      <c r="I312" s="33"/>
      <c r="L312" s="158"/>
      <c r="M312" s="158"/>
      <c r="N312" s="33"/>
    </row>
    <row r="313" spans="1:20" s="96" customFormat="1" ht="15.75" customHeight="1" x14ac:dyDescent="0.25">
      <c r="A313" s="156">
        <f>A312+1</f>
        <v>3</v>
      </c>
      <c r="B313" s="157"/>
      <c r="C313" s="104" t="s">
        <v>416</v>
      </c>
      <c r="D313" s="102">
        <f>(42.99)*10.764</f>
        <v>462.74435999999997</v>
      </c>
      <c r="E313" s="102">
        <f>(2.13)*10.764</f>
        <v>22.927319999999998</v>
      </c>
      <c r="F313" s="97">
        <f>D313+E313</f>
        <v>485.67167999999998</v>
      </c>
      <c r="G313" s="99">
        <f>(3.9*2.9+5.25*1.1+4.55*1.1+3.9*1+3.2*1.95)*10.764</f>
        <v>346.92371999999995</v>
      </c>
      <c r="H313" s="97">
        <f>F313*(($H$262)+1)+(IF(G313&lt;101,G313,IF(G313&lt;201,G313/2,IF(G313&lt;=301,G313/3,G313/4))))</f>
        <v>790.95486599999992</v>
      </c>
      <c r="I313" s="33"/>
      <c r="L313" s="158"/>
      <c r="M313" s="158"/>
      <c r="N313" s="33"/>
    </row>
    <row r="314" spans="1:20" s="96" customFormat="1" ht="15.75" customHeight="1" x14ac:dyDescent="0.25">
      <c r="A314" s="156">
        <f>A313+1</f>
        <v>4</v>
      </c>
      <c r="B314" s="157"/>
      <c r="C314" s="104" t="s">
        <v>416</v>
      </c>
      <c r="D314" s="102">
        <f>(42.99)*10.764</f>
        <v>462.74435999999997</v>
      </c>
      <c r="E314" s="102">
        <f>(2.13)*10.764</f>
        <v>22.927319999999998</v>
      </c>
      <c r="F314" s="97">
        <f>D314+E314</f>
        <v>485.67167999999998</v>
      </c>
      <c r="G314" s="99">
        <f>(3.9*2.9+5.25*1.1+4.55*1.1+3.9*1+3.2*1.95)*10.764</f>
        <v>346.92371999999995</v>
      </c>
      <c r="H314" s="97">
        <f>F314*(($H$262)+1)+(IF(G314&lt;101,G314,IF(G314&lt;201,G314/2,IF(G314&lt;=301,G314/3,G314/4))))</f>
        <v>790.95486599999992</v>
      </c>
      <c r="I314" s="33"/>
      <c r="L314" s="158"/>
      <c r="M314" s="158"/>
      <c r="N314" s="33"/>
      <c r="T314" s="18"/>
    </row>
    <row r="315" spans="1:20" s="105" customFormat="1" ht="17.45" customHeight="1" x14ac:dyDescent="0.25">
      <c r="A315" s="173" t="s">
        <v>410</v>
      </c>
      <c r="B315" s="173"/>
      <c r="C315" s="173"/>
      <c r="D315" s="173"/>
      <c r="E315" s="173"/>
      <c r="F315" s="173"/>
      <c r="G315" s="174"/>
      <c r="H315" s="173"/>
    </row>
    <row r="316" spans="1:20" s="96" customFormat="1" x14ac:dyDescent="0.25">
      <c r="A316" s="229" t="s">
        <v>406</v>
      </c>
      <c r="B316" s="229"/>
      <c r="C316" s="229"/>
      <c r="D316" s="229"/>
      <c r="E316" s="229"/>
      <c r="F316" s="229"/>
      <c r="G316" s="229"/>
      <c r="H316" s="229"/>
      <c r="I316" s="33"/>
      <c r="L316" s="158"/>
      <c r="M316" s="158"/>
    </row>
    <row r="317" spans="1:20" s="96" customFormat="1" x14ac:dyDescent="0.25">
      <c r="A317" s="211">
        <f>LEFT(A316,SUM(LEN(A316)-LEN(SUBSTITUTE(A316,{"0","1","2","3","4","5","6","7","8","9"},""))))*100+1</f>
        <v>101</v>
      </c>
      <c r="B317" s="211"/>
      <c r="C317" s="97" t="s">
        <v>407</v>
      </c>
      <c r="D317" s="103">
        <f>(27.69)*10.764</f>
        <v>298.05516</v>
      </c>
      <c r="E317" s="103">
        <f>(2.13)*10.764</f>
        <v>22.927319999999998</v>
      </c>
      <c r="F317" s="97">
        <f t="shared" ref="F317:F325" si="25">D317+E317</f>
        <v>320.98248000000001</v>
      </c>
      <c r="G317" s="103">
        <v>0</v>
      </c>
      <c r="H317" s="97">
        <f t="shared" ref="H317:H325" si="26">F317*(($H$262)+1)+(IF(G317&lt;101,G317,IF(G317&lt;201,G317/2,IF(G317&lt;=301,G317/3,G317/4))))</f>
        <v>465.42459600000001</v>
      </c>
      <c r="I317" s="33"/>
      <c r="N317" s="33"/>
    </row>
    <row r="318" spans="1:20" s="96" customFormat="1" x14ac:dyDescent="0.25">
      <c r="A318" s="211">
        <f t="shared" ref="A318:A325" si="27">A317+1</f>
        <v>102</v>
      </c>
      <c r="B318" s="211"/>
      <c r="C318" s="97" t="s">
        <v>407</v>
      </c>
      <c r="D318" s="103">
        <f>(27.69)*10.764</f>
        <v>298.05516</v>
      </c>
      <c r="E318" s="103">
        <f>(2.13)*10.764</f>
        <v>22.927319999999998</v>
      </c>
      <c r="F318" s="97">
        <f t="shared" si="25"/>
        <v>320.98248000000001</v>
      </c>
      <c r="G318" s="103">
        <v>0</v>
      </c>
      <c r="H318" s="97">
        <f t="shared" si="26"/>
        <v>465.42459600000001</v>
      </c>
      <c r="I318" s="33"/>
      <c r="N318" s="33"/>
    </row>
    <row r="319" spans="1:20" s="96" customFormat="1" x14ac:dyDescent="0.25">
      <c r="A319" s="211">
        <f t="shared" si="27"/>
        <v>103</v>
      </c>
      <c r="B319" s="211"/>
      <c r="C319" s="97" t="s">
        <v>407</v>
      </c>
      <c r="D319" s="103">
        <f>(27.73)*10.764</f>
        <v>298.48572000000001</v>
      </c>
      <c r="E319" s="103">
        <f>(2.13)*10.764</f>
        <v>22.927319999999998</v>
      </c>
      <c r="F319" s="97">
        <f t="shared" si="25"/>
        <v>321.41304000000002</v>
      </c>
      <c r="G319" s="103">
        <v>0</v>
      </c>
      <c r="H319" s="97">
        <f t="shared" si="26"/>
        <v>466.04890800000004</v>
      </c>
      <c r="I319" s="33"/>
      <c r="N319" s="33"/>
    </row>
    <row r="320" spans="1:20" s="96" customFormat="1" x14ac:dyDescent="0.25">
      <c r="A320" s="211">
        <f t="shared" si="27"/>
        <v>104</v>
      </c>
      <c r="B320" s="211"/>
      <c r="C320" s="97" t="s">
        <v>407</v>
      </c>
      <c r="D320" s="103">
        <f>(28.94)*10.764</f>
        <v>311.51015999999998</v>
      </c>
      <c r="E320" s="103">
        <f>(1.98)*10.764</f>
        <v>21.312719999999999</v>
      </c>
      <c r="F320" s="97">
        <f t="shared" si="25"/>
        <v>332.82288</v>
      </c>
      <c r="G320" s="103">
        <f>(1.98*1.8+2.74*0.9+2.74*1.9+0.5*2.58)*10.764</f>
        <v>134.82986399999999</v>
      </c>
      <c r="H320" s="97">
        <f t="shared" si="26"/>
        <v>550.00810799999999</v>
      </c>
      <c r="I320" s="33"/>
      <c r="N320" s="33"/>
    </row>
    <row r="321" spans="1:14" s="96" customFormat="1" x14ac:dyDescent="0.25">
      <c r="A321" s="211">
        <f t="shared" si="27"/>
        <v>105</v>
      </c>
      <c r="B321" s="211"/>
      <c r="C321" s="97" t="s">
        <v>407</v>
      </c>
      <c r="D321" s="103">
        <f>(27.73)*10.764</f>
        <v>298.48572000000001</v>
      </c>
      <c r="E321" s="103">
        <f>(2.13)*10.764</f>
        <v>22.927319999999998</v>
      </c>
      <c r="F321" s="97">
        <f t="shared" si="25"/>
        <v>321.41304000000002</v>
      </c>
      <c r="G321" s="103">
        <f>(2.74*1.9+0.3*2.43+2.74*0.6)*10.764</f>
        <v>81.580355999999995</v>
      </c>
      <c r="H321" s="97">
        <f t="shared" si="26"/>
        <v>547.62926400000003</v>
      </c>
      <c r="I321" s="33"/>
      <c r="N321" s="33"/>
    </row>
    <row r="322" spans="1:14" s="96" customFormat="1" x14ac:dyDescent="0.25">
      <c r="A322" s="211">
        <f t="shared" si="27"/>
        <v>106</v>
      </c>
      <c r="B322" s="211"/>
      <c r="C322" s="104" t="s">
        <v>416</v>
      </c>
      <c r="D322" s="103">
        <f>(42.99)*10.764</f>
        <v>462.74435999999997</v>
      </c>
      <c r="E322" s="103">
        <f>(2.13)*10.764</f>
        <v>22.927319999999998</v>
      </c>
      <c r="F322" s="97">
        <f t="shared" si="25"/>
        <v>485.67167999999998</v>
      </c>
      <c r="G322" s="103">
        <f>(2.74*1.1+0.3*2.74)*10.764</f>
        <v>41.290704000000005</v>
      </c>
      <c r="H322" s="97">
        <f t="shared" si="26"/>
        <v>745.51463999999999</v>
      </c>
      <c r="I322" s="33"/>
      <c r="N322" s="33"/>
    </row>
    <row r="323" spans="1:14" s="96" customFormat="1" x14ac:dyDescent="0.25">
      <c r="A323" s="211">
        <f t="shared" si="27"/>
        <v>107</v>
      </c>
      <c r="B323" s="211"/>
      <c r="C323" s="97" t="s">
        <v>407</v>
      </c>
      <c r="D323" s="103">
        <f>(28.74)*10.764</f>
        <v>309.35735999999997</v>
      </c>
      <c r="E323" s="103">
        <f>(2.13)*10.764</f>
        <v>22.927319999999998</v>
      </c>
      <c r="F323" s="97">
        <f t="shared" si="25"/>
        <v>332.28467999999998</v>
      </c>
      <c r="G323" s="103">
        <f>(2.74*1.7+2.43*0.4+2.74*1+1.8*1.5+0.6*1.82)*10.764</f>
        <v>130.911768</v>
      </c>
      <c r="H323" s="97">
        <f t="shared" si="26"/>
        <v>547.26866999999993</v>
      </c>
      <c r="I323" s="33"/>
      <c r="N323" s="33"/>
    </row>
    <row r="324" spans="1:14" s="96" customFormat="1" x14ac:dyDescent="0.25">
      <c r="A324" s="211">
        <f t="shared" si="27"/>
        <v>108</v>
      </c>
      <c r="B324" s="211"/>
      <c r="C324" s="97" t="s">
        <v>407</v>
      </c>
      <c r="D324" s="103">
        <f>(28.74)*10.764</f>
        <v>309.35735999999997</v>
      </c>
      <c r="E324" s="103">
        <f>(2.13)*10.764</f>
        <v>22.927319999999998</v>
      </c>
      <c r="F324" s="97">
        <f t="shared" si="25"/>
        <v>332.28467999999998</v>
      </c>
      <c r="G324" s="103">
        <v>0</v>
      </c>
      <c r="H324" s="97">
        <f t="shared" si="26"/>
        <v>481.81278599999996</v>
      </c>
      <c r="I324" s="33"/>
      <c r="N324" s="33"/>
    </row>
    <row r="325" spans="1:14" s="96" customFormat="1" x14ac:dyDescent="0.25">
      <c r="A325" s="211">
        <f t="shared" si="27"/>
        <v>109</v>
      </c>
      <c r="B325" s="211"/>
      <c r="C325" s="104" t="s">
        <v>416</v>
      </c>
      <c r="D325" s="103">
        <f>(42.99)*10.764</f>
        <v>462.74435999999997</v>
      </c>
      <c r="E325" s="103">
        <f>(2.13)*10.764</f>
        <v>22.927319999999998</v>
      </c>
      <c r="F325" s="97">
        <f t="shared" si="25"/>
        <v>485.67167999999998</v>
      </c>
      <c r="G325" s="103">
        <v>0</v>
      </c>
      <c r="H325" s="97">
        <f t="shared" si="26"/>
        <v>704.22393599999998</v>
      </c>
      <c r="I325" s="33"/>
      <c r="N325" s="33"/>
    </row>
    <row r="326" spans="1:14" s="96" customFormat="1" x14ac:dyDescent="0.25">
      <c r="A326" s="229" t="s">
        <v>408</v>
      </c>
      <c r="B326" s="229"/>
      <c r="C326" s="229"/>
      <c r="D326" s="229"/>
      <c r="E326" s="229"/>
      <c r="F326" s="229"/>
      <c r="G326" s="229"/>
      <c r="H326" s="229"/>
      <c r="I326" s="33"/>
      <c r="L326" s="158"/>
      <c r="M326" s="158"/>
    </row>
    <row r="327" spans="1:14" s="96" customFormat="1" x14ac:dyDescent="0.25">
      <c r="A327" s="211">
        <v>1</v>
      </c>
      <c r="B327" s="211"/>
      <c r="C327" s="97" t="s">
        <v>407</v>
      </c>
      <c r="D327" s="103">
        <f>(27.69)*10.764</f>
        <v>298.05516</v>
      </c>
      <c r="E327" s="103">
        <f>(2.13)*10.764</f>
        <v>22.927319999999998</v>
      </c>
      <c r="F327" s="97">
        <f t="shared" ref="F327:F335" si="28">D327+E327</f>
        <v>320.98248000000001</v>
      </c>
      <c r="G327" s="103">
        <v>0</v>
      </c>
      <c r="H327" s="97">
        <f t="shared" ref="H327:H335" si="29">F327*(($H$262)+1)+(IF(G327&lt;101,G327,IF(G327&lt;201,G327/2,IF(G327&lt;=301,G327/3,G327/4))))</f>
        <v>465.42459600000001</v>
      </c>
      <c r="I327" s="33"/>
      <c r="N327" s="33"/>
    </row>
    <row r="328" spans="1:14" s="96" customFormat="1" x14ac:dyDescent="0.25">
      <c r="A328" s="211">
        <f t="shared" ref="A328:A335" si="30">A327+1</f>
        <v>2</v>
      </c>
      <c r="B328" s="211"/>
      <c r="C328" s="97" t="s">
        <v>407</v>
      </c>
      <c r="D328" s="103">
        <f>(27.69)*10.764</f>
        <v>298.05516</v>
      </c>
      <c r="E328" s="103">
        <f>(2.13)*10.764</f>
        <v>22.927319999999998</v>
      </c>
      <c r="F328" s="97">
        <f t="shared" si="28"/>
        <v>320.98248000000001</v>
      </c>
      <c r="G328" s="103">
        <v>0</v>
      </c>
      <c r="H328" s="97">
        <f t="shared" si="29"/>
        <v>465.42459600000001</v>
      </c>
      <c r="I328" s="33"/>
      <c r="N328" s="33"/>
    </row>
    <row r="329" spans="1:14" s="96" customFormat="1" x14ac:dyDescent="0.25">
      <c r="A329" s="211">
        <f t="shared" si="30"/>
        <v>3</v>
      </c>
      <c r="B329" s="211"/>
      <c r="C329" s="97" t="s">
        <v>407</v>
      </c>
      <c r="D329" s="103">
        <f>(27.73)*10.764</f>
        <v>298.48572000000001</v>
      </c>
      <c r="E329" s="103">
        <f>(2.13)*10.764</f>
        <v>22.927319999999998</v>
      </c>
      <c r="F329" s="97">
        <f t="shared" si="28"/>
        <v>321.41304000000002</v>
      </c>
      <c r="G329" s="103">
        <v>0</v>
      </c>
      <c r="H329" s="97">
        <f t="shared" si="29"/>
        <v>466.04890800000004</v>
      </c>
      <c r="I329" s="33"/>
      <c r="N329" s="33"/>
    </row>
    <row r="330" spans="1:14" s="96" customFormat="1" x14ac:dyDescent="0.25">
      <c r="A330" s="211">
        <f t="shared" si="30"/>
        <v>4</v>
      </c>
      <c r="B330" s="211"/>
      <c r="C330" s="97" t="s">
        <v>407</v>
      </c>
      <c r="D330" s="103">
        <f>(28.94)*10.764</f>
        <v>311.51015999999998</v>
      </c>
      <c r="E330" s="103">
        <f>(1.98)*10.764</f>
        <v>21.312719999999999</v>
      </c>
      <c r="F330" s="97">
        <f t="shared" si="28"/>
        <v>332.82288</v>
      </c>
      <c r="G330" s="103">
        <v>0</v>
      </c>
      <c r="H330" s="97">
        <f t="shared" si="29"/>
        <v>482.59317599999997</v>
      </c>
      <c r="I330" s="33"/>
      <c r="N330" s="33"/>
    </row>
    <row r="331" spans="1:14" s="96" customFormat="1" x14ac:dyDescent="0.25">
      <c r="A331" s="211">
        <f t="shared" si="30"/>
        <v>5</v>
      </c>
      <c r="B331" s="211"/>
      <c r="C331" s="97" t="s">
        <v>407</v>
      </c>
      <c r="D331" s="103">
        <f>(27.73)*10.764</f>
        <v>298.48572000000001</v>
      </c>
      <c r="E331" s="103">
        <f>(2.13)*10.764</f>
        <v>22.927319999999998</v>
      </c>
      <c r="F331" s="97">
        <f t="shared" si="28"/>
        <v>321.41304000000002</v>
      </c>
      <c r="G331" s="103">
        <v>0</v>
      </c>
      <c r="H331" s="97">
        <f t="shared" si="29"/>
        <v>466.04890800000004</v>
      </c>
      <c r="I331" s="33"/>
      <c r="N331" s="33"/>
    </row>
    <row r="332" spans="1:14" s="96" customFormat="1" x14ac:dyDescent="0.25">
      <c r="A332" s="211">
        <f t="shared" si="30"/>
        <v>6</v>
      </c>
      <c r="B332" s="211"/>
      <c r="C332" s="104" t="s">
        <v>416</v>
      </c>
      <c r="D332" s="103">
        <f>(42.99)*10.764</f>
        <v>462.74435999999997</v>
      </c>
      <c r="E332" s="103">
        <f>(2.13)*10.764</f>
        <v>22.927319999999998</v>
      </c>
      <c r="F332" s="97">
        <f t="shared" si="28"/>
        <v>485.67167999999998</v>
      </c>
      <c r="G332" s="103">
        <v>0</v>
      </c>
      <c r="H332" s="97">
        <f t="shared" si="29"/>
        <v>704.22393599999998</v>
      </c>
      <c r="I332" s="33"/>
      <c r="N332" s="33"/>
    </row>
    <row r="333" spans="1:14" s="96" customFormat="1" x14ac:dyDescent="0.25">
      <c r="A333" s="211">
        <f t="shared" si="30"/>
        <v>7</v>
      </c>
      <c r="B333" s="211"/>
      <c r="C333" s="97" t="s">
        <v>407</v>
      </c>
      <c r="D333" s="103">
        <f>(28.74)*10.764</f>
        <v>309.35735999999997</v>
      </c>
      <c r="E333" s="103">
        <f>(2.13)*10.764</f>
        <v>22.927319999999998</v>
      </c>
      <c r="F333" s="97">
        <f t="shared" si="28"/>
        <v>332.28467999999998</v>
      </c>
      <c r="G333" s="103">
        <v>0</v>
      </c>
      <c r="H333" s="97">
        <f t="shared" si="29"/>
        <v>481.81278599999996</v>
      </c>
      <c r="I333" s="33"/>
      <c r="N333" s="33"/>
    </row>
    <row r="334" spans="1:14" s="96" customFormat="1" x14ac:dyDescent="0.25">
      <c r="A334" s="211">
        <f t="shared" si="30"/>
        <v>8</v>
      </c>
      <c r="B334" s="211"/>
      <c r="C334" s="97" t="s">
        <v>407</v>
      </c>
      <c r="D334" s="103">
        <f>(28.74)*10.764</f>
        <v>309.35735999999997</v>
      </c>
      <c r="E334" s="103">
        <f>(2.13)*10.764</f>
        <v>22.927319999999998</v>
      </c>
      <c r="F334" s="97">
        <f t="shared" si="28"/>
        <v>332.28467999999998</v>
      </c>
      <c r="G334" s="103">
        <v>0</v>
      </c>
      <c r="H334" s="97">
        <f t="shared" si="29"/>
        <v>481.81278599999996</v>
      </c>
      <c r="I334" s="33"/>
      <c r="N334" s="33"/>
    </row>
    <row r="335" spans="1:14" s="96" customFormat="1" x14ac:dyDescent="0.25">
      <c r="A335" s="211">
        <f t="shared" si="30"/>
        <v>9</v>
      </c>
      <c r="B335" s="211"/>
      <c r="C335" s="104" t="s">
        <v>416</v>
      </c>
      <c r="D335" s="103">
        <f>(42.99)*10.764</f>
        <v>462.74435999999997</v>
      </c>
      <c r="E335" s="103">
        <f>(2.13)*10.764</f>
        <v>22.927319999999998</v>
      </c>
      <c r="F335" s="97">
        <f t="shared" si="28"/>
        <v>485.67167999999998</v>
      </c>
      <c r="G335" s="103">
        <v>0</v>
      </c>
      <c r="H335" s="97">
        <f t="shared" si="29"/>
        <v>704.22393599999998</v>
      </c>
      <c r="I335" s="33"/>
      <c r="N335" s="33"/>
    </row>
    <row r="336" spans="1:14" s="96" customFormat="1" x14ac:dyDescent="0.25">
      <c r="A336" s="170" t="s">
        <v>409</v>
      </c>
      <c r="B336" s="171"/>
      <c r="C336" s="171"/>
      <c r="D336" s="171"/>
      <c r="E336" s="171"/>
      <c r="F336" s="171"/>
      <c r="G336" s="171"/>
      <c r="H336" s="172"/>
      <c r="J336" s="33"/>
    </row>
    <row r="337" spans="1:20" s="96" customFormat="1" ht="15.75" customHeight="1" x14ac:dyDescent="0.25">
      <c r="A337" s="156">
        <v>1</v>
      </c>
      <c r="B337" s="157"/>
      <c r="C337" s="97" t="s">
        <v>407</v>
      </c>
      <c r="D337" s="103">
        <f>(27.73)*10.764</f>
        <v>298.48572000000001</v>
      </c>
      <c r="E337" s="103">
        <f>(2.13)*10.764</f>
        <v>22.927319999999998</v>
      </c>
      <c r="F337" s="97">
        <f>D337+E337</f>
        <v>321.41304000000002</v>
      </c>
      <c r="G337" s="57">
        <f>(29.82)*10.764</f>
        <v>320.98248000000001</v>
      </c>
      <c r="H337" s="97">
        <f>F337*(($H$262)+1)+(IF(G337&lt;101,G337,IF(G337&lt;201,G337/2,IF(G337&lt;=301,G337/3,G337/4))))</f>
        <v>546.29452800000001</v>
      </c>
      <c r="I337" s="33"/>
      <c r="L337" s="158"/>
      <c r="M337" s="158"/>
      <c r="N337" s="33"/>
    </row>
    <row r="338" spans="1:20" s="96" customFormat="1" ht="15.75" customHeight="1" x14ac:dyDescent="0.25">
      <c r="A338" s="156">
        <f>A337+1</f>
        <v>2</v>
      </c>
      <c r="B338" s="157"/>
      <c r="C338" s="97" t="s">
        <v>407</v>
      </c>
      <c r="D338" s="103">
        <f>(27.73)*10.764</f>
        <v>298.48572000000001</v>
      </c>
      <c r="E338" s="103">
        <f>(2.13)*10.764</f>
        <v>22.927319999999998</v>
      </c>
      <c r="F338" s="97">
        <f>D338+E338</f>
        <v>321.41304000000002</v>
      </c>
      <c r="G338" s="57">
        <f>(30.92)*10.764</f>
        <v>332.82288</v>
      </c>
      <c r="H338" s="97">
        <f>F338*(($H$262)+1)+(IF(G338&lt;101,G338,IF(G338&lt;201,G338/2,IF(G338&lt;=301,G338/3,G338/4))))</f>
        <v>549.25462800000003</v>
      </c>
      <c r="I338" s="33"/>
      <c r="L338" s="158"/>
      <c r="M338" s="158"/>
      <c r="N338" s="33"/>
    </row>
    <row r="339" spans="1:20" s="96" customFormat="1" ht="15.75" customHeight="1" x14ac:dyDescent="0.25">
      <c r="A339" s="156">
        <f>A338+1</f>
        <v>3</v>
      </c>
      <c r="B339" s="157"/>
      <c r="C339" s="104" t="s">
        <v>416</v>
      </c>
      <c r="D339" s="103">
        <f>(42.99)*10.764</f>
        <v>462.74435999999997</v>
      </c>
      <c r="E339" s="103">
        <f>(2.13)*10.764</f>
        <v>22.927319999999998</v>
      </c>
      <c r="F339" s="97">
        <f>D339+E339</f>
        <v>485.67167999999998</v>
      </c>
      <c r="G339" s="99">
        <f>(3.9*2.9+5.25*1.1+4.55*1.1+3.9*1+3.2*1.95)*10.764</f>
        <v>346.92371999999995</v>
      </c>
      <c r="H339" s="97">
        <f>F339*(($H$262)+1)+(IF(G339&lt;101,G339,IF(G339&lt;201,G339/2,IF(G339&lt;=301,G339/3,G339/4))))</f>
        <v>790.95486599999992</v>
      </c>
      <c r="I339" s="33"/>
      <c r="L339" s="158"/>
      <c r="M339" s="158"/>
      <c r="N339" s="33"/>
    </row>
    <row r="340" spans="1:20" s="96" customFormat="1" ht="15.75" customHeight="1" x14ac:dyDescent="0.25">
      <c r="A340" s="156">
        <f>A339+1</f>
        <v>4</v>
      </c>
      <c r="B340" s="157"/>
      <c r="C340" s="104" t="s">
        <v>416</v>
      </c>
      <c r="D340" s="103">
        <f>(42.99)*10.764</f>
        <v>462.74435999999997</v>
      </c>
      <c r="E340" s="103">
        <f>(2.13)*10.764</f>
        <v>22.927319999999998</v>
      </c>
      <c r="F340" s="97">
        <f>D340+E340</f>
        <v>485.67167999999998</v>
      </c>
      <c r="G340" s="99">
        <f>(3.9*2.9+5.25*1.1+4.55*1.1+3.9*1+3.2*1.95)*10.764</f>
        <v>346.92371999999995</v>
      </c>
      <c r="H340" s="97">
        <f>F340*(($H$262)+1)+(IF(G340&lt;101,G340,IF(G340&lt;201,G340/2,IF(G340&lt;=301,G340/3,G340/4))))</f>
        <v>790.95486599999992</v>
      </c>
      <c r="I340" s="33"/>
      <c r="L340" s="158"/>
      <c r="M340" s="158"/>
      <c r="N340" s="33"/>
      <c r="T340" s="18"/>
    </row>
    <row r="341" spans="1:20" s="105" customFormat="1" ht="16.5" customHeight="1" x14ac:dyDescent="0.25">
      <c r="A341" s="173" t="s">
        <v>411</v>
      </c>
      <c r="B341" s="173"/>
      <c r="C341" s="173"/>
      <c r="D341" s="173"/>
      <c r="E341" s="173"/>
      <c r="F341" s="173"/>
      <c r="G341" s="174"/>
      <c r="H341" s="173"/>
    </row>
    <row r="342" spans="1:20" s="105" customFormat="1" x14ac:dyDescent="0.25">
      <c r="A342" s="175" t="s">
        <v>412</v>
      </c>
      <c r="B342" s="175"/>
      <c r="C342" s="175"/>
      <c r="D342" s="175"/>
      <c r="E342" s="175"/>
      <c r="F342" s="175"/>
      <c r="G342" s="176"/>
      <c r="H342" s="175"/>
    </row>
    <row r="343" spans="1:20" s="96" customFormat="1" x14ac:dyDescent="0.25">
      <c r="A343" s="177" t="s">
        <v>413</v>
      </c>
      <c r="B343" s="178"/>
      <c r="C343" s="178"/>
      <c r="D343" s="178"/>
      <c r="E343" s="178"/>
      <c r="F343" s="178"/>
      <c r="G343" s="178"/>
      <c r="H343" s="179"/>
      <c r="J343" s="33"/>
    </row>
    <row r="344" spans="1:20" s="96" customFormat="1" ht="15.75" customHeight="1" x14ac:dyDescent="0.25">
      <c r="A344" s="156">
        <v>1</v>
      </c>
      <c r="B344" s="157"/>
      <c r="C344" s="104" t="s">
        <v>416</v>
      </c>
      <c r="D344" s="103">
        <f>(42.99)*10.764</f>
        <v>462.74435999999997</v>
      </c>
      <c r="E344" s="103">
        <f>(2.13)*10.764</f>
        <v>22.927319999999998</v>
      </c>
      <c r="F344" s="97">
        <f t="shared" ref="F344:F352" si="31">D344+E344</f>
        <v>485.67167999999998</v>
      </c>
      <c r="G344" s="97">
        <v>0</v>
      </c>
      <c r="H344" s="97">
        <f t="shared" ref="H344:H352" si="32">F344*(($H$262)+1)+(IF(G344&lt;101,G344,IF(G344&lt;201,G344/2,IF(G344&lt;=301,G344/3,G344/4))))</f>
        <v>704.22393599999998</v>
      </c>
      <c r="I344" s="33"/>
      <c r="L344" s="158"/>
      <c r="M344" s="158"/>
      <c r="N344" s="33"/>
    </row>
    <row r="345" spans="1:20" s="96" customFormat="1" ht="15.75" customHeight="1" x14ac:dyDescent="0.25">
      <c r="A345" s="156">
        <f t="shared" ref="A345:A352" si="33">A344+1</f>
        <v>2</v>
      </c>
      <c r="B345" s="157"/>
      <c r="C345" s="97" t="s">
        <v>407</v>
      </c>
      <c r="D345" s="103">
        <f>(28.74)*10.764</f>
        <v>309.35735999999997</v>
      </c>
      <c r="E345" s="103">
        <f>(2.13)*10.764</f>
        <v>22.927319999999998</v>
      </c>
      <c r="F345" s="97">
        <f t="shared" si="31"/>
        <v>332.28467999999998</v>
      </c>
      <c r="G345" s="97">
        <v>0</v>
      </c>
      <c r="H345" s="97">
        <f t="shared" si="32"/>
        <v>481.81278599999996</v>
      </c>
      <c r="I345" s="33"/>
      <c r="L345" s="158"/>
      <c r="M345" s="158"/>
      <c r="N345" s="33"/>
    </row>
    <row r="346" spans="1:20" s="96" customFormat="1" ht="15.75" customHeight="1" x14ac:dyDescent="0.25">
      <c r="A346" s="156">
        <f t="shared" si="33"/>
        <v>3</v>
      </c>
      <c r="B346" s="157"/>
      <c r="C346" s="97" t="s">
        <v>407</v>
      </c>
      <c r="D346" s="103">
        <f>(28.74)*10.764</f>
        <v>309.35735999999997</v>
      </c>
      <c r="E346" s="103">
        <f>(2.13)*10.764</f>
        <v>22.927319999999998</v>
      </c>
      <c r="F346" s="97">
        <f t="shared" si="31"/>
        <v>332.28467999999998</v>
      </c>
      <c r="G346" s="97">
        <v>0</v>
      </c>
      <c r="H346" s="97">
        <f t="shared" si="32"/>
        <v>481.81278599999996</v>
      </c>
      <c r="I346" s="33"/>
      <c r="L346" s="158"/>
      <c r="M346" s="158"/>
      <c r="N346" s="33"/>
    </row>
    <row r="347" spans="1:20" s="96" customFormat="1" ht="15.75" customHeight="1" x14ac:dyDescent="0.25">
      <c r="A347" s="156">
        <f t="shared" si="33"/>
        <v>4</v>
      </c>
      <c r="B347" s="157"/>
      <c r="C347" s="104" t="s">
        <v>416</v>
      </c>
      <c r="D347" s="103">
        <f>(42.99)*10.764</f>
        <v>462.74435999999997</v>
      </c>
      <c r="E347" s="103">
        <f>(2.13)*10.764</f>
        <v>22.927319999999998</v>
      </c>
      <c r="F347" s="97">
        <f t="shared" si="31"/>
        <v>485.67167999999998</v>
      </c>
      <c r="G347" s="97">
        <v>0</v>
      </c>
      <c r="H347" s="97">
        <f t="shared" si="32"/>
        <v>704.22393599999998</v>
      </c>
      <c r="I347" s="33"/>
      <c r="L347" s="158"/>
      <c r="M347" s="158"/>
      <c r="N347" s="33"/>
      <c r="T347" s="18"/>
    </row>
    <row r="348" spans="1:20" s="96" customFormat="1" ht="15.75" customHeight="1" x14ac:dyDescent="0.25">
      <c r="A348" s="156">
        <f t="shared" si="33"/>
        <v>5</v>
      </c>
      <c r="B348" s="157"/>
      <c r="C348" s="97" t="s">
        <v>407</v>
      </c>
      <c r="D348" s="103">
        <f>(27.73)*10.764</f>
        <v>298.48572000000001</v>
      </c>
      <c r="E348" s="103">
        <f>(2.13)*10.764</f>
        <v>22.927319999999998</v>
      </c>
      <c r="F348" s="97">
        <f t="shared" si="31"/>
        <v>321.41304000000002</v>
      </c>
      <c r="G348" s="97">
        <v>0</v>
      </c>
      <c r="H348" s="97">
        <f t="shared" si="32"/>
        <v>466.04890800000004</v>
      </c>
      <c r="I348" s="33"/>
      <c r="L348" s="158"/>
      <c r="M348" s="158"/>
      <c r="N348" s="33"/>
    </row>
    <row r="349" spans="1:20" s="96" customFormat="1" ht="15.75" customHeight="1" x14ac:dyDescent="0.25">
      <c r="A349" s="156">
        <f t="shared" si="33"/>
        <v>6</v>
      </c>
      <c r="B349" s="157"/>
      <c r="C349" s="97" t="s">
        <v>407</v>
      </c>
      <c r="D349" s="103">
        <f>(28.94)*10.764</f>
        <v>311.51015999999998</v>
      </c>
      <c r="E349" s="103">
        <f>(1.98)*10.764</f>
        <v>21.312719999999999</v>
      </c>
      <c r="F349" s="97">
        <f t="shared" si="31"/>
        <v>332.82288</v>
      </c>
      <c r="G349" s="97">
        <v>0</v>
      </c>
      <c r="H349" s="97">
        <f t="shared" si="32"/>
        <v>482.59317599999997</v>
      </c>
      <c r="I349" s="33"/>
      <c r="L349" s="158"/>
      <c r="M349" s="158"/>
      <c r="N349" s="33"/>
    </row>
    <row r="350" spans="1:20" s="96" customFormat="1" ht="15.75" customHeight="1" x14ac:dyDescent="0.25">
      <c r="A350" s="156">
        <f t="shared" si="33"/>
        <v>7</v>
      </c>
      <c r="B350" s="157"/>
      <c r="C350" s="97" t="s">
        <v>407</v>
      </c>
      <c r="D350" s="103">
        <f>(27.73)*10.764</f>
        <v>298.48572000000001</v>
      </c>
      <c r="E350" s="103">
        <f>(2.13)*10.764</f>
        <v>22.927319999999998</v>
      </c>
      <c r="F350" s="97">
        <f t="shared" si="31"/>
        <v>321.41304000000002</v>
      </c>
      <c r="G350" s="97">
        <v>0</v>
      </c>
      <c r="H350" s="97">
        <f t="shared" si="32"/>
        <v>466.04890800000004</v>
      </c>
      <c r="I350" s="33"/>
      <c r="L350" s="158"/>
      <c r="M350" s="158"/>
      <c r="N350" s="33"/>
      <c r="T350" s="18"/>
    </row>
    <row r="351" spans="1:20" s="96" customFormat="1" ht="15.75" customHeight="1" x14ac:dyDescent="0.25">
      <c r="A351" s="156">
        <f t="shared" si="33"/>
        <v>8</v>
      </c>
      <c r="B351" s="157"/>
      <c r="C351" s="97" t="s">
        <v>407</v>
      </c>
      <c r="D351" s="103">
        <f>(27.69)*10.764</f>
        <v>298.05516</v>
      </c>
      <c r="E351" s="103">
        <f>(2.13)*10.764</f>
        <v>22.927319999999998</v>
      </c>
      <c r="F351" s="97">
        <f t="shared" si="31"/>
        <v>320.98248000000001</v>
      </c>
      <c r="G351" s="97">
        <v>0</v>
      </c>
      <c r="H351" s="97">
        <f t="shared" si="32"/>
        <v>465.42459600000001</v>
      </c>
      <c r="I351" s="33"/>
      <c r="L351" s="158"/>
      <c r="M351" s="158"/>
      <c r="N351" s="33"/>
    </row>
    <row r="352" spans="1:20" s="96" customFormat="1" ht="15.75" customHeight="1" x14ac:dyDescent="0.25">
      <c r="A352" s="156">
        <f t="shared" si="33"/>
        <v>9</v>
      </c>
      <c r="B352" s="157"/>
      <c r="C352" s="97" t="s">
        <v>407</v>
      </c>
      <c r="D352" s="103">
        <f>(27.69)*10.764</f>
        <v>298.05516</v>
      </c>
      <c r="E352" s="103">
        <f>(2.13)*10.764</f>
        <v>22.927319999999998</v>
      </c>
      <c r="F352" s="97">
        <f t="shared" si="31"/>
        <v>320.98248000000001</v>
      </c>
      <c r="G352" s="97">
        <v>0</v>
      </c>
      <c r="H352" s="97">
        <f t="shared" si="32"/>
        <v>465.42459600000001</v>
      </c>
      <c r="I352" s="33"/>
      <c r="L352" s="158"/>
      <c r="M352" s="158"/>
      <c r="N352" s="33"/>
      <c r="T352" s="18"/>
    </row>
    <row r="353" spans="1:20" s="96" customFormat="1" x14ac:dyDescent="0.25">
      <c r="A353" s="170" t="s">
        <v>409</v>
      </c>
      <c r="B353" s="171"/>
      <c r="C353" s="171"/>
      <c r="D353" s="171"/>
      <c r="E353" s="171"/>
      <c r="F353" s="171"/>
      <c r="G353" s="171"/>
      <c r="H353" s="172"/>
      <c r="J353" s="33"/>
    </row>
    <row r="354" spans="1:20" s="96" customFormat="1" ht="15.75" customHeight="1" x14ac:dyDescent="0.25">
      <c r="A354" s="156">
        <v>1</v>
      </c>
      <c r="B354" s="157"/>
      <c r="C354" s="104" t="s">
        <v>416</v>
      </c>
      <c r="D354" s="103">
        <f>(42.99)*10.764</f>
        <v>462.74435999999997</v>
      </c>
      <c r="E354" s="103">
        <f>(2.13)*10.764</f>
        <v>22.927319999999998</v>
      </c>
      <c r="F354" s="97">
        <f>D354+E354</f>
        <v>485.67167999999998</v>
      </c>
      <c r="G354" s="99">
        <f t="shared" ref="G354:G355" si="34">(3.9*2.9+5.25*1.1+4.55*1.1+3.9*1+3.2*1.95)*10.764</f>
        <v>346.92371999999995</v>
      </c>
      <c r="H354" s="97">
        <f>F354*(($H$262)+1)+(IF(G354&lt;101,G354,IF(G354&lt;201,G354/2,IF(G354&lt;=301,G354/3,G354/4))))</f>
        <v>790.95486599999992</v>
      </c>
      <c r="I354" s="33"/>
      <c r="L354" s="158"/>
      <c r="M354" s="158"/>
      <c r="N354" s="33"/>
    </row>
    <row r="355" spans="1:20" s="96" customFormat="1" ht="15.75" customHeight="1" x14ac:dyDescent="0.25">
      <c r="A355" s="156">
        <f>A354+1</f>
        <v>2</v>
      </c>
      <c r="B355" s="157"/>
      <c r="C355" s="104" t="s">
        <v>416</v>
      </c>
      <c r="D355" s="103">
        <f>(42.99)*10.764</f>
        <v>462.74435999999997</v>
      </c>
      <c r="E355" s="103">
        <f>(2.13)*10.764</f>
        <v>22.927319999999998</v>
      </c>
      <c r="F355" s="97">
        <f>D355+E355</f>
        <v>485.67167999999998</v>
      </c>
      <c r="G355" s="99">
        <f t="shared" si="34"/>
        <v>346.92371999999995</v>
      </c>
      <c r="H355" s="97">
        <f>F355*(($H$262)+1)+(IF(G355&lt;101,G355,IF(G355&lt;201,G355/2,IF(G355&lt;=301,G355/3,G355/4))))</f>
        <v>790.95486599999992</v>
      </c>
      <c r="I355" s="33"/>
      <c r="L355" s="158"/>
      <c r="M355" s="158"/>
      <c r="N355" s="33"/>
    </row>
    <row r="356" spans="1:20" s="96" customFormat="1" ht="15.75" customHeight="1" x14ac:dyDescent="0.25">
      <c r="A356" s="156">
        <f>A355+1</f>
        <v>3</v>
      </c>
      <c r="B356" s="157"/>
      <c r="C356" s="97" t="s">
        <v>407</v>
      </c>
      <c r="D356" s="103">
        <f>(27.73)*10.764</f>
        <v>298.48572000000001</v>
      </c>
      <c r="E356" s="103">
        <f>(2.13)*10.764</f>
        <v>22.927319999999998</v>
      </c>
      <c r="F356" s="97">
        <f>D356+E356</f>
        <v>321.41304000000002</v>
      </c>
      <c r="G356" s="99">
        <f>(3.81*2.85+4.95*2.2+4.7*1+2.5*1.85)*10.764</f>
        <v>334.47515399999997</v>
      </c>
      <c r="H356" s="97">
        <f>F356*(($H$262)+1)+(IF(G356&lt;101,G356,IF(G356&lt;201,G356/2,IF(G356&lt;=301,G356/3,G356/4))))</f>
        <v>549.66769650000003</v>
      </c>
      <c r="I356" s="33"/>
      <c r="L356" s="158"/>
      <c r="M356" s="158"/>
      <c r="N356" s="33"/>
    </row>
    <row r="357" spans="1:20" s="96" customFormat="1" ht="15.75" customHeight="1" x14ac:dyDescent="0.25">
      <c r="A357" s="156">
        <f>A356+1</f>
        <v>4</v>
      </c>
      <c r="B357" s="157"/>
      <c r="C357" s="97" t="s">
        <v>407</v>
      </c>
      <c r="D357" s="103">
        <f>(27.73)*10.764</f>
        <v>298.48572000000001</v>
      </c>
      <c r="E357" s="103">
        <f>(2.13)*10.764</f>
        <v>22.927319999999998</v>
      </c>
      <c r="F357" s="97">
        <f>D357+E357</f>
        <v>321.41304000000002</v>
      </c>
      <c r="G357" s="99">
        <f>(2.8*3.81+1*5.1+0.8*4.4+1.2*3.8+1.85*2.65)*10.764</f>
        <v>309.47038199999997</v>
      </c>
      <c r="H357" s="97">
        <f>F357*(($H$262)+1)+(IF(G357&lt;101,G357,IF(G357&lt;201,G357/2,IF(G357&lt;=301,G357/3,G357/4))))</f>
        <v>543.41650350000009</v>
      </c>
      <c r="I357" s="33"/>
      <c r="L357" s="158"/>
      <c r="M357" s="158"/>
      <c r="N357" s="33"/>
      <c r="T357" s="18"/>
    </row>
    <row r="358" spans="1:20" s="105" customFormat="1" x14ac:dyDescent="0.25">
      <c r="A358" s="288" t="s">
        <v>414</v>
      </c>
      <c r="B358" s="288"/>
      <c r="C358" s="288"/>
      <c r="D358" s="288"/>
      <c r="E358" s="288"/>
      <c r="F358" s="288"/>
      <c r="G358" s="289"/>
      <c r="H358" s="288"/>
    </row>
    <row r="359" spans="1:20" s="34" customFormat="1" x14ac:dyDescent="0.25">
      <c r="A359" s="177" t="s">
        <v>406</v>
      </c>
      <c r="B359" s="178"/>
      <c r="C359" s="178"/>
      <c r="D359" s="178"/>
      <c r="E359" s="178"/>
      <c r="F359" s="178"/>
      <c r="G359" s="178"/>
      <c r="H359" s="179"/>
      <c r="J359" s="33"/>
    </row>
    <row r="360" spans="1:20" s="34" customFormat="1" ht="15.75" customHeight="1" x14ac:dyDescent="0.25">
      <c r="A360" s="156">
        <v>1</v>
      </c>
      <c r="B360" s="157"/>
      <c r="C360" s="104" t="s">
        <v>416</v>
      </c>
      <c r="D360" s="103">
        <f>(42.99)*10.764</f>
        <v>462.74435999999997</v>
      </c>
      <c r="E360" s="103">
        <f>(2.13)*10.764</f>
        <v>22.927319999999998</v>
      </c>
      <c r="F360" s="39">
        <f t="shared" ref="F360:F368" si="35">D360+E360</f>
        <v>485.67167999999998</v>
      </c>
      <c r="G360" s="103">
        <v>0</v>
      </c>
      <c r="H360" s="49">
        <f t="shared" ref="H360:H368" si="36">F360*(($H$262)+1)+(IF(G360&lt;101,G360,IF(G360&lt;201,G360/2,IF(G360&lt;=301,G360/3,G360/4))))</f>
        <v>704.22393599999998</v>
      </c>
      <c r="I360" s="33"/>
      <c r="L360" s="158"/>
      <c r="M360" s="158"/>
      <c r="N360" s="33"/>
    </row>
    <row r="361" spans="1:20" s="34" customFormat="1" ht="15.75" customHeight="1" x14ac:dyDescent="0.25">
      <c r="A361" s="156">
        <f t="shared" ref="A361:A368" si="37">A360+1</f>
        <v>2</v>
      </c>
      <c r="B361" s="157"/>
      <c r="C361" s="39" t="s">
        <v>407</v>
      </c>
      <c r="D361" s="103">
        <f>(28.74)*10.764</f>
        <v>309.35735999999997</v>
      </c>
      <c r="E361" s="103">
        <f>(2.13)*10.764</f>
        <v>22.927319999999998</v>
      </c>
      <c r="F361" s="49">
        <f t="shared" si="35"/>
        <v>332.28467999999998</v>
      </c>
      <c r="G361" s="103">
        <v>0</v>
      </c>
      <c r="H361" s="49">
        <f t="shared" si="36"/>
        <v>481.81278599999996</v>
      </c>
      <c r="I361" s="33"/>
      <c r="L361" s="158"/>
      <c r="M361" s="158"/>
      <c r="N361" s="33"/>
    </row>
    <row r="362" spans="1:20" s="34" customFormat="1" ht="15.75" customHeight="1" x14ac:dyDescent="0.25">
      <c r="A362" s="156">
        <f t="shared" si="37"/>
        <v>3</v>
      </c>
      <c r="B362" s="157"/>
      <c r="C362" s="39" t="s">
        <v>407</v>
      </c>
      <c r="D362" s="103">
        <f>(28.74)*10.764</f>
        <v>309.35735999999997</v>
      </c>
      <c r="E362" s="103">
        <f>(2.13)*10.764</f>
        <v>22.927319999999998</v>
      </c>
      <c r="F362" s="49">
        <f t="shared" si="35"/>
        <v>332.28467999999998</v>
      </c>
      <c r="G362" s="103">
        <f>(2.74*1.65+0.3*2.43+0.9*2.94+1.98*1.35+0.6*1.82)*10.764</f>
        <v>125.51900399999998</v>
      </c>
      <c r="H362" s="49">
        <f t="shared" si="36"/>
        <v>544.57228799999996</v>
      </c>
      <c r="I362" s="33"/>
      <c r="L362" s="158"/>
      <c r="M362" s="158"/>
      <c r="N362" s="33"/>
    </row>
    <row r="363" spans="1:20" s="34" customFormat="1" ht="15.75" customHeight="1" x14ac:dyDescent="0.25">
      <c r="A363" s="156">
        <f t="shared" si="37"/>
        <v>4</v>
      </c>
      <c r="B363" s="157"/>
      <c r="C363" s="104" t="s">
        <v>416</v>
      </c>
      <c r="D363" s="103">
        <f>(42.99)*10.764</f>
        <v>462.74435999999997</v>
      </c>
      <c r="E363" s="103">
        <f>(2.13)*10.764</f>
        <v>22.927319999999998</v>
      </c>
      <c r="F363" s="49">
        <f t="shared" si="35"/>
        <v>485.67167999999998</v>
      </c>
      <c r="G363" s="103">
        <f>(2.74*1.1+0.3*2.74)*10.764</f>
        <v>41.290704000000005</v>
      </c>
      <c r="H363" s="49">
        <f t="shared" si="36"/>
        <v>745.51463999999999</v>
      </c>
      <c r="I363" s="33"/>
      <c r="L363" s="158"/>
      <c r="M363" s="158"/>
      <c r="N363" s="33"/>
      <c r="T363" s="18"/>
    </row>
    <row r="364" spans="1:20" s="96" customFormat="1" ht="15.75" customHeight="1" x14ac:dyDescent="0.25">
      <c r="A364" s="156">
        <f t="shared" si="37"/>
        <v>5</v>
      </c>
      <c r="B364" s="157"/>
      <c r="C364" s="97" t="s">
        <v>407</v>
      </c>
      <c r="D364" s="103">
        <f>(27.73)*10.764</f>
        <v>298.48572000000001</v>
      </c>
      <c r="E364" s="103">
        <f>(2.13)*10.764</f>
        <v>22.927319999999998</v>
      </c>
      <c r="F364" s="97">
        <f t="shared" si="35"/>
        <v>321.41304000000002</v>
      </c>
      <c r="G364" s="103">
        <f>(2.74*1.9+0.3*2.43+0.6*2.74)*10.764</f>
        <v>81.580355999999995</v>
      </c>
      <c r="H364" s="97">
        <f t="shared" si="36"/>
        <v>547.62926400000003</v>
      </c>
      <c r="I364" s="33"/>
      <c r="L364" s="158"/>
      <c r="M364" s="158"/>
      <c r="N364" s="33"/>
    </row>
    <row r="365" spans="1:20" s="96" customFormat="1" ht="15.75" customHeight="1" x14ac:dyDescent="0.25">
      <c r="A365" s="156">
        <f t="shared" si="37"/>
        <v>6</v>
      </c>
      <c r="B365" s="157"/>
      <c r="C365" s="97" t="s">
        <v>407</v>
      </c>
      <c r="D365" s="103">
        <f>(28.94)*10.764</f>
        <v>311.51015999999998</v>
      </c>
      <c r="E365" s="103">
        <f>(1.98)*10.764</f>
        <v>21.312719999999999</v>
      </c>
      <c r="F365" s="97">
        <f t="shared" si="35"/>
        <v>332.82288</v>
      </c>
      <c r="G365" s="103">
        <f>(2.74*1.9+0.5*2.58+0.9*2.74+1.98*1.8)*10.764</f>
        <v>134.82986399999999</v>
      </c>
      <c r="H365" s="97">
        <f t="shared" si="36"/>
        <v>550.00810799999999</v>
      </c>
      <c r="I365" s="33"/>
      <c r="L365" s="158"/>
      <c r="M365" s="158"/>
      <c r="N365" s="33"/>
    </row>
    <row r="366" spans="1:20" s="96" customFormat="1" ht="15.75" customHeight="1" x14ac:dyDescent="0.25">
      <c r="A366" s="156">
        <f t="shared" si="37"/>
        <v>7</v>
      </c>
      <c r="B366" s="157"/>
      <c r="C366" s="97" t="s">
        <v>407</v>
      </c>
      <c r="D366" s="103">
        <f>(27.73)*10.764</f>
        <v>298.48572000000001</v>
      </c>
      <c r="E366" s="103">
        <f>(2.13)*10.764</f>
        <v>22.927319999999998</v>
      </c>
      <c r="F366" s="97">
        <f t="shared" si="35"/>
        <v>321.41304000000002</v>
      </c>
      <c r="G366" s="103">
        <v>0</v>
      </c>
      <c r="H366" s="97">
        <f t="shared" si="36"/>
        <v>466.04890800000004</v>
      </c>
      <c r="I366" s="33"/>
      <c r="L366" s="158"/>
      <c r="M366" s="158"/>
      <c r="N366" s="33"/>
      <c r="T366" s="18"/>
    </row>
    <row r="367" spans="1:20" s="96" customFormat="1" ht="15.75" customHeight="1" x14ac:dyDescent="0.25">
      <c r="A367" s="156">
        <f t="shared" si="37"/>
        <v>8</v>
      </c>
      <c r="B367" s="157"/>
      <c r="C367" s="97" t="s">
        <v>407</v>
      </c>
      <c r="D367" s="103">
        <f>(27.69)*10.764</f>
        <v>298.05516</v>
      </c>
      <c r="E367" s="103">
        <f>(2.13)*10.764</f>
        <v>22.927319999999998</v>
      </c>
      <c r="F367" s="97">
        <f t="shared" si="35"/>
        <v>320.98248000000001</v>
      </c>
      <c r="G367" s="103">
        <v>0</v>
      </c>
      <c r="H367" s="97">
        <f t="shared" si="36"/>
        <v>465.42459600000001</v>
      </c>
      <c r="I367" s="33"/>
      <c r="L367" s="158"/>
      <c r="M367" s="158"/>
      <c r="N367" s="33"/>
    </row>
    <row r="368" spans="1:20" s="96" customFormat="1" ht="15.75" customHeight="1" x14ac:dyDescent="0.25">
      <c r="A368" s="156">
        <f t="shared" si="37"/>
        <v>9</v>
      </c>
      <c r="B368" s="157"/>
      <c r="C368" s="97" t="s">
        <v>407</v>
      </c>
      <c r="D368" s="103">
        <f>(27.69)*10.764</f>
        <v>298.05516</v>
      </c>
      <c r="E368" s="103">
        <f>(2.13)*10.764</f>
        <v>22.927319999999998</v>
      </c>
      <c r="F368" s="97">
        <f t="shared" si="35"/>
        <v>320.98248000000001</v>
      </c>
      <c r="G368" s="103">
        <v>0</v>
      </c>
      <c r="H368" s="97">
        <f t="shared" si="36"/>
        <v>465.42459600000001</v>
      </c>
      <c r="I368" s="33"/>
      <c r="L368" s="158"/>
      <c r="M368" s="158"/>
      <c r="N368" s="33"/>
      <c r="T368" s="18"/>
    </row>
    <row r="369" spans="1:20" s="96" customFormat="1" x14ac:dyDescent="0.25">
      <c r="A369" s="177" t="s">
        <v>408</v>
      </c>
      <c r="B369" s="178"/>
      <c r="C369" s="178"/>
      <c r="D369" s="178"/>
      <c r="E369" s="178"/>
      <c r="F369" s="178"/>
      <c r="G369" s="178"/>
      <c r="H369" s="179"/>
      <c r="J369" s="33"/>
    </row>
    <row r="370" spans="1:20" s="96" customFormat="1" ht="15.75" customHeight="1" x14ac:dyDescent="0.25">
      <c r="A370" s="156">
        <v>1</v>
      </c>
      <c r="B370" s="157"/>
      <c r="C370" s="104" t="s">
        <v>416</v>
      </c>
      <c r="D370" s="103">
        <f>(42.99)*10.764</f>
        <v>462.74435999999997</v>
      </c>
      <c r="E370" s="103">
        <f>(2.13)*10.764</f>
        <v>22.927319999999998</v>
      </c>
      <c r="F370" s="97">
        <f t="shared" ref="F370:F378" si="38">D370+E370</f>
        <v>485.67167999999998</v>
      </c>
      <c r="G370" s="103">
        <v>0</v>
      </c>
      <c r="H370" s="97">
        <f t="shared" ref="H370:H378" si="39">F370*(($H$262)+1)+(IF(G370&lt;101,G370,IF(G370&lt;201,G370/2,IF(G370&lt;=301,G370/3,G370/4))))</f>
        <v>704.22393599999998</v>
      </c>
      <c r="I370" s="33"/>
      <c r="L370" s="158"/>
      <c r="M370" s="158"/>
      <c r="N370" s="33"/>
    </row>
    <row r="371" spans="1:20" s="96" customFormat="1" ht="15.75" customHeight="1" x14ac:dyDescent="0.25">
      <c r="A371" s="156">
        <f t="shared" ref="A371:A378" si="40">A370+1</f>
        <v>2</v>
      </c>
      <c r="B371" s="157"/>
      <c r="C371" s="97" t="s">
        <v>407</v>
      </c>
      <c r="D371" s="103">
        <f>(28.74)*10.764</f>
        <v>309.35735999999997</v>
      </c>
      <c r="E371" s="103">
        <f>(2.13)*10.764</f>
        <v>22.927319999999998</v>
      </c>
      <c r="F371" s="97">
        <f t="shared" si="38"/>
        <v>332.28467999999998</v>
      </c>
      <c r="G371" s="103">
        <v>0</v>
      </c>
      <c r="H371" s="97">
        <f t="shared" si="39"/>
        <v>481.81278599999996</v>
      </c>
      <c r="I371" s="33"/>
      <c r="L371" s="158"/>
      <c r="M371" s="158"/>
      <c r="N371" s="33"/>
    </row>
    <row r="372" spans="1:20" s="96" customFormat="1" ht="15.75" customHeight="1" x14ac:dyDescent="0.25">
      <c r="A372" s="156">
        <f t="shared" si="40"/>
        <v>3</v>
      </c>
      <c r="B372" s="157"/>
      <c r="C372" s="97" t="s">
        <v>407</v>
      </c>
      <c r="D372" s="103">
        <f>(28.74)*10.764</f>
        <v>309.35735999999997</v>
      </c>
      <c r="E372" s="103">
        <f>(2.13)*10.764</f>
        <v>22.927319999999998</v>
      </c>
      <c r="F372" s="97">
        <f t="shared" si="38"/>
        <v>332.28467999999998</v>
      </c>
      <c r="G372" s="103">
        <v>0</v>
      </c>
      <c r="H372" s="97">
        <f t="shared" si="39"/>
        <v>481.81278599999996</v>
      </c>
      <c r="I372" s="33"/>
      <c r="L372" s="158"/>
      <c r="M372" s="158"/>
      <c r="N372" s="33"/>
    </row>
    <row r="373" spans="1:20" s="96" customFormat="1" ht="15.75" customHeight="1" x14ac:dyDescent="0.25">
      <c r="A373" s="156">
        <f t="shared" si="40"/>
        <v>4</v>
      </c>
      <c r="B373" s="157"/>
      <c r="C373" s="104" t="s">
        <v>416</v>
      </c>
      <c r="D373" s="103">
        <f>(42.99)*10.764</f>
        <v>462.74435999999997</v>
      </c>
      <c r="E373" s="103">
        <f>(2.13)*10.764</f>
        <v>22.927319999999998</v>
      </c>
      <c r="F373" s="97">
        <f t="shared" si="38"/>
        <v>485.67167999999998</v>
      </c>
      <c r="G373" s="103">
        <v>0</v>
      </c>
      <c r="H373" s="97">
        <f t="shared" si="39"/>
        <v>704.22393599999998</v>
      </c>
      <c r="I373" s="33"/>
      <c r="L373" s="158"/>
      <c r="M373" s="158"/>
      <c r="N373" s="33"/>
      <c r="T373" s="18"/>
    </row>
    <row r="374" spans="1:20" s="96" customFormat="1" ht="15.75" customHeight="1" x14ac:dyDescent="0.25">
      <c r="A374" s="156">
        <f t="shared" si="40"/>
        <v>5</v>
      </c>
      <c r="B374" s="157"/>
      <c r="C374" s="97" t="s">
        <v>407</v>
      </c>
      <c r="D374" s="103">
        <f>(27.73)*10.764</f>
        <v>298.48572000000001</v>
      </c>
      <c r="E374" s="103">
        <f>(2.13)*10.764</f>
        <v>22.927319999999998</v>
      </c>
      <c r="F374" s="97">
        <f t="shared" si="38"/>
        <v>321.41304000000002</v>
      </c>
      <c r="G374" s="103">
        <v>0</v>
      </c>
      <c r="H374" s="97">
        <f t="shared" si="39"/>
        <v>466.04890800000004</v>
      </c>
      <c r="I374" s="33"/>
      <c r="L374" s="158"/>
      <c r="M374" s="158"/>
      <c r="N374" s="33"/>
    </row>
    <row r="375" spans="1:20" s="96" customFormat="1" ht="15.75" customHeight="1" x14ac:dyDescent="0.25">
      <c r="A375" s="156">
        <f t="shared" si="40"/>
        <v>6</v>
      </c>
      <c r="B375" s="157"/>
      <c r="C375" s="97" t="s">
        <v>407</v>
      </c>
      <c r="D375" s="103">
        <f>(28.94)*10.764</f>
        <v>311.51015999999998</v>
      </c>
      <c r="E375" s="103">
        <f>(1.98)*10.764</f>
        <v>21.312719999999999</v>
      </c>
      <c r="F375" s="97">
        <f t="shared" si="38"/>
        <v>332.82288</v>
      </c>
      <c r="G375" s="103">
        <v>0</v>
      </c>
      <c r="H375" s="97">
        <f t="shared" si="39"/>
        <v>482.59317599999997</v>
      </c>
      <c r="I375" s="33"/>
      <c r="L375" s="158"/>
      <c r="M375" s="158"/>
      <c r="N375" s="33"/>
    </row>
    <row r="376" spans="1:20" s="96" customFormat="1" ht="15.75" customHeight="1" x14ac:dyDescent="0.25">
      <c r="A376" s="156">
        <f t="shared" si="40"/>
        <v>7</v>
      </c>
      <c r="B376" s="157"/>
      <c r="C376" s="97" t="s">
        <v>407</v>
      </c>
      <c r="D376" s="103">
        <f>(27.73)*10.764</f>
        <v>298.48572000000001</v>
      </c>
      <c r="E376" s="103">
        <f>(2.13)*10.764</f>
        <v>22.927319999999998</v>
      </c>
      <c r="F376" s="97">
        <f t="shared" si="38"/>
        <v>321.41304000000002</v>
      </c>
      <c r="G376" s="103">
        <v>0</v>
      </c>
      <c r="H376" s="97">
        <f t="shared" si="39"/>
        <v>466.04890800000004</v>
      </c>
      <c r="I376" s="33"/>
      <c r="L376" s="158"/>
      <c r="M376" s="158"/>
      <c r="N376" s="33"/>
      <c r="T376" s="18"/>
    </row>
    <row r="377" spans="1:20" s="96" customFormat="1" ht="15.75" customHeight="1" x14ac:dyDescent="0.25">
      <c r="A377" s="156">
        <f t="shared" si="40"/>
        <v>8</v>
      </c>
      <c r="B377" s="157"/>
      <c r="C377" s="97" t="s">
        <v>407</v>
      </c>
      <c r="D377" s="103">
        <f>(27.69)*10.764</f>
        <v>298.05516</v>
      </c>
      <c r="E377" s="103">
        <f>(2.13)*10.764</f>
        <v>22.927319999999998</v>
      </c>
      <c r="F377" s="97">
        <f t="shared" si="38"/>
        <v>320.98248000000001</v>
      </c>
      <c r="G377" s="103">
        <v>0</v>
      </c>
      <c r="H377" s="97">
        <f t="shared" si="39"/>
        <v>465.42459600000001</v>
      </c>
      <c r="I377" s="33"/>
      <c r="L377" s="158"/>
      <c r="M377" s="158"/>
      <c r="N377" s="33"/>
    </row>
    <row r="378" spans="1:20" s="96" customFormat="1" ht="15.75" customHeight="1" x14ac:dyDescent="0.25">
      <c r="A378" s="156">
        <f t="shared" si="40"/>
        <v>9</v>
      </c>
      <c r="B378" s="157"/>
      <c r="C378" s="97" t="s">
        <v>407</v>
      </c>
      <c r="D378" s="103">
        <f>(27.69)*10.764</f>
        <v>298.05516</v>
      </c>
      <c r="E378" s="103">
        <f>(2.13)*10.764</f>
        <v>22.927319999999998</v>
      </c>
      <c r="F378" s="97">
        <f t="shared" si="38"/>
        <v>320.98248000000001</v>
      </c>
      <c r="G378" s="103">
        <v>0</v>
      </c>
      <c r="H378" s="97">
        <f t="shared" si="39"/>
        <v>465.42459600000001</v>
      </c>
      <c r="I378" s="33"/>
      <c r="L378" s="158"/>
      <c r="M378" s="158"/>
      <c r="N378" s="33"/>
      <c r="T378" s="18"/>
    </row>
    <row r="379" spans="1:20" s="100" customFormat="1" x14ac:dyDescent="0.25">
      <c r="A379" s="177" t="s">
        <v>409</v>
      </c>
      <c r="B379" s="178"/>
      <c r="C379" s="178"/>
      <c r="D379" s="178"/>
      <c r="E379" s="178"/>
      <c r="F379" s="178"/>
      <c r="G379" s="178"/>
      <c r="H379" s="179"/>
      <c r="J379" s="33"/>
    </row>
    <row r="380" spans="1:20" s="100" customFormat="1" ht="15.75" customHeight="1" x14ac:dyDescent="0.25">
      <c r="A380" s="156">
        <v>1</v>
      </c>
      <c r="B380" s="157"/>
      <c r="C380" s="104" t="s">
        <v>416</v>
      </c>
      <c r="D380" s="103">
        <f>(42.99)*10.764</f>
        <v>462.74435999999997</v>
      </c>
      <c r="E380" s="103">
        <f>(2.13)*10.764</f>
        <v>22.927319999999998</v>
      </c>
      <c r="F380" s="99">
        <f t="shared" ref="F380:F383" si="41">D380+E380</f>
        <v>485.67167999999998</v>
      </c>
      <c r="G380" s="99">
        <f>(2.8*3.81+1*5.1+0.8*4.4+1.2*3.8+1.85*2.65)*10.764</f>
        <v>309.47038199999997</v>
      </c>
      <c r="H380" s="99">
        <f>F380*(($H$262)+1)+(IF(G380&lt;101,G380,IF(G380&lt;201,G380/2,IF(G380&lt;=301,G380/3,G380/4))))</f>
        <v>781.59153149999997</v>
      </c>
      <c r="I380" s="33"/>
      <c r="L380" s="158"/>
      <c r="M380" s="158"/>
      <c r="N380" s="33"/>
    </row>
    <row r="381" spans="1:20" s="100" customFormat="1" ht="15.75" customHeight="1" x14ac:dyDescent="0.25">
      <c r="A381" s="156">
        <f t="shared" ref="A381:A383" si="42">A380+1</f>
        <v>2</v>
      </c>
      <c r="B381" s="157"/>
      <c r="C381" s="104" t="s">
        <v>416</v>
      </c>
      <c r="D381" s="103">
        <f>(42.99)*10.764</f>
        <v>462.74435999999997</v>
      </c>
      <c r="E381" s="103">
        <f>(2.13)*10.764</f>
        <v>22.927319999999998</v>
      </c>
      <c r="F381" s="99">
        <f t="shared" si="41"/>
        <v>485.67167999999998</v>
      </c>
      <c r="G381" s="99">
        <f>(2.8*3.81+1*5.1+0.8*4.4+1.2*3.8+1.85*2.65)*10.764</f>
        <v>309.47038199999997</v>
      </c>
      <c r="H381" s="99">
        <f>F381*(($H$262)+1)+(IF(G381&lt;101,G381,IF(G381&lt;201,G381/2,IF(G381&lt;=301,G381/3,G381/4))))</f>
        <v>781.59153149999997</v>
      </c>
      <c r="I381" s="33"/>
      <c r="L381" s="158"/>
      <c r="M381" s="158"/>
      <c r="N381" s="33"/>
    </row>
    <row r="382" spans="1:20" s="100" customFormat="1" ht="15.75" customHeight="1" x14ac:dyDescent="0.25">
      <c r="A382" s="156">
        <f t="shared" si="42"/>
        <v>3</v>
      </c>
      <c r="B382" s="157"/>
      <c r="C382" s="99" t="s">
        <v>407</v>
      </c>
      <c r="D382" s="103">
        <f>(27.73)*10.764</f>
        <v>298.48572000000001</v>
      </c>
      <c r="E382" s="103">
        <f>(2.13)*10.764</f>
        <v>22.927319999999998</v>
      </c>
      <c r="F382" s="99">
        <f t="shared" si="41"/>
        <v>321.41304000000002</v>
      </c>
      <c r="G382" s="57">
        <f>(30.92)*10.764</f>
        <v>332.82288</v>
      </c>
      <c r="H382" s="99">
        <f>F382*(($H$262)+1)+(IF(G382&lt;101,G382,IF(G382&lt;201,G382/2,IF(G382&lt;=301,G382/3,G382/4))))</f>
        <v>549.25462800000003</v>
      </c>
      <c r="I382" s="33"/>
      <c r="L382" s="158"/>
      <c r="M382" s="158"/>
      <c r="N382" s="33"/>
    </row>
    <row r="383" spans="1:20" s="100" customFormat="1" ht="15.75" customHeight="1" x14ac:dyDescent="0.25">
      <c r="A383" s="156">
        <f t="shared" si="42"/>
        <v>4</v>
      </c>
      <c r="B383" s="157"/>
      <c r="C383" s="99" t="s">
        <v>407</v>
      </c>
      <c r="D383" s="103">
        <f>(27.73)*10.764</f>
        <v>298.48572000000001</v>
      </c>
      <c r="E383" s="103">
        <f>(2.13)*10.764</f>
        <v>22.927319999999998</v>
      </c>
      <c r="F383" s="99">
        <f t="shared" si="41"/>
        <v>321.41304000000002</v>
      </c>
      <c r="G383" s="57">
        <f>(29.82)*10.764</f>
        <v>320.98248000000001</v>
      </c>
      <c r="H383" s="99">
        <f>F383*(($H$262)+1)+(IF(G383&lt;101,G383,IF(G383&lt;201,G383/2,IF(G383&lt;=301,G383/3,G383/4))))</f>
        <v>546.29452800000001</v>
      </c>
      <c r="I383" s="33"/>
      <c r="L383" s="158"/>
      <c r="M383" s="158"/>
      <c r="N383" s="33"/>
      <c r="T383" s="18"/>
    </row>
    <row r="384" spans="1:20" s="105" customFormat="1" ht="15" customHeight="1" x14ac:dyDescent="0.25">
      <c r="A384" s="173" t="s">
        <v>415</v>
      </c>
      <c r="B384" s="173"/>
      <c r="C384" s="173"/>
      <c r="D384" s="173"/>
      <c r="E384" s="173"/>
      <c r="F384" s="173"/>
      <c r="G384" s="174"/>
      <c r="H384" s="173"/>
    </row>
    <row r="385" spans="1:20" s="106" customFormat="1" x14ac:dyDescent="0.25">
      <c r="A385" s="175" t="s">
        <v>412</v>
      </c>
      <c r="B385" s="175"/>
      <c r="C385" s="175"/>
      <c r="D385" s="175"/>
      <c r="E385" s="175"/>
      <c r="F385" s="175"/>
      <c r="G385" s="176"/>
      <c r="H385" s="175"/>
    </row>
    <row r="386" spans="1:20" s="100" customFormat="1" x14ac:dyDescent="0.25">
      <c r="A386" s="177" t="s">
        <v>413</v>
      </c>
      <c r="B386" s="178"/>
      <c r="C386" s="178"/>
      <c r="D386" s="178"/>
      <c r="E386" s="178"/>
      <c r="F386" s="178"/>
      <c r="G386" s="178"/>
      <c r="H386" s="179"/>
      <c r="J386" s="33"/>
    </row>
    <row r="387" spans="1:20" s="100" customFormat="1" ht="15.75" customHeight="1" x14ac:dyDescent="0.25">
      <c r="A387" s="156">
        <v>1</v>
      </c>
      <c r="B387" s="157"/>
      <c r="C387" s="104" t="s">
        <v>407</v>
      </c>
      <c r="D387" s="103">
        <f>(27.69)*10.764</f>
        <v>298.05516</v>
      </c>
      <c r="E387" s="103">
        <f>(2.13)*10.764</f>
        <v>22.927319999999998</v>
      </c>
      <c r="F387" s="99">
        <f t="shared" ref="F387:F395" si="43">D387+E387</f>
        <v>320.98248000000001</v>
      </c>
      <c r="G387" s="103">
        <v>0</v>
      </c>
      <c r="H387" s="99">
        <f t="shared" ref="H387:H395" si="44">F387*(($H$262)+1)+(IF(G387&lt;101,G387,IF(G387&lt;201,G387/2,IF(G387&lt;=301,G387/3,G387/4))))</f>
        <v>465.42459600000001</v>
      </c>
      <c r="I387" s="33"/>
      <c r="L387" s="158"/>
      <c r="M387" s="158"/>
      <c r="N387" s="33"/>
    </row>
    <row r="388" spans="1:20" s="100" customFormat="1" ht="15.75" customHeight="1" x14ac:dyDescent="0.25">
      <c r="A388" s="156">
        <f t="shared" ref="A388:A395" si="45">A387+1</f>
        <v>2</v>
      </c>
      <c r="B388" s="157"/>
      <c r="C388" s="104" t="s">
        <v>407</v>
      </c>
      <c r="D388" s="103">
        <f>(27.69)*10.764</f>
        <v>298.05516</v>
      </c>
      <c r="E388" s="103">
        <f>(2.13)*10.764</f>
        <v>22.927319999999998</v>
      </c>
      <c r="F388" s="99">
        <f t="shared" si="43"/>
        <v>320.98248000000001</v>
      </c>
      <c r="G388" s="103">
        <v>0</v>
      </c>
      <c r="H388" s="99">
        <f t="shared" si="44"/>
        <v>465.42459600000001</v>
      </c>
      <c r="I388" s="33"/>
      <c r="L388" s="158"/>
      <c r="M388" s="158"/>
      <c r="N388" s="33"/>
    </row>
    <row r="389" spans="1:20" s="100" customFormat="1" ht="15.75" customHeight="1" x14ac:dyDescent="0.25">
      <c r="A389" s="156">
        <f t="shared" si="45"/>
        <v>3</v>
      </c>
      <c r="B389" s="157"/>
      <c r="C389" s="104" t="s">
        <v>407</v>
      </c>
      <c r="D389" s="103">
        <f>(27.73)*10.764</f>
        <v>298.48572000000001</v>
      </c>
      <c r="E389" s="103">
        <f>(2.13)*10.764</f>
        <v>22.927319999999998</v>
      </c>
      <c r="F389" s="99">
        <f t="shared" si="43"/>
        <v>321.41304000000002</v>
      </c>
      <c r="G389" s="103">
        <v>0</v>
      </c>
      <c r="H389" s="99">
        <f t="shared" si="44"/>
        <v>466.04890800000004</v>
      </c>
      <c r="I389" s="33"/>
      <c r="L389" s="158"/>
      <c r="M389" s="158"/>
      <c r="N389" s="33"/>
    </row>
    <row r="390" spans="1:20" s="100" customFormat="1" ht="15.75" customHeight="1" x14ac:dyDescent="0.25">
      <c r="A390" s="156">
        <f t="shared" si="45"/>
        <v>4</v>
      </c>
      <c r="B390" s="157"/>
      <c r="C390" s="104" t="s">
        <v>407</v>
      </c>
      <c r="D390" s="103">
        <f>(28.94)*10.764</f>
        <v>311.51015999999998</v>
      </c>
      <c r="E390" s="103">
        <f>(1.98)*10.764</f>
        <v>21.312719999999999</v>
      </c>
      <c r="F390" s="99">
        <f t="shared" si="43"/>
        <v>332.82288</v>
      </c>
      <c r="G390" s="103">
        <v>0</v>
      </c>
      <c r="H390" s="99">
        <f t="shared" si="44"/>
        <v>482.59317599999997</v>
      </c>
      <c r="I390" s="33"/>
      <c r="L390" s="158"/>
      <c r="M390" s="158"/>
      <c r="N390" s="33"/>
      <c r="T390" s="18"/>
    </row>
    <row r="391" spans="1:20" s="100" customFormat="1" ht="15.75" customHeight="1" x14ac:dyDescent="0.25">
      <c r="A391" s="156">
        <f t="shared" si="45"/>
        <v>5</v>
      </c>
      <c r="B391" s="157"/>
      <c r="C391" s="104" t="s">
        <v>407</v>
      </c>
      <c r="D391" s="103">
        <f>(27.73)*10.764</f>
        <v>298.48572000000001</v>
      </c>
      <c r="E391" s="103">
        <f>(2.13)*10.764</f>
        <v>22.927319999999998</v>
      </c>
      <c r="F391" s="99">
        <f t="shared" si="43"/>
        <v>321.41304000000002</v>
      </c>
      <c r="G391" s="103">
        <v>0</v>
      </c>
      <c r="H391" s="99">
        <f t="shared" si="44"/>
        <v>466.04890800000004</v>
      </c>
      <c r="I391" s="33"/>
      <c r="L391" s="158"/>
      <c r="M391" s="158"/>
      <c r="N391" s="33"/>
    </row>
    <row r="392" spans="1:20" s="100" customFormat="1" ht="15.75" customHeight="1" x14ac:dyDescent="0.25">
      <c r="A392" s="156">
        <f t="shared" si="45"/>
        <v>6</v>
      </c>
      <c r="B392" s="157"/>
      <c r="C392" s="104" t="s">
        <v>416</v>
      </c>
      <c r="D392" s="103">
        <f>(42.99)*10.764</f>
        <v>462.74435999999997</v>
      </c>
      <c r="E392" s="103">
        <f>(2.13)*10.764</f>
        <v>22.927319999999998</v>
      </c>
      <c r="F392" s="99">
        <f t="shared" si="43"/>
        <v>485.67167999999998</v>
      </c>
      <c r="G392" s="103">
        <v>0</v>
      </c>
      <c r="H392" s="99">
        <f t="shared" si="44"/>
        <v>704.22393599999998</v>
      </c>
      <c r="I392" s="33"/>
      <c r="L392" s="158"/>
      <c r="M392" s="158"/>
      <c r="N392" s="33"/>
    </row>
    <row r="393" spans="1:20" s="100" customFormat="1" ht="15.75" customHeight="1" x14ac:dyDescent="0.25">
      <c r="A393" s="156">
        <f t="shared" si="45"/>
        <v>7</v>
      </c>
      <c r="B393" s="157"/>
      <c r="C393" s="104" t="s">
        <v>407</v>
      </c>
      <c r="D393" s="103">
        <f>(28.74)*10.764</f>
        <v>309.35735999999997</v>
      </c>
      <c r="E393" s="103">
        <f>(2.13)*10.764</f>
        <v>22.927319999999998</v>
      </c>
      <c r="F393" s="99">
        <f t="shared" si="43"/>
        <v>332.28467999999998</v>
      </c>
      <c r="G393" s="103">
        <v>0</v>
      </c>
      <c r="H393" s="99">
        <f t="shared" si="44"/>
        <v>481.81278599999996</v>
      </c>
      <c r="I393" s="33"/>
      <c r="L393" s="158"/>
      <c r="M393" s="158"/>
      <c r="N393" s="33"/>
      <c r="T393" s="18"/>
    </row>
    <row r="394" spans="1:20" s="100" customFormat="1" ht="15.75" customHeight="1" x14ac:dyDescent="0.25">
      <c r="A394" s="156">
        <f t="shared" si="45"/>
        <v>8</v>
      </c>
      <c r="B394" s="157"/>
      <c r="C394" s="104" t="s">
        <v>407</v>
      </c>
      <c r="D394" s="103">
        <f>(28.74)*10.764</f>
        <v>309.35735999999997</v>
      </c>
      <c r="E394" s="103">
        <f>(2.13)*10.764</f>
        <v>22.927319999999998</v>
      </c>
      <c r="F394" s="99">
        <f t="shared" si="43"/>
        <v>332.28467999999998</v>
      </c>
      <c r="G394" s="103">
        <v>0</v>
      </c>
      <c r="H394" s="99">
        <f t="shared" si="44"/>
        <v>481.81278599999996</v>
      </c>
      <c r="I394" s="33"/>
      <c r="L394" s="158"/>
      <c r="M394" s="158"/>
      <c r="N394" s="33"/>
    </row>
    <row r="395" spans="1:20" s="100" customFormat="1" ht="15.75" customHeight="1" x14ac:dyDescent="0.25">
      <c r="A395" s="156">
        <f t="shared" si="45"/>
        <v>9</v>
      </c>
      <c r="B395" s="157"/>
      <c r="C395" s="104" t="s">
        <v>416</v>
      </c>
      <c r="D395" s="103">
        <f>(42.99)*10.764</f>
        <v>462.74435999999997</v>
      </c>
      <c r="E395" s="103">
        <f>(2.13)*10.764</f>
        <v>22.927319999999998</v>
      </c>
      <c r="F395" s="99">
        <f t="shared" si="43"/>
        <v>485.67167999999998</v>
      </c>
      <c r="G395" s="103">
        <v>0</v>
      </c>
      <c r="H395" s="99">
        <f t="shared" si="44"/>
        <v>704.22393599999998</v>
      </c>
      <c r="I395" s="33"/>
      <c r="L395" s="158"/>
      <c r="M395" s="158"/>
      <c r="N395" s="33"/>
      <c r="T395" s="18"/>
    </row>
    <row r="396" spans="1:20" s="100" customFormat="1" x14ac:dyDescent="0.25">
      <c r="A396" s="170" t="s">
        <v>409</v>
      </c>
      <c r="B396" s="171"/>
      <c r="C396" s="171"/>
      <c r="D396" s="171"/>
      <c r="E396" s="171"/>
      <c r="F396" s="171"/>
      <c r="G396" s="171"/>
      <c r="H396" s="172"/>
      <c r="J396" s="33"/>
    </row>
    <row r="397" spans="1:20" s="100" customFormat="1" ht="15.75" customHeight="1" x14ac:dyDescent="0.25">
      <c r="A397" s="156">
        <v>1</v>
      </c>
      <c r="B397" s="157"/>
      <c r="C397" s="104" t="s">
        <v>407</v>
      </c>
      <c r="D397" s="103">
        <f>(27.73)*10.764</f>
        <v>298.48572000000001</v>
      </c>
      <c r="E397" s="103">
        <f>(2.13)*10.764</f>
        <v>22.927319999999998</v>
      </c>
      <c r="F397" s="99">
        <f t="shared" ref="F397:F400" si="46">D397+E397</f>
        <v>321.41304000000002</v>
      </c>
      <c r="G397" s="99">
        <f>(2.8*3.81+1*5.1+0.8*4.4+1.2*3.8+1.85*2.65)*10.764</f>
        <v>309.47038199999997</v>
      </c>
      <c r="H397" s="99">
        <f t="shared" ref="H397:H400" si="47">F397*(($H$262)+1)+(IF(G397&lt;101,G397,IF(G397&lt;201,G397/2,IF(G397&lt;=301,G397/3,G397/4))))</f>
        <v>543.41650350000009</v>
      </c>
      <c r="I397" s="33"/>
      <c r="L397" s="158"/>
      <c r="M397" s="158"/>
      <c r="N397" s="33"/>
    </row>
    <row r="398" spans="1:20" s="100" customFormat="1" ht="15.75" customHeight="1" x14ac:dyDescent="0.25">
      <c r="A398" s="156">
        <f t="shared" ref="A398:A400" si="48">A397+1</f>
        <v>2</v>
      </c>
      <c r="B398" s="157"/>
      <c r="C398" s="104" t="s">
        <v>407</v>
      </c>
      <c r="D398" s="103">
        <f>(27.73)*10.764</f>
        <v>298.48572000000001</v>
      </c>
      <c r="E398" s="103">
        <f>(2.13)*10.764</f>
        <v>22.927319999999998</v>
      </c>
      <c r="F398" s="99">
        <f t="shared" si="46"/>
        <v>321.41304000000002</v>
      </c>
      <c r="G398" s="99">
        <f>(3.81*2.85+4.95*2.2+4.7*1+2.5*1.85)*10.764</f>
        <v>334.47515399999997</v>
      </c>
      <c r="H398" s="99">
        <f t="shared" si="47"/>
        <v>549.66769650000003</v>
      </c>
      <c r="I398" s="33"/>
      <c r="L398" s="158"/>
      <c r="M398" s="158"/>
      <c r="N398" s="33"/>
    </row>
    <row r="399" spans="1:20" s="100" customFormat="1" ht="15.75" customHeight="1" x14ac:dyDescent="0.25">
      <c r="A399" s="156">
        <f t="shared" si="48"/>
        <v>3</v>
      </c>
      <c r="B399" s="157"/>
      <c r="C399" s="104" t="s">
        <v>416</v>
      </c>
      <c r="D399" s="103">
        <f>(42.99)*10.764</f>
        <v>462.74435999999997</v>
      </c>
      <c r="E399" s="103">
        <f>(2.13)*10.764</f>
        <v>22.927319999999998</v>
      </c>
      <c r="F399" s="99">
        <f t="shared" si="46"/>
        <v>485.67167999999998</v>
      </c>
      <c r="G399" s="99">
        <f t="shared" ref="G399:G400" si="49">(2.8*3.81+1*5.1+0.8*4.4+1.2*3.8+1.85*2.65)*10.764</f>
        <v>309.47038199999997</v>
      </c>
      <c r="H399" s="99">
        <f t="shared" si="47"/>
        <v>781.59153149999997</v>
      </c>
      <c r="I399" s="33"/>
      <c r="L399" s="158"/>
      <c r="M399" s="158"/>
      <c r="N399" s="33"/>
    </row>
    <row r="400" spans="1:20" s="100" customFormat="1" ht="15.75" customHeight="1" x14ac:dyDescent="0.25">
      <c r="A400" s="156">
        <f t="shared" si="48"/>
        <v>4</v>
      </c>
      <c r="B400" s="157"/>
      <c r="C400" s="104" t="s">
        <v>416</v>
      </c>
      <c r="D400" s="103">
        <f>(42.99)*10.764</f>
        <v>462.74435999999997</v>
      </c>
      <c r="E400" s="103">
        <f>(2.13)*10.764</f>
        <v>22.927319999999998</v>
      </c>
      <c r="F400" s="99">
        <f t="shared" si="46"/>
        <v>485.67167999999998</v>
      </c>
      <c r="G400" s="99">
        <f t="shared" si="49"/>
        <v>309.47038199999997</v>
      </c>
      <c r="H400" s="99">
        <f t="shared" si="47"/>
        <v>781.59153149999997</v>
      </c>
      <c r="I400" s="33"/>
      <c r="L400" s="158"/>
      <c r="M400" s="158"/>
      <c r="N400" s="33"/>
      <c r="T400" s="18"/>
    </row>
    <row r="401" spans="1:14" s="34" customFormat="1" hidden="1" x14ac:dyDescent="0.25">
      <c r="A401" s="229" t="s">
        <v>115</v>
      </c>
      <c r="B401" s="229"/>
      <c r="C401" s="229"/>
      <c r="D401" s="229"/>
      <c r="E401" s="229"/>
      <c r="F401" s="229"/>
      <c r="G401" s="229"/>
      <c r="H401" s="229"/>
      <c r="I401" s="33"/>
      <c r="L401" s="158"/>
      <c r="M401" s="158"/>
    </row>
    <row r="402" spans="1:14" s="34" customFormat="1" hidden="1" x14ac:dyDescent="0.25">
      <c r="A402" s="211">
        <f>LEFT(A401,SUM(LEN(A401)-LEN(SUBSTITUTE(A401,{"0","1","2","3","4","5","6","7","8","9"},""))))*100+1</f>
        <v>201</v>
      </c>
      <c r="B402" s="211"/>
      <c r="C402" s="39"/>
      <c r="D402" s="39"/>
      <c r="E402" s="49">
        <v>0</v>
      </c>
      <c r="F402" s="49">
        <f>D402+E402</f>
        <v>0</v>
      </c>
      <c r="G402" s="49">
        <v>0</v>
      </c>
      <c r="H402" s="49">
        <f>F402*(($H$262)+1)+(IF(G402&lt;101,G402,IF(G402&lt;201,G402/2,IF(G402&lt;=301,G402/3,G402/4))))</f>
        <v>0</v>
      </c>
      <c r="I402" s="33"/>
      <c r="N402" s="33"/>
    </row>
    <row r="403" spans="1:14" s="34" customFormat="1" hidden="1" x14ac:dyDescent="0.25">
      <c r="A403" s="211">
        <f>A402+1</f>
        <v>202</v>
      </c>
      <c r="B403" s="211"/>
      <c r="C403" s="39"/>
      <c r="D403" s="39"/>
      <c r="E403" s="49">
        <v>0</v>
      </c>
      <c r="F403" s="49">
        <f>D403+E403</f>
        <v>0</v>
      </c>
      <c r="G403" s="49">
        <v>0</v>
      </c>
      <c r="H403" s="49">
        <f>F403*(($H$262)+1)+(IF(G403&lt;101,G403,IF(G403&lt;201,G403/2,IF(G403&lt;=301,G403/3,G403/4))))</f>
        <v>0</v>
      </c>
      <c r="I403" s="33"/>
      <c r="N403" s="33"/>
    </row>
    <row r="404" spans="1:14" s="34" customFormat="1" hidden="1" x14ac:dyDescent="0.25">
      <c r="A404" s="211">
        <f>A403+1</f>
        <v>203</v>
      </c>
      <c r="B404" s="211"/>
      <c r="C404" s="39"/>
      <c r="D404" s="39"/>
      <c r="E404" s="49">
        <v>0</v>
      </c>
      <c r="F404" s="49">
        <f>D404+E404</f>
        <v>0</v>
      </c>
      <c r="G404" s="49">
        <v>0</v>
      </c>
      <c r="H404" s="49">
        <f>F404*(($H$262)+1)+(IF(G404&lt;101,G404,IF(G404&lt;201,G404/2,IF(G404&lt;=301,G404/3,G404/4))))</f>
        <v>0</v>
      </c>
      <c r="I404" s="33"/>
      <c r="N404" s="33"/>
    </row>
    <row r="405" spans="1:14" s="34" customFormat="1" hidden="1" x14ac:dyDescent="0.25">
      <c r="A405" s="211">
        <f>A404+1</f>
        <v>204</v>
      </c>
      <c r="B405" s="211"/>
      <c r="C405" s="39"/>
      <c r="D405" s="39"/>
      <c r="E405" s="49">
        <v>0</v>
      </c>
      <c r="F405" s="49">
        <f>D405+E405</f>
        <v>0</v>
      </c>
      <c r="G405" s="49">
        <v>0</v>
      </c>
      <c r="H405" s="49">
        <f>F405*(($H$262)+1)+(IF(G405&lt;101,G405,IF(G405&lt;201,G405/2,IF(G405&lt;=301,G405/3,G405/4))))</f>
        <v>0</v>
      </c>
      <c r="I405" s="33"/>
      <c r="N405" s="33"/>
    </row>
    <row r="406" spans="1:14" s="34" customFormat="1" hidden="1" x14ac:dyDescent="0.25">
      <c r="A406" s="211">
        <f>A405+1</f>
        <v>205</v>
      </c>
      <c r="B406" s="211"/>
      <c r="C406" s="39"/>
      <c r="D406" s="39"/>
      <c r="E406" s="49">
        <v>0</v>
      </c>
      <c r="F406" s="49">
        <f>D406+E406</f>
        <v>0</v>
      </c>
      <c r="G406" s="49">
        <v>0</v>
      </c>
      <c r="H406" s="49">
        <f>F406*(($H$262)+1)+(IF(G406&lt;101,G406,IF(G406&lt;201,G406/2,IF(G406&lt;=301,G406/3,G406/4))))</f>
        <v>0</v>
      </c>
      <c r="I406" s="33"/>
      <c r="N406" s="33"/>
    </row>
    <row r="407" spans="1:14" s="34" customFormat="1" ht="15.75" hidden="1" customHeight="1" x14ac:dyDescent="0.25">
      <c r="A407" s="177" t="s">
        <v>146</v>
      </c>
      <c r="B407" s="178"/>
      <c r="C407" s="178"/>
      <c r="D407" s="178"/>
      <c r="E407" s="178"/>
      <c r="F407" s="178"/>
      <c r="G407" s="178"/>
      <c r="H407" s="179"/>
      <c r="I407" s="33"/>
    </row>
    <row r="408" spans="1:14" s="34" customFormat="1" ht="15.75" hidden="1" customHeight="1" x14ac:dyDescent="0.25">
      <c r="A408" s="156" t="str">
        <f ca="1">(SUMPRODUCT(MID(0&amp;(LEFT(A407,SUM(LEN(A407)-LEN(SUBSTITUTE(A407,{"0","1","2"},""))))), LARGE(INDEX(ISNUMBER(--MID((LEFT(A407,SUM(LEN(A407)-LEN(SUBSTITUTE(A407,{"0","1","2"},""))))), ROW(INDIRECT("1:"&amp;LEN((LEFT(A407,SUM(LEN(A407)-LEN(SUBSTITUTE(A407,{"0","1","2"},"")))))))), 1)) * ROW(INDIRECT("1:"&amp;LEN((LEFT(A407,SUM(LEN(A407)-LEN(SUBSTITUTE(A407,{"0","1","2"},"")))))))), 0), ROW(INDIRECT("1:"&amp;LEN((LEFT(A407,SUM(LEN(A407)-LEN(SUBSTITUTE(A407,{"0","1","2"},"")))))))))+1, 1) * 10^ROW(INDIRECT("1:"&amp;LEN((LEFT(A407,SUM(LEN(A407)-LEN(SUBSTITUTE(A407,{"0","1","2"},""))))))))/10))*100+1&amp;""&amp;" ,.., "&amp;""&amp;(SUMPRODUCT(MID(0&amp;(--TRIM(RIGHT(SUBSTITUTE(LEFT(A407,_xlfn.AGGREGATE(16,6,FIND({0,1,2,3,4,5,6,7,8,9},A407,ROW(INDIRECT("1:"&amp;LEN(A407)))),1))," ",REPT(" ",LEN(A407))),LEN(A407)))), LARGE(INDEX(ISNUMBER(--MID((--TRIM(RIGHT(SUBSTITUTE(LEFT(A407,_xlfn.AGGREGATE(16,6,FIND({0,1,2,3,4,5,6,7,8,9},A407,ROW(INDIRECT("1:"&amp;LEN(A407)))),1))," ",REPT(" ",LEN(A407))),LEN(A407)))), ROW(INDIRECT("1:"&amp;LEN((--TRIM(RIGHT(SUBSTITUTE(LEFT(A407,_xlfn.AGGREGATE(16,6,FIND({0,1,2,3,4,5,6,7,8,9},A407,ROW(INDIRECT("1:"&amp;LEN(A407)))),1))," ",REPT(" ",LEN(A407))),LEN(A407))))))), 1)) * ROW(INDIRECT("1:"&amp;LEN((--TRIM(RIGHT(SUBSTITUTE(LEFT(A407,_xlfn.AGGREGATE(16,6,FIND({0,1,2,3,4,5,6,7,8,9},A407,ROW(INDIRECT("1:"&amp;LEN(A407)))),1))," ",REPT(" ",LEN(A407))),LEN(A407))))))), 0), ROW(INDIRECT("1:"&amp;LEN((--TRIM(RIGHT(SUBSTITUTE(LEFT(A407,_xlfn.AGGREGATE(16,6,FIND({0,1,2,3,4,5,6,7,8,9},A407,ROW(INDIRECT("1:"&amp;LEN(A407)))),1))," ",REPT(" ",LEN(A407))),LEN(A407))))))))+1, 1) * 10^ROW(INDIRECT("1:"&amp;LEN((--TRIM(RIGHT(SUBSTITUTE(LEFT(A407,_xlfn.AGGREGATE(16,6,FIND({0,1,2,3,4,5,6,7,8,9},A407,ROW(INDIRECT("1:"&amp;LEN(A407)))),1))," ",REPT(" ",LEN(A407))),LEN(A407)))))))/10))*100+1</f>
        <v>301 ,.., 1501</v>
      </c>
      <c r="B408" s="157"/>
      <c r="C408" s="39"/>
      <c r="D408" s="39"/>
      <c r="E408" s="49">
        <v>0</v>
      </c>
      <c r="F408" s="49">
        <f>D408+E408</f>
        <v>0</v>
      </c>
      <c r="G408" s="49">
        <v>0</v>
      </c>
      <c r="H408" s="49">
        <f>F408*(($H$262)+1)+(IF(G408&lt;101,G408,IF(G408&lt;201,G408/2,IF(G408&lt;=301,G408/3,G408/4))))</f>
        <v>0</v>
      </c>
      <c r="I408" s="33"/>
    </row>
    <row r="409" spans="1:14" s="34" customFormat="1" ht="15.75" hidden="1" customHeight="1" x14ac:dyDescent="0.25">
      <c r="A409" s="156" t="str">
        <f ca="1">(SUMPRODUCT(MID(0&amp;(LEFT(A408,SUM(LEN(A408)-LEN(SUBSTITUTE(A408,{"0","1","2"},""))))), LARGE(INDEX(ISNUMBER(--MID((LEFT(A408,SUM(LEN(A408)-LEN(SUBSTITUTE(A408,{"0","1","2"},""))))), ROW(INDIRECT("1:"&amp;LEN((LEFT(A408,SUM(LEN(A408)-LEN(SUBSTITUTE(A408,{"0","1","2"},"")))))))), 1)) * ROW(INDIRECT("1:"&amp;LEN((LEFT(A408,SUM(LEN(A408)-LEN(SUBSTITUTE(A408,{"0","1","2"},"")))))))), 0), ROW(INDIRECT("1:"&amp;LEN((LEFT(A408,SUM(LEN(A408)-LEN(SUBSTITUTE(A408,{"0","1","2"},"")))))))))+1, 1) * 10^ROW(INDIRECT("1:"&amp;LEN((LEFT(A408,SUM(LEN(A408)-LEN(SUBSTITUTE(A408,{"0","1","2"},""))))))))/10))*1+1&amp;""&amp;" ,.., "&amp;""&amp;(SUMPRODUCT(MID(0&amp;(--TRIM(RIGHT(SUBSTITUTE(LEFT(A408,_xlfn.AGGREGATE(16,6,FIND({0,1,2,3,4,5,6,7,8,9},A408,ROW(INDIRECT("1:"&amp;LEN(A408)))),1))," ",REPT(" ",LEN(A408))),LEN(A408)))), LARGE(INDEX(ISNUMBER(--MID((--TRIM(RIGHT(SUBSTITUTE(LEFT(A408,_xlfn.AGGREGATE(16,6,FIND({0,1,2,3,4,5,6,7,8,9},A408,ROW(INDIRECT("1:"&amp;LEN(A408)))),1))," ",REPT(" ",LEN(A408))),LEN(A408)))), ROW(INDIRECT("1:"&amp;LEN((--TRIM(RIGHT(SUBSTITUTE(LEFT(A408,_xlfn.AGGREGATE(16,6,FIND({0,1,2,3,4,5,6,7,8,9},A408,ROW(INDIRECT("1:"&amp;LEN(A408)))),1))," ",REPT(" ",LEN(A408))),LEN(A408))))))), 1)) * ROW(INDIRECT("1:"&amp;LEN((--TRIM(RIGHT(SUBSTITUTE(LEFT(A408,_xlfn.AGGREGATE(16,6,FIND({0,1,2,3,4,5,6,7,8,9},A408,ROW(INDIRECT("1:"&amp;LEN(A408)))),1))," ",REPT(" ",LEN(A408))),LEN(A408))))))), 0), ROW(INDIRECT("1:"&amp;LEN((--TRIM(RIGHT(SUBSTITUTE(LEFT(A408,_xlfn.AGGREGATE(16,6,FIND({0,1,2,3,4,5,6,7,8,9},A408,ROW(INDIRECT("1:"&amp;LEN(A408)))),1))," ",REPT(" ",LEN(A408))),LEN(A408))))))))+1, 1) * 10^ROW(INDIRECT("1:"&amp;LEN((--TRIM(RIGHT(SUBSTITUTE(LEFT(A408,_xlfn.AGGREGATE(16,6,FIND({0,1,2,3,4,5,6,7,8,9},A408,ROW(INDIRECT("1:"&amp;LEN(A408)))),1))," ",REPT(" ",LEN(A408))),LEN(A408)))))))/10))*1+1</f>
        <v>302 ,.., 1502</v>
      </c>
      <c r="B409" s="157"/>
      <c r="C409" s="39"/>
      <c r="D409" s="39"/>
      <c r="E409" s="49">
        <v>0</v>
      </c>
      <c r="F409" s="49">
        <f>D409+E409</f>
        <v>0</v>
      </c>
      <c r="G409" s="49">
        <v>0</v>
      </c>
      <c r="H409" s="49">
        <f>F409*(($H$262)+1)+(IF(G409&lt;101,G409,IF(G409&lt;201,G409/2,IF(G409&lt;=301,G409/3,G409/4))))</f>
        <v>0</v>
      </c>
      <c r="I409" s="33"/>
    </row>
    <row r="410" spans="1:14" s="34" customFormat="1" ht="15.75" hidden="1" customHeight="1" x14ac:dyDescent="0.25">
      <c r="A410" s="156" t="str">
        <f ca="1">(SUMPRODUCT(MID(0&amp;(LEFT(A409,SUM(LEN(A409)-LEN(SUBSTITUTE(A409,{"0","1","2"},""))))), LARGE(INDEX(ISNUMBER(--MID((LEFT(A409,SUM(LEN(A409)-LEN(SUBSTITUTE(A409,{"0","1","2"},""))))), ROW(INDIRECT("1:"&amp;LEN((LEFT(A409,SUM(LEN(A409)-LEN(SUBSTITUTE(A409,{"0","1","2"},"")))))))), 1)) * ROW(INDIRECT("1:"&amp;LEN((LEFT(A409,SUM(LEN(A409)-LEN(SUBSTITUTE(A409,{"0","1","2"},"")))))))), 0), ROW(INDIRECT("1:"&amp;LEN((LEFT(A409,SUM(LEN(A409)-LEN(SUBSTITUTE(A409,{"0","1","2"},"")))))))))+1, 1) * 10^ROW(INDIRECT("1:"&amp;LEN((LEFT(A409,SUM(LEN(A409)-LEN(SUBSTITUTE(A409,{"0","1","2"},""))))))))/10))*1+1&amp;""&amp;" ,.., "&amp;""&amp;(SUMPRODUCT(MID(0&amp;(--TRIM(RIGHT(SUBSTITUTE(LEFT(A409,_xlfn.AGGREGATE(16,6,FIND({0,1,2,3,4,5,6,7,8,9},A409,ROW(INDIRECT("1:"&amp;LEN(A409)))),1))," ",REPT(" ",LEN(A409))),LEN(A409)))), LARGE(INDEX(ISNUMBER(--MID((--TRIM(RIGHT(SUBSTITUTE(LEFT(A409,_xlfn.AGGREGATE(16,6,FIND({0,1,2,3,4,5,6,7,8,9},A409,ROW(INDIRECT("1:"&amp;LEN(A409)))),1))," ",REPT(" ",LEN(A409))),LEN(A409)))), ROW(INDIRECT("1:"&amp;LEN((--TRIM(RIGHT(SUBSTITUTE(LEFT(A409,_xlfn.AGGREGATE(16,6,FIND({0,1,2,3,4,5,6,7,8,9},A409,ROW(INDIRECT("1:"&amp;LEN(A409)))),1))," ",REPT(" ",LEN(A409))),LEN(A409))))))), 1)) * ROW(INDIRECT("1:"&amp;LEN((--TRIM(RIGHT(SUBSTITUTE(LEFT(A409,_xlfn.AGGREGATE(16,6,FIND({0,1,2,3,4,5,6,7,8,9},A409,ROW(INDIRECT("1:"&amp;LEN(A409)))),1))," ",REPT(" ",LEN(A409))),LEN(A409))))))), 0), ROW(INDIRECT("1:"&amp;LEN((--TRIM(RIGHT(SUBSTITUTE(LEFT(A409,_xlfn.AGGREGATE(16,6,FIND({0,1,2,3,4,5,6,7,8,9},A409,ROW(INDIRECT("1:"&amp;LEN(A409)))),1))," ",REPT(" ",LEN(A409))),LEN(A409))))))))+1, 1) * 10^ROW(INDIRECT("1:"&amp;LEN((--TRIM(RIGHT(SUBSTITUTE(LEFT(A409,_xlfn.AGGREGATE(16,6,FIND({0,1,2,3,4,5,6,7,8,9},A409,ROW(INDIRECT("1:"&amp;LEN(A409)))),1))," ",REPT(" ",LEN(A409))),LEN(A409)))))))/10))*1+1</f>
        <v>303 ,.., 1503</v>
      </c>
      <c r="B410" s="157"/>
      <c r="C410" s="39"/>
      <c r="D410" s="39"/>
      <c r="E410" s="49">
        <v>0</v>
      </c>
      <c r="F410" s="49">
        <f>D410+E410</f>
        <v>0</v>
      </c>
      <c r="G410" s="49">
        <v>0</v>
      </c>
      <c r="H410" s="49">
        <f>F410*(($H$262)+1)+(IF(G410&lt;101,G410,IF(G410&lt;201,G410/2,IF(G410&lt;=301,G410/3,G410/4))))</f>
        <v>0</v>
      </c>
      <c r="I410" s="33"/>
    </row>
    <row r="411" spans="1:14" s="34" customFormat="1" ht="15.75" hidden="1" customHeight="1" x14ac:dyDescent="0.25">
      <c r="A411" s="156" t="str">
        <f ca="1">(SUMPRODUCT(MID(0&amp;(LEFT(A410,SUM(LEN(A410)-LEN(SUBSTITUTE(A410,{"0","1","2"},""))))), LARGE(INDEX(ISNUMBER(--MID((LEFT(A410,SUM(LEN(A410)-LEN(SUBSTITUTE(A410,{"0","1","2"},""))))), ROW(INDIRECT("1:"&amp;LEN((LEFT(A410,SUM(LEN(A410)-LEN(SUBSTITUTE(A410,{"0","1","2"},"")))))))), 1)) * ROW(INDIRECT("1:"&amp;LEN((LEFT(A410,SUM(LEN(A410)-LEN(SUBSTITUTE(A410,{"0","1","2"},"")))))))), 0), ROW(INDIRECT("1:"&amp;LEN((LEFT(A410,SUM(LEN(A410)-LEN(SUBSTITUTE(A410,{"0","1","2"},"")))))))))+1, 1) * 10^ROW(INDIRECT("1:"&amp;LEN((LEFT(A410,SUM(LEN(A410)-LEN(SUBSTITUTE(A410,{"0","1","2"},""))))))))/10))*1+1&amp;""&amp;" ,.., "&amp;""&amp;(SUMPRODUCT(MID(0&amp;(--TRIM(RIGHT(SUBSTITUTE(LEFT(A410,_xlfn.AGGREGATE(16,6,FIND({0,1,2,3,4,5,6,7,8,9},A410,ROW(INDIRECT("1:"&amp;LEN(A410)))),1))," ",REPT(" ",LEN(A410))),LEN(A410)))), LARGE(INDEX(ISNUMBER(--MID((--TRIM(RIGHT(SUBSTITUTE(LEFT(A410,_xlfn.AGGREGATE(16,6,FIND({0,1,2,3,4,5,6,7,8,9},A410,ROW(INDIRECT("1:"&amp;LEN(A410)))),1))," ",REPT(" ",LEN(A410))),LEN(A410)))), ROW(INDIRECT("1:"&amp;LEN((--TRIM(RIGHT(SUBSTITUTE(LEFT(A410,_xlfn.AGGREGATE(16,6,FIND({0,1,2,3,4,5,6,7,8,9},A410,ROW(INDIRECT("1:"&amp;LEN(A410)))),1))," ",REPT(" ",LEN(A410))),LEN(A410))))))), 1)) * ROW(INDIRECT("1:"&amp;LEN((--TRIM(RIGHT(SUBSTITUTE(LEFT(A410,_xlfn.AGGREGATE(16,6,FIND({0,1,2,3,4,5,6,7,8,9},A410,ROW(INDIRECT("1:"&amp;LEN(A410)))),1))," ",REPT(" ",LEN(A410))),LEN(A410))))))), 0), ROW(INDIRECT("1:"&amp;LEN((--TRIM(RIGHT(SUBSTITUTE(LEFT(A410,_xlfn.AGGREGATE(16,6,FIND({0,1,2,3,4,5,6,7,8,9},A410,ROW(INDIRECT("1:"&amp;LEN(A410)))),1))," ",REPT(" ",LEN(A410))),LEN(A410))))))))+1, 1) * 10^ROW(INDIRECT("1:"&amp;LEN((--TRIM(RIGHT(SUBSTITUTE(LEFT(A410,_xlfn.AGGREGATE(16,6,FIND({0,1,2,3,4,5,6,7,8,9},A410,ROW(INDIRECT("1:"&amp;LEN(A410)))),1))," ",REPT(" ",LEN(A410))),LEN(A410)))))))/10))*1+1</f>
        <v>304 ,.., 1504</v>
      </c>
      <c r="B411" s="157"/>
      <c r="C411" s="39"/>
      <c r="D411" s="39"/>
      <c r="E411" s="49">
        <v>0</v>
      </c>
      <c r="F411" s="49">
        <f>D411+E411</f>
        <v>0</v>
      </c>
      <c r="G411" s="49">
        <v>0</v>
      </c>
      <c r="H411" s="49">
        <f>F411*(($H$262)+1)+(IF(G411&lt;101,G411,IF(G411&lt;201,G411/2,IF(G411&lt;=301,G411/3,G411/4))))</f>
        <v>0</v>
      </c>
      <c r="I411" s="33"/>
    </row>
    <row r="412" spans="1:14" s="34" customFormat="1" ht="15.75" hidden="1" customHeight="1" x14ac:dyDescent="0.25">
      <c r="A412" s="156" t="str">
        <f ca="1">(SUMPRODUCT(MID(0&amp;(LEFT(A411,SUM(LEN(A411)-LEN(SUBSTITUTE(A411,{"0","1","2"},""))))), LARGE(INDEX(ISNUMBER(--MID((LEFT(A411,SUM(LEN(A411)-LEN(SUBSTITUTE(A411,{"0","1","2"},""))))), ROW(INDIRECT("1:"&amp;LEN((LEFT(A411,SUM(LEN(A411)-LEN(SUBSTITUTE(A411,{"0","1","2"},"")))))))), 1)) * ROW(INDIRECT("1:"&amp;LEN((LEFT(A411,SUM(LEN(A411)-LEN(SUBSTITUTE(A411,{"0","1","2"},"")))))))), 0), ROW(INDIRECT("1:"&amp;LEN((LEFT(A411,SUM(LEN(A411)-LEN(SUBSTITUTE(A411,{"0","1","2"},"")))))))))+1, 1) * 10^ROW(INDIRECT("1:"&amp;LEN((LEFT(A411,SUM(LEN(A411)-LEN(SUBSTITUTE(A411,{"0","1","2"},""))))))))/10))*1+1&amp;""&amp;" ,.., "&amp;""&amp;(SUMPRODUCT(MID(0&amp;(--TRIM(RIGHT(SUBSTITUTE(LEFT(A411,_xlfn.AGGREGATE(16,6,FIND({0,1,2,3,4,5,6,7,8,9},A411,ROW(INDIRECT("1:"&amp;LEN(A411)))),1))," ",REPT(" ",LEN(A411))),LEN(A411)))), LARGE(INDEX(ISNUMBER(--MID((--TRIM(RIGHT(SUBSTITUTE(LEFT(A411,_xlfn.AGGREGATE(16,6,FIND({0,1,2,3,4,5,6,7,8,9},A411,ROW(INDIRECT("1:"&amp;LEN(A411)))),1))," ",REPT(" ",LEN(A411))),LEN(A411)))), ROW(INDIRECT("1:"&amp;LEN((--TRIM(RIGHT(SUBSTITUTE(LEFT(A411,_xlfn.AGGREGATE(16,6,FIND({0,1,2,3,4,5,6,7,8,9},A411,ROW(INDIRECT("1:"&amp;LEN(A411)))),1))," ",REPT(" ",LEN(A411))),LEN(A411))))))), 1)) * ROW(INDIRECT("1:"&amp;LEN((--TRIM(RIGHT(SUBSTITUTE(LEFT(A411,_xlfn.AGGREGATE(16,6,FIND({0,1,2,3,4,5,6,7,8,9},A411,ROW(INDIRECT("1:"&amp;LEN(A411)))),1))," ",REPT(" ",LEN(A411))),LEN(A411))))))), 0), ROW(INDIRECT("1:"&amp;LEN((--TRIM(RIGHT(SUBSTITUTE(LEFT(A411,_xlfn.AGGREGATE(16,6,FIND({0,1,2,3,4,5,6,7,8,9},A411,ROW(INDIRECT("1:"&amp;LEN(A411)))),1))," ",REPT(" ",LEN(A411))),LEN(A411))))))))+1, 1) * 10^ROW(INDIRECT("1:"&amp;LEN((--TRIM(RIGHT(SUBSTITUTE(LEFT(A411,_xlfn.AGGREGATE(16,6,FIND({0,1,2,3,4,5,6,7,8,9},A411,ROW(INDIRECT("1:"&amp;LEN(A411)))),1))," ",REPT(" ",LEN(A411))),LEN(A411)))))))/10))*1+1</f>
        <v>305 ,.., 1505</v>
      </c>
      <c r="B412" s="157"/>
      <c r="C412" s="39"/>
      <c r="D412" s="39"/>
      <c r="E412" s="49">
        <v>0</v>
      </c>
      <c r="F412" s="49">
        <f>D412+E412</f>
        <v>0</v>
      </c>
      <c r="G412" s="49">
        <v>0</v>
      </c>
      <c r="H412" s="49">
        <f>F412*(($H$262)+1)+(IF(G412&lt;101,G412,IF(G412&lt;201,G412/2,IF(G412&lt;=301,G412/3,G412/4))))</f>
        <v>0</v>
      </c>
      <c r="I412" s="33"/>
    </row>
    <row r="413" spans="1:14" s="34" customFormat="1" hidden="1" x14ac:dyDescent="0.25">
      <c r="A413" s="177" t="s">
        <v>140</v>
      </c>
      <c r="B413" s="178"/>
      <c r="C413" s="178"/>
      <c r="D413" s="178"/>
      <c r="E413" s="178"/>
      <c r="F413" s="178"/>
      <c r="G413" s="178"/>
      <c r="H413" s="179"/>
      <c r="I413" s="33"/>
    </row>
    <row r="414" spans="1:14" s="34" customFormat="1" ht="15.75" hidden="1" customHeight="1" x14ac:dyDescent="0.25">
      <c r="A414" s="156" t="str">
        <f ca="1">(SUMPRODUCT(MID(0&amp;(LEFT(A413,SUM(LEN(A413)-LEN(SUBSTITUTE(A413,{"0","1","2"},""))))), LARGE(INDEX(ISNUMBER(--MID((LEFT(A413,SUM(LEN(A413)-LEN(SUBSTITUTE(A413,{"0","1","2"},""))))), ROW(INDIRECT("1:"&amp;LEN((LEFT(A413,SUM(LEN(A413)-LEN(SUBSTITUTE(A413,{"0","1","2"},"")))))))), 1)) * ROW(INDIRECT("1:"&amp;LEN((LEFT(A413,SUM(LEN(A413)-LEN(SUBSTITUTE(A413,{"0","1","2"},"")))))))), 0), ROW(INDIRECT("1:"&amp;LEN((LEFT(A413,SUM(LEN(A413)-LEN(SUBSTITUTE(A413,{"0","1","2"},"")))))))))+1, 1) * 10^ROW(INDIRECT("1:"&amp;LEN((LEFT(A413,SUM(LEN(A413)-LEN(SUBSTITUTE(A413,{"0","1","2"},""))))))))/10))*100+1&amp;""&amp;" to "&amp;""&amp;(SUMPRODUCT(MID(0&amp;(--TRIM(RIGHT(SUBSTITUTE(LEFT(A413,_xlfn.AGGREGATE(16,6,FIND({0,1,2,3,4,5,6,7,8,9},A413,ROW(INDIRECT("1:"&amp;LEN(A413)))),1))," ",REPT(" ",LEN(A413))),LEN(A413)))), LARGE(INDEX(ISNUMBER(--MID((--TRIM(RIGHT(SUBSTITUTE(LEFT(A413,_xlfn.AGGREGATE(16,6,FIND({0,1,2,3,4,5,6,7,8,9},A413,ROW(INDIRECT("1:"&amp;LEN(A413)))),1))," ",REPT(" ",LEN(A413))),LEN(A413)))), ROW(INDIRECT("1:"&amp;LEN((--TRIM(RIGHT(SUBSTITUTE(LEFT(A413,_xlfn.AGGREGATE(16,6,FIND({0,1,2,3,4,5,6,7,8,9},A413,ROW(INDIRECT("1:"&amp;LEN(A413)))),1))," ",REPT(" ",LEN(A413))),LEN(A413))))))), 1)) * ROW(INDIRECT("1:"&amp;LEN((--TRIM(RIGHT(SUBSTITUTE(LEFT(A413,_xlfn.AGGREGATE(16,6,FIND({0,1,2,3,4,5,6,7,8,9},A413,ROW(INDIRECT("1:"&amp;LEN(A413)))),1))," ",REPT(" ",LEN(A413))),LEN(A413))))))), 0), ROW(INDIRECT("1:"&amp;LEN((--TRIM(RIGHT(SUBSTITUTE(LEFT(A413,_xlfn.AGGREGATE(16,6,FIND({0,1,2,3,4,5,6,7,8,9},A413,ROW(INDIRECT("1:"&amp;LEN(A413)))),1))," ",REPT(" ",LEN(A413))),LEN(A413))))))))+1, 1) * 10^ROW(INDIRECT("1:"&amp;LEN((--TRIM(RIGHT(SUBSTITUTE(LEFT(A413,_xlfn.AGGREGATE(16,6,FIND({0,1,2,3,4,5,6,7,8,9},A413,ROW(INDIRECT("1:"&amp;LEN(A413)))),1))," ",REPT(" ",LEN(A413))),LEN(A413)))))))/10))*100+1</f>
        <v>201 to 501</v>
      </c>
      <c r="B414" s="157"/>
      <c r="C414" s="39"/>
      <c r="D414" s="39"/>
      <c r="E414" s="49">
        <v>0</v>
      </c>
      <c r="F414" s="49">
        <f>D414+E414</f>
        <v>0</v>
      </c>
      <c r="G414" s="49">
        <v>0</v>
      </c>
      <c r="H414" s="49">
        <f>F414*(($H$262)+1)+(IF(G414&lt;101,G414,IF(G414&lt;201,G414/2,IF(G414&lt;=301,G414/3,G414/4))))</f>
        <v>0</v>
      </c>
      <c r="I414" s="33"/>
    </row>
    <row r="415" spans="1:14" s="34" customFormat="1" ht="15.75" hidden="1" customHeight="1" x14ac:dyDescent="0.25">
      <c r="A415" s="156" t="str">
        <f ca="1">(SUMPRODUCT(MID(0&amp;(LEFT(A414,SUM(LEN(A414)-LEN(SUBSTITUTE(A414,{"0","1","2"},""))))), LARGE(INDEX(ISNUMBER(--MID((LEFT(A414,SUM(LEN(A414)-LEN(SUBSTITUTE(A414,{"0","1","2"},""))))), ROW(INDIRECT("1:"&amp;LEN((LEFT(A414,SUM(LEN(A414)-LEN(SUBSTITUTE(A414,{"0","1","2"},"")))))))), 1)) * ROW(INDIRECT("1:"&amp;LEN((LEFT(A414,SUM(LEN(A414)-LEN(SUBSTITUTE(A414,{"0","1","2"},"")))))))), 0), ROW(INDIRECT("1:"&amp;LEN((LEFT(A414,SUM(LEN(A414)-LEN(SUBSTITUTE(A414,{"0","1","2"},"")))))))))+1, 1) * 10^ROW(INDIRECT("1:"&amp;LEN((LEFT(A414,SUM(LEN(A414)-LEN(SUBSTITUTE(A414,{"0","1","2"},""))))))))/10))*1+1&amp;""&amp;" to "&amp;""&amp;(SUMPRODUCT(MID(0&amp;(--TRIM(RIGHT(SUBSTITUTE(LEFT(A414,_xlfn.AGGREGATE(16,6,FIND({0,1,2,3,4,5,6,7,8,9},A414,ROW(INDIRECT("1:"&amp;LEN(A414)))),1))," ",REPT(" ",LEN(A414))),LEN(A414)))), LARGE(INDEX(ISNUMBER(--MID((--TRIM(RIGHT(SUBSTITUTE(LEFT(A414,_xlfn.AGGREGATE(16,6,FIND({0,1,2,3,4,5,6,7,8,9},A414,ROW(INDIRECT("1:"&amp;LEN(A414)))),1))," ",REPT(" ",LEN(A414))),LEN(A414)))), ROW(INDIRECT("1:"&amp;LEN((--TRIM(RIGHT(SUBSTITUTE(LEFT(A414,_xlfn.AGGREGATE(16,6,FIND({0,1,2,3,4,5,6,7,8,9},A414,ROW(INDIRECT("1:"&amp;LEN(A414)))),1))," ",REPT(" ",LEN(A414))),LEN(A414))))))), 1)) * ROW(INDIRECT("1:"&amp;LEN((--TRIM(RIGHT(SUBSTITUTE(LEFT(A414,_xlfn.AGGREGATE(16,6,FIND({0,1,2,3,4,5,6,7,8,9},A414,ROW(INDIRECT("1:"&amp;LEN(A414)))),1))," ",REPT(" ",LEN(A414))),LEN(A414))))))), 0), ROW(INDIRECT("1:"&amp;LEN((--TRIM(RIGHT(SUBSTITUTE(LEFT(A414,_xlfn.AGGREGATE(16,6,FIND({0,1,2,3,4,5,6,7,8,9},A414,ROW(INDIRECT("1:"&amp;LEN(A414)))),1))," ",REPT(" ",LEN(A414))),LEN(A414))))))))+1, 1) * 10^ROW(INDIRECT("1:"&amp;LEN((--TRIM(RIGHT(SUBSTITUTE(LEFT(A414,_xlfn.AGGREGATE(16,6,FIND({0,1,2,3,4,5,6,7,8,9},A414,ROW(INDIRECT("1:"&amp;LEN(A414)))),1))," ",REPT(" ",LEN(A414))),LEN(A414)))))))/10))*1+1</f>
        <v>202 to 502</v>
      </c>
      <c r="B415" s="157"/>
      <c r="C415" s="39"/>
      <c r="D415" s="39"/>
      <c r="E415" s="49">
        <v>0</v>
      </c>
      <c r="F415" s="49">
        <f>D415+E415</f>
        <v>0</v>
      </c>
      <c r="G415" s="49">
        <v>0</v>
      </c>
      <c r="H415" s="49">
        <f>F415*(($H$262)+1)+(IF(G415&lt;101,G415,IF(G415&lt;201,G415/2,IF(G415&lt;=301,G415/3,G415/4))))</f>
        <v>0</v>
      </c>
      <c r="I415" s="33"/>
    </row>
    <row r="416" spans="1:14" s="34" customFormat="1" ht="15.75" hidden="1" customHeight="1" x14ac:dyDescent="0.25">
      <c r="A416" s="156" t="str">
        <f ca="1">(SUMPRODUCT(MID(0&amp;(LEFT(A415,SUM(LEN(A415)-LEN(SUBSTITUTE(A415,{"0","1","2"},""))))), LARGE(INDEX(ISNUMBER(--MID((LEFT(A415,SUM(LEN(A415)-LEN(SUBSTITUTE(A415,{"0","1","2"},""))))), ROW(INDIRECT("1:"&amp;LEN((LEFT(A415,SUM(LEN(A415)-LEN(SUBSTITUTE(A415,{"0","1","2"},"")))))))), 1)) * ROW(INDIRECT("1:"&amp;LEN((LEFT(A415,SUM(LEN(A415)-LEN(SUBSTITUTE(A415,{"0","1","2"},"")))))))), 0), ROW(INDIRECT("1:"&amp;LEN((LEFT(A415,SUM(LEN(A415)-LEN(SUBSTITUTE(A415,{"0","1","2"},"")))))))))+1, 1) * 10^ROW(INDIRECT("1:"&amp;LEN((LEFT(A415,SUM(LEN(A415)-LEN(SUBSTITUTE(A415,{"0","1","2"},""))))))))/10))*1+1&amp;""&amp;" to "&amp;""&amp;(SUMPRODUCT(MID(0&amp;(--TRIM(RIGHT(SUBSTITUTE(LEFT(A415,_xlfn.AGGREGATE(16,6,FIND({0,1,2,3,4,5,6,7,8,9},A415,ROW(INDIRECT("1:"&amp;LEN(A415)))),1))," ",REPT(" ",LEN(A415))),LEN(A415)))), LARGE(INDEX(ISNUMBER(--MID((--TRIM(RIGHT(SUBSTITUTE(LEFT(A415,_xlfn.AGGREGATE(16,6,FIND({0,1,2,3,4,5,6,7,8,9},A415,ROW(INDIRECT("1:"&amp;LEN(A415)))),1))," ",REPT(" ",LEN(A415))),LEN(A415)))), ROW(INDIRECT("1:"&amp;LEN((--TRIM(RIGHT(SUBSTITUTE(LEFT(A415,_xlfn.AGGREGATE(16,6,FIND({0,1,2,3,4,5,6,7,8,9},A415,ROW(INDIRECT("1:"&amp;LEN(A415)))),1))," ",REPT(" ",LEN(A415))),LEN(A415))))))), 1)) * ROW(INDIRECT("1:"&amp;LEN((--TRIM(RIGHT(SUBSTITUTE(LEFT(A415,_xlfn.AGGREGATE(16,6,FIND({0,1,2,3,4,5,6,7,8,9},A415,ROW(INDIRECT("1:"&amp;LEN(A415)))),1))," ",REPT(" ",LEN(A415))),LEN(A415))))))), 0), ROW(INDIRECT("1:"&amp;LEN((--TRIM(RIGHT(SUBSTITUTE(LEFT(A415,_xlfn.AGGREGATE(16,6,FIND({0,1,2,3,4,5,6,7,8,9},A415,ROW(INDIRECT("1:"&amp;LEN(A415)))),1))," ",REPT(" ",LEN(A415))),LEN(A415))))))))+1, 1) * 10^ROW(INDIRECT("1:"&amp;LEN((--TRIM(RIGHT(SUBSTITUTE(LEFT(A415,_xlfn.AGGREGATE(16,6,FIND({0,1,2,3,4,5,6,7,8,9},A415,ROW(INDIRECT("1:"&amp;LEN(A415)))),1))," ",REPT(" ",LEN(A415))),LEN(A415)))))))/10))*1+1</f>
        <v>203 to 503</v>
      </c>
      <c r="B416" s="157"/>
      <c r="C416" s="39"/>
      <c r="D416" s="39"/>
      <c r="E416" s="49">
        <v>0</v>
      </c>
      <c r="F416" s="49">
        <f>D416+E416</f>
        <v>0</v>
      </c>
      <c r="G416" s="49">
        <v>0</v>
      </c>
      <c r="H416" s="49">
        <f>F416*(($H$262)+1)+(IF(G416&lt;101,G416,IF(G416&lt;201,G416/2,IF(G416&lt;=301,G416/3,G416/4))))</f>
        <v>0</v>
      </c>
      <c r="I416" s="33"/>
    </row>
    <row r="417" spans="1:20" s="34" customFormat="1" ht="15.75" hidden="1" customHeight="1" x14ac:dyDescent="0.25">
      <c r="A417" s="156" t="str">
        <f ca="1">(SUMPRODUCT(MID(0&amp;(LEFT(A416,SUM(LEN(A416)-LEN(SUBSTITUTE(A416,{"0","1","2"},""))))), LARGE(INDEX(ISNUMBER(--MID((LEFT(A416,SUM(LEN(A416)-LEN(SUBSTITUTE(A416,{"0","1","2"},""))))), ROW(INDIRECT("1:"&amp;LEN((LEFT(A416,SUM(LEN(A416)-LEN(SUBSTITUTE(A416,{"0","1","2"},"")))))))), 1)) * ROW(INDIRECT("1:"&amp;LEN((LEFT(A416,SUM(LEN(A416)-LEN(SUBSTITUTE(A416,{"0","1","2"},"")))))))), 0), ROW(INDIRECT("1:"&amp;LEN((LEFT(A416,SUM(LEN(A416)-LEN(SUBSTITUTE(A416,{"0","1","2"},"")))))))))+1, 1) * 10^ROW(INDIRECT("1:"&amp;LEN((LEFT(A416,SUM(LEN(A416)-LEN(SUBSTITUTE(A416,{"0","1","2"},""))))))))/10))*1+1&amp;""&amp;" to "&amp;""&amp;(SUMPRODUCT(MID(0&amp;(--TRIM(RIGHT(SUBSTITUTE(LEFT(A416,_xlfn.AGGREGATE(16,6,FIND({0,1,2,3,4,5,6,7,8,9},A416,ROW(INDIRECT("1:"&amp;LEN(A416)))),1))," ",REPT(" ",LEN(A416))),LEN(A416)))), LARGE(INDEX(ISNUMBER(--MID((--TRIM(RIGHT(SUBSTITUTE(LEFT(A416,_xlfn.AGGREGATE(16,6,FIND({0,1,2,3,4,5,6,7,8,9},A416,ROW(INDIRECT("1:"&amp;LEN(A416)))),1))," ",REPT(" ",LEN(A416))),LEN(A416)))), ROW(INDIRECT("1:"&amp;LEN((--TRIM(RIGHT(SUBSTITUTE(LEFT(A416,_xlfn.AGGREGATE(16,6,FIND({0,1,2,3,4,5,6,7,8,9},A416,ROW(INDIRECT("1:"&amp;LEN(A416)))),1))," ",REPT(" ",LEN(A416))),LEN(A416))))))), 1)) * ROW(INDIRECT("1:"&amp;LEN((--TRIM(RIGHT(SUBSTITUTE(LEFT(A416,_xlfn.AGGREGATE(16,6,FIND({0,1,2,3,4,5,6,7,8,9},A416,ROW(INDIRECT("1:"&amp;LEN(A416)))),1))," ",REPT(" ",LEN(A416))),LEN(A416))))))), 0), ROW(INDIRECT("1:"&amp;LEN((--TRIM(RIGHT(SUBSTITUTE(LEFT(A416,_xlfn.AGGREGATE(16,6,FIND({0,1,2,3,4,5,6,7,8,9},A416,ROW(INDIRECT("1:"&amp;LEN(A416)))),1))," ",REPT(" ",LEN(A416))),LEN(A416))))))))+1, 1) * 10^ROW(INDIRECT("1:"&amp;LEN((--TRIM(RIGHT(SUBSTITUTE(LEFT(A416,_xlfn.AGGREGATE(16,6,FIND({0,1,2,3,4,5,6,7,8,9},A416,ROW(INDIRECT("1:"&amp;LEN(A416)))),1))," ",REPT(" ",LEN(A416))),LEN(A416)))))))/10))*1+1</f>
        <v>204 to 504</v>
      </c>
      <c r="B417" s="157"/>
      <c r="C417" s="39"/>
      <c r="D417" s="39"/>
      <c r="E417" s="49">
        <v>0</v>
      </c>
      <c r="F417" s="49">
        <f>D417+E417</f>
        <v>0</v>
      </c>
      <c r="G417" s="49">
        <v>0</v>
      </c>
      <c r="H417" s="49">
        <f>F417*(($H$262)+1)+(IF(G417&lt;101,G417,IF(G417&lt;201,G417/2,IF(G417&lt;=301,G417/3,G417/4))))</f>
        <v>0</v>
      </c>
      <c r="I417" s="33"/>
    </row>
    <row r="418" spans="1:20" s="34" customFormat="1" ht="15.75" hidden="1" customHeight="1" x14ac:dyDescent="0.25">
      <c r="A418" s="156" t="str">
        <f ca="1">(SUMPRODUCT(MID(0&amp;(LEFT(A417,SUM(LEN(A417)-LEN(SUBSTITUTE(A417,{"0","1","2"},""))))), LARGE(INDEX(ISNUMBER(--MID((LEFT(A417,SUM(LEN(A417)-LEN(SUBSTITUTE(A417,{"0","1","2"},""))))), ROW(INDIRECT("1:"&amp;LEN((LEFT(A417,SUM(LEN(A417)-LEN(SUBSTITUTE(A417,{"0","1","2"},"")))))))), 1)) * ROW(INDIRECT("1:"&amp;LEN((LEFT(A417,SUM(LEN(A417)-LEN(SUBSTITUTE(A417,{"0","1","2"},"")))))))), 0), ROW(INDIRECT("1:"&amp;LEN((LEFT(A417,SUM(LEN(A417)-LEN(SUBSTITUTE(A417,{"0","1","2"},"")))))))))+1, 1) * 10^ROW(INDIRECT("1:"&amp;LEN((LEFT(A417,SUM(LEN(A417)-LEN(SUBSTITUTE(A417,{"0","1","2"},""))))))))/10))*1+1&amp;""&amp;" to "&amp;""&amp;(SUMPRODUCT(MID(0&amp;(--TRIM(RIGHT(SUBSTITUTE(LEFT(A417,_xlfn.AGGREGATE(16,6,FIND({0,1,2,3,4,5,6,7,8,9},A417,ROW(INDIRECT("1:"&amp;LEN(A417)))),1))," ",REPT(" ",LEN(A417))),LEN(A417)))), LARGE(INDEX(ISNUMBER(--MID((--TRIM(RIGHT(SUBSTITUTE(LEFT(A417,_xlfn.AGGREGATE(16,6,FIND({0,1,2,3,4,5,6,7,8,9},A417,ROW(INDIRECT("1:"&amp;LEN(A417)))),1))," ",REPT(" ",LEN(A417))),LEN(A417)))), ROW(INDIRECT("1:"&amp;LEN((--TRIM(RIGHT(SUBSTITUTE(LEFT(A417,_xlfn.AGGREGATE(16,6,FIND({0,1,2,3,4,5,6,7,8,9},A417,ROW(INDIRECT("1:"&amp;LEN(A417)))),1))," ",REPT(" ",LEN(A417))),LEN(A417))))))), 1)) * ROW(INDIRECT("1:"&amp;LEN((--TRIM(RIGHT(SUBSTITUTE(LEFT(A417,_xlfn.AGGREGATE(16,6,FIND({0,1,2,3,4,5,6,7,8,9},A417,ROW(INDIRECT("1:"&amp;LEN(A417)))),1))," ",REPT(" ",LEN(A417))),LEN(A417))))))), 0), ROW(INDIRECT("1:"&amp;LEN((--TRIM(RIGHT(SUBSTITUTE(LEFT(A417,_xlfn.AGGREGATE(16,6,FIND({0,1,2,3,4,5,6,7,8,9},A417,ROW(INDIRECT("1:"&amp;LEN(A417)))),1))," ",REPT(" ",LEN(A417))),LEN(A417))))))))+1, 1) * 10^ROW(INDIRECT("1:"&amp;LEN((--TRIM(RIGHT(SUBSTITUTE(LEFT(A417,_xlfn.AGGREGATE(16,6,FIND({0,1,2,3,4,5,6,7,8,9},A417,ROW(INDIRECT("1:"&amp;LEN(A417)))),1))," ",REPT(" ",LEN(A417))),LEN(A417)))))))/10))*1+1</f>
        <v>205 to 505</v>
      </c>
      <c r="B418" s="157"/>
      <c r="C418" s="39"/>
      <c r="D418" s="39"/>
      <c r="E418" s="49">
        <v>0</v>
      </c>
      <c r="F418" s="49">
        <f>D418+E418</f>
        <v>0</v>
      </c>
      <c r="G418" s="49">
        <v>0</v>
      </c>
      <c r="H418" s="49">
        <f>F418*(($H$262)+1)+(IF(G418&lt;101,G418,IF(G418&lt;201,G418/2,IF(G418&lt;=301,G418/3,G418/4))))</f>
        <v>0</v>
      </c>
      <c r="I418" s="33"/>
    </row>
    <row r="419" spans="1:20" s="34" customFormat="1" hidden="1" x14ac:dyDescent="0.25">
      <c r="A419" s="177" t="s">
        <v>141</v>
      </c>
      <c r="B419" s="178"/>
      <c r="C419" s="178"/>
      <c r="D419" s="178"/>
      <c r="E419" s="178"/>
      <c r="F419" s="178"/>
      <c r="G419" s="178"/>
      <c r="H419" s="179"/>
      <c r="I419" s="33"/>
    </row>
    <row r="420" spans="1:20" s="34" customFormat="1" ht="15.75" hidden="1" customHeight="1" x14ac:dyDescent="0.25">
      <c r="A420" s="156" t="str">
        <f ca="1">(SUMPRODUCT(MID(0&amp;(LEFT(A419,SUM(LEN(A419)-LEN(SUBSTITUTE(A419,{"0","1","2"},""))))), LARGE(INDEX(ISNUMBER(--MID((LEFT(A419,SUM(LEN(A419)-LEN(SUBSTITUTE(A419,{"0","1","2"},""))))), ROW(INDIRECT("1:"&amp;LEN((LEFT(A419,SUM(LEN(A419)-LEN(SUBSTITUTE(A419,{"0","1","2"},"")))))))), 1)) * ROW(INDIRECT("1:"&amp;LEN((LEFT(A419,SUM(LEN(A419)-LEN(SUBSTITUTE(A419,{"0","1","2"},"")))))))), 0), ROW(INDIRECT("1:"&amp;LEN((LEFT(A419,SUM(LEN(A419)-LEN(SUBSTITUTE(A419,{"0","1","2"},"")))))))))+1, 1) * 10^ROW(INDIRECT("1:"&amp;LEN((LEFT(A419,SUM(LEN(A419)-LEN(SUBSTITUTE(A419,{"0","1","2"},""))))))))/10))*100+1&amp;""&amp;" &amp; "&amp;""&amp;(SUMPRODUCT(MID(0&amp;(--TRIM(RIGHT(SUBSTITUTE(LEFT(A419,_xlfn.AGGREGATE(16,6,FIND({0,1,2,3,4,5,6,7,8,9},A419,ROW(INDIRECT("1:"&amp;LEN(A419)))),1))," ",REPT(" ",LEN(A419))),LEN(A419)))), LARGE(INDEX(ISNUMBER(--MID((--TRIM(RIGHT(SUBSTITUTE(LEFT(A419,_xlfn.AGGREGATE(16,6,FIND({0,1,2,3,4,5,6,7,8,9},A419,ROW(INDIRECT("1:"&amp;LEN(A419)))),1))," ",REPT(" ",LEN(A419))),LEN(A419)))), ROW(INDIRECT("1:"&amp;LEN((--TRIM(RIGHT(SUBSTITUTE(LEFT(A419,_xlfn.AGGREGATE(16,6,FIND({0,1,2,3,4,5,6,7,8,9},A419,ROW(INDIRECT("1:"&amp;LEN(A419)))),1))," ",REPT(" ",LEN(A419))),LEN(A419))))))), 1)) * ROW(INDIRECT("1:"&amp;LEN((--TRIM(RIGHT(SUBSTITUTE(LEFT(A419,_xlfn.AGGREGATE(16,6,FIND({0,1,2,3,4,5,6,7,8,9},A419,ROW(INDIRECT("1:"&amp;LEN(A419)))),1))," ",REPT(" ",LEN(A419))),LEN(A419))))))), 0), ROW(INDIRECT("1:"&amp;LEN((--TRIM(RIGHT(SUBSTITUTE(LEFT(A419,_xlfn.AGGREGATE(16,6,FIND({0,1,2,3,4,5,6,7,8,9},A419,ROW(INDIRECT("1:"&amp;LEN(A419)))),1))," ",REPT(" ",LEN(A419))),LEN(A419))))))))+1, 1) * 10^ROW(INDIRECT("1:"&amp;LEN((--TRIM(RIGHT(SUBSTITUTE(LEFT(A419,_xlfn.AGGREGATE(16,6,FIND({0,1,2,3,4,5,6,7,8,9},A419,ROW(INDIRECT("1:"&amp;LEN(A419)))),1))," ",REPT(" ",LEN(A419))),LEN(A419)))))))/10))*100+1</f>
        <v>201 &amp; 501</v>
      </c>
      <c r="B420" s="157"/>
      <c r="C420" s="39"/>
      <c r="D420" s="39"/>
      <c r="E420" s="49">
        <v>0</v>
      </c>
      <c r="F420" s="49">
        <f>D420+E420</f>
        <v>0</v>
      </c>
      <c r="G420" s="49">
        <v>0</v>
      </c>
      <c r="H420" s="49">
        <f>F420*(($H$262)+1)+(IF(G420&lt;101,G420,IF(G420&lt;201,G420/2,IF(G420&lt;=301,G420/3,G420/4))))</f>
        <v>0</v>
      </c>
      <c r="I420" s="33"/>
    </row>
    <row r="421" spans="1:20" s="34" customFormat="1" ht="15.75" hidden="1" customHeight="1" x14ac:dyDescent="0.25">
      <c r="A421" s="156" t="str">
        <f ca="1">(SUMPRODUCT(MID(0&amp;(LEFT(A420,SUM(LEN(A420)-LEN(SUBSTITUTE(A420,{"0","1","2"},""))))), LARGE(INDEX(ISNUMBER(--MID((LEFT(A420,SUM(LEN(A420)-LEN(SUBSTITUTE(A420,{"0","1","2"},""))))), ROW(INDIRECT("1:"&amp;LEN((LEFT(A420,SUM(LEN(A420)-LEN(SUBSTITUTE(A420,{"0","1","2"},"")))))))), 1)) * ROW(INDIRECT("1:"&amp;LEN((LEFT(A420,SUM(LEN(A420)-LEN(SUBSTITUTE(A420,{"0","1","2"},"")))))))), 0), ROW(INDIRECT("1:"&amp;LEN((LEFT(A420,SUM(LEN(A420)-LEN(SUBSTITUTE(A420,{"0","1","2"},"")))))))))+1, 1) * 10^ROW(INDIRECT("1:"&amp;LEN((LEFT(A420,SUM(LEN(A420)-LEN(SUBSTITUTE(A420,{"0","1","2"},""))))))))/10))*1+1&amp;""&amp;" &amp; "&amp;""&amp;(SUMPRODUCT(MID(0&amp;(--TRIM(RIGHT(SUBSTITUTE(LEFT(A420,_xlfn.AGGREGATE(16,6,FIND({0,1,2,3,4,5,6,7,8,9},A420,ROW(INDIRECT("1:"&amp;LEN(A420)))),1))," ",REPT(" ",LEN(A420))),LEN(A420)))), LARGE(INDEX(ISNUMBER(--MID((--TRIM(RIGHT(SUBSTITUTE(LEFT(A420,_xlfn.AGGREGATE(16,6,FIND({0,1,2,3,4,5,6,7,8,9},A420,ROW(INDIRECT("1:"&amp;LEN(A420)))),1))," ",REPT(" ",LEN(A420))),LEN(A420)))), ROW(INDIRECT("1:"&amp;LEN((--TRIM(RIGHT(SUBSTITUTE(LEFT(A420,_xlfn.AGGREGATE(16,6,FIND({0,1,2,3,4,5,6,7,8,9},A420,ROW(INDIRECT("1:"&amp;LEN(A420)))),1))," ",REPT(" ",LEN(A420))),LEN(A420))))))), 1)) * ROW(INDIRECT("1:"&amp;LEN((--TRIM(RIGHT(SUBSTITUTE(LEFT(A420,_xlfn.AGGREGATE(16,6,FIND({0,1,2,3,4,5,6,7,8,9},A420,ROW(INDIRECT("1:"&amp;LEN(A420)))),1))," ",REPT(" ",LEN(A420))),LEN(A420))))))), 0), ROW(INDIRECT("1:"&amp;LEN((--TRIM(RIGHT(SUBSTITUTE(LEFT(A420,_xlfn.AGGREGATE(16,6,FIND({0,1,2,3,4,5,6,7,8,9},A420,ROW(INDIRECT("1:"&amp;LEN(A420)))),1))," ",REPT(" ",LEN(A420))),LEN(A420))))))))+1, 1) * 10^ROW(INDIRECT("1:"&amp;LEN((--TRIM(RIGHT(SUBSTITUTE(LEFT(A420,_xlfn.AGGREGATE(16,6,FIND({0,1,2,3,4,5,6,7,8,9},A420,ROW(INDIRECT("1:"&amp;LEN(A420)))),1))," ",REPT(" ",LEN(A420))),LEN(A420)))))))/10))*1+1</f>
        <v>202 &amp; 502</v>
      </c>
      <c r="B421" s="157"/>
      <c r="C421" s="39"/>
      <c r="D421" s="39"/>
      <c r="E421" s="49">
        <v>0</v>
      </c>
      <c r="F421" s="49">
        <f>D421+E421</f>
        <v>0</v>
      </c>
      <c r="G421" s="49">
        <v>0</v>
      </c>
      <c r="H421" s="49">
        <f>F421*(($H$262)+1)+(IF(G421&lt;101,G421,IF(G421&lt;201,G421/2,IF(G421&lt;=301,G421/3,G421/4))))</f>
        <v>0</v>
      </c>
      <c r="I421" s="33"/>
    </row>
    <row r="422" spans="1:20" s="34" customFormat="1" ht="15.75" hidden="1" customHeight="1" x14ac:dyDescent="0.25">
      <c r="A422" s="156" t="str">
        <f ca="1">(SUMPRODUCT(MID(0&amp;(LEFT(A421,SUM(LEN(A421)-LEN(SUBSTITUTE(A421,{"0","1","2"},""))))), LARGE(INDEX(ISNUMBER(--MID((LEFT(A421,SUM(LEN(A421)-LEN(SUBSTITUTE(A421,{"0","1","2"},""))))), ROW(INDIRECT("1:"&amp;LEN((LEFT(A421,SUM(LEN(A421)-LEN(SUBSTITUTE(A421,{"0","1","2"},"")))))))), 1)) * ROW(INDIRECT("1:"&amp;LEN((LEFT(A421,SUM(LEN(A421)-LEN(SUBSTITUTE(A421,{"0","1","2"},"")))))))), 0), ROW(INDIRECT("1:"&amp;LEN((LEFT(A421,SUM(LEN(A421)-LEN(SUBSTITUTE(A421,{"0","1","2"},"")))))))))+1, 1) * 10^ROW(INDIRECT("1:"&amp;LEN((LEFT(A421,SUM(LEN(A421)-LEN(SUBSTITUTE(A421,{"0","1","2"},""))))))))/10))*1+1&amp;""&amp;" &amp; "&amp;""&amp;(SUMPRODUCT(MID(0&amp;(--TRIM(RIGHT(SUBSTITUTE(LEFT(A421,_xlfn.AGGREGATE(16,6,FIND({0,1,2,3,4,5,6,7,8,9},A421,ROW(INDIRECT("1:"&amp;LEN(A421)))),1))," ",REPT(" ",LEN(A421))),LEN(A421)))), LARGE(INDEX(ISNUMBER(--MID((--TRIM(RIGHT(SUBSTITUTE(LEFT(A421,_xlfn.AGGREGATE(16,6,FIND({0,1,2,3,4,5,6,7,8,9},A421,ROW(INDIRECT("1:"&amp;LEN(A421)))),1))," ",REPT(" ",LEN(A421))),LEN(A421)))), ROW(INDIRECT("1:"&amp;LEN((--TRIM(RIGHT(SUBSTITUTE(LEFT(A421,_xlfn.AGGREGATE(16,6,FIND({0,1,2,3,4,5,6,7,8,9},A421,ROW(INDIRECT("1:"&amp;LEN(A421)))),1))," ",REPT(" ",LEN(A421))),LEN(A421))))))), 1)) * ROW(INDIRECT("1:"&amp;LEN((--TRIM(RIGHT(SUBSTITUTE(LEFT(A421,_xlfn.AGGREGATE(16,6,FIND({0,1,2,3,4,5,6,7,8,9},A421,ROW(INDIRECT("1:"&amp;LEN(A421)))),1))," ",REPT(" ",LEN(A421))),LEN(A421))))))), 0), ROW(INDIRECT("1:"&amp;LEN((--TRIM(RIGHT(SUBSTITUTE(LEFT(A421,_xlfn.AGGREGATE(16,6,FIND({0,1,2,3,4,5,6,7,8,9},A421,ROW(INDIRECT("1:"&amp;LEN(A421)))),1))," ",REPT(" ",LEN(A421))),LEN(A421))))))))+1, 1) * 10^ROW(INDIRECT("1:"&amp;LEN((--TRIM(RIGHT(SUBSTITUTE(LEFT(A421,_xlfn.AGGREGATE(16,6,FIND({0,1,2,3,4,5,6,7,8,9},A421,ROW(INDIRECT("1:"&amp;LEN(A421)))),1))," ",REPT(" ",LEN(A421))),LEN(A421)))))))/10))*1+1</f>
        <v>203 &amp; 503</v>
      </c>
      <c r="B422" s="157"/>
      <c r="C422" s="39"/>
      <c r="D422" s="39"/>
      <c r="E422" s="49">
        <v>0</v>
      </c>
      <c r="F422" s="49">
        <f>D422+E422</f>
        <v>0</v>
      </c>
      <c r="G422" s="49">
        <v>0</v>
      </c>
      <c r="H422" s="49">
        <f>F422*(($H$262)+1)+(IF(G422&lt;101,G422,IF(G422&lt;201,G422/2,IF(G422&lt;=301,G422/3,G422/4))))</f>
        <v>0</v>
      </c>
      <c r="I422" s="33"/>
    </row>
    <row r="423" spans="1:20" s="34" customFormat="1" ht="15.75" hidden="1" customHeight="1" x14ac:dyDescent="0.25">
      <c r="A423" s="156" t="str">
        <f ca="1">(SUMPRODUCT(MID(0&amp;(LEFT(A422,SUM(LEN(A422)-LEN(SUBSTITUTE(A422,{"0","1","2"},""))))), LARGE(INDEX(ISNUMBER(--MID((LEFT(A422,SUM(LEN(A422)-LEN(SUBSTITUTE(A422,{"0","1","2"},""))))), ROW(INDIRECT("1:"&amp;LEN((LEFT(A422,SUM(LEN(A422)-LEN(SUBSTITUTE(A422,{"0","1","2"},"")))))))), 1)) * ROW(INDIRECT("1:"&amp;LEN((LEFT(A422,SUM(LEN(A422)-LEN(SUBSTITUTE(A422,{"0","1","2"},"")))))))), 0), ROW(INDIRECT("1:"&amp;LEN((LEFT(A422,SUM(LEN(A422)-LEN(SUBSTITUTE(A422,{"0","1","2"},"")))))))))+1, 1) * 10^ROW(INDIRECT("1:"&amp;LEN((LEFT(A422,SUM(LEN(A422)-LEN(SUBSTITUTE(A422,{"0","1","2"},""))))))))/10))*1+1&amp;""&amp;" &amp; "&amp;""&amp;(SUMPRODUCT(MID(0&amp;(--TRIM(RIGHT(SUBSTITUTE(LEFT(A422,_xlfn.AGGREGATE(16,6,FIND({0,1,2,3,4,5,6,7,8,9},A422,ROW(INDIRECT("1:"&amp;LEN(A422)))),1))," ",REPT(" ",LEN(A422))),LEN(A422)))), LARGE(INDEX(ISNUMBER(--MID((--TRIM(RIGHT(SUBSTITUTE(LEFT(A422,_xlfn.AGGREGATE(16,6,FIND({0,1,2,3,4,5,6,7,8,9},A422,ROW(INDIRECT("1:"&amp;LEN(A422)))),1))," ",REPT(" ",LEN(A422))),LEN(A422)))), ROW(INDIRECT("1:"&amp;LEN((--TRIM(RIGHT(SUBSTITUTE(LEFT(A422,_xlfn.AGGREGATE(16,6,FIND({0,1,2,3,4,5,6,7,8,9},A422,ROW(INDIRECT("1:"&amp;LEN(A422)))),1))," ",REPT(" ",LEN(A422))),LEN(A422))))))), 1)) * ROW(INDIRECT("1:"&amp;LEN((--TRIM(RIGHT(SUBSTITUTE(LEFT(A422,_xlfn.AGGREGATE(16,6,FIND({0,1,2,3,4,5,6,7,8,9},A422,ROW(INDIRECT("1:"&amp;LEN(A422)))),1))," ",REPT(" ",LEN(A422))),LEN(A422))))))), 0), ROW(INDIRECT("1:"&amp;LEN((--TRIM(RIGHT(SUBSTITUTE(LEFT(A422,_xlfn.AGGREGATE(16,6,FIND({0,1,2,3,4,5,6,7,8,9},A422,ROW(INDIRECT("1:"&amp;LEN(A422)))),1))," ",REPT(" ",LEN(A422))),LEN(A422))))))))+1, 1) * 10^ROW(INDIRECT("1:"&amp;LEN((--TRIM(RIGHT(SUBSTITUTE(LEFT(A422,_xlfn.AGGREGATE(16,6,FIND({0,1,2,3,4,5,6,7,8,9},A422,ROW(INDIRECT("1:"&amp;LEN(A422)))),1))," ",REPT(" ",LEN(A422))),LEN(A422)))))))/10))*1+1</f>
        <v>204 &amp; 504</v>
      </c>
      <c r="B423" s="157"/>
      <c r="C423" s="39"/>
      <c r="D423" s="39"/>
      <c r="E423" s="49">
        <v>0</v>
      </c>
      <c r="F423" s="49">
        <f>D423+E423</f>
        <v>0</v>
      </c>
      <c r="G423" s="49">
        <v>0</v>
      </c>
      <c r="H423" s="49">
        <f>F423*(($H$262)+1)+(IF(G423&lt;101,G423,IF(G423&lt;201,G423/2,IF(G423&lt;=301,G423/3,G423/4))))</f>
        <v>0</v>
      </c>
      <c r="I423" s="33"/>
    </row>
    <row r="424" spans="1:20" s="34" customFormat="1" ht="15.75" hidden="1" customHeight="1" x14ac:dyDescent="0.25">
      <c r="A424" s="156" t="str">
        <f ca="1">(SUMPRODUCT(MID(0&amp;(LEFT(A423,SUM(LEN(A423)-LEN(SUBSTITUTE(A423,{"0","1","2"},""))))), LARGE(INDEX(ISNUMBER(--MID((LEFT(A423,SUM(LEN(A423)-LEN(SUBSTITUTE(A423,{"0","1","2"},""))))), ROW(INDIRECT("1:"&amp;LEN((LEFT(A423,SUM(LEN(A423)-LEN(SUBSTITUTE(A423,{"0","1","2"},"")))))))), 1)) * ROW(INDIRECT("1:"&amp;LEN((LEFT(A423,SUM(LEN(A423)-LEN(SUBSTITUTE(A423,{"0","1","2"},"")))))))), 0), ROW(INDIRECT("1:"&amp;LEN((LEFT(A423,SUM(LEN(A423)-LEN(SUBSTITUTE(A423,{"0","1","2"},"")))))))))+1, 1) * 10^ROW(INDIRECT("1:"&amp;LEN((LEFT(A423,SUM(LEN(A423)-LEN(SUBSTITUTE(A423,{"0","1","2"},""))))))))/10))*1+1&amp;""&amp;" &amp; "&amp;""&amp;(SUMPRODUCT(MID(0&amp;(--TRIM(RIGHT(SUBSTITUTE(LEFT(A423,_xlfn.AGGREGATE(16,6,FIND({0,1,2,3,4,5,6,7,8,9},A423,ROW(INDIRECT("1:"&amp;LEN(A423)))),1))," ",REPT(" ",LEN(A423))),LEN(A423)))), LARGE(INDEX(ISNUMBER(--MID((--TRIM(RIGHT(SUBSTITUTE(LEFT(A423,_xlfn.AGGREGATE(16,6,FIND({0,1,2,3,4,5,6,7,8,9},A423,ROW(INDIRECT("1:"&amp;LEN(A423)))),1))," ",REPT(" ",LEN(A423))),LEN(A423)))), ROW(INDIRECT("1:"&amp;LEN((--TRIM(RIGHT(SUBSTITUTE(LEFT(A423,_xlfn.AGGREGATE(16,6,FIND({0,1,2,3,4,5,6,7,8,9},A423,ROW(INDIRECT("1:"&amp;LEN(A423)))),1))," ",REPT(" ",LEN(A423))),LEN(A423))))))), 1)) * ROW(INDIRECT("1:"&amp;LEN((--TRIM(RIGHT(SUBSTITUTE(LEFT(A423,_xlfn.AGGREGATE(16,6,FIND({0,1,2,3,4,5,6,7,8,9},A423,ROW(INDIRECT("1:"&amp;LEN(A423)))),1))," ",REPT(" ",LEN(A423))),LEN(A423))))))), 0), ROW(INDIRECT("1:"&amp;LEN((--TRIM(RIGHT(SUBSTITUTE(LEFT(A423,_xlfn.AGGREGATE(16,6,FIND({0,1,2,3,4,5,6,7,8,9},A423,ROW(INDIRECT("1:"&amp;LEN(A423)))),1))," ",REPT(" ",LEN(A423))),LEN(A423))))))))+1, 1) * 10^ROW(INDIRECT("1:"&amp;LEN((--TRIM(RIGHT(SUBSTITUTE(LEFT(A423,_xlfn.AGGREGATE(16,6,FIND({0,1,2,3,4,5,6,7,8,9},A423,ROW(INDIRECT("1:"&amp;LEN(A423)))),1))," ",REPT(" ",LEN(A423))),LEN(A423)))))))/10))*1+1</f>
        <v>205 &amp; 505</v>
      </c>
      <c r="B424" s="157"/>
      <c r="C424" s="39"/>
      <c r="D424" s="39"/>
      <c r="E424" s="49">
        <v>0</v>
      </c>
      <c r="F424" s="49">
        <f>D424+E424</f>
        <v>0</v>
      </c>
      <c r="G424" s="49">
        <v>0</v>
      </c>
      <c r="H424" s="49">
        <f>F424*(($H$262)+1)+(IF(G424&lt;101,G424,IF(G424&lt;201,G424/2,IF(G424&lt;=301,G424/3,G424/4))))</f>
        <v>0</v>
      </c>
      <c r="I424" s="33"/>
    </row>
    <row r="425" spans="1:20" s="32" customFormat="1" x14ac:dyDescent="0.25">
      <c r="A425" s="182" t="s">
        <v>64</v>
      </c>
      <c r="B425" s="182"/>
      <c r="C425" s="182"/>
      <c r="D425" s="182"/>
      <c r="E425" s="182"/>
      <c r="F425" s="182"/>
      <c r="G425" s="182"/>
      <c r="H425" s="182"/>
      <c r="T425" s="34"/>
    </row>
    <row r="426" spans="1:20" s="32" customFormat="1" ht="63" customHeight="1" x14ac:dyDescent="0.25">
      <c r="A426" s="120" t="s">
        <v>150</v>
      </c>
      <c r="B426" s="119" t="s">
        <v>428</v>
      </c>
      <c r="C426" s="119"/>
      <c r="D426" s="119"/>
      <c r="E426" s="119" t="s">
        <v>427</v>
      </c>
      <c r="F426" s="119"/>
      <c r="G426" s="119"/>
      <c r="H426" s="119"/>
      <c r="T426" s="34"/>
    </row>
    <row r="427" spans="1:20" s="32" customFormat="1" x14ac:dyDescent="0.25">
      <c r="A427" s="121"/>
      <c r="B427" s="119" t="s">
        <v>411</v>
      </c>
      <c r="C427" s="119"/>
      <c r="D427" s="119"/>
      <c r="E427" s="119" t="s">
        <v>429</v>
      </c>
      <c r="F427" s="119"/>
      <c r="G427" s="119"/>
      <c r="H427" s="119"/>
      <c r="T427" s="100"/>
    </row>
    <row r="428" spans="1:20" s="32" customFormat="1" x14ac:dyDescent="0.25">
      <c r="A428" s="41" t="s">
        <v>150</v>
      </c>
      <c r="B428" s="214" t="str">
        <f>(IF(H261="Saleable area Loading :","We have considered Saleable area of Flats as per our Calculation.","We considered Saleable area of Flat as per Builder area Sheet."))</f>
        <v>We have considered Saleable area of Flats as per our Calculation.</v>
      </c>
      <c r="C428" s="215"/>
      <c r="D428" s="215"/>
      <c r="E428" s="215"/>
      <c r="F428" s="215"/>
      <c r="G428" s="215"/>
      <c r="H428" s="216"/>
      <c r="T428" s="34"/>
    </row>
    <row r="429" spans="1:20" s="32" customFormat="1" x14ac:dyDescent="0.25">
      <c r="A429" s="41" t="s">
        <v>150</v>
      </c>
      <c r="B429" s="214" t="str">
        <f>(IF(H195="Saleable area Loading :","We have considered Saleable area of Commercial as per our Calculation.","We considered Saleable area of Commercial as per Builder area Sheet."))</f>
        <v>We have considered Saleable area of Commercial as per our Calculation.</v>
      </c>
      <c r="C429" s="215"/>
      <c r="D429" s="215"/>
      <c r="E429" s="215"/>
      <c r="F429" s="215"/>
      <c r="G429" s="215"/>
      <c r="H429" s="216"/>
      <c r="T429" s="34"/>
    </row>
    <row r="430" spans="1:20" s="32" customFormat="1" x14ac:dyDescent="0.25">
      <c r="A430" s="41" t="s">
        <v>150</v>
      </c>
      <c r="B430" s="122" t="s">
        <v>117</v>
      </c>
      <c r="C430" s="123"/>
      <c r="D430" s="123"/>
      <c r="E430" s="123"/>
      <c r="F430" s="123"/>
      <c r="G430" s="123"/>
      <c r="H430" s="124"/>
      <c r="T430" s="34"/>
    </row>
    <row r="431" spans="1:20" s="32" customFormat="1" x14ac:dyDescent="0.25">
      <c r="A431" s="41" t="s">
        <v>150</v>
      </c>
      <c r="B431" s="214" t="s">
        <v>426</v>
      </c>
      <c r="C431" s="215"/>
      <c r="D431" s="215"/>
      <c r="E431" s="215"/>
      <c r="F431" s="215"/>
      <c r="G431" s="215"/>
      <c r="H431" s="216"/>
      <c r="T431" s="34"/>
    </row>
    <row r="432" spans="1:20" s="32" customFormat="1" x14ac:dyDescent="0.25">
      <c r="A432" s="41" t="s">
        <v>150</v>
      </c>
      <c r="B432" s="122" t="s">
        <v>149</v>
      </c>
      <c r="C432" s="123"/>
      <c r="D432" s="123"/>
      <c r="E432" s="123"/>
      <c r="F432" s="123"/>
      <c r="G432" s="123"/>
      <c r="H432" s="124"/>
    </row>
    <row r="433" spans="1:20" s="32" customFormat="1" x14ac:dyDescent="0.25">
      <c r="A433" s="41" t="s">
        <v>150</v>
      </c>
      <c r="B433" s="122" t="s">
        <v>118</v>
      </c>
      <c r="C433" s="123"/>
      <c r="D433" s="123"/>
      <c r="E433" s="123"/>
      <c r="F433" s="123"/>
      <c r="G433" s="123"/>
      <c r="H433" s="124"/>
    </row>
    <row r="434" spans="1:20" s="32" customFormat="1" ht="34.5" customHeight="1" x14ac:dyDescent="0.25">
      <c r="A434" s="41" t="s">
        <v>150</v>
      </c>
      <c r="B434" s="214" t="s">
        <v>151</v>
      </c>
      <c r="C434" s="215"/>
      <c r="D434" s="215"/>
      <c r="E434" s="215"/>
      <c r="F434" s="215"/>
      <c r="G434" s="215"/>
      <c r="H434" s="216"/>
    </row>
    <row r="435" spans="1:20" s="32" customFormat="1" x14ac:dyDescent="0.25">
      <c r="A435" s="41" t="s">
        <v>150</v>
      </c>
      <c r="B435" s="122" t="s">
        <v>119</v>
      </c>
      <c r="C435" s="123"/>
      <c r="D435" s="123"/>
      <c r="E435" s="123"/>
      <c r="F435" s="123"/>
      <c r="G435" s="123"/>
      <c r="H435" s="124"/>
    </row>
    <row r="436" spans="1:20" s="32" customFormat="1" ht="32.25" hidden="1" customHeight="1" x14ac:dyDescent="0.25">
      <c r="A436" s="46" t="s">
        <v>150</v>
      </c>
      <c r="B436" s="217" t="s">
        <v>176</v>
      </c>
      <c r="C436" s="218"/>
      <c r="D436" s="218"/>
      <c r="E436" s="218"/>
      <c r="F436" s="218"/>
      <c r="G436" s="218"/>
      <c r="H436" s="219"/>
    </row>
    <row r="437" spans="1:20" s="32" customFormat="1" ht="38.25" hidden="1" customHeight="1" x14ac:dyDescent="0.25">
      <c r="A437" s="50" t="s">
        <v>150</v>
      </c>
      <c r="B437" s="217" t="s">
        <v>348</v>
      </c>
      <c r="C437" s="218"/>
      <c r="D437" s="218"/>
      <c r="E437" s="218"/>
      <c r="F437" s="218"/>
      <c r="G437" s="218"/>
      <c r="H437" s="219"/>
    </row>
    <row r="438" spans="1:20" s="32" customFormat="1" hidden="1" x14ac:dyDescent="0.25">
      <c r="A438" s="77" t="s">
        <v>150</v>
      </c>
      <c r="B438" s="217" t="s">
        <v>350</v>
      </c>
      <c r="C438" s="218"/>
      <c r="D438" s="218"/>
      <c r="E438" s="218"/>
      <c r="F438" s="218"/>
      <c r="G438" s="218"/>
      <c r="H438" s="219"/>
    </row>
    <row r="439" spans="1:20" s="32" customFormat="1" hidden="1" x14ac:dyDescent="0.25">
      <c r="A439" s="77" t="s">
        <v>150</v>
      </c>
      <c r="B439" s="217" t="str">
        <f ca="1">IF(G52&gt;EDATE(E3,-48),"NO REMARK FOR CC","REMARK FOR CC")</f>
        <v>NO REMARK FOR CC</v>
      </c>
      <c r="C439" s="218"/>
      <c r="D439" s="218"/>
      <c r="E439" s="218"/>
      <c r="F439" s="218"/>
      <c r="G439" s="218"/>
      <c r="H439" s="219"/>
    </row>
    <row r="440" spans="1:20" s="32" customFormat="1" ht="81.75" hidden="1" customHeight="1" x14ac:dyDescent="0.25">
      <c r="A440" s="78" t="s">
        <v>150</v>
      </c>
      <c r="B440" s="217" t="s">
        <v>351</v>
      </c>
      <c r="C440" s="218"/>
      <c r="D440" s="218"/>
      <c r="E440" s="218"/>
      <c r="F440" s="218"/>
      <c r="G440" s="218"/>
      <c r="H440" s="219"/>
    </row>
    <row r="441" spans="1:20" s="32" customFormat="1" x14ac:dyDescent="0.25">
      <c r="A441" s="98" t="s">
        <v>150</v>
      </c>
      <c r="B441" s="122" t="s">
        <v>434</v>
      </c>
      <c r="C441" s="123"/>
      <c r="D441" s="123"/>
      <c r="E441" s="123"/>
      <c r="F441" s="123"/>
      <c r="G441" s="123"/>
      <c r="H441" s="124"/>
    </row>
    <row r="442" spans="1:20" x14ac:dyDescent="0.25">
      <c r="A442" s="230" t="s">
        <v>57</v>
      </c>
      <c r="B442" s="230"/>
      <c r="C442" s="230"/>
      <c r="D442" s="230"/>
      <c r="E442" s="230"/>
      <c r="F442" s="230"/>
      <c r="G442" s="230"/>
      <c r="H442" s="230"/>
      <c r="T442" s="32"/>
    </row>
    <row r="443" spans="1:20" x14ac:dyDescent="0.25">
      <c r="A443" s="191" t="s">
        <v>58</v>
      </c>
      <c r="B443" s="191"/>
      <c r="C443" s="191"/>
      <c r="D443" s="191"/>
      <c r="E443" s="191"/>
      <c r="F443" s="191"/>
      <c r="G443" s="191"/>
      <c r="H443" s="191"/>
      <c r="T443" s="32"/>
    </row>
    <row r="444" spans="1:20" ht="15.75" customHeight="1" x14ac:dyDescent="0.25">
      <c r="A444" s="210" t="s">
        <v>59</v>
      </c>
      <c r="B444" s="210"/>
      <c r="C444" s="210"/>
      <c r="D444" s="210"/>
      <c r="E444" s="210"/>
      <c r="F444" s="210"/>
      <c r="G444" s="210"/>
      <c r="H444" s="210"/>
      <c r="T444" s="32"/>
    </row>
    <row r="445" spans="1:20" x14ac:dyDescent="0.25">
      <c r="A445" s="191" t="s">
        <v>60</v>
      </c>
      <c r="B445" s="191"/>
      <c r="C445" s="191"/>
      <c r="D445" s="191"/>
      <c r="E445" s="191"/>
      <c r="F445" s="191"/>
      <c r="G445" s="191"/>
      <c r="H445" s="191"/>
      <c r="T445" s="32"/>
    </row>
    <row r="446" spans="1:20" x14ac:dyDescent="0.25">
      <c r="A446" s="191" t="s">
        <v>61</v>
      </c>
      <c r="B446" s="191"/>
      <c r="C446" s="191"/>
      <c r="D446" s="191"/>
      <c r="E446" s="191"/>
      <c r="F446" s="191"/>
      <c r="G446" s="191"/>
      <c r="H446" s="191"/>
      <c r="T446" s="32"/>
    </row>
    <row r="447" spans="1:20" x14ac:dyDescent="0.25">
      <c r="A447" s="191" t="s">
        <v>120</v>
      </c>
      <c r="B447" s="191"/>
      <c r="C447" s="191"/>
      <c r="D447" s="191"/>
      <c r="E447" s="191"/>
      <c r="F447" s="191"/>
      <c r="G447" s="191"/>
      <c r="H447" s="191"/>
      <c r="T447" s="32"/>
    </row>
    <row r="448" spans="1:20" ht="33.950000000000003" customHeight="1" x14ac:dyDescent="0.25">
      <c r="A448" s="183" t="s">
        <v>121</v>
      </c>
      <c r="B448" s="183"/>
      <c r="C448" s="183"/>
      <c r="D448" s="183"/>
      <c r="E448" s="183"/>
      <c r="F448" s="183"/>
      <c r="G448" s="183"/>
      <c r="H448" s="183"/>
    </row>
    <row r="449" spans="1:8" x14ac:dyDescent="0.25">
      <c r="A449" s="226" t="s">
        <v>73</v>
      </c>
      <c r="B449" s="226"/>
      <c r="C449" s="226" t="s">
        <v>400</v>
      </c>
      <c r="D449" s="226"/>
      <c r="E449" s="226" t="s">
        <v>102</v>
      </c>
      <c r="F449" s="226"/>
      <c r="G449" s="226" t="s">
        <v>399</v>
      </c>
      <c r="H449" s="226"/>
    </row>
    <row r="450" spans="1:8" x14ac:dyDescent="0.25">
      <c r="A450" s="225" t="s">
        <v>75</v>
      </c>
      <c r="B450" s="225"/>
      <c r="C450" s="225"/>
      <c r="D450" s="225"/>
      <c r="E450" s="225"/>
      <c r="F450" s="225"/>
      <c r="G450" s="225"/>
      <c r="H450" s="225"/>
    </row>
    <row r="451" spans="1:8" x14ac:dyDescent="0.25">
      <c r="A451" s="225"/>
      <c r="B451" s="225"/>
      <c r="C451" s="225"/>
      <c r="D451" s="225"/>
      <c r="E451" s="225"/>
      <c r="F451" s="225"/>
      <c r="G451" s="225"/>
      <c r="H451" s="225"/>
    </row>
    <row r="452" spans="1:8" x14ac:dyDescent="0.25">
      <c r="A452" s="225"/>
      <c r="B452" s="225"/>
      <c r="C452" s="225"/>
      <c r="D452" s="225"/>
      <c r="E452" s="225"/>
      <c r="F452" s="225"/>
      <c r="G452" s="225"/>
      <c r="H452" s="225"/>
    </row>
    <row r="453" spans="1:8" x14ac:dyDescent="0.25">
      <c r="A453" s="225"/>
      <c r="B453" s="225"/>
      <c r="C453" s="225"/>
      <c r="D453" s="225"/>
      <c r="E453" s="225"/>
      <c r="F453" s="225"/>
      <c r="G453" s="225"/>
      <c r="H453" s="225"/>
    </row>
    <row r="454" spans="1:8" x14ac:dyDescent="0.25">
      <c r="A454" s="35" t="s">
        <v>62</v>
      </c>
      <c r="B454" s="36"/>
      <c r="C454" s="36"/>
      <c r="D454" s="35" t="str">
        <f>E9</f>
        <v>AV Smart City Phase 1</v>
      </c>
      <c r="F454" s="36"/>
      <c r="G454" s="36"/>
      <c r="H454" s="36"/>
    </row>
    <row r="455" spans="1:8" x14ac:dyDescent="0.25">
      <c r="A455" s="36"/>
      <c r="B455" s="36"/>
      <c r="C455" s="36"/>
      <c r="D455" s="36"/>
      <c r="E455" s="36"/>
      <c r="F455" s="36"/>
      <c r="G455" s="36"/>
      <c r="H455" s="36"/>
    </row>
    <row r="456" spans="1:8" x14ac:dyDescent="0.25">
      <c r="A456" s="36"/>
      <c r="B456" s="36"/>
      <c r="C456" s="36"/>
      <c r="D456" s="36"/>
      <c r="E456" s="36"/>
      <c r="F456" s="36"/>
      <c r="G456" s="36"/>
      <c r="H456" s="36"/>
    </row>
    <row r="457" spans="1:8" ht="15" customHeight="1" x14ac:dyDescent="0.25"/>
    <row r="497" spans="1:1" x14ac:dyDescent="0.25">
      <c r="A497" s="38" t="s">
        <v>161</v>
      </c>
    </row>
    <row r="540" spans="1:1" x14ac:dyDescent="0.25">
      <c r="A540" s="38" t="s">
        <v>63</v>
      </c>
    </row>
  </sheetData>
  <mergeCells count="757">
    <mergeCell ref="A374:B374"/>
    <mergeCell ref="L374:M374"/>
    <mergeCell ref="A375:B375"/>
    <mergeCell ref="L375:M375"/>
    <mergeCell ref="A376:B376"/>
    <mergeCell ref="L376:M376"/>
    <mergeCell ref="A377:B377"/>
    <mergeCell ref="L377:M377"/>
    <mergeCell ref="A378:B378"/>
    <mergeCell ref="L378:M378"/>
    <mergeCell ref="A369:H369"/>
    <mergeCell ref="A370:B370"/>
    <mergeCell ref="L370:M370"/>
    <mergeCell ref="A371:B371"/>
    <mergeCell ref="L371:M371"/>
    <mergeCell ref="A372:B372"/>
    <mergeCell ref="L372:M372"/>
    <mergeCell ref="A373:B373"/>
    <mergeCell ref="L373:M373"/>
    <mergeCell ref="A364:B364"/>
    <mergeCell ref="L364:M364"/>
    <mergeCell ref="A365:B365"/>
    <mergeCell ref="L365:M365"/>
    <mergeCell ref="A366:B366"/>
    <mergeCell ref="L366:M366"/>
    <mergeCell ref="A367:B367"/>
    <mergeCell ref="L367:M367"/>
    <mergeCell ref="A368:B368"/>
    <mergeCell ref="L368:M368"/>
    <mergeCell ref="A355:B355"/>
    <mergeCell ref="L355:M355"/>
    <mergeCell ref="A356:B356"/>
    <mergeCell ref="L356:M356"/>
    <mergeCell ref="A357:B357"/>
    <mergeCell ref="L357:M357"/>
    <mergeCell ref="A358:H358"/>
    <mergeCell ref="A245:H245"/>
    <mergeCell ref="A246:H246"/>
    <mergeCell ref="A247:B247"/>
    <mergeCell ref="L247:M247"/>
    <mergeCell ref="A248:B248"/>
    <mergeCell ref="L248:M248"/>
    <mergeCell ref="A249:B249"/>
    <mergeCell ref="L249:M249"/>
    <mergeCell ref="A250:B250"/>
    <mergeCell ref="L250:M250"/>
    <mergeCell ref="A251:B251"/>
    <mergeCell ref="L251:M251"/>
    <mergeCell ref="A252:B252"/>
    <mergeCell ref="L252:M252"/>
    <mergeCell ref="A253:B253"/>
    <mergeCell ref="L253:M253"/>
    <mergeCell ref="A254:B254"/>
    <mergeCell ref="A350:B350"/>
    <mergeCell ref="L350:M350"/>
    <mergeCell ref="A351:B351"/>
    <mergeCell ref="L351:M351"/>
    <mergeCell ref="A352:B352"/>
    <mergeCell ref="L352:M352"/>
    <mergeCell ref="A353:H353"/>
    <mergeCell ref="A354:B354"/>
    <mergeCell ref="L354:M354"/>
    <mergeCell ref="A345:B345"/>
    <mergeCell ref="L345:M345"/>
    <mergeCell ref="A346:B346"/>
    <mergeCell ref="L346:M346"/>
    <mergeCell ref="A347:B347"/>
    <mergeCell ref="L347:M347"/>
    <mergeCell ref="A348:B348"/>
    <mergeCell ref="L348:M348"/>
    <mergeCell ref="A349:B349"/>
    <mergeCell ref="L349:M349"/>
    <mergeCell ref="A339:B339"/>
    <mergeCell ref="L339:M339"/>
    <mergeCell ref="A340:B340"/>
    <mergeCell ref="L340:M340"/>
    <mergeCell ref="A341:H341"/>
    <mergeCell ref="A342:H342"/>
    <mergeCell ref="A343:H343"/>
    <mergeCell ref="A344:B344"/>
    <mergeCell ref="L344:M344"/>
    <mergeCell ref="A332:B332"/>
    <mergeCell ref="A333:B333"/>
    <mergeCell ref="A334:B334"/>
    <mergeCell ref="A335:B335"/>
    <mergeCell ref="A336:H336"/>
    <mergeCell ref="A337:B337"/>
    <mergeCell ref="L337:M337"/>
    <mergeCell ref="A338:B338"/>
    <mergeCell ref="L338:M338"/>
    <mergeCell ref="A324:B324"/>
    <mergeCell ref="A325:B325"/>
    <mergeCell ref="A326:H326"/>
    <mergeCell ref="L326:M326"/>
    <mergeCell ref="A327:B327"/>
    <mergeCell ref="A328:B328"/>
    <mergeCell ref="A329:B329"/>
    <mergeCell ref="A330:B330"/>
    <mergeCell ref="A331:B331"/>
    <mergeCell ref="A316:H316"/>
    <mergeCell ref="L316:M316"/>
    <mergeCell ref="A317:B317"/>
    <mergeCell ref="A318:B318"/>
    <mergeCell ref="A319:B319"/>
    <mergeCell ref="A320:B320"/>
    <mergeCell ref="A321:B321"/>
    <mergeCell ref="A322:B322"/>
    <mergeCell ref="A323:B323"/>
    <mergeCell ref="A313:B313"/>
    <mergeCell ref="L313:M313"/>
    <mergeCell ref="A314:B314"/>
    <mergeCell ref="L314:M314"/>
    <mergeCell ref="A315:H315"/>
    <mergeCell ref="A230:H230"/>
    <mergeCell ref="A236:B236"/>
    <mergeCell ref="L236:M236"/>
    <mergeCell ref="A237:B237"/>
    <mergeCell ref="L237:M237"/>
    <mergeCell ref="A238:B238"/>
    <mergeCell ref="L238:M238"/>
    <mergeCell ref="A239:B239"/>
    <mergeCell ref="L239:M239"/>
    <mergeCell ref="A240:B240"/>
    <mergeCell ref="L240:M240"/>
    <mergeCell ref="A241:B241"/>
    <mergeCell ref="L241:M241"/>
    <mergeCell ref="A242:B242"/>
    <mergeCell ref="L242:M242"/>
    <mergeCell ref="A243:B243"/>
    <mergeCell ref="L243:M243"/>
    <mergeCell ref="A244:B244"/>
    <mergeCell ref="L244:M244"/>
    <mergeCell ref="A305:B305"/>
    <mergeCell ref="A306:B306"/>
    <mergeCell ref="A307:B307"/>
    <mergeCell ref="A308:B308"/>
    <mergeCell ref="A309:B309"/>
    <mergeCell ref="A310:H310"/>
    <mergeCell ref="A311:B311"/>
    <mergeCell ref="L311:M311"/>
    <mergeCell ref="A312:B312"/>
    <mergeCell ref="L312:M312"/>
    <mergeCell ref="A297:B297"/>
    <mergeCell ref="A298:B298"/>
    <mergeCell ref="A299:B299"/>
    <mergeCell ref="A300:H300"/>
    <mergeCell ref="L300:M300"/>
    <mergeCell ref="A301:B301"/>
    <mergeCell ref="A302:B302"/>
    <mergeCell ref="A303:B303"/>
    <mergeCell ref="A304:B304"/>
    <mergeCell ref="A289:H289"/>
    <mergeCell ref="A290:H290"/>
    <mergeCell ref="L290:M290"/>
    <mergeCell ref="A291:B291"/>
    <mergeCell ref="A292:B292"/>
    <mergeCell ref="A293:B293"/>
    <mergeCell ref="A294:B294"/>
    <mergeCell ref="A295:B295"/>
    <mergeCell ref="A296:B296"/>
    <mergeCell ref="A284:H284"/>
    <mergeCell ref="A285:B285"/>
    <mergeCell ref="L285:M285"/>
    <mergeCell ref="A286:B286"/>
    <mergeCell ref="L286:M286"/>
    <mergeCell ref="A287:B287"/>
    <mergeCell ref="L287:M287"/>
    <mergeCell ref="A288:B288"/>
    <mergeCell ref="L288:M288"/>
    <mergeCell ref="A275:B275"/>
    <mergeCell ref="A276:B276"/>
    <mergeCell ref="A277:B277"/>
    <mergeCell ref="A278:B278"/>
    <mergeCell ref="A279:B279"/>
    <mergeCell ref="A280:B280"/>
    <mergeCell ref="A281:B281"/>
    <mergeCell ref="A282:B282"/>
    <mergeCell ref="A283:B283"/>
    <mergeCell ref="A267:B267"/>
    <mergeCell ref="A268:B268"/>
    <mergeCell ref="A269:B269"/>
    <mergeCell ref="A270:B270"/>
    <mergeCell ref="A271:B271"/>
    <mergeCell ref="A272:B272"/>
    <mergeCell ref="A273:B273"/>
    <mergeCell ref="A274:H274"/>
    <mergeCell ref="L274:M274"/>
    <mergeCell ref="A229:B229"/>
    <mergeCell ref="L229:M229"/>
    <mergeCell ref="A263:H263"/>
    <mergeCell ref="A264:H264"/>
    <mergeCell ref="L264:M264"/>
    <mergeCell ref="A265:B265"/>
    <mergeCell ref="A266:B266"/>
    <mergeCell ref="L254:M254"/>
    <mergeCell ref="A255:B255"/>
    <mergeCell ref="L255:M255"/>
    <mergeCell ref="A256:B256"/>
    <mergeCell ref="L256:M256"/>
    <mergeCell ref="A257:B257"/>
    <mergeCell ref="L257:M257"/>
    <mergeCell ref="A258:B258"/>
    <mergeCell ref="L258:M258"/>
    <mergeCell ref="A259:B259"/>
    <mergeCell ref="L259:M259"/>
    <mergeCell ref="A219:H219"/>
    <mergeCell ref="A225:B225"/>
    <mergeCell ref="L225:M225"/>
    <mergeCell ref="A226:B226"/>
    <mergeCell ref="L226:M226"/>
    <mergeCell ref="A227:B227"/>
    <mergeCell ref="L227:M227"/>
    <mergeCell ref="A228:B228"/>
    <mergeCell ref="L228:M228"/>
    <mergeCell ref="A220:H220"/>
    <mergeCell ref="A221:B221"/>
    <mergeCell ref="L221:M221"/>
    <mergeCell ref="A222:B222"/>
    <mergeCell ref="L222:M222"/>
    <mergeCell ref="A223:B223"/>
    <mergeCell ref="L223:M223"/>
    <mergeCell ref="A224:B224"/>
    <mergeCell ref="L224:M224"/>
    <mergeCell ref="A214:B214"/>
    <mergeCell ref="L214:M214"/>
    <mergeCell ref="A215:B215"/>
    <mergeCell ref="L215:M215"/>
    <mergeCell ref="A216:B216"/>
    <mergeCell ref="L216:M216"/>
    <mergeCell ref="A217:B217"/>
    <mergeCell ref="L217:M217"/>
    <mergeCell ref="A218:B218"/>
    <mergeCell ref="L218:M218"/>
    <mergeCell ref="L209:M209"/>
    <mergeCell ref="A210:B210"/>
    <mergeCell ref="L210:M210"/>
    <mergeCell ref="A211:B211"/>
    <mergeCell ref="L211:M211"/>
    <mergeCell ref="A212:B212"/>
    <mergeCell ref="L212:M212"/>
    <mergeCell ref="A213:B213"/>
    <mergeCell ref="L213:M213"/>
    <mergeCell ref="L204:M204"/>
    <mergeCell ref="A205:B205"/>
    <mergeCell ref="L205:M205"/>
    <mergeCell ref="A206:B206"/>
    <mergeCell ref="L206:M206"/>
    <mergeCell ref="A207:B207"/>
    <mergeCell ref="L207:M207"/>
    <mergeCell ref="A208:B208"/>
    <mergeCell ref="L208:M208"/>
    <mergeCell ref="L199:M199"/>
    <mergeCell ref="A200:B200"/>
    <mergeCell ref="L200:M200"/>
    <mergeCell ref="A201:B201"/>
    <mergeCell ref="L201:M201"/>
    <mergeCell ref="A202:B202"/>
    <mergeCell ref="L202:M202"/>
    <mergeCell ref="A203:B203"/>
    <mergeCell ref="L203:M203"/>
    <mergeCell ref="B261:B262"/>
    <mergeCell ref="B429:H429"/>
    <mergeCell ref="A96:B96"/>
    <mergeCell ref="E96:F96"/>
    <mergeCell ref="E97:F106"/>
    <mergeCell ref="A107:B107"/>
    <mergeCell ref="C107:H107"/>
    <mergeCell ref="A109:B109"/>
    <mergeCell ref="C109:H109"/>
    <mergeCell ref="A110:B110"/>
    <mergeCell ref="E110:F110"/>
    <mergeCell ref="G110:H110"/>
    <mergeCell ref="A111:B111"/>
    <mergeCell ref="E111:F120"/>
    <mergeCell ref="G111:H120"/>
    <mergeCell ref="A112:B112"/>
    <mergeCell ref="A113:B113"/>
    <mergeCell ref="A114:B114"/>
    <mergeCell ref="A116:B116"/>
    <mergeCell ref="A197:H197"/>
    <mergeCell ref="A198:H198"/>
    <mergeCell ref="A199:B199"/>
    <mergeCell ref="A204:B204"/>
    <mergeCell ref="A209:B209"/>
    <mergeCell ref="A85:B85"/>
    <mergeCell ref="E83:F92"/>
    <mergeCell ref="G83:H92"/>
    <mergeCell ref="B437:H437"/>
    <mergeCell ref="A168:E168"/>
    <mergeCell ref="A191:B191"/>
    <mergeCell ref="E191:F191"/>
    <mergeCell ref="A173:E173"/>
    <mergeCell ref="G191:H191"/>
    <mergeCell ref="C179:D179"/>
    <mergeCell ref="E179:F179"/>
    <mergeCell ref="G179:H179"/>
    <mergeCell ref="A182:B182"/>
    <mergeCell ref="C182:D182"/>
    <mergeCell ref="E182:F182"/>
    <mergeCell ref="G182:H182"/>
    <mergeCell ref="A186:B186"/>
    <mergeCell ref="C186:D186"/>
    <mergeCell ref="E186:F186"/>
    <mergeCell ref="A102:B102"/>
    <mergeCell ref="G96:H96"/>
    <mergeCell ref="B435:H435"/>
    <mergeCell ref="A104:B104"/>
    <mergeCell ref="A408:B408"/>
    <mergeCell ref="L401:M401"/>
    <mergeCell ref="A406:B406"/>
    <mergeCell ref="A403:B403"/>
    <mergeCell ref="A404:B404"/>
    <mergeCell ref="A414:B414"/>
    <mergeCell ref="A40:B40"/>
    <mergeCell ref="C40:H40"/>
    <mergeCell ref="F195:F196"/>
    <mergeCell ref="C178:D178"/>
    <mergeCell ref="E178:F178"/>
    <mergeCell ref="B195:B196"/>
    <mergeCell ref="A195:A196"/>
    <mergeCell ref="C261:C262"/>
    <mergeCell ref="G261:G262"/>
    <mergeCell ref="L363:M363"/>
    <mergeCell ref="L360:M360"/>
    <mergeCell ref="A361:B361"/>
    <mergeCell ref="G192:H192"/>
    <mergeCell ref="L361:M361"/>
    <mergeCell ref="A362:B362"/>
    <mergeCell ref="L362:M362"/>
    <mergeCell ref="A115:B115"/>
    <mergeCell ref="A117:B117"/>
    <mergeCell ref="A119:B119"/>
    <mergeCell ref="A38:H38"/>
    <mergeCell ref="L235:M235"/>
    <mergeCell ref="L234:M234"/>
    <mergeCell ref="L233:M233"/>
    <mergeCell ref="L232:M232"/>
    <mergeCell ref="A90:B90"/>
    <mergeCell ref="C185:D185"/>
    <mergeCell ref="E185:F185"/>
    <mergeCell ref="G185:H185"/>
    <mergeCell ref="A164:E164"/>
    <mergeCell ref="A93:B93"/>
    <mergeCell ref="C93:H93"/>
    <mergeCell ref="A231:H231"/>
    <mergeCell ref="E195:E196"/>
    <mergeCell ref="A97:B97"/>
    <mergeCell ref="C95:H95"/>
    <mergeCell ref="A98:B98"/>
    <mergeCell ref="A99:B99"/>
    <mergeCell ref="G97:H106"/>
    <mergeCell ref="A100:B100"/>
    <mergeCell ref="F165:H165"/>
    <mergeCell ref="A165:E165"/>
    <mergeCell ref="E192:F192"/>
    <mergeCell ref="A232:B232"/>
    <mergeCell ref="A95:B95"/>
    <mergeCell ref="C53:H53"/>
    <mergeCell ref="A63:C63"/>
    <mergeCell ref="A72:C72"/>
    <mergeCell ref="A73:C73"/>
    <mergeCell ref="D72:H72"/>
    <mergeCell ref="F37:H37"/>
    <mergeCell ref="C51:E51"/>
    <mergeCell ref="C50:E50"/>
    <mergeCell ref="G50:H50"/>
    <mergeCell ref="A51:B51"/>
    <mergeCell ref="G56:H56"/>
    <mergeCell ref="G58:H58"/>
    <mergeCell ref="G51:H51"/>
    <mergeCell ref="A39:B39"/>
    <mergeCell ref="C39:H39"/>
    <mergeCell ref="C55:H55"/>
    <mergeCell ref="A52:B53"/>
    <mergeCell ref="C54:E54"/>
    <mergeCell ref="C52:E52"/>
    <mergeCell ref="A64:C64"/>
    <mergeCell ref="C56:E56"/>
    <mergeCell ref="G54:H54"/>
    <mergeCell ref="A56:B57"/>
    <mergeCell ref="G59:H59"/>
    <mergeCell ref="E42:H42"/>
    <mergeCell ref="A41:H41"/>
    <mergeCell ref="A82:B82"/>
    <mergeCell ref="A46:D46"/>
    <mergeCell ref="A47:D47"/>
    <mergeCell ref="D73:H73"/>
    <mergeCell ref="A44:D44"/>
    <mergeCell ref="E44:H44"/>
    <mergeCell ref="E45:H45"/>
    <mergeCell ref="E46:H46"/>
    <mergeCell ref="E47:H47"/>
    <mergeCell ref="C57:H57"/>
    <mergeCell ref="A48:H48"/>
    <mergeCell ref="D65:H65"/>
    <mergeCell ref="A65:C65"/>
    <mergeCell ref="A45:D45"/>
    <mergeCell ref="A49:B49"/>
    <mergeCell ref="C49:H49"/>
    <mergeCell ref="D66:H66"/>
    <mergeCell ref="D67:H67"/>
    <mergeCell ref="G52:H52"/>
    <mergeCell ref="A62:H62"/>
    <mergeCell ref="A81:B81"/>
    <mergeCell ref="A79:B79"/>
    <mergeCell ref="C79:H79"/>
    <mergeCell ref="A74:C74"/>
    <mergeCell ref="D74:H74"/>
    <mergeCell ref="C81:H81"/>
    <mergeCell ref="A75:C75"/>
    <mergeCell ref="D75:H75"/>
    <mergeCell ref="A78:C78"/>
    <mergeCell ref="D78:H78"/>
    <mergeCell ref="A77:C77"/>
    <mergeCell ref="A58:B60"/>
    <mergeCell ref="C60:H60"/>
    <mergeCell ref="C58:E59"/>
    <mergeCell ref="E43:H43"/>
    <mergeCell ref="A43:D43"/>
    <mergeCell ref="A36:B36"/>
    <mergeCell ref="C36:E36"/>
    <mergeCell ref="A31:D31"/>
    <mergeCell ref="E31:H31"/>
    <mergeCell ref="A32:D32"/>
    <mergeCell ref="E32:H32"/>
    <mergeCell ref="C33:E33"/>
    <mergeCell ref="F36:H36"/>
    <mergeCell ref="F33:H33"/>
    <mergeCell ref="A34:B34"/>
    <mergeCell ref="A33:B33"/>
    <mergeCell ref="C34:E34"/>
    <mergeCell ref="A35:B35"/>
    <mergeCell ref="C35:E35"/>
    <mergeCell ref="F34:H34"/>
    <mergeCell ref="F35:H35"/>
    <mergeCell ref="A37:B37"/>
    <mergeCell ref="C37:E37"/>
    <mergeCell ref="A42:D42"/>
    <mergeCell ref="A25:D25"/>
    <mergeCell ref="E25:H25"/>
    <mergeCell ref="A30:D30"/>
    <mergeCell ref="E30:H30"/>
    <mergeCell ref="A27:D27"/>
    <mergeCell ref="E20:F20"/>
    <mergeCell ref="G20:H20"/>
    <mergeCell ref="A21:B21"/>
    <mergeCell ref="C21:D21"/>
    <mergeCell ref="E21:F21"/>
    <mergeCell ref="G21:H21"/>
    <mergeCell ref="A22:B22"/>
    <mergeCell ref="C22:D22"/>
    <mergeCell ref="E22:F22"/>
    <mergeCell ref="G22:H22"/>
    <mergeCell ref="E23:H24"/>
    <mergeCell ref="E27:H27"/>
    <mergeCell ref="A29:D29"/>
    <mergeCell ref="E29:H29"/>
    <mergeCell ref="A26:D26"/>
    <mergeCell ref="E26:H26"/>
    <mergeCell ref="A28:D28"/>
    <mergeCell ref="E28:H28"/>
    <mergeCell ref="E14:H14"/>
    <mergeCell ref="A15:D15"/>
    <mergeCell ref="A11:D11"/>
    <mergeCell ref="E11:H11"/>
    <mergeCell ref="A23:D24"/>
    <mergeCell ref="A12:D12"/>
    <mergeCell ref="E12:H12"/>
    <mergeCell ref="A17:B17"/>
    <mergeCell ref="A14:D14"/>
    <mergeCell ref="A19:B19"/>
    <mergeCell ref="C19:D19"/>
    <mergeCell ref="E19:F19"/>
    <mergeCell ref="G19:H19"/>
    <mergeCell ref="A20:B20"/>
    <mergeCell ref="C20:D20"/>
    <mergeCell ref="E15:H15"/>
    <mergeCell ref="A16:B16"/>
    <mergeCell ref="C16:H16"/>
    <mergeCell ref="C17:H17"/>
    <mergeCell ref="A18:B18"/>
    <mergeCell ref="C18:H18"/>
    <mergeCell ref="A13:D13"/>
    <mergeCell ref="E13:H13"/>
    <mergeCell ref="A1:H1"/>
    <mergeCell ref="A2:H2"/>
    <mergeCell ref="A3:D3"/>
    <mergeCell ref="E3:H3"/>
    <mergeCell ref="A5:D5"/>
    <mergeCell ref="A9:D9"/>
    <mergeCell ref="E9:H9"/>
    <mergeCell ref="A10:D10"/>
    <mergeCell ref="E10:H10"/>
    <mergeCell ref="E5:H5"/>
    <mergeCell ref="A6:D6"/>
    <mergeCell ref="E6:H6"/>
    <mergeCell ref="A7:D7"/>
    <mergeCell ref="E7:H7"/>
    <mergeCell ref="A8:D8"/>
    <mergeCell ref="E8:H8"/>
    <mergeCell ref="A4:D4"/>
    <mergeCell ref="E4:H4"/>
    <mergeCell ref="A450:H453"/>
    <mergeCell ref="A449:B449"/>
    <mergeCell ref="E449:F449"/>
    <mergeCell ref="C449:D449"/>
    <mergeCell ref="G449:H449"/>
    <mergeCell ref="A176:H176"/>
    <mergeCell ref="A174:E174"/>
    <mergeCell ref="F174:H174"/>
    <mergeCell ref="A175:E175"/>
    <mergeCell ref="F175:H175"/>
    <mergeCell ref="A401:H401"/>
    <mergeCell ref="A185:B185"/>
    <mergeCell ref="A410:B410"/>
    <mergeCell ref="A178:B178"/>
    <mergeCell ref="A445:H445"/>
    <mergeCell ref="A183:H183"/>
    <mergeCell ref="A448:H448"/>
    <mergeCell ref="A446:H446"/>
    <mergeCell ref="A442:H442"/>
    <mergeCell ref="G184:H184"/>
    <mergeCell ref="B432:H432"/>
    <mergeCell ref="A416:B416"/>
    <mergeCell ref="A405:B405"/>
    <mergeCell ref="C192:D192"/>
    <mergeCell ref="A105:B105"/>
    <mergeCell ref="A166:E166"/>
    <mergeCell ref="A163:E163"/>
    <mergeCell ref="F167:H167"/>
    <mergeCell ref="A412:B412"/>
    <mergeCell ref="A167:E167"/>
    <mergeCell ref="A363:B363"/>
    <mergeCell ref="B434:H434"/>
    <mergeCell ref="G195:G196"/>
    <mergeCell ref="A415:B415"/>
    <mergeCell ref="A423:B423"/>
    <mergeCell ref="B428:H428"/>
    <mergeCell ref="B430:H430"/>
    <mergeCell ref="F163:H163"/>
    <mergeCell ref="F168:H168"/>
    <mergeCell ref="A360:B360"/>
    <mergeCell ref="A235:B235"/>
    <mergeCell ref="A234:B234"/>
    <mergeCell ref="F169:H169"/>
    <mergeCell ref="A171:E171"/>
    <mergeCell ref="A118:B118"/>
    <mergeCell ref="B433:H433"/>
    <mergeCell ref="A120:B120"/>
    <mergeCell ref="C195:C196"/>
    <mergeCell ref="A447:H447"/>
    <mergeCell ref="A444:H444"/>
    <mergeCell ref="A402:B402"/>
    <mergeCell ref="A184:B184"/>
    <mergeCell ref="D261:D262"/>
    <mergeCell ref="E261:E262"/>
    <mergeCell ref="A101:B101"/>
    <mergeCell ref="A103:B103"/>
    <mergeCell ref="F164:H164"/>
    <mergeCell ref="G178:H178"/>
    <mergeCell ref="A106:B106"/>
    <mergeCell ref="F170:H170"/>
    <mergeCell ref="C177:D177"/>
    <mergeCell ref="C191:D191"/>
    <mergeCell ref="A359:H359"/>
    <mergeCell ref="A411:B411"/>
    <mergeCell ref="B431:H431"/>
    <mergeCell ref="A420:B420"/>
    <mergeCell ref="A421:B421"/>
    <mergeCell ref="A424:B424"/>
    <mergeCell ref="B439:H439"/>
    <mergeCell ref="B438:H438"/>
    <mergeCell ref="F166:H166"/>
    <mergeCell ref="A170:E170"/>
    <mergeCell ref="A443:H443"/>
    <mergeCell ref="A169:E169"/>
    <mergeCell ref="A89:B89"/>
    <mergeCell ref="I15:P15"/>
    <mergeCell ref="F173:H173"/>
    <mergeCell ref="F171:H171"/>
    <mergeCell ref="A409:B409"/>
    <mergeCell ref="A194:H194"/>
    <mergeCell ref="G177:H177"/>
    <mergeCell ref="A172:E172"/>
    <mergeCell ref="A233:B233"/>
    <mergeCell ref="A61:B61"/>
    <mergeCell ref="C61:E61"/>
    <mergeCell ref="D63:H63"/>
    <mergeCell ref="F172:H172"/>
    <mergeCell ref="E177:F177"/>
    <mergeCell ref="A177:B177"/>
    <mergeCell ref="A179:B179"/>
    <mergeCell ref="C184:D184"/>
    <mergeCell ref="D76:H76"/>
    <mergeCell ref="D64:H64"/>
    <mergeCell ref="G61:H61"/>
    <mergeCell ref="A54:B55"/>
    <mergeCell ref="A260:H260"/>
    <mergeCell ref="A88:B88"/>
    <mergeCell ref="A50:B50"/>
    <mergeCell ref="D68:H68"/>
    <mergeCell ref="A425:H425"/>
    <mergeCell ref="A417:B417"/>
    <mergeCell ref="A418:B418"/>
    <mergeCell ref="A413:H413"/>
    <mergeCell ref="A407:H407"/>
    <mergeCell ref="A422:B422"/>
    <mergeCell ref="A419:H419"/>
    <mergeCell ref="A76:C76"/>
    <mergeCell ref="D77:H77"/>
    <mergeCell ref="A83:B83"/>
    <mergeCell ref="G82:H82"/>
    <mergeCell ref="A91:B91"/>
    <mergeCell ref="A92:B92"/>
    <mergeCell ref="A87:B87"/>
    <mergeCell ref="A86:B86"/>
    <mergeCell ref="E82:F82"/>
    <mergeCell ref="A84:B84"/>
    <mergeCell ref="E184:F184"/>
    <mergeCell ref="A193:H193"/>
    <mergeCell ref="A261:A262"/>
    <mergeCell ref="F261:F262"/>
    <mergeCell ref="L387:M387"/>
    <mergeCell ref="A388:B388"/>
    <mergeCell ref="L388:M388"/>
    <mergeCell ref="A384:H384"/>
    <mergeCell ref="A385:H385"/>
    <mergeCell ref="A386:H386"/>
    <mergeCell ref="A379:H379"/>
    <mergeCell ref="A380:B380"/>
    <mergeCell ref="L380:M380"/>
    <mergeCell ref="A381:B381"/>
    <mergeCell ref="L381:M381"/>
    <mergeCell ref="A382:B382"/>
    <mergeCell ref="L382:M382"/>
    <mergeCell ref="A383:B383"/>
    <mergeCell ref="L383:M383"/>
    <mergeCell ref="L394:M394"/>
    <mergeCell ref="A395:B395"/>
    <mergeCell ref="L395:M395"/>
    <mergeCell ref="A396:H396"/>
    <mergeCell ref="A397:B397"/>
    <mergeCell ref="L397:M397"/>
    <mergeCell ref="A398:B398"/>
    <mergeCell ref="L398:M398"/>
    <mergeCell ref="A389:B389"/>
    <mergeCell ref="L389:M389"/>
    <mergeCell ref="A390:B390"/>
    <mergeCell ref="L390:M390"/>
    <mergeCell ref="A391:B391"/>
    <mergeCell ref="L391:M391"/>
    <mergeCell ref="A392:B392"/>
    <mergeCell ref="L392:M392"/>
    <mergeCell ref="A393:B393"/>
    <mergeCell ref="L393:M393"/>
    <mergeCell ref="L399:M399"/>
    <mergeCell ref="A400:B400"/>
    <mergeCell ref="L400:M400"/>
    <mergeCell ref="D69:H69"/>
    <mergeCell ref="D70:H70"/>
    <mergeCell ref="D71:H71"/>
    <mergeCell ref="A66:C71"/>
    <mergeCell ref="A121:B121"/>
    <mergeCell ref="C121:H121"/>
    <mergeCell ref="A123:B123"/>
    <mergeCell ref="C123:H123"/>
    <mergeCell ref="A124:B124"/>
    <mergeCell ref="E124:F124"/>
    <mergeCell ref="G124:H124"/>
    <mergeCell ref="A125:B125"/>
    <mergeCell ref="E125:F134"/>
    <mergeCell ref="G125:H134"/>
    <mergeCell ref="A126:B126"/>
    <mergeCell ref="A127:B127"/>
    <mergeCell ref="A128:B128"/>
    <mergeCell ref="A129:B129"/>
    <mergeCell ref="A130:B130"/>
    <mergeCell ref="A131:B131"/>
    <mergeCell ref="A394:B394"/>
    <mergeCell ref="A132:B132"/>
    <mergeCell ref="A133:B133"/>
    <mergeCell ref="A134:B134"/>
    <mergeCell ref="A135:B135"/>
    <mergeCell ref="C135:H135"/>
    <mergeCell ref="A137:B137"/>
    <mergeCell ref="C137:H137"/>
    <mergeCell ref="A138:B138"/>
    <mergeCell ref="E138:F138"/>
    <mergeCell ref="G138:H138"/>
    <mergeCell ref="A139:B139"/>
    <mergeCell ref="E139:F148"/>
    <mergeCell ref="G139:H148"/>
    <mergeCell ref="A140:B140"/>
    <mergeCell ref="A141:B141"/>
    <mergeCell ref="A142:B142"/>
    <mergeCell ref="A143:B143"/>
    <mergeCell ref="A144:B144"/>
    <mergeCell ref="A145:B145"/>
    <mergeCell ref="A146:B146"/>
    <mergeCell ref="A147:B147"/>
    <mergeCell ref="A148:B148"/>
    <mergeCell ref="A149:B149"/>
    <mergeCell ref="C149:H149"/>
    <mergeCell ref="A151:B151"/>
    <mergeCell ref="C151:H151"/>
    <mergeCell ref="A152:B152"/>
    <mergeCell ref="E152:F152"/>
    <mergeCell ref="G152:H152"/>
    <mergeCell ref="A153:B153"/>
    <mergeCell ref="E153:F162"/>
    <mergeCell ref="G153:H162"/>
    <mergeCell ref="A154:B154"/>
    <mergeCell ref="A155:B155"/>
    <mergeCell ref="A156:B156"/>
    <mergeCell ref="A157:B157"/>
    <mergeCell ref="A158:B158"/>
    <mergeCell ref="A159:B159"/>
    <mergeCell ref="A160:B160"/>
    <mergeCell ref="A161:B161"/>
    <mergeCell ref="A162:B162"/>
    <mergeCell ref="A180:B180"/>
    <mergeCell ref="C180:D180"/>
    <mergeCell ref="E180:F180"/>
    <mergeCell ref="G180:H180"/>
    <mergeCell ref="A181:B181"/>
    <mergeCell ref="C181:D181"/>
    <mergeCell ref="E181:F181"/>
    <mergeCell ref="G181:H181"/>
    <mergeCell ref="A187:B187"/>
    <mergeCell ref="C187:D187"/>
    <mergeCell ref="E187:F187"/>
    <mergeCell ref="G187:H187"/>
    <mergeCell ref="G186:H186"/>
    <mergeCell ref="B426:D426"/>
    <mergeCell ref="E426:H426"/>
    <mergeCell ref="B427:D427"/>
    <mergeCell ref="E427:H427"/>
    <mergeCell ref="A426:A427"/>
    <mergeCell ref="B441:H441"/>
    <mergeCell ref="A188:B188"/>
    <mergeCell ref="C188:D188"/>
    <mergeCell ref="E188:F188"/>
    <mergeCell ref="G188:H188"/>
    <mergeCell ref="A189:B189"/>
    <mergeCell ref="C189:D189"/>
    <mergeCell ref="E189:F189"/>
    <mergeCell ref="G189:H189"/>
    <mergeCell ref="A190:B190"/>
    <mergeCell ref="C190:D190"/>
    <mergeCell ref="E190:F190"/>
    <mergeCell ref="G190:H190"/>
    <mergeCell ref="A399:B399"/>
    <mergeCell ref="A387:B387"/>
    <mergeCell ref="D195:D196"/>
    <mergeCell ref="B436:H436"/>
    <mergeCell ref="A192:B192"/>
    <mergeCell ref="B440:H440"/>
  </mergeCells>
  <dataValidations count="17">
    <dataValidation type="list" allowBlank="1" showInputMessage="1" showErrorMessage="1" sqref="E5:H5">
      <formula1>OFFSET($L$3,1,MATCH($E4,$L$3:$P$3,0)-1,10,1)</formula1>
    </dataValidation>
    <dataValidation type="list" allowBlank="1" showInputMessage="1" showErrorMessage="1" sqref="A17:B17">
      <formula1>"CTS No,Survey No,Plot No,Gut No,FP No,"</formula1>
    </dataValidation>
    <dataValidation type="list" allowBlank="1" showInputMessage="1" showErrorMessage="1" sqref="G20:H20">
      <formula1>$S$13:$W$13</formula1>
    </dataValidation>
    <dataValidation type="list" allowBlank="1" showInputMessage="1" showErrorMessage="1" sqref="E195:E196">
      <formula1>"Attached Loft area,Attached Otla area,Attached Mezzanine area"</formula1>
    </dataValidation>
    <dataValidation type="list" allowBlank="1" showInputMessage="1" showErrorMessage="1" sqref="G449:H449">
      <formula1>"Kunal Kadam,Pranita Mhatre,Shruti Fule,Pooja Kawale,Gaurav Panchal,Shruti Tathare, Dipti Gothawade,Saurav Panse, Sachin Sawant"</formula1>
    </dataValidation>
    <dataValidation type="list" allowBlank="1" showInputMessage="1" showErrorMessage="1" sqref="F163:H163">
      <formula1>"On Saleable Area,On Builtup Area,On Carpet Area,On Plot Area"</formula1>
    </dataValidation>
    <dataValidation type="list" allowBlank="1" showInputMessage="1" showErrorMessage="1" sqref="F174:H174">
      <formula1>OFFSET($S$163,1,MATCH($G20,$S$163:$W$163,0)-1,15,1)</formula1>
    </dataValidation>
    <dataValidation type="list" allowBlank="1" showInputMessage="1" showErrorMessage="1" sqref="B195:B196">
      <formula1>"Shop No. (Sale Plan),Sale / Rehab,Sale / Mhada"</formula1>
    </dataValidation>
    <dataValidation type="list" allowBlank="1" showInputMessage="1" showErrorMessage="1" sqref="B261:B262">
      <formula1>"Flat No. (Sale Plan),Sale / Rehab,Sale / Mhada"</formula1>
    </dataValidation>
    <dataValidation type="list" allowBlank="1" showInputMessage="1" showErrorMessage="1" sqref="C21:D21">
      <formula1>OFFSET($S$13,1,MATCH($G20,$S$13:$W$13,0)-1,15,1)</formula1>
    </dataValidation>
    <dataValidation type="list" allowBlank="1" showInputMessage="1" showErrorMessage="1" sqref="Y13">
      <formula1>$D$5:$H$5</formula1>
    </dataValidation>
    <dataValidation type="list" allowBlank="1" showInputMessage="1" showErrorMessage="1" sqref="E261:E262">
      <formula1>"Fungible area,Balcony Area,Chajja Area,Cornice Area,AP Area,WS Area"</formula1>
    </dataValidation>
    <dataValidation type="list" allowBlank="1" showInputMessage="1" showErrorMessage="1" sqref="H196 H262">
      <formula1>".45,.50,.55,.60"</formula1>
    </dataValidation>
    <dataValidation type="list" allowBlank="1" showInputMessage="1" showErrorMessage="1" sqref="E4:H4">
      <formula1>$L$3:$P$3</formula1>
    </dataValidation>
    <dataValidation type="list" allowBlank="1" showInputMessage="1" showErrorMessage="1" sqref="C49:H49">
      <formula1>OFFSET($S$49,1,MATCH($G20,$S$49:$W$49,0)-1,15,1)</formula1>
    </dataValidation>
    <dataValidation type="list" allowBlank="1" showInputMessage="1" showErrorMessage="1" sqref="H195 H261">
      <formula1>"Saleable area Loading :,Builder Saleable Area"</formula1>
    </dataValidation>
    <dataValidation type="list" allowBlank="1" showInputMessage="1" showErrorMessage="1" sqref="D195:D196 D261:D262">
      <formula1>"Carpet area,RERA Carpet area"</formula1>
    </dataValidation>
  </dataValidations>
  <hyperlinks>
    <hyperlink ref="C40" r:id="rId1"/>
  </hyperlinks>
  <printOptions horizontalCentered="1"/>
  <pageMargins left="0.39370078740157483" right="0.39370078740157483" top="0.82677165354330717" bottom="0.78740157480314965" header="0.15748031496062992" footer="0.19685039370078741"/>
  <pageSetup paperSize="2" fitToHeight="0" orientation="portrait" r:id="rId2"/>
  <headerFooter>
    <oddHeader>&amp;C&amp;G</oddHeader>
    <oddFooter>&amp;L&amp;"Times New Roman,Bold"&amp;12Ref No: &amp;F&amp;C&amp;G&amp;R&amp;"Times New Roman,Bold"&amp;12&amp;P</oddFooter>
  </headerFooter>
  <rowBreaks count="6" manualBreakCount="6">
    <brk id="106" max="16383" man="1"/>
    <brk id="148" max="7" man="1"/>
    <brk id="192" max="7" man="1"/>
    <brk id="453" max="16383" man="1"/>
    <brk id="496" max="16383" man="1"/>
    <brk id="539" max="16383" man="1"/>
  </rowBreaks>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6"/>
  <sheetViews>
    <sheetView zoomScale="85" zoomScaleNormal="85" workbookViewId="0">
      <selection activeCell="K3" sqref="K3"/>
    </sheetView>
  </sheetViews>
  <sheetFormatPr defaultColWidth="8.7109375" defaultRowHeight="15" x14ac:dyDescent="0.25"/>
  <cols>
    <col min="1" max="1" width="8.7109375" style="1"/>
    <col min="2" max="2" width="22.140625" style="1" customWidth="1"/>
    <col min="3" max="3" width="37" style="1" customWidth="1"/>
    <col min="4" max="5" width="11.42578125" style="1" customWidth="1"/>
    <col min="6" max="6" width="14" style="1" customWidth="1"/>
    <col min="7" max="7" width="20" style="1" customWidth="1"/>
    <col min="8" max="8" width="16.42578125" style="1" customWidth="1"/>
    <col min="9" max="16384" width="8.7109375" style="1"/>
  </cols>
  <sheetData>
    <row r="1" spans="1:9" ht="15" customHeight="1" x14ac:dyDescent="0.25"/>
    <row r="2" spans="1:9" ht="15" customHeight="1" x14ac:dyDescent="0.25">
      <c r="A2" s="2"/>
      <c r="B2" s="2"/>
      <c r="C2" s="2"/>
      <c r="D2" s="2"/>
      <c r="E2" s="2"/>
      <c r="F2" s="2"/>
      <c r="G2" s="2"/>
      <c r="H2" s="2"/>
    </row>
    <row r="3" spans="1:9" ht="15.75" customHeight="1" x14ac:dyDescent="0.25">
      <c r="A3" s="2"/>
      <c r="B3" s="290" t="s">
        <v>103</v>
      </c>
      <c r="C3" s="290"/>
      <c r="D3" s="290"/>
      <c r="E3" s="290"/>
      <c r="F3" s="290"/>
      <c r="G3" s="290"/>
      <c r="H3" s="290"/>
    </row>
    <row r="4" spans="1:9" x14ac:dyDescent="0.25">
      <c r="A4" s="2"/>
      <c r="B4" s="3" t="s">
        <v>104</v>
      </c>
      <c r="C4" s="3" t="s">
        <v>105</v>
      </c>
      <c r="D4" s="3" t="s">
        <v>65</v>
      </c>
      <c r="E4" s="3" t="s">
        <v>106</v>
      </c>
      <c r="F4" s="3" t="s">
        <v>112</v>
      </c>
      <c r="G4" s="3" t="s">
        <v>113</v>
      </c>
      <c r="H4" s="3" t="s">
        <v>107</v>
      </c>
    </row>
    <row r="5" spans="1:9" ht="15" customHeight="1" x14ac:dyDescent="0.25">
      <c r="A5" s="2"/>
      <c r="B5" s="5" t="s">
        <v>108</v>
      </c>
      <c r="C5" s="6"/>
      <c r="D5" s="5"/>
      <c r="E5" s="5"/>
      <c r="F5" s="7">
        <f>E5*1.6</f>
        <v>0</v>
      </c>
      <c r="G5" s="7" t="e">
        <f>H5/F5</f>
        <v>#DIV/0!</v>
      </c>
      <c r="H5" s="8"/>
    </row>
    <row r="6" spans="1:9" x14ac:dyDescent="0.25">
      <c r="A6" s="2"/>
      <c r="B6" s="5" t="s">
        <v>108</v>
      </c>
      <c r="C6" s="9"/>
      <c r="D6" s="5"/>
      <c r="E6" s="5"/>
      <c r="F6" s="7">
        <f t="shared" ref="F6:F11" si="0">E6*1.6</f>
        <v>0</v>
      </c>
      <c r="G6" s="7" t="e">
        <f t="shared" ref="G6:G11" si="1">H6/F6</f>
        <v>#DIV/0!</v>
      </c>
      <c r="H6" s="8"/>
    </row>
    <row r="7" spans="1:9" ht="15" customHeight="1" x14ac:dyDescent="0.25">
      <c r="A7" s="2"/>
      <c r="B7" s="5" t="s">
        <v>108</v>
      </c>
      <c r="C7" s="6"/>
      <c r="D7" s="5"/>
      <c r="E7" s="5"/>
      <c r="F7" s="7">
        <f t="shared" si="0"/>
        <v>0</v>
      </c>
      <c r="G7" s="7" t="e">
        <f t="shared" si="1"/>
        <v>#DIV/0!</v>
      </c>
      <c r="H7" s="8"/>
    </row>
    <row r="8" spans="1:9" x14ac:dyDescent="0.25">
      <c r="A8" s="2"/>
      <c r="B8" s="5" t="s">
        <v>108</v>
      </c>
      <c r="C8" s="9"/>
      <c r="D8" s="5"/>
      <c r="E8" s="5"/>
      <c r="F8" s="7">
        <f t="shared" si="0"/>
        <v>0</v>
      </c>
      <c r="G8" s="7" t="e">
        <f t="shared" si="1"/>
        <v>#DIV/0!</v>
      </c>
      <c r="H8" s="8"/>
    </row>
    <row r="9" spans="1:9" ht="15" customHeight="1" x14ac:dyDescent="0.25">
      <c r="A9" s="2"/>
      <c r="B9" s="5" t="s">
        <v>108</v>
      </c>
      <c r="C9" s="9"/>
      <c r="D9" s="5"/>
      <c r="E9" s="5"/>
      <c r="F9" s="7">
        <f t="shared" si="0"/>
        <v>0</v>
      </c>
      <c r="G9" s="7" t="e">
        <f t="shared" si="1"/>
        <v>#DIV/0!</v>
      </c>
      <c r="H9" s="8"/>
    </row>
    <row r="10" spans="1:9" ht="15" customHeight="1" x14ac:dyDescent="0.25">
      <c r="A10" s="2"/>
      <c r="B10" s="5" t="s">
        <v>109</v>
      </c>
      <c r="C10" s="6"/>
      <c r="D10" s="5"/>
      <c r="E10" s="5"/>
      <c r="F10" s="7">
        <f t="shared" si="0"/>
        <v>0</v>
      </c>
      <c r="G10" s="7" t="e">
        <f t="shared" si="1"/>
        <v>#DIV/0!</v>
      </c>
      <c r="H10" s="8"/>
    </row>
    <row r="11" spans="1:9" ht="15" customHeight="1" x14ac:dyDescent="0.25">
      <c r="A11" s="2"/>
      <c r="B11" s="5" t="s">
        <v>109</v>
      </c>
      <c r="C11" s="6"/>
      <c r="D11" s="5"/>
      <c r="E11" s="5"/>
      <c r="F11" s="7">
        <f t="shared" si="0"/>
        <v>0</v>
      </c>
      <c r="G11" s="7" t="e">
        <f t="shared" si="1"/>
        <v>#DIV/0!</v>
      </c>
      <c r="H11" s="8"/>
    </row>
    <row r="12" spans="1:9" ht="15" customHeight="1" x14ac:dyDescent="0.25">
      <c r="A12" s="2"/>
      <c r="B12" s="10" t="s">
        <v>110</v>
      </c>
      <c r="C12" s="5"/>
      <c r="D12" s="5"/>
      <c r="E12" s="5"/>
      <c r="F12" s="5"/>
      <c r="G12" s="11" t="e">
        <f>AVERAGE(G5:G11)</f>
        <v>#DIV/0!</v>
      </c>
      <c r="H12" s="5"/>
    </row>
    <row r="13" spans="1:9" ht="15" customHeight="1" x14ac:dyDescent="0.25">
      <c r="B13" s="10" t="s">
        <v>111</v>
      </c>
      <c r="C13" s="5"/>
      <c r="D13" s="5"/>
      <c r="E13" s="5"/>
      <c r="F13" s="12"/>
      <c r="G13" s="10"/>
      <c r="H13" s="10"/>
      <c r="I13" s="4"/>
    </row>
    <row r="14" spans="1:9" ht="15" customHeight="1" x14ac:dyDescent="0.25"/>
    <row r="15" spans="1:9" ht="15" customHeight="1" x14ac:dyDescent="0.25"/>
    <row r="16" spans="1:9" ht="15" customHeight="1" x14ac:dyDescent="0.25"/>
  </sheetData>
  <mergeCells count="1">
    <mergeCell ref="B3:H3"/>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3:K69"/>
  <sheetViews>
    <sheetView topLeftCell="A55" zoomScale="130" zoomScaleNormal="130" workbookViewId="0">
      <selection activeCell="C43" sqref="C43:D69"/>
    </sheetView>
  </sheetViews>
  <sheetFormatPr defaultRowHeight="15" x14ac:dyDescent="0.25"/>
  <cols>
    <col min="4" max="4" width="13.85546875" bestFit="1" customWidth="1"/>
    <col min="5" max="5" width="10.42578125" bestFit="1" customWidth="1"/>
    <col min="6" max="6" width="12.42578125" bestFit="1" customWidth="1"/>
    <col min="7" max="7" width="18.140625" customWidth="1"/>
    <col min="8" max="8" width="10.5703125" bestFit="1" customWidth="1"/>
  </cols>
  <sheetData>
    <row r="3" spans="2:11" x14ac:dyDescent="0.25">
      <c r="J3">
        <v>1</v>
      </c>
      <c r="K3">
        <v>2</v>
      </c>
    </row>
    <row r="4" spans="2:11" x14ac:dyDescent="0.25">
      <c r="B4" s="47"/>
      <c r="C4" s="47" t="s">
        <v>11</v>
      </c>
      <c r="D4" s="48" t="s">
        <v>177</v>
      </c>
      <c r="E4" s="48" t="s">
        <v>187</v>
      </c>
      <c r="F4" s="48" t="s">
        <v>170</v>
      </c>
      <c r="G4" s="48" t="s">
        <v>192</v>
      </c>
      <c r="H4" s="48" t="s">
        <v>210</v>
      </c>
      <c r="J4" t="s">
        <v>192</v>
      </c>
      <c r="K4" t="s">
        <v>208</v>
      </c>
    </row>
    <row r="5" spans="2:11" x14ac:dyDescent="0.25">
      <c r="B5" s="47"/>
      <c r="C5" s="47"/>
      <c r="D5" s="48" t="s">
        <v>178</v>
      </c>
      <c r="E5" s="48" t="s">
        <v>185</v>
      </c>
      <c r="F5" s="48" t="s">
        <v>207</v>
      </c>
      <c r="G5" s="48" t="s">
        <v>193</v>
      </c>
      <c r="H5" s="48" t="s">
        <v>211</v>
      </c>
    </row>
    <row r="6" spans="2:11" x14ac:dyDescent="0.25">
      <c r="B6" s="47"/>
      <c r="C6" s="47"/>
      <c r="D6" s="48" t="s">
        <v>179</v>
      </c>
      <c r="E6" s="48" t="s">
        <v>186</v>
      </c>
      <c r="F6" s="48" t="s">
        <v>208</v>
      </c>
      <c r="G6" s="48" t="s">
        <v>194</v>
      </c>
      <c r="H6" s="48" t="s">
        <v>224</v>
      </c>
    </row>
    <row r="7" spans="2:11" x14ac:dyDescent="0.25">
      <c r="B7" s="47"/>
      <c r="C7" s="47"/>
      <c r="D7" s="48" t="s">
        <v>180</v>
      </c>
      <c r="E7" s="48" t="s">
        <v>188</v>
      </c>
      <c r="F7" s="48" t="s">
        <v>209</v>
      </c>
      <c r="G7" s="48" t="s">
        <v>195</v>
      </c>
      <c r="H7" s="48" t="s">
        <v>212</v>
      </c>
    </row>
    <row r="8" spans="2:11" x14ac:dyDescent="0.25">
      <c r="B8" s="47"/>
      <c r="C8" s="47"/>
      <c r="D8" s="48" t="s">
        <v>181</v>
      </c>
      <c r="E8" s="48" t="s">
        <v>189</v>
      </c>
      <c r="F8" s="48"/>
      <c r="G8" s="48" t="s">
        <v>196</v>
      </c>
      <c r="H8" s="48" t="s">
        <v>213</v>
      </c>
    </row>
    <row r="9" spans="2:11" x14ac:dyDescent="0.25">
      <c r="B9" s="47"/>
      <c r="C9" s="47"/>
      <c r="D9" s="48" t="s">
        <v>182</v>
      </c>
      <c r="E9" s="48" t="s">
        <v>187</v>
      </c>
      <c r="F9" s="48"/>
      <c r="G9" s="48" t="s">
        <v>197</v>
      </c>
      <c r="H9" s="48" t="s">
        <v>214</v>
      </c>
    </row>
    <row r="10" spans="2:11" x14ac:dyDescent="0.25">
      <c r="B10" s="47"/>
      <c r="C10" s="47"/>
      <c r="D10" s="48" t="s">
        <v>183</v>
      </c>
      <c r="E10" s="48" t="s">
        <v>190</v>
      </c>
      <c r="F10" s="48"/>
      <c r="G10" s="48" t="s">
        <v>198</v>
      </c>
      <c r="H10" s="48" t="s">
        <v>215</v>
      </c>
    </row>
    <row r="11" spans="2:11" x14ac:dyDescent="0.25">
      <c r="B11" s="47"/>
      <c r="C11" s="47"/>
      <c r="D11" s="48" t="s">
        <v>184</v>
      </c>
      <c r="E11" s="48" t="s">
        <v>191</v>
      </c>
      <c r="F11" s="48"/>
      <c r="G11" s="48" t="s">
        <v>199</v>
      </c>
      <c r="H11" s="48" t="s">
        <v>216</v>
      </c>
    </row>
    <row r="12" spans="2:11" x14ac:dyDescent="0.25">
      <c r="B12" s="47"/>
      <c r="C12" s="47"/>
      <c r="D12" s="48"/>
      <c r="E12" s="48"/>
      <c r="F12" s="48"/>
      <c r="G12" s="48" t="s">
        <v>200</v>
      </c>
      <c r="H12" s="48" t="s">
        <v>217</v>
      </c>
    </row>
    <row r="13" spans="2:11" x14ac:dyDescent="0.25">
      <c r="B13" s="47"/>
      <c r="C13" s="47"/>
      <c r="D13" s="48"/>
      <c r="E13" s="48"/>
      <c r="F13" s="48"/>
      <c r="G13" s="48" t="s">
        <v>201</v>
      </c>
      <c r="H13" s="48" t="s">
        <v>218</v>
      </c>
    </row>
    <row r="14" spans="2:11" x14ac:dyDescent="0.25">
      <c r="B14" s="47"/>
      <c r="C14" s="47"/>
      <c r="D14" s="48"/>
      <c r="E14" s="48"/>
      <c r="F14" s="48"/>
      <c r="G14" s="48" t="s">
        <v>202</v>
      </c>
      <c r="H14" s="48" t="s">
        <v>219</v>
      </c>
    </row>
    <row r="15" spans="2:11" x14ac:dyDescent="0.25">
      <c r="B15" s="47"/>
      <c r="C15" s="47"/>
      <c r="D15" s="48"/>
      <c r="E15" s="48"/>
      <c r="F15" s="48"/>
      <c r="G15" s="48" t="s">
        <v>203</v>
      </c>
      <c r="H15" s="48" t="s">
        <v>220</v>
      </c>
    </row>
    <row r="16" spans="2:11" x14ac:dyDescent="0.25">
      <c r="B16" s="47"/>
      <c r="C16" s="47"/>
      <c r="D16" s="48"/>
      <c r="E16" s="48"/>
      <c r="F16" s="48"/>
      <c r="G16" s="48" t="s">
        <v>204</v>
      </c>
      <c r="H16" s="48" t="s">
        <v>221</v>
      </c>
    </row>
    <row r="17" spans="2:8" x14ac:dyDescent="0.25">
      <c r="B17" s="47"/>
      <c r="C17" s="47"/>
      <c r="D17" s="48"/>
      <c r="E17" s="48"/>
      <c r="F17" s="48"/>
      <c r="G17" s="48" t="s">
        <v>205</v>
      </c>
      <c r="H17" s="48" t="s">
        <v>222</v>
      </c>
    </row>
    <row r="18" spans="2:8" x14ac:dyDescent="0.25">
      <c r="B18" s="47"/>
      <c r="C18" s="47"/>
      <c r="D18" s="48"/>
      <c r="E18" s="48"/>
      <c r="F18" s="48"/>
      <c r="G18" s="48" t="s">
        <v>206</v>
      </c>
      <c r="H18" s="48" t="s">
        <v>223</v>
      </c>
    </row>
    <row r="24" spans="2:8" x14ac:dyDescent="0.25">
      <c r="C24" t="s">
        <v>167</v>
      </c>
    </row>
    <row r="25" spans="2:8" x14ac:dyDescent="0.25">
      <c r="C25" t="s">
        <v>225</v>
      </c>
    </row>
    <row r="26" spans="2:8" x14ac:dyDescent="0.25">
      <c r="C26" t="s">
        <v>226</v>
      </c>
    </row>
    <row r="27" spans="2:8" x14ac:dyDescent="0.25">
      <c r="C27" t="s">
        <v>227</v>
      </c>
    </row>
    <row r="28" spans="2:8" x14ac:dyDescent="0.25">
      <c r="C28" t="s">
        <v>228</v>
      </c>
    </row>
    <row r="29" spans="2:8" x14ac:dyDescent="0.25">
      <c r="C29" t="s">
        <v>229</v>
      </c>
    </row>
    <row r="30" spans="2:8" x14ac:dyDescent="0.25">
      <c r="C30" t="s">
        <v>167</v>
      </c>
    </row>
    <row r="33" spans="3:11" x14ac:dyDescent="0.25">
      <c r="J33">
        <v>1</v>
      </c>
      <c r="K33">
        <v>2</v>
      </c>
    </row>
    <row r="34" spans="3:11" x14ac:dyDescent="0.25">
      <c r="C34" s="51" t="s">
        <v>235</v>
      </c>
      <c r="D34" s="48" t="s">
        <v>233</v>
      </c>
      <c r="E34" s="48" t="s">
        <v>238</v>
      </c>
      <c r="F34" s="48" t="s">
        <v>236</v>
      </c>
      <c r="G34" s="48" t="s">
        <v>237</v>
      </c>
      <c r="H34" s="48" t="s">
        <v>239</v>
      </c>
      <c r="J34" t="s">
        <v>192</v>
      </c>
      <c r="K34" t="s">
        <v>208</v>
      </c>
    </row>
    <row r="35" spans="3:11" x14ac:dyDescent="0.25">
      <c r="C35" s="47" t="s">
        <v>234</v>
      </c>
      <c r="D35" s="48" t="s">
        <v>168</v>
      </c>
      <c r="E35" s="48" t="s">
        <v>243</v>
      </c>
      <c r="F35" s="48" t="s">
        <v>245</v>
      </c>
      <c r="G35" s="48" t="s">
        <v>247</v>
      </c>
      <c r="H35" s="48"/>
    </row>
    <row r="36" spans="3:11" x14ac:dyDescent="0.25">
      <c r="C36" s="47"/>
      <c r="D36" s="48" t="s">
        <v>240</v>
      </c>
      <c r="E36" s="48" t="s">
        <v>244</v>
      </c>
      <c r="F36" s="48" t="s">
        <v>246</v>
      </c>
      <c r="G36" s="48" t="s">
        <v>248</v>
      </c>
      <c r="H36" s="48"/>
    </row>
    <row r="37" spans="3:11" x14ac:dyDescent="0.25">
      <c r="C37" s="47"/>
      <c r="D37" s="48" t="s">
        <v>241</v>
      </c>
      <c r="E37" s="48"/>
      <c r="F37" s="48"/>
      <c r="G37" s="48" t="s">
        <v>249</v>
      </c>
      <c r="H37" s="48"/>
    </row>
    <row r="38" spans="3:11" x14ac:dyDescent="0.25">
      <c r="C38" s="47"/>
      <c r="D38" s="48" t="s">
        <v>242</v>
      </c>
      <c r="E38" s="48"/>
      <c r="F38" s="48"/>
      <c r="G38" s="48" t="s">
        <v>249</v>
      </c>
      <c r="H38" s="48"/>
    </row>
    <row r="39" spans="3:11" x14ac:dyDescent="0.25">
      <c r="C39" s="47"/>
      <c r="D39" s="48"/>
      <c r="E39" s="48"/>
      <c r="F39" s="48"/>
      <c r="G39" s="48" t="s">
        <v>250</v>
      </c>
      <c r="H39" s="48"/>
    </row>
    <row r="40" spans="3:11" x14ac:dyDescent="0.25">
      <c r="C40" s="47"/>
      <c r="D40" s="48"/>
      <c r="E40" s="48"/>
      <c r="F40" s="48"/>
      <c r="G40" s="48" t="s">
        <v>251</v>
      </c>
      <c r="H40" s="48"/>
    </row>
    <row r="41" spans="3:11" x14ac:dyDescent="0.25">
      <c r="C41" s="47"/>
      <c r="D41" s="48"/>
      <c r="E41" s="48"/>
      <c r="F41" s="48"/>
      <c r="G41" s="48"/>
      <c r="H41" s="48"/>
    </row>
    <row r="43" spans="3:11" x14ac:dyDescent="0.25">
      <c r="C43" t="s">
        <v>252</v>
      </c>
    </row>
    <row r="44" spans="3:11" x14ac:dyDescent="0.25">
      <c r="C44" t="s">
        <v>170</v>
      </c>
      <c r="D44" t="s">
        <v>253</v>
      </c>
    </row>
    <row r="45" spans="3:11" x14ac:dyDescent="0.25">
      <c r="D45" t="s">
        <v>254</v>
      </c>
    </row>
    <row r="46" spans="3:11" x14ac:dyDescent="0.25">
      <c r="D46" t="s">
        <v>255</v>
      </c>
    </row>
    <row r="47" spans="3:11" x14ac:dyDescent="0.25">
      <c r="D47" t="s">
        <v>256</v>
      </c>
    </row>
    <row r="48" spans="3:11" x14ac:dyDescent="0.25">
      <c r="D48" t="s">
        <v>257</v>
      </c>
    </row>
    <row r="49" spans="3:4" x14ac:dyDescent="0.25">
      <c r="C49" t="s">
        <v>177</v>
      </c>
      <c r="D49" t="s">
        <v>258</v>
      </c>
    </row>
    <row r="50" spans="3:4" x14ac:dyDescent="0.25">
      <c r="D50" t="s">
        <v>259</v>
      </c>
    </row>
    <row r="51" spans="3:4" x14ac:dyDescent="0.25">
      <c r="D51" t="s">
        <v>260</v>
      </c>
    </row>
    <row r="52" spans="3:4" x14ac:dyDescent="0.25">
      <c r="D52" t="s">
        <v>263</v>
      </c>
    </row>
    <row r="53" spans="3:4" x14ac:dyDescent="0.25">
      <c r="D53" t="s">
        <v>261</v>
      </c>
    </row>
    <row r="54" spans="3:4" x14ac:dyDescent="0.25">
      <c r="D54" t="s">
        <v>262</v>
      </c>
    </row>
    <row r="55" spans="3:4" x14ac:dyDescent="0.25">
      <c r="D55" t="s">
        <v>264</v>
      </c>
    </row>
    <row r="56" spans="3:4" x14ac:dyDescent="0.25">
      <c r="D56" t="s">
        <v>265</v>
      </c>
    </row>
    <row r="57" spans="3:4" x14ac:dyDescent="0.25">
      <c r="D57" t="s">
        <v>266</v>
      </c>
    </row>
    <row r="58" spans="3:4" x14ac:dyDescent="0.25">
      <c r="D58" t="s">
        <v>268</v>
      </c>
    </row>
    <row r="59" spans="3:4" x14ac:dyDescent="0.25">
      <c r="D59" t="s">
        <v>277</v>
      </c>
    </row>
    <row r="60" spans="3:4" x14ac:dyDescent="0.25">
      <c r="C60" t="s">
        <v>192</v>
      </c>
      <c r="D60" t="s">
        <v>269</v>
      </c>
    </row>
    <row r="61" spans="3:4" x14ac:dyDescent="0.25">
      <c r="D61" t="s">
        <v>267</v>
      </c>
    </row>
    <row r="62" spans="3:4" x14ac:dyDescent="0.25">
      <c r="D62" t="s">
        <v>257</v>
      </c>
    </row>
    <row r="63" spans="3:4" x14ac:dyDescent="0.25">
      <c r="D63" t="s">
        <v>270</v>
      </c>
    </row>
    <row r="64" spans="3:4" x14ac:dyDescent="0.25">
      <c r="D64" t="s">
        <v>271</v>
      </c>
    </row>
    <row r="65" spans="3:4" x14ac:dyDescent="0.25">
      <c r="D65" t="s">
        <v>272</v>
      </c>
    </row>
    <row r="66" spans="3:4" x14ac:dyDescent="0.25">
      <c r="D66" t="s">
        <v>273</v>
      </c>
    </row>
    <row r="67" spans="3:4" x14ac:dyDescent="0.25">
      <c r="C67" t="s">
        <v>187</v>
      </c>
      <c r="D67" t="s">
        <v>274</v>
      </c>
    </row>
    <row r="68" spans="3:4" x14ac:dyDescent="0.25">
      <c r="D68" t="s">
        <v>275</v>
      </c>
    </row>
    <row r="69" spans="3:4" x14ac:dyDescent="0.25">
      <c r="D69" t="s">
        <v>276</v>
      </c>
    </row>
  </sheetData>
  <dataValidations count="2">
    <dataValidation type="list" allowBlank="1" showInputMessage="1" showErrorMessage="1" sqref="J4 J34">
      <formula1>$D$4:$H$4</formula1>
    </dataValidation>
    <dataValidation type="list" allowBlank="1" showInputMessage="1" showErrorMessage="1" sqref="K4 K34">
      <formula1>OFFSET($D$4,1,MATCH($J4,$D$4:$H$4,0)-1,15,1)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D51"/>
  <sheetViews>
    <sheetView topLeftCell="A44" zoomScale="85" zoomScaleNormal="85" workbookViewId="0">
      <selection activeCell="C55" sqref="C55"/>
    </sheetView>
  </sheetViews>
  <sheetFormatPr defaultRowHeight="15" x14ac:dyDescent="0.25"/>
  <cols>
    <col min="2" max="2" width="3" bestFit="1" customWidth="1"/>
    <col min="3" max="3" width="155.28515625" customWidth="1"/>
  </cols>
  <sheetData>
    <row r="2" spans="2:3" ht="15" customHeight="1" x14ac:dyDescent="0.25">
      <c r="B2" s="52">
        <v>1</v>
      </c>
      <c r="C2" s="55" t="s">
        <v>282</v>
      </c>
    </row>
    <row r="3" spans="2:3" x14ac:dyDescent="0.25">
      <c r="B3" s="52">
        <v>2</v>
      </c>
      <c r="C3" s="53" t="s">
        <v>283</v>
      </c>
    </row>
    <row r="4" spans="2:3" x14ac:dyDescent="0.25">
      <c r="B4" s="52">
        <v>3</v>
      </c>
      <c r="C4" s="54" t="s">
        <v>284</v>
      </c>
    </row>
    <row r="5" spans="2:3" x14ac:dyDescent="0.25">
      <c r="B5" s="52">
        <v>4</v>
      </c>
      <c r="C5" s="53" t="s">
        <v>285</v>
      </c>
    </row>
    <row r="6" spans="2:3" x14ac:dyDescent="0.25">
      <c r="B6" s="52">
        <v>5</v>
      </c>
      <c r="C6" s="54" t="s">
        <v>286</v>
      </c>
    </row>
    <row r="7" spans="2:3" ht="30" x14ac:dyDescent="0.25">
      <c r="B7" s="52">
        <v>6</v>
      </c>
      <c r="C7" s="53" t="s">
        <v>287</v>
      </c>
    </row>
    <row r="8" spans="2:3" ht="75" x14ac:dyDescent="0.25">
      <c r="B8" s="52">
        <v>7</v>
      </c>
      <c r="C8" s="53" t="s">
        <v>288</v>
      </c>
    </row>
    <row r="9" spans="2:3" x14ac:dyDescent="0.25">
      <c r="B9" s="52">
        <v>8</v>
      </c>
      <c r="C9" s="54" t="s">
        <v>289</v>
      </c>
    </row>
    <row r="10" spans="2:3" x14ac:dyDescent="0.25">
      <c r="B10" s="52">
        <v>9</v>
      </c>
      <c r="C10" s="54" t="s">
        <v>290</v>
      </c>
    </row>
    <row r="11" spans="2:3" x14ac:dyDescent="0.25">
      <c r="B11" s="52">
        <v>10</v>
      </c>
      <c r="C11" s="54" t="s">
        <v>291</v>
      </c>
    </row>
    <row r="12" spans="2:3" x14ac:dyDescent="0.25">
      <c r="B12" s="52">
        <v>11</v>
      </c>
      <c r="C12" s="54" t="s">
        <v>292</v>
      </c>
    </row>
    <row r="13" spans="2:3" x14ac:dyDescent="0.25">
      <c r="B13" s="52">
        <v>12</v>
      </c>
      <c r="C13" s="54" t="s">
        <v>293</v>
      </c>
    </row>
    <row r="14" spans="2:3" x14ac:dyDescent="0.25">
      <c r="B14" s="52">
        <v>13</v>
      </c>
      <c r="C14" s="54" t="s">
        <v>294</v>
      </c>
    </row>
    <row r="15" spans="2:3" x14ac:dyDescent="0.25">
      <c r="B15" s="52">
        <v>14</v>
      </c>
      <c r="C15" s="54" t="s">
        <v>284</v>
      </c>
    </row>
    <row r="16" spans="2:3" x14ac:dyDescent="0.25">
      <c r="B16" s="52">
        <v>15</v>
      </c>
      <c r="C16" s="54" t="s">
        <v>296</v>
      </c>
    </row>
    <row r="17" spans="2:3" x14ac:dyDescent="0.25">
      <c r="B17" s="75">
        <v>16</v>
      </c>
      <c r="C17" s="60" t="s">
        <v>297</v>
      </c>
    </row>
    <row r="18" spans="2:3" x14ac:dyDescent="0.25">
      <c r="B18" s="59">
        <v>17</v>
      </c>
      <c r="C18" s="60" t="s">
        <v>298</v>
      </c>
    </row>
    <row r="19" spans="2:3" x14ac:dyDescent="0.25">
      <c r="B19" s="58">
        <v>18</v>
      </c>
      <c r="C19" s="52" t="s">
        <v>299</v>
      </c>
    </row>
    <row r="20" spans="2:3" x14ac:dyDescent="0.25">
      <c r="B20" s="59">
        <v>19</v>
      </c>
      <c r="C20" s="52" t="s">
        <v>335</v>
      </c>
    </row>
    <row r="21" spans="2:3" x14ac:dyDescent="0.25">
      <c r="B21" s="61">
        <v>20</v>
      </c>
      <c r="C21" s="52" t="s">
        <v>300</v>
      </c>
    </row>
    <row r="22" spans="2:3" x14ac:dyDescent="0.25">
      <c r="B22" s="59">
        <v>21</v>
      </c>
      <c r="C22" s="52" t="s">
        <v>299</v>
      </c>
    </row>
    <row r="23" spans="2:3" s="69" customFormat="1" ht="29.25" customHeight="1" x14ac:dyDescent="0.25">
      <c r="B23" s="68">
        <v>22</v>
      </c>
      <c r="C23" s="55" t="s">
        <v>327</v>
      </c>
    </row>
    <row r="24" spans="2:3" s="69" customFormat="1" ht="30.75" customHeight="1" x14ac:dyDescent="0.25">
      <c r="B24" s="70">
        <v>23</v>
      </c>
      <c r="C24" s="55" t="s">
        <v>328</v>
      </c>
    </row>
    <row r="25" spans="2:3" x14ac:dyDescent="0.25">
      <c r="B25" s="61">
        <v>24</v>
      </c>
      <c r="C25" s="52" t="s">
        <v>331</v>
      </c>
    </row>
    <row r="26" spans="2:3" x14ac:dyDescent="0.25">
      <c r="B26" s="59">
        <v>25</v>
      </c>
      <c r="C26" s="52" t="s">
        <v>329</v>
      </c>
    </row>
    <row r="27" spans="2:3" x14ac:dyDescent="0.25">
      <c r="B27" s="70">
        <v>26</v>
      </c>
      <c r="C27" s="61" t="s">
        <v>330</v>
      </c>
    </row>
    <row r="28" spans="2:3" x14ac:dyDescent="0.25">
      <c r="B28" s="71">
        <v>27</v>
      </c>
      <c r="C28" s="52" t="s">
        <v>332</v>
      </c>
    </row>
    <row r="29" spans="2:3" ht="60" x14ac:dyDescent="0.25">
      <c r="B29" s="74">
        <v>28</v>
      </c>
      <c r="C29" s="53" t="s">
        <v>333</v>
      </c>
    </row>
    <row r="30" spans="2:3" x14ac:dyDescent="0.25">
      <c r="B30" s="70">
        <v>29</v>
      </c>
      <c r="C30" s="52" t="s">
        <v>334</v>
      </c>
    </row>
    <row r="31" spans="2:3" ht="30" x14ac:dyDescent="0.25">
      <c r="B31" s="76">
        <v>30</v>
      </c>
      <c r="C31" s="53" t="s">
        <v>336</v>
      </c>
    </row>
    <row r="32" spans="2:3" x14ac:dyDescent="0.25">
      <c r="B32" s="70">
        <v>31</v>
      </c>
      <c r="C32" s="52" t="s">
        <v>337</v>
      </c>
    </row>
    <row r="33" spans="2:4" x14ac:dyDescent="0.25">
      <c r="B33" s="70">
        <v>32</v>
      </c>
      <c r="C33" s="52" t="s">
        <v>338</v>
      </c>
    </row>
    <row r="34" spans="2:4" ht="36.75" customHeight="1" x14ac:dyDescent="0.25">
      <c r="B34" s="76">
        <v>33</v>
      </c>
      <c r="C34" s="60" t="s">
        <v>339</v>
      </c>
    </row>
    <row r="35" spans="2:4" x14ac:dyDescent="0.25">
      <c r="B35" s="81">
        <v>34</v>
      </c>
      <c r="C35" s="52" t="s">
        <v>347</v>
      </c>
    </row>
    <row r="36" spans="2:4" ht="60" x14ac:dyDescent="0.25">
      <c r="B36" s="68">
        <v>35</v>
      </c>
      <c r="C36" s="53" t="s">
        <v>351</v>
      </c>
    </row>
    <row r="37" spans="2:4" x14ac:dyDescent="0.25">
      <c r="B37" s="52">
        <v>36</v>
      </c>
      <c r="C37" s="53" t="s">
        <v>362</v>
      </c>
    </row>
    <row r="38" spans="2:4" x14ac:dyDescent="0.25">
      <c r="B38" s="52">
        <f t="shared" ref="B38:B44" si="0">B37+1</f>
        <v>37</v>
      </c>
      <c r="C38" s="52" t="s">
        <v>358</v>
      </c>
    </row>
    <row r="39" spans="2:4" x14ac:dyDescent="0.25">
      <c r="B39" s="52">
        <f t="shared" si="0"/>
        <v>38</v>
      </c>
      <c r="C39" s="52" t="s">
        <v>359</v>
      </c>
    </row>
    <row r="40" spans="2:4" x14ac:dyDescent="0.25">
      <c r="B40" s="52">
        <f t="shared" si="0"/>
        <v>39</v>
      </c>
      <c r="C40" s="52" t="s">
        <v>360</v>
      </c>
    </row>
    <row r="41" spans="2:4" x14ac:dyDescent="0.25">
      <c r="B41" s="52">
        <f t="shared" si="0"/>
        <v>40</v>
      </c>
      <c r="C41" s="52" t="s">
        <v>361</v>
      </c>
    </row>
    <row r="42" spans="2:4" ht="30.75" thickBot="1" x14ac:dyDescent="0.3">
      <c r="B42" s="82">
        <f t="shared" si="0"/>
        <v>41</v>
      </c>
      <c r="C42" s="83" t="s">
        <v>363</v>
      </c>
    </row>
    <row r="43" spans="2:4" ht="30" x14ac:dyDescent="0.25">
      <c r="B43" s="86">
        <f t="shared" si="0"/>
        <v>42</v>
      </c>
      <c r="C43" s="91" t="s">
        <v>368</v>
      </c>
      <c r="D43" t="s">
        <v>369</v>
      </c>
    </row>
    <row r="44" spans="2:4" ht="15.75" thickBot="1" x14ac:dyDescent="0.3">
      <c r="B44" s="88">
        <f t="shared" si="0"/>
        <v>43</v>
      </c>
      <c r="C44" s="90" t="s">
        <v>364</v>
      </c>
    </row>
    <row r="45" spans="2:4" ht="15.75" thickBot="1" x14ac:dyDescent="0.3">
      <c r="B45" s="84">
        <f t="shared" ref="B45:B51" si="1">B44+1</f>
        <v>44</v>
      </c>
      <c r="C45" s="85" t="s">
        <v>365</v>
      </c>
    </row>
    <row r="46" spans="2:4" ht="30" x14ac:dyDescent="0.25">
      <c r="B46" s="86">
        <f t="shared" si="1"/>
        <v>45</v>
      </c>
      <c r="C46" s="87" t="s">
        <v>366</v>
      </c>
    </row>
    <row r="47" spans="2:4" ht="15.75" thickBot="1" x14ac:dyDescent="0.3">
      <c r="B47" s="88">
        <f t="shared" si="1"/>
        <v>46</v>
      </c>
      <c r="C47" s="89" t="s">
        <v>367</v>
      </c>
    </row>
    <row r="48" spans="2:4" x14ac:dyDescent="0.25">
      <c r="B48" s="92">
        <f t="shared" si="1"/>
        <v>47</v>
      </c>
      <c r="C48" s="93" t="s">
        <v>370</v>
      </c>
    </row>
    <row r="49" spans="2:4" x14ac:dyDescent="0.25">
      <c r="B49" s="92">
        <f t="shared" si="1"/>
        <v>48</v>
      </c>
      <c r="C49" s="93" t="s">
        <v>371</v>
      </c>
    </row>
    <row r="50" spans="2:4" x14ac:dyDescent="0.25">
      <c r="B50" s="92">
        <f t="shared" si="1"/>
        <v>49</v>
      </c>
      <c r="C50" s="93" t="s">
        <v>373</v>
      </c>
      <c r="D50" t="s">
        <v>372</v>
      </c>
    </row>
    <row r="51" spans="2:4" ht="30" x14ac:dyDescent="0.25">
      <c r="B51" s="94">
        <f t="shared" si="1"/>
        <v>50</v>
      </c>
      <c r="C51" s="95" t="s">
        <v>374</v>
      </c>
    </row>
  </sheetData>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4"/>
  <sheetViews>
    <sheetView workbookViewId="0">
      <selection sqref="A1:XFD1048576"/>
    </sheetView>
  </sheetViews>
  <sheetFormatPr defaultColWidth="9.140625" defaultRowHeight="15" x14ac:dyDescent="0.25"/>
  <cols>
    <col min="1" max="1" width="9.140625" style="47"/>
    <col min="2" max="2" width="12.28515625" style="47" customWidth="1"/>
    <col min="3" max="16384" width="9.140625" style="47"/>
  </cols>
  <sheetData>
    <row r="2" spans="1:12" x14ac:dyDescent="0.25">
      <c r="B2" s="62" t="s">
        <v>301</v>
      </c>
      <c r="C2" s="291"/>
      <c r="D2" s="291"/>
    </row>
    <row r="3" spans="1:12" x14ac:dyDescent="0.25">
      <c r="D3" s="63"/>
      <c r="E3" s="63"/>
      <c r="F3" s="63"/>
      <c r="G3" s="63"/>
      <c r="H3" s="63"/>
      <c r="I3" s="63"/>
    </row>
    <row r="4" spans="1:12" x14ac:dyDescent="0.25">
      <c r="A4" s="62" t="s">
        <v>65</v>
      </c>
      <c r="B4" s="64" t="s">
        <v>302</v>
      </c>
      <c r="C4" s="292" t="s">
        <v>303</v>
      </c>
      <c r="D4" s="292"/>
      <c r="E4" s="292"/>
      <c r="F4" s="64"/>
      <c r="G4" s="293" t="s">
        <v>304</v>
      </c>
      <c r="H4" s="293"/>
      <c r="I4" s="293"/>
      <c r="J4" s="294" t="s">
        <v>305</v>
      </c>
      <c r="K4" s="294"/>
      <c r="L4" s="294"/>
    </row>
    <row r="5" spans="1:12" x14ac:dyDescent="0.25">
      <c r="A5" s="62"/>
      <c r="B5" s="64"/>
      <c r="C5" s="64" t="s">
        <v>306</v>
      </c>
      <c r="D5" s="64" t="s">
        <v>307</v>
      </c>
      <c r="E5" s="64" t="s">
        <v>308</v>
      </c>
      <c r="F5" s="64"/>
      <c r="G5" s="64" t="s">
        <v>306</v>
      </c>
      <c r="H5" s="64" t="s">
        <v>307</v>
      </c>
      <c r="I5" s="64" t="s">
        <v>308</v>
      </c>
      <c r="J5" s="64" t="s">
        <v>306</v>
      </c>
      <c r="K5" s="64" t="s">
        <v>307</v>
      </c>
      <c r="L5" s="64" t="s">
        <v>308</v>
      </c>
    </row>
    <row r="6" spans="1:12" x14ac:dyDescent="0.25">
      <c r="B6" s="48" t="s">
        <v>309</v>
      </c>
      <c r="C6" s="48"/>
      <c r="D6" s="48"/>
      <c r="E6" s="48">
        <f>C6*D6</f>
        <v>0</v>
      </c>
      <c r="F6" s="48" t="s">
        <v>326</v>
      </c>
      <c r="G6" s="48"/>
      <c r="H6" s="48"/>
      <c r="I6" s="48">
        <f>G6*H6</f>
        <v>0</v>
      </c>
      <c r="J6" s="48"/>
      <c r="K6" s="48"/>
      <c r="L6" s="48">
        <f>J6*K6</f>
        <v>0</v>
      </c>
    </row>
    <row r="7" spans="1:12" x14ac:dyDescent="0.25">
      <c r="B7" s="48"/>
      <c r="C7" s="48"/>
      <c r="D7" s="48"/>
      <c r="E7" s="48">
        <f t="shared" ref="E7:E41" si="0">C7*D7</f>
        <v>0</v>
      </c>
      <c r="F7" s="48" t="s">
        <v>326</v>
      </c>
      <c r="G7" s="48"/>
      <c r="H7" s="48"/>
      <c r="I7" s="48">
        <f t="shared" ref="I7:I35" si="1">G7*H7</f>
        <v>0</v>
      </c>
      <c r="J7" s="48"/>
      <c r="K7" s="48"/>
      <c r="L7" s="48">
        <f t="shared" ref="L7:L35" si="2">J7*K7</f>
        <v>0</v>
      </c>
    </row>
    <row r="8" spans="1:12" x14ac:dyDescent="0.25">
      <c r="B8" s="48"/>
      <c r="C8" s="48"/>
      <c r="D8" s="48"/>
      <c r="E8" s="48">
        <f t="shared" si="0"/>
        <v>0</v>
      </c>
      <c r="F8" s="48"/>
      <c r="G8" s="48"/>
      <c r="H8" s="48"/>
      <c r="I8" s="48">
        <f t="shared" si="1"/>
        <v>0</v>
      </c>
      <c r="J8" s="48"/>
      <c r="K8" s="48"/>
      <c r="L8" s="48">
        <f t="shared" si="2"/>
        <v>0</v>
      </c>
    </row>
    <row r="9" spans="1:12" x14ac:dyDescent="0.25">
      <c r="B9" s="48"/>
      <c r="C9" s="48"/>
      <c r="D9" s="48"/>
      <c r="E9" s="48">
        <f t="shared" si="0"/>
        <v>0</v>
      </c>
      <c r="F9" s="48" t="s">
        <v>310</v>
      </c>
      <c r="G9" s="48"/>
      <c r="H9" s="48"/>
      <c r="I9" s="48">
        <f t="shared" si="1"/>
        <v>0</v>
      </c>
      <c r="J9" s="48"/>
      <c r="K9" s="48"/>
      <c r="L9" s="48">
        <f t="shared" si="2"/>
        <v>0</v>
      </c>
    </row>
    <row r="10" spans="1:12" x14ac:dyDescent="0.25">
      <c r="B10" s="48" t="s">
        <v>311</v>
      </c>
      <c r="C10" s="48"/>
      <c r="D10" s="48"/>
      <c r="E10" s="48">
        <f t="shared" si="0"/>
        <v>0</v>
      </c>
      <c r="F10" s="48" t="s">
        <v>310</v>
      </c>
      <c r="G10" s="48"/>
      <c r="H10" s="48"/>
      <c r="I10" s="48">
        <f t="shared" si="1"/>
        <v>0</v>
      </c>
      <c r="J10" s="48"/>
      <c r="K10" s="48"/>
      <c r="L10" s="48">
        <f t="shared" si="2"/>
        <v>0</v>
      </c>
    </row>
    <row r="11" spans="1:12" x14ac:dyDescent="0.25">
      <c r="B11" s="48"/>
      <c r="C11" s="48"/>
      <c r="D11" s="48"/>
      <c r="E11" s="48">
        <f t="shared" si="0"/>
        <v>0</v>
      </c>
      <c r="F11" s="48" t="s">
        <v>312</v>
      </c>
      <c r="G11" s="48"/>
      <c r="H11" s="48"/>
      <c r="I11" s="48">
        <f t="shared" si="1"/>
        <v>0</v>
      </c>
      <c r="J11" s="48"/>
      <c r="K11" s="48"/>
      <c r="L11" s="48">
        <f t="shared" si="2"/>
        <v>0</v>
      </c>
    </row>
    <row r="12" spans="1:12" x14ac:dyDescent="0.25">
      <c r="B12" s="48"/>
      <c r="C12" s="48"/>
      <c r="D12" s="48"/>
      <c r="E12" s="48">
        <f t="shared" si="0"/>
        <v>0</v>
      </c>
      <c r="F12" s="48"/>
      <c r="G12" s="48"/>
      <c r="H12" s="48"/>
      <c r="I12" s="48">
        <f t="shared" si="1"/>
        <v>0</v>
      </c>
      <c r="J12" s="48"/>
      <c r="K12" s="48"/>
      <c r="L12" s="48">
        <f t="shared" si="2"/>
        <v>0</v>
      </c>
    </row>
    <row r="13" spans="1:12" x14ac:dyDescent="0.25">
      <c r="B13" s="48"/>
      <c r="C13" s="48"/>
      <c r="D13" s="48"/>
      <c r="E13" s="48">
        <f t="shared" si="0"/>
        <v>0</v>
      </c>
      <c r="F13" s="48"/>
      <c r="G13" s="48"/>
      <c r="H13" s="48"/>
      <c r="I13" s="48">
        <f t="shared" si="1"/>
        <v>0</v>
      </c>
      <c r="J13" s="48"/>
      <c r="K13" s="48"/>
      <c r="L13" s="48">
        <f t="shared" si="2"/>
        <v>0</v>
      </c>
    </row>
    <row r="14" spans="1:12" x14ac:dyDescent="0.25">
      <c r="B14" s="48" t="s">
        <v>313</v>
      </c>
      <c r="C14" s="48"/>
      <c r="D14" s="48"/>
      <c r="E14" s="48">
        <f t="shared" si="0"/>
        <v>0</v>
      </c>
      <c r="F14" s="48" t="s">
        <v>310</v>
      </c>
      <c r="G14" s="48"/>
      <c r="H14" s="48"/>
      <c r="I14" s="48">
        <f t="shared" si="1"/>
        <v>0</v>
      </c>
      <c r="J14" s="48"/>
      <c r="K14" s="48"/>
      <c r="L14" s="48">
        <f t="shared" si="2"/>
        <v>0</v>
      </c>
    </row>
    <row r="15" spans="1:12" x14ac:dyDescent="0.25">
      <c r="B15" s="48"/>
      <c r="C15" s="48"/>
      <c r="D15" s="48"/>
      <c r="E15" s="48">
        <f t="shared" si="0"/>
        <v>0</v>
      </c>
      <c r="F15" s="48" t="s">
        <v>312</v>
      </c>
      <c r="G15" s="48"/>
      <c r="H15" s="48"/>
      <c r="I15" s="48">
        <f t="shared" si="1"/>
        <v>0</v>
      </c>
      <c r="J15" s="48"/>
      <c r="K15" s="48"/>
      <c r="L15" s="48">
        <f t="shared" si="2"/>
        <v>0</v>
      </c>
    </row>
    <row r="16" spans="1:12" x14ac:dyDescent="0.25">
      <c r="B16" s="48"/>
      <c r="C16" s="48"/>
      <c r="D16" s="48"/>
      <c r="E16" s="48">
        <f t="shared" si="0"/>
        <v>0</v>
      </c>
      <c r="F16" s="48"/>
      <c r="G16" s="48"/>
      <c r="H16" s="48"/>
      <c r="I16" s="48">
        <f t="shared" si="1"/>
        <v>0</v>
      </c>
      <c r="J16" s="48"/>
      <c r="K16" s="48"/>
      <c r="L16" s="48">
        <f t="shared" si="2"/>
        <v>0</v>
      </c>
    </row>
    <row r="17" spans="2:12" x14ac:dyDescent="0.25">
      <c r="B17" s="48"/>
      <c r="C17" s="48"/>
      <c r="D17" s="48"/>
      <c r="E17" s="48">
        <f t="shared" si="0"/>
        <v>0</v>
      </c>
      <c r="F17" s="48"/>
      <c r="G17" s="48"/>
      <c r="H17" s="48"/>
      <c r="I17" s="48">
        <f t="shared" si="1"/>
        <v>0</v>
      </c>
      <c r="J17" s="48"/>
      <c r="K17" s="48"/>
      <c r="L17" s="48">
        <f t="shared" si="2"/>
        <v>0</v>
      </c>
    </row>
    <row r="18" spans="2:12" x14ac:dyDescent="0.25">
      <c r="B18" s="48" t="s">
        <v>314</v>
      </c>
      <c r="C18" s="48"/>
      <c r="D18" s="48"/>
      <c r="E18" s="48">
        <f t="shared" si="0"/>
        <v>0</v>
      </c>
      <c r="F18" s="48" t="s">
        <v>310</v>
      </c>
      <c r="G18" s="48"/>
      <c r="H18" s="48"/>
      <c r="I18" s="48">
        <f t="shared" si="1"/>
        <v>0</v>
      </c>
      <c r="J18" s="48"/>
      <c r="K18" s="48"/>
      <c r="L18" s="48">
        <f t="shared" si="2"/>
        <v>0</v>
      </c>
    </row>
    <row r="19" spans="2:12" x14ac:dyDescent="0.25">
      <c r="B19" s="48"/>
      <c r="C19" s="48"/>
      <c r="D19" s="48"/>
      <c r="E19" s="48">
        <f t="shared" si="0"/>
        <v>0</v>
      </c>
      <c r="F19" s="48" t="s">
        <v>312</v>
      </c>
      <c r="G19" s="48"/>
      <c r="H19" s="48"/>
      <c r="I19" s="48">
        <f t="shared" si="1"/>
        <v>0</v>
      </c>
      <c r="J19" s="48"/>
      <c r="K19" s="48"/>
      <c r="L19" s="48">
        <f t="shared" si="2"/>
        <v>0</v>
      </c>
    </row>
    <row r="20" spans="2:12" x14ac:dyDescent="0.25">
      <c r="B20" s="48"/>
      <c r="C20" s="48"/>
      <c r="D20" s="48"/>
      <c r="E20" s="48">
        <f t="shared" si="0"/>
        <v>0</v>
      </c>
      <c r="F20" s="48"/>
      <c r="G20" s="48"/>
      <c r="H20" s="48"/>
      <c r="I20" s="48">
        <f t="shared" si="1"/>
        <v>0</v>
      </c>
      <c r="J20" s="48"/>
      <c r="K20" s="48"/>
      <c r="L20" s="48">
        <f t="shared" si="2"/>
        <v>0</v>
      </c>
    </row>
    <row r="21" spans="2:12" x14ac:dyDescent="0.25">
      <c r="B21" s="48" t="s">
        <v>315</v>
      </c>
      <c r="C21" s="48"/>
      <c r="D21" s="48"/>
      <c r="E21" s="48">
        <f t="shared" si="0"/>
        <v>0</v>
      </c>
      <c r="F21" s="48" t="s">
        <v>310</v>
      </c>
      <c r="G21" s="48"/>
      <c r="H21" s="48"/>
      <c r="I21" s="48">
        <f t="shared" si="1"/>
        <v>0</v>
      </c>
      <c r="J21" s="48"/>
      <c r="K21" s="48"/>
      <c r="L21" s="48">
        <f t="shared" si="2"/>
        <v>0</v>
      </c>
    </row>
    <row r="22" spans="2:12" x14ac:dyDescent="0.25">
      <c r="B22" s="48"/>
      <c r="C22" s="48"/>
      <c r="D22" s="48"/>
      <c r="E22" s="48">
        <f t="shared" si="0"/>
        <v>0</v>
      </c>
      <c r="F22" s="48" t="s">
        <v>312</v>
      </c>
      <c r="G22" s="48"/>
      <c r="H22" s="48"/>
      <c r="I22" s="48">
        <f t="shared" si="1"/>
        <v>0</v>
      </c>
      <c r="J22" s="48"/>
      <c r="K22" s="48"/>
      <c r="L22" s="48">
        <f t="shared" si="2"/>
        <v>0</v>
      </c>
    </row>
    <row r="23" spans="2:12" x14ac:dyDescent="0.25">
      <c r="B23" s="48"/>
      <c r="C23" s="48"/>
      <c r="D23" s="48"/>
      <c r="E23" s="48">
        <f t="shared" si="0"/>
        <v>0</v>
      </c>
      <c r="F23" s="48"/>
      <c r="G23" s="48"/>
      <c r="H23" s="48"/>
      <c r="I23" s="48">
        <f t="shared" si="1"/>
        <v>0</v>
      </c>
      <c r="J23" s="48"/>
      <c r="K23" s="48"/>
      <c r="L23" s="48">
        <f t="shared" si="2"/>
        <v>0</v>
      </c>
    </row>
    <row r="24" spans="2:12" x14ac:dyDescent="0.25">
      <c r="B24" s="48" t="s">
        <v>316</v>
      </c>
      <c r="C24" s="48"/>
      <c r="D24" s="48"/>
      <c r="E24" s="48">
        <f t="shared" si="0"/>
        <v>0</v>
      </c>
      <c r="F24" s="48" t="s">
        <v>317</v>
      </c>
      <c r="G24" s="48"/>
      <c r="H24" s="48"/>
      <c r="I24" s="48">
        <f t="shared" si="1"/>
        <v>0</v>
      </c>
      <c r="J24" s="48"/>
      <c r="K24" s="48"/>
      <c r="L24" s="48">
        <f t="shared" si="2"/>
        <v>0</v>
      </c>
    </row>
    <row r="25" spans="2:12" x14ac:dyDescent="0.25">
      <c r="B25" s="48"/>
      <c r="C25" s="48"/>
      <c r="D25" s="48"/>
      <c r="E25" s="48">
        <f>C25*D25</f>
        <v>0</v>
      </c>
      <c r="F25" s="48" t="s">
        <v>317</v>
      </c>
      <c r="G25" s="48"/>
      <c r="H25" s="48"/>
      <c r="I25" s="48">
        <f>G25*H25</f>
        <v>0</v>
      </c>
      <c r="J25" s="48"/>
      <c r="K25" s="48"/>
      <c r="L25" s="48">
        <f>J25*K25</f>
        <v>0</v>
      </c>
    </row>
    <row r="26" spans="2:12" x14ac:dyDescent="0.25">
      <c r="B26" s="48"/>
      <c r="C26" s="48"/>
      <c r="D26" s="48"/>
      <c r="E26" s="48">
        <f>C26*D26</f>
        <v>0</v>
      </c>
      <c r="F26" s="48" t="s">
        <v>317</v>
      </c>
      <c r="G26" s="48"/>
      <c r="H26" s="48"/>
      <c r="I26" s="48">
        <f>G26*H26</f>
        <v>0</v>
      </c>
      <c r="J26" s="48"/>
      <c r="K26" s="48"/>
      <c r="L26" s="48">
        <f>J26*K26</f>
        <v>0</v>
      </c>
    </row>
    <row r="27" spans="2:12" x14ac:dyDescent="0.25">
      <c r="B27" s="48"/>
      <c r="C27" s="48"/>
      <c r="D27" s="48"/>
      <c r="E27" s="48">
        <f>C27*D27</f>
        <v>0</v>
      </c>
      <c r="F27" s="48" t="s">
        <v>317</v>
      </c>
      <c r="G27" s="48"/>
      <c r="H27" s="48"/>
      <c r="I27" s="48">
        <f>G27*H27</f>
        <v>0</v>
      </c>
      <c r="J27" s="48"/>
      <c r="K27" s="48"/>
      <c r="L27" s="48">
        <f>J27*K27</f>
        <v>0</v>
      </c>
    </row>
    <row r="28" spans="2:12" x14ac:dyDescent="0.25">
      <c r="B28" s="48" t="s">
        <v>318</v>
      </c>
      <c r="C28" s="48"/>
      <c r="D28" s="48"/>
      <c r="E28" s="48">
        <f t="shared" si="0"/>
        <v>0</v>
      </c>
      <c r="F28" s="48" t="s">
        <v>317</v>
      </c>
      <c r="G28" s="48"/>
      <c r="H28" s="48"/>
      <c r="I28" s="48">
        <f t="shared" si="1"/>
        <v>0</v>
      </c>
      <c r="J28" s="48"/>
      <c r="K28" s="48"/>
      <c r="L28" s="48">
        <f t="shared" si="2"/>
        <v>0</v>
      </c>
    </row>
    <row r="29" spans="2:12" x14ac:dyDescent="0.25">
      <c r="B29" s="48" t="s">
        <v>319</v>
      </c>
      <c r="C29" s="48"/>
      <c r="D29" s="48"/>
      <c r="E29" s="48">
        <f t="shared" si="0"/>
        <v>0</v>
      </c>
      <c r="F29" s="48" t="s">
        <v>317</v>
      </c>
      <c r="G29" s="48"/>
      <c r="H29" s="48"/>
      <c r="I29" s="48">
        <f t="shared" si="1"/>
        <v>0</v>
      </c>
      <c r="J29" s="48"/>
      <c r="K29" s="48"/>
      <c r="L29" s="48">
        <f t="shared" si="2"/>
        <v>0</v>
      </c>
    </row>
    <row r="30" spans="2:12" x14ac:dyDescent="0.25">
      <c r="B30" s="48" t="s">
        <v>323</v>
      </c>
      <c r="C30" s="48"/>
      <c r="D30" s="48"/>
      <c r="E30" s="48">
        <f t="shared" si="0"/>
        <v>0</v>
      </c>
      <c r="F30" s="48"/>
      <c r="G30" s="48"/>
      <c r="H30" s="48"/>
      <c r="I30" s="48">
        <f t="shared" si="1"/>
        <v>0</v>
      </c>
      <c r="J30" s="48"/>
      <c r="K30" s="48"/>
      <c r="L30" s="48">
        <f t="shared" si="2"/>
        <v>0</v>
      </c>
    </row>
    <row r="31" spans="2:12" x14ac:dyDescent="0.25">
      <c r="B31" s="48"/>
      <c r="C31" s="48"/>
      <c r="D31" s="48"/>
      <c r="E31" s="48">
        <f>C31*D31</f>
        <v>0</v>
      </c>
      <c r="F31" s="48"/>
      <c r="G31" s="48"/>
      <c r="H31" s="48"/>
      <c r="I31" s="48">
        <f>G31*H31</f>
        <v>0</v>
      </c>
      <c r="J31" s="48"/>
      <c r="K31" s="48"/>
      <c r="L31" s="48">
        <f>J31*K31</f>
        <v>0</v>
      </c>
    </row>
    <row r="32" spans="2:12" x14ac:dyDescent="0.25">
      <c r="B32" s="48"/>
      <c r="C32" s="48"/>
      <c r="D32" s="48"/>
      <c r="E32" s="48">
        <f>C32*D32</f>
        <v>0</v>
      </c>
      <c r="F32" s="48"/>
      <c r="G32" s="48"/>
      <c r="H32" s="48"/>
      <c r="I32" s="48">
        <f>G32*H32</f>
        <v>0</v>
      </c>
      <c r="J32" s="48"/>
      <c r="K32" s="48"/>
      <c r="L32" s="48">
        <f>J32*K32</f>
        <v>0</v>
      </c>
    </row>
    <row r="33" spans="2:12" x14ac:dyDescent="0.25">
      <c r="B33" s="48" t="s">
        <v>320</v>
      </c>
      <c r="C33" s="48"/>
      <c r="D33" s="48"/>
      <c r="E33" s="48">
        <f t="shared" si="0"/>
        <v>0</v>
      </c>
      <c r="F33" s="48"/>
      <c r="G33" s="48"/>
      <c r="H33" s="48"/>
      <c r="I33" s="48">
        <f t="shared" si="1"/>
        <v>0</v>
      </c>
      <c r="J33" s="48"/>
      <c r="K33" s="48"/>
      <c r="L33" s="48">
        <f t="shared" si="2"/>
        <v>0</v>
      </c>
    </row>
    <row r="34" spans="2:12" x14ac:dyDescent="0.25">
      <c r="B34" s="48" t="s">
        <v>324</v>
      </c>
      <c r="C34" s="48"/>
      <c r="D34" s="48"/>
      <c r="E34" s="48">
        <f t="shared" si="0"/>
        <v>0</v>
      </c>
      <c r="F34" s="48"/>
      <c r="G34" s="48"/>
      <c r="H34" s="48"/>
      <c r="I34" s="48">
        <f t="shared" si="1"/>
        <v>0</v>
      </c>
      <c r="J34" s="48"/>
      <c r="K34" s="48"/>
      <c r="L34" s="48">
        <f t="shared" si="2"/>
        <v>0</v>
      </c>
    </row>
    <row r="35" spans="2:12" x14ac:dyDescent="0.25">
      <c r="B35" s="48" t="s">
        <v>321</v>
      </c>
      <c r="C35" s="48"/>
      <c r="D35" s="48"/>
      <c r="E35" s="48">
        <f t="shared" si="0"/>
        <v>0</v>
      </c>
      <c r="F35" s="48"/>
      <c r="G35" s="48"/>
      <c r="H35" s="48"/>
      <c r="I35" s="48">
        <f t="shared" si="1"/>
        <v>0</v>
      </c>
      <c r="J35" s="48"/>
      <c r="K35" s="48"/>
      <c r="L35" s="48">
        <f t="shared" si="2"/>
        <v>0</v>
      </c>
    </row>
    <row r="36" spans="2:12" x14ac:dyDescent="0.25">
      <c r="B36" s="48" t="s">
        <v>322</v>
      </c>
      <c r="C36" s="48"/>
      <c r="D36" s="48"/>
      <c r="E36" s="48">
        <f t="shared" si="0"/>
        <v>0</v>
      </c>
      <c r="F36" s="48"/>
      <c r="G36" s="48"/>
      <c r="H36" s="48"/>
      <c r="I36" s="48">
        <f t="shared" ref="I36:I41" si="3">G36*H36</f>
        <v>0</v>
      </c>
      <c r="J36" s="48"/>
      <c r="K36" s="48"/>
      <c r="L36" s="48">
        <f t="shared" ref="L36:L41" si="4">J36*K36</f>
        <v>0</v>
      </c>
    </row>
    <row r="37" spans="2:12" x14ac:dyDescent="0.25">
      <c r="B37" s="48"/>
      <c r="C37" s="48"/>
      <c r="D37" s="48"/>
      <c r="E37" s="48">
        <f>C37*D37</f>
        <v>0</v>
      </c>
      <c r="F37" s="48"/>
      <c r="G37" s="48"/>
      <c r="H37" s="48"/>
      <c r="I37" s="48">
        <f t="shared" si="3"/>
        <v>0</v>
      </c>
      <c r="J37" s="48"/>
      <c r="K37" s="48"/>
      <c r="L37" s="48">
        <f t="shared" si="4"/>
        <v>0</v>
      </c>
    </row>
    <row r="38" spans="2:12" x14ac:dyDescent="0.25">
      <c r="B38" s="48" t="s">
        <v>325</v>
      </c>
      <c r="C38" s="48"/>
      <c r="D38" s="48"/>
      <c r="E38" s="48">
        <f>C38*D38</f>
        <v>0</v>
      </c>
      <c r="F38" s="48"/>
      <c r="G38" s="48"/>
      <c r="H38" s="48"/>
      <c r="I38" s="48">
        <f t="shared" si="3"/>
        <v>0</v>
      </c>
      <c r="J38" s="48"/>
      <c r="K38" s="48"/>
      <c r="L38" s="48">
        <f t="shared" si="4"/>
        <v>0</v>
      </c>
    </row>
    <row r="39" spans="2:12" x14ac:dyDescent="0.25">
      <c r="B39" s="48"/>
      <c r="C39" s="48"/>
      <c r="D39" s="48"/>
      <c r="E39" s="48">
        <f t="shared" si="0"/>
        <v>0</v>
      </c>
      <c r="F39" s="48"/>
      <c r="G39" s="48"/>
      <c r="H39" s="48"/>
      <c r="I39" s="48">
        <f t="shared" si="3"/>
        <v>0</v>
      </c>
      <c r="J39" s="48"/>
      <c r="K39" s="48"/>
      <c r="L39" s="48">
        <f t="shared" si="4"/>
        <v>0</v>
      </c>
    </row>
    <row r="40" spans="2:12" x14ac:dyDescent="0.25">
      <c r="B40" s="48"/>
      <c r="C40" s="48"/>
      <c r="D40" s="48"/>
      <c r="E40" s="48">
        <f t="shared" si="0"/>
        <v>0</v>
      </c>
      <c r="F40" s="48"/>
      <c r="G40" s="48"/>
      <c r="H40" s="48"/>
      <c r="I40" s="48">
        <f t="shared" si="3"/>
        <v>0</v>
      </c>
      <c r="J40" s="48"/>
      <c r="K40" s="48"/>
      <c r="L40" s="48">
        <f t="shared" si="4"/>
        <v>0</v>
      </c>
    </row>
    <row r="41" spans="2:12" x14ac:dyDescent="0.25">
      <c r="B41" s="48"/>
      <c r="C41" s="48"/>
      <c r="D41" s="48"/>
      <c r="E41" s="48">
        <f t="shared" si="0"/>
        <v>0</v>
      </c>
      <c r="F41" s="48"/>
      <c r="G41" s="48"/>
      <c r="H41" s="48"/>
      <c r="I41" s="48">
        <f t="shared" si="3"/>
        <v>0</v>
      </c>
      <c r="J41" s="48"/>
      <c r="K41" s="48"/>
      <c r="L41" s="48">
        <f t="shared" si="4"/>
        <v>0</v>
      </c>
    </row>
    <row r="42" spans="2:12" x14ac:dyDescent="0.25">
      <c r="B42" s="48" t="s">
        <v>147</v>
      </c>
      <c r="C42" s="48"/>
      <c r="D42" s="48">
        <f>E42*10.764</f>
        <v>0</v>
      </c>
      <c r="E42" s="67">
        <f>SUM(E6:E41)</f>
        <v>0</v>
      </c>
      <c r="F42" s="48"/>
      <c r="G42" s="48"/>
      <c r="H42" s="48">
        <f>I42*10.764</f>
        <v>0</v>
      </c>
      <c r="I42" s="66">
        <f>SUM(I6:I41)</f>
        <v>0</v>
      </c>
      <c r="J42" s="48"/>
      <c r="K42" s="48">
        <f>L42*10.764</f>
        <v>0</v>
      </c>
      <c r="L42" s="65">
        <f>SUM(L6:L41)</f>
        <v>0</v>
      </c>
    </row>
    <row r="44" spans="2:12" x14ac:dyDescent="0.25">
      <c r="D44" s="47">
        <f>D42+H42</f>
        <v>0</v>
      </c>
      <c r="E44" s="47">
        <f>E42+I42</f>
        <v>0</v>
      </c>
    </row>
  </sheetData>
  <mergeCells count="4">
    <mergeCell ref="C2:D2"/>
    <mergeCell ref="C4:E4"/>
    <mergeCell ref="G4:I4"/>
    <mergeCell ref="J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Report</vt:lpstr>
      <vt:lpstr>valuation</vt:lpstr>
      <vt:lpstr>Research</vt:lpstr>
      <vt:lpstr>Remarks</vt:lpstr>
      <vt:lpstr>Area Calculation</vt:lpstr>
      <vt:lpstr>Report!Print_Area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PC-51</cp:lastModifiedBy>
  <cp:lastPrinted>2025-09-02T09:04:52Z</cp:lastPrinted>
  <dcterms:created xsi:type="dcterms:W3CDTF">2019-07-16T09:29:46Z</dcterms:created>
  <dcterms:modified xsi:type="dcterms:W3CDTF">2025-09-02T09:16:09Z</dcterms:modified>
</cp:coreProperties>
</file>