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30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25" i="1"/>
  <c r="I136" i="1"/>
  <c r="K135" i="1" l="1"/>
  <c r="J143" i="1"/>
  <c r="J142" i="1"/>
  <c r="J141" i="1"/>
  <c r="J140" i="1"/>
  <c r="J139" i="1"/>
  <c r="J138" i="1"/>
  <c r="J137" i="1"/>
  <c r="J136" i="1"/>
  <c r="J134" i="1"/>
  <c r="J133" i="1"/>
  <c r="J132" i="1"/>
  <c r="J131" i="1"/>
  <c r="J130" i="1"/>
  <c r="J129" i="1"/>
  <c r="J128" i="1"/>
  <c r="J127" i="1"/>
  <c r="J126" i="1"/>
  <c r="J125" i="1"/>
  <c r="D143" i="1" l="1"/>
  <c r="K143" i="1" s="1"/>
  <c r="D142" i="1"/>
  <c r="D141" i="1"/>
  <c r="D140" i="1"/>
  <c r="D139" i="1"/>
  <c r="K139" i="1" s="1"/>
  <c r="D138" i="1"/>
  <c r="K138" i="1" s="1"/>
  <c r="D137" i="1"/>
  <c r="K137" i="1" s="1"/>
  <c r="D136" i="1"/>
  <c r="L136" i="1" s="1"/>
  <c r="N136" i="1" s="1"/>
  <c r="D134" i="1"/>
  <c r="D133" i="1"/>
  <c r="D132" i="1"/>
  <c r="D131" i="1"/>
  <c r="D130" i="1"/>
  <c r="D129" i="1"/>
  <c r="D128" i="1"/>
  <c r="D127" i="1"/>
  <c r="D126" i="1"/>
  <c r="D125" i="1"/>
  <c r="A126" i="1"/>
  <c r="A127" i="1" s="1"/>
  <c r="A128" i="1" s="1"/>
  <c r="A129" i="1" s="1"/>
  <c r="A130" i="1" s="1"/>
  <c r="A131" i="1" s="1"/>
  <c r="A132" i="1" s="1"/>
  <c r="A133" i="1" s="1"/>
  <c r="A134" i="1" s="1"/>
  <c r="G125" i="1"/>
  <c r="K128" i="1" l="1"/>
  <c r="K132" i="1"/>
  <c r="K141" i="1"/>
  <c r="K129" i="1"/>
  <c r="G112" i="1"/>
  <c r="K125" i="1"/>
  <c r="E112" i="1"/>
  <c r="C112" i="1"/>
  <c r="K133" i="1"/>
  <c r="K142" i="1"/>
  <c r="K126" i="1"/>
  <c r="K130" i="1"/>
  <c r="K134" i="1"/>
  <c r="K127" i="1"/>
  <c r="K131" i="1"/>
  <c r="K136" i="1"/>
  <c r="C113" i="1"/>
  <c r="E113" i="1"/>
  <c r="K140" i="1"/>
  <c r="C14" i="1"/>
  <c r="E114" i="1" l="1"/>
  <c r="C114" i="1"/>
  <c r="E29" i="1"/>
  <c r="F149" i="1" l="1"/>
  <c r="F150" i="1"/>
  <c r="F151" i="1"/>
  <c r="F148" i="1"/>
  <c r="A149" i="1"/>
  <c r="A150" i="1" s="1"/>
  <c r="A151" i="1" s="1"/>
  <c r="G148" i="1"/>
  <c r="G149" i="1" s="1"/>
  <c r="G150" i="1" s="1"/>
  <c r="G151" i="1" s="1"/>
  <c r="F109" i="1" l="1"/>
  <c r="G113" i="1" l="1"/>
  <c r="G114" i="1" s="1"/>
  <c r="B178" i="1" l="1"/>
  <c r="A159" i="1"/>
  <c r="A165" i="1"/>
  <c r="A171" i="1"/>
  <c r="F175" i="1" l="1"/>
  <c r="F174" i="1"/>
  <c r="F173" i="1"/>
  <c r="F172" i="1"/>
  <c r="F171" i="1"/>
  <c r="F169" i="1"/>
  <c r="F168" i="1"/>
  <c r="F167" i="1"/>
  <c r="F166" i="1"/>
  <c r="F165" i="1"/>
  <c r="F163" i="1"/>
  <c r="F162" i="1"/>
  <c r="F161" i="1"/>
  <c r="F160" i="1"/>
  <c r="F159" i="1"/>
  <c r="F157" i="1"/>
  <c r="F156" i="1"/>
  <c r="F154" i="1"/>
  <c r="F153" i="1"/>
  <c r="F155" i="1"/>
  <c r="A160" i="1"/>
  <c r="A166" i="1"/>
  <c r="A172" i="1"/>
  <c r="B179" i="1" l="1"/>
  <c r="A161" i="1"/>
  <c r="A173" i="1"/>
  <c r="A16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0" i="1"/>
  <c r="G171" i="1"/>
  <c r="G172" i="1" s="1"/>
  <c r="G173" i="1" s="1"/>
  <c r="G174" i="1" s="1"/>
  <c r="G175" i="1" s="1"/>
  <c r="G165" i="1"/>
  <c r="G166" i="1" s="1"/>
  <c r="G167" i="1" s="1"/>
  <c r="G168" i="1" s="1"/>
  <c r="G169" i="1" s="1"/>
  <c r="G159" i="1"/>
  <c r="G160" i="1" s="1"/>
  <c r="G161" i="1" s="1"/>
  <c r="G162" i="1" s="1"/>
  <c r="G163" i="1" s="1"/>
  <c r="G153" i="1"/>
  <c r="G154" i="1" s="1"/>
  <c r="G155" i="1" s="1"/>
  <c r="G156" i="1" s="1"/>
  <c r="G157" i="1" s="1"/>
  <c r="A153" i="1"/>
  <c r="A154" i="1" s="1"/>
  <c r="A155" i="1" s="1"/>
  <c r="A156" i="1" s="1"/>
  <c r="A157" i="1" s="1"/>
  <c r="A137" i="1"/>
  <c r="A138" i="1" s="1"/>
  <c r="A139" i="1" s="1"/>
  <c r="A140" i="1" s="1"/>
  <c r="A141" i="1" s="1"/>
  <c r="A142" i="1" s="1"/>
  <c r="A143" i="1" s="1"/>
  <c r="G136" i="1"/>
  <c r="J93" i="1"/>
  <c r="J92" i="1"/>
  <c r="J91" i="1"/>
  <c r="J90" i="1"/>
  <c r="C82" i="1"/>
  <c r="J79" i="1"/>
  <c r="J78" i="1"/>
  <c r="J77" i="1"/>
  <c r="J76" i="1"/>
  <c r="C67" i="1"/>
  <c r="D55" i="1"/>
  <c r="G49" i="1"/>
  <c r="G51" i="1" s="1"/>
  <c r="C49" i="1"/>
  <c r="C51" i="1" s="1"/>
  <c r="E42" i="1"/>
  <c r="E26" i="1"/>
  <c r="E24" i="1"/>
  <c r="E7" i="1"/>
  <c r="A174" i="1"/>
  <c r="H68" i="1"/>
  <c r="H83" i="1"/>
  <c r="A162" i="1"/>
  <c r="A168" i="1"/>
  <c r="D93" i="1" l="1"/>
  <c r="D94" i="1"/>
  <c r="D95" i="1"/>
  <c r="D89" i="1"/>
  <c r="D90" i="1"/>
  <c r="D91" i="1"/>
  <c r="D92" i="1"/>
  <c r="C88" i="1"/>
  <c r="J82" i="1" s="1"/>
  <c r="J84" i="1" s="1"/>
  <c r="D81" i="1"/>
  <c r="D79" i="1"/>
  <c r="D78" i="1"/>
  <c r="D77" i="1"/>
  <c r="D75" i="1"/>
  <c r="J67" i="1"/>
  <c r="D80" i="1"/>
  <c r="D76" i="1"/>
  <c r="J72" i="1"/>
  <c r="J73" i="1"/>
  <c r="C72" i="1" s="1"/>
  <c r="J71" i="1"/>
  <c r="J74" i="1"/>
  <c r="J75" i="1" s="1"/>
  <c r="J80" i="1" s="1"/>
  <c r="J81" i="1" s="1"/>
  <c r="C73" i="1" s="1"/>
  <c r="J88" i="1"/>
  <c r="J89" i="1" s="1"/>
  <c r="J94" i="1" s="1"/>
  <c r="J95" i="1" s="1"/>
  <c r="C87" i="1" s="1"/>
  <c r="J86" i="1"/>
  <c r="J87" i="1"/>
  <c r="C86" i="1" s="1"/>
  <c r="J85" i="1"/>
  <c r="A163" i="1"/>
  <c r="A169" i="1"/>
  <c r="A175" i="1"/>
  <c r="D88" i="1" l="1"/>
  <c r="D74" i="1"/>
  <c r="J69" i="1"/>
  <c r="E72" i="1"/>
  <c r="D73" i="1"/>
  <c r="G72" i="1"/>
  <c r="D65" i="1" s="1"/>
  <c r="D66" i="1" s="1"/>
  <c r="D72" i="1"/>
  <c r="E86" i="1"/>
  <c r="D87" i="1"/>
  <c r="G86" i="1"/>
  <c r="D86" i="1"/>
  <c r="J83" i="1" s="1"/>
  <c r="I68" i="1" l="1"/>
  <c r="J68" i="1"/>
  <c r="J70" i="1" s="1"/>
  <c r="I83" i="1"/>
  <c r="F66" i="1"/>
  <c r="I69" i="1" l="1"/>
  <c r="I84" i="1"/>
  <c r="I82" i="1" s="1"/>
  <c r="I67" i="1" l="1"/>
  <c r="I70" i="1"/>
</calcChain>
</file>

<file path=xl/sharedStrings.xml><?xml version="1.0" encoding="utf-8"?>
<sst xmlns="http://schemas.openxmlformats.org/spreadsheetml/2006/main" count="330" uniqueCount="230">
  <si>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</si>
  <si>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</si>
  <si>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</si>
  <si>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</si>
  <si>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</si>
  <si>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</si>
  <si>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</si>
  <si>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</si>
  <si>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</si>
  <si>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</si>
  <si>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</si>
  <si>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</si>
  <si>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</si>
  <si>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</si>
  <si>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</si>
  <si>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</si>
  <si>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</si>
  <si>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</si>
  <si>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</si>
  <si>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</si>
  <si>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</si>
  <si>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</si>
  <si>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</si>
  <si>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</si>
  <si>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</si>
  <si>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</si>
  <si>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</si>
  <si>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</si>
  <si>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</si>
  <si>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</si>
  <si>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</si>
  <si>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</si>
  <si>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</si>
  <si>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</si>
  <si>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</si>
  <si>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</si>
  <si>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</si>
  <si>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</si>
  <si>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</si>
  <si>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</si>
  <si>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</si>
  <si>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</si>
  <si>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</si>
  <si>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</si>
  <si>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</si>
  <si>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</si>
  <si>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</si>
  <si>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</si>
  <si>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</si>
  <si>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</si>
  <si>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</si>
  <si>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</si>
  <si>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</si>
  <si>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</si>
  <si>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</si>
  <si>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</si>
  <si>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</si>
  <si>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</si>
  <si>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</si>
  <si>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</si>
  <si>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</si>
  <si>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</si>
  <si>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</si>
  <si>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</si>
  <si>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</si>
  <si>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</si>
  <si>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</si>
  <si>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</si>
  <si>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</si>
  <si>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</si>
  <si>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</si>
  <si>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</si>
  <si>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</si>
  <si>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</si>
  <si>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</si>
  <si>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</si>
  <si>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</si>
  <si>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</si>
  <si>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</si>
  <si>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</si>
  <si>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</si>
  <si>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</si>
  <si>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</si>
  <si>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</si>
  <si>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</si>
  <si>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</si>
  <si>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</si>
  <si>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</si>
  <si>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</si>
  <si>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</si>
  <si>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</si>
  <si>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</si>
  <si>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</si>
  <si>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</si>
  <si>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</si>
  <si>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</si>
  <si>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</si>
  <si>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</si>
  <si>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</si>
  <si>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</si>
  <si>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</si>
  <si>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</si>
  <si>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</si>
  <si>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</si>
  <si>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</si>
  <si>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</si>
  <si>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</si>
  <si>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</si>
  <si>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</si>
  <si>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</si>
  <si>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</si>
  <si>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</si>
  <si>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</si>
  <si>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</si>
  <si>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</si>
  <si>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</si>
  <si>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</si>
  <si>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</si>
  <si>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</si>
  <si>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</si>
  <si>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</si>
  <si>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</si>
  <si>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</si>
  <si>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</si>
  <si>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</si>
  <si>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</si>
  <si>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</si>
  <si>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</si>
  <si>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</si>
  <si>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</si>
  <si>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</si>
  <si>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</si>
  <si>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</si>
  <si>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</si>
  <si>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</si>
  <si>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</si>
  <si>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</si>
  <si>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</si>
  <si>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</si>
  <si>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</si>
  <si>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</si>
  <si>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</si>
  <si>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</si>
  <si>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</si>
  <si>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</si>
  <si>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</si>
  <si>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</si>
  <si>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</si>
  <si>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</si>
  <si>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</si>
  <si>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</si>
  <si>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</si>
  <si>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</si>
  <si>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</si>
  <si>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</si>
  <si>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</si>
  <si>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</si>
  <si>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</si>
  <si>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</si>
  <si>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</si>
  <si>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</si>
  <si>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</si>
  <si>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</si>
  <si>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</si>
  <si>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</si>
  <si>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</si>
  <si>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</si>
  <si>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</si>
  <si>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</si>
  <si>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</si>
  <si>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</si>
  <si>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</si>
  <si>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</si>
  <si>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</si>
  <si>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</si>
  <si>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</si>
  <si>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</si>
  <si>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</si>
  <si>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</si>
  <si>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Trilok Properties</t>
  </si>
  <si>
    <t>Tulsi Kalash City</t>
  </si>
  <si>
    <t>Approved Plans, CC, Builder Saleable Area, Cost Sheet</t>
  </si>
  <si>
    <t>A, B, C, D, E, X Wings</t>
  </si>
  <si>
    <t>P52000014259</t>
  </si>
  <si>
    <t>142/7, 142/8/1, 142/9, 142/11/A,142/12/1/A, 142/12/2, 142/12/3/A, 142/12/4/A, 142/13, 142/14</t>
  </si>
  <si>
    <t>Survey No</t>
  </si>
  <si>
    <t>Savroli</t>
  </si>
  <si>
    <t>Savroli - Kharpada Road</t>
  </si>
  <si>
    <t>Panvel</t>
  </si>
  <si>
    <t>Karade Khurd</t>
  </si>
  <si>
    <t>Raigad</t>
  </si>
  <si>
    <t>Rasayani Police Station</t>
  </si>
  <si>
    <t>3.3 KM from Rasayani Railway Station</t>
  </si>
  <si>
    <t>Open Plot</t>
  </si>
  <si>
    <t>https://goo.gl/maps/XKRTRSoLwg94eyBT6</t>
  </si>
  <si>
    <t>06 Wings</t>
  </si>
  <si>
    <t>District Collector, Raigad</t>
  </si>
  <si>
    <t>MASHA/LNA-1/Case No.112/2016</t>
  </si>
  <si>
    <t>Approved Floor plan No.  
(Wing X)</t>
  </si>
  <si>
    <t>MASHA/LNA-1/S.R/P.K.20/2019</t>
  </si>
  <si>
    <t>Wing A, B, C, D &amp; E = Gr/St + 1st to 7th Floor
Wing X = Gr/St + 1st to 3rd Floor</t>
  </si>
  <si>
    <t>Wing X</t>
  </si>
  <si>
    <t>Ground Floor For Commercial &amp; Parking</t>
  </si>
  <si>
    <t>Shop</t>
  </si>
  <si>
    <t>Office</t>
  </si>
  <si>
    <t>We considered Gross carpet area = Net carpet + W.S Area.</t>
  </si>
  <si>
    <t>Shops</t>
  </si>
  <si>
    <t>Offices</t>
  </si>
  <si>
    <t>1st to 3rd Floor For Commercial</t>
  </si>
  <si>
    <t>Wing A, B, C, D &amp; E = Gr/St + 1st to 7th Floor</t>
  </si>
  <si>
    <t>Wing X = Gr/St + 1st to 3rd Floor</t>
  </si>
  <si>
    <t>Shops - 10, Offices - 24</t>
  </si>
  <si>
    <t>Builder Saleable area</t>
  </si>
  <si>
    <t>We have received only Approved plans of Wing X (on 11/10/2022)</t>
  </si>
  <si>
    <t xml:space="preserve">1.Vitrified tiles flooring 2. Granite Kitchen Platform  3. Decorative Enternace  etc. 
</t>
  </si>
  <si>
    <t>Fasad &amp; Plumbing</t>
  </si>
  <si>
    <t>Tulsi Kalash City (A, B, C, D, E &amp; X Wings)</t>
  </si>
  <si>
    <t>Office No. 1031, Wing J, Akshar Business Park, Plot No. 03 Sector 25, Near APMC Market, 
Vashi, Navi Mumbai, Maharashtra 400703 TEL: 022-46090378/79/80                                                                                                     E mail : vsjcapf@gmail.com. Web site : www.vsjadon.com</t>
  </si>
  <si>
    <t>Completed</t>
  </si>
  <si>
    <t>MS/L.N.A.1(B)/BGS:OC/OC.No.15/2022
Wing A to E = Gr + 1st to 7th Floor</t>
  </si>
  <si>
    <t>All work Completed. OC Received.</t>
  </si>
  <si>
    <t>Wing A, B, C, D, E = All work Completed. OC Received.
Wing  X = All work completed. Please provide OC.</t>
  </si>
  <si>
    <t>We have updated approved OC of Wing A to E from RERA Site on 07/11/2023.</t>
  </si>
  <si>
    <t xml:space="preserve">O. Certificate No.: 
Approved upto : </t>
  </si>
  <si>
    <t>All work completed. Please provide OC.</t>
  </si>
  <si>
    <t>Ketan Patil : 8149591441</t>
  </si>
  <si>
    <t>Pooja</t>
  </si>
  <si>
    <t>Nitesh</t>
  </si>
  <si>
    <t>Mr. Mahesh : 9967500538</t>
  </si>
  <si>
    <t>58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</si>
</sst>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306</xdr:row>
      <xdr:rowOff>9525</xdr:rowOff>
    </xdr:from>
    <xdr:to>
      <xdr:col>7</xdr:col>
      <xdr:colOff>443100</xdr:colOff>
      <xdr:row>323</xdr:row>
      <xdr:rowOff>96077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0" y="47186850"/>
          <a:ext cx="6120000" cy="3486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457200</xdr:colOff>
      <xdr:row>288</xdr:row>
      <xdr:rowOff>9525</xdr:rowOff>
    </xdr:from>
    <xdr:to>
      <xdr:col>7</xdr:col>
      <xdr:colOff>462150</xdr:colOff>
      <xdr:row>305</xdr:row>
      <xdr:rowOff>96078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" y="49120425"/>
          <a:ext cx="6120000" cy="3486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11</xdr:col>
      <xdr:colOff>1800</xdr:colOff>
      <xdr:row>200</xdr:row>
      <xdr:rowOff>8659</xdr:rowOff>
    </xdr:from>
    <xdr:ext cx="722442" cy="311496"/>
    <xdr:sp macro="" textlink="">
      <xdr:nvSpPr>
        <xdr:cNvPr id="27" name="TextBox 26"/>
        <xdr:cNvSpPr txBox="1"/>
      </xdr:nvSpPr>
      <xdr:spPr>
        <a:xfrm>
          <a:off x="9145800" y="33432750"/>
          <a:ext cx="722442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B</a:t>
          </a:r>
          <a:endParaRPr lang="en-IN" sz="1400" b="1"/>
        </a:p>
      </xdr:txBody>
    </xdr:sp>
    <xdr:clientData/>
  </xdr:oneCellAnchor>
  <xdr:oneCellAnchor>
    <xdr:from>
      <xdr:col>13</xdr:col>
      <xdr:colOff>86603</xdr:colOff>
      <xdr:row>199</xdr:row>
      <xdr:rowOff>95250</xdr:rowOff>
    </xdr:from>
    <xdr:ext cx="1029513" cy="311496"/>
    <xdr:sp macro="" textlink="">
      <xdr:nvSpPr>
        <xdr:cNvPr id="28" name="TextBox 27"/>
        <xdr:cNvSpPr txBox="1"/>
      </xdr:nvSpPr>
      <xdr:spPr>
        <a:xfrm>
          <a:off x="10719967" y="33320182"/>
          <a:ext cx="1029513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C &amp; D</a:t>
          </a:r>
          <a:endParaRPr lang="en-IN" sz="1400" b="1"/>
        </a:p>
      </xdr:txBody>
    </xdr:sp>
    <xdr:clientData/>
  </xdr:oneCellAnchor>
  <xdr:oneCellAnchor>
    <xdr:from>
      <xdr:col>9</xdr:col>
      <xdr:colOff>450120</xdr:colOff>
      <xdr:row>213</xdr:row>
      <xdr:rowOff>27712</xdr:rowOff>
    </xdr:from>
    <xdr:ext cx="722442" cy="311496"/>
    <xdr:sp macro="" textlink="">
      <xdr:nvSpPr>
        <xdr:cNvPr id="29" name="TextBox 28"/>
        <xdr:cNvSpPr txBox="1"/>
      </xdr:nvSpPr>
      <xdr:spPr>
        <a:xfrm>
          <a:off x="8130734" y="36032212"/>
          <a:ext cx="722442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E</a:t>
          </a:r>
          <a:endParaRPr lang="en-IN" sz="1400" b="1"/>
        </a:p>
      </xdr:txBody>
    </xdr:sp>
    <xdr:clientData/>
  </xdr:oneCellAnchor>
  <xdr:oneCellAnchor>
    <xdr:from>
      <xdr:col>11</xdr:col>
      <xdr:colOff>148236</xdr:colOff>
      <xdr:row>213</xdr:row>
      <xdr:rowOff>45030</xdr:rowOff>
    </xdr:from>
    <xdr:ext cx="722442" cy="311496"/>
    <xdr:sp macro="" textlink="">
      <xdr:nvSpPr>
        <xdr:cNvPr id="30" name="TextBox 29"/>
        <xdr:cNvSpPr txBox="1"/>
      </xdr:nvSpPr>
      <xdr:spPr>
        <a:xfrm>
          <a:off x="9292236" y="36049530"/>
          <a:ext cx="722442" cy="31149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X</a:t>
          </a:r>
          <a:endParaRPr lang="en-IN" sz="1400" b="1"/>
        </a:p>
      </xdr:txBody>
    </xdr:sp>
    <xdr:clientData/>
  </xdr:oneCellAnchor>
  <xdr:twoCellAnchor>
    <xdr:from>
      <xdr:col>9</xdr:col>
      <xdr:colOff>0</xdr:colOff>
      <xdr:row>203</xdr:row>
      <xdr:rowOff>0</xdr:rowOff>
    </xdr:from>
    <xdr:to>
      <xdr:col>9</xdr:col>
      <xdr:colOff>722442</xdr:colOff>
      <xdr:row>204</xdr:row>
      <xdr:rowOff>114646</xdr:rowOff>
    </xdr:to>
    <xdr:sp macro="" textlink="">
      <xdr:nvSpPr>
        <xdr:cNvPr id="19" name="TextBox 18"/>
        <xdr:cNvSpPr txBox="1"/>
      </xdr:nvSpPr>
      <xdr:spPr>
        <a:xfrm>
          <a:off x="8064500" y="32188150"/>
          <a:ext cx="722442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  <a:r>
            <a:rPr lang="en-IN" sz="1400" b="0" cap="none" spc="0" baseline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</a:t>
          </a:r>
          <a:endParaRPr lang="en-IN" sz="1400" b="0" cap="none" spc="0">
            <a:ln w="0"/>
            <a:solidFill>
              <a:srgbClr val="FFFF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215900</xdr:colOff>
      <xdr:row>200</xdr:row>
      <xdr:rowOff>107950</xdr:rowOff>
    </xdr:from>
    <xdr:to>
      <xdr:col>7</xdr:col>
      <xdr:colOff>631037</xdr:colOff>
      <xdr:row>237</xdr:row>
      <xdr:rowOff>171300</xdr:rowOff>
    </xdr:to>
    <xdr:grpSp>
      <xdr:nvGrpSpPr>
        <xdr:cNvPr id="3" name="Group 2"/>
        <xdr:cNvGrpSpPr/>
      </xdr:nvGrpSpPr>
      <xdr:grpSpPr>
        <a:xfrm>
          <a:off x="215900" y="31711900"/>
          <a:ext cx="6390487" cy="7340450"/>
          <a:chOff x="215900" y="31711900"/>
          <a:chExt cx="6390487" cy="734045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6841" y="36892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1110" y="368923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7362" y="34590125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295" y="317119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1266" y="317119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7237" y="317119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3459012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1631" y="3459012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1"/>
          <xdr:cNvSpPr txBox="1"/>
        </xdr:nvSpPr>
        <xdr:spPr>
          <a:xfrm>
            <a:off x="866645" y="33959800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A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3013566" y="33845500"/>
            <a:ext cx="1012334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B &amp; C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34" name="TextBox 33"/>
          <xdr:cNvSpPr txBox="1"/>
        </xdr:nvSpPr>
        <xdr:spPr>
          <a:xfrm>
            <a:off x="5223987" y="33959800"/>
            <a:ext cx="1012334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B &amp; C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35" name="TextBox 34"/>
          <xdr:cNvSpPr txBox="1"/>
        </xdr:nvSpPr>
        <xdr:spPr>
          <a:xfrm>
            <a:off x="571500" y="36114125"/>
            <a:ext cx="1012334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D &amp; E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2511381" y="35390224"/>
            <a:ext cx="765219" cy="315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X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KRTRSoLwg94eyBT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7"/>
  <sheetViews>
    <sheetView tabSelected="1" view="pageBreakPreview" zoomScaleNormal="100" zoomScaleSheetLayoutView="100" zoomScalePageLayoutView="7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0" ht="46.5" customHeight="1" x14ac:dyDescent="0.35">
      <c r="A1" s="131" t="s">
        <v>217</v>
      </c>
      <c r="B1" s="131"/>
      <c r="C1" s="131"/>
      <c r="D1" s="131"/>
      <c r="E1" s="131"/>
      <c r="F1" s="131"/>
      <c r="G1" s="131"/>
      <c r="H1" s="131"/>
    </row>
    <row r="2" spans="1:10" ht="16.5" customHeight="1" x14ac:dyDescent="0.35">
      <c r="A2" s="114" t="s">
        <v>0</v>
      </c>
      <c r="B2" s="114"/>
      <c r="C2" s="114"/>
      <c r="D2" s="114"/>
      <c r="E2" s="114"/>
      <c r="F2" s="114"/>
      <c r="G2" s="114"/>
      <c r="H2" s="114"/>
    </row>
    <row r="3" spans="1:10" x14ac:dyDescent="0.35">
      <c r="A3" s="132" t="s">
        <v>1</v>
      </c>
      <c r="B3" s="132"/>
      <c r="C3" s="132"/>
      <c r="D3" s="132"/>
      <c r="E3" s="133" t="str">
        <f ca="1">TEXT(TODAY(),"DD/MM/YYYY")</f>
        <v>30/08/2025</v>
      </c>
      <c r="F3" s="132"/>
      <c r="G3" s="132"/>
      <c r="H3" s="132"/>
    </row>
    <row r="4" spans="1:10" ht="15" customHeight="1" x14ac:dyDescent="0.35">
      <c r="A4" s="132" t="s">
        <v>2</v>
      </c>
      <c r="B4" s="132"/>
      <c r="C4" s="132"/>
      <c r="D4" s="132"/>
      <c r="E4" s="132" t="s">
        <v>178</v>
      </c>
      <c r="F4" s="132"/>
      <c r="G4" s="132"/>
      <c r="H4" s="132"/>
    </row>
    <row r="5" spans="1:10" x14ac:dyDescent="0.35">
      <c r="A5" s="132" t="s">
        <v>3</v>
      </c>
      <c r="B5" s="132"/>
      <c r="C5" s="132"/>
      <c r="D5" s="132"/>
      <c r="E5" s="133">
        <v>45899</v>
      </c>
      <c r="F5" s="132"/>
      <c r="G5" s="132"/>
      <c r="H5" s="132"/>
    </row>
    <row r="6" spans="1:10" ht="16.5" customHeight="1" x14ac:dyDescent="0.35">
      <c r="A6" s="132" t="s">
        <v>4</v>
      </c>
      <c r="B6" s="132"/>
      <c r="C6" s="132"/>
      <c r="D6" s="132"/>
      <c r="E6" s="132" t="s">
        <v>179</v>
      </c>
      <c r="F6" s="132"/>
      <c r="G6" s="132"/>
      <c r="H6" s="132"/>
    </row>
    <row r="7" spans="1:10" ht="15" customHeight="1" x14ac:dyDescent="0.35">
      <c r="A7" s="132" t="s">
        <v>5</v>
      </c>
      <c r="B7" s="132"/>
      <c r="C7" s="132"/>
      <c r="D7" s="132"/>
      <c r="E7" s="132" t="str">
        <f>E6</f>
        <v>Trilok Properties</v>
      </c>
      <c r="F7" s="132"/>
      <c r="G7" s="132"/>
      <c r="H7" s="132"/>
    </row>
    <row r="8" spans="1:10" x14ac:dyDescent="0.35">
      <c r="A8" s="132" t="s">
        <v>6</v>
      </c>
      <c r="B8" s="132"/>
      <c r="C8" s="132"/>
      <c r="D8" s="132"/>
      <c r="E8" s="134" t="s">
        <v>180</v>
      </c>
      <c r="F8" s="134"/>
      <c r="G8" s="134"/>
      <c r="H8" s="134"/>
      <c r="J8" s="21" t="s">
        <v>216</v>
      </c>
    </row>
    <row r="9" spans="1:10" x14ac:dyDescent="0.35">
      <c r="A9" s="132" t="s">
        <v>175</v>
      </c>
      <c r="B9" s="132"/>
      <c r="C9" s="132"/>
      <c r="D9" s="132"/>
      <c r="E9" s="132" t="s">
        <v>225</v>
      </c>
      <c r="F9" s="132"/>
      <c r="G9" s="132"/>
      <c r="H9" s="132"/>
    </row>
    <row r="10" spans="1:10" hidden="1" x14ac:dyDescent="0.35">
      <c r="A10" s="132" t="s">
        <v>176</v>
      </c>
      <c r="B10" s="132"/>
      <c r="C10" s="132"/>
      <c r="D10" s="132"/>
      <c r="E10" s="132" t="s">
        <v>228</v>
      </c>
      <c r="F10" s="132"/>
      <c r="G10" s="132"/>
      <c r="H10" s="132"/>
    </row>
    <row r="11" spans="1:10" x14ac:dyDescent="0.35">
      <c r="A11" s="132" t="s">
        <v>7</v>
      </c>
      <c r="B11" s="132"/>
      <c r="C11" s="132"/>
      <c r="D11" s="132"/>
      <c r="E11" s="132" t="s">
        <v>182</v>
      </c>
      <c r="F11" s="132"/>
      <c r="G11" s="132"/>
      <c r="H11" s="132"/>
    </row>
    <row r="12" spans="1:10" ht="18.75" customHeight="1" x14ac:dyDescent="0.35">
      <c r="A12" s="78" t="s">
        <v>8</v>
      </c>
      <c r="B12" s="78"/>
      <c r="C12" s="78"/>
      <c r="D12" s="78"/>
      <c r="E12" s="92" t="s">
        <v>181</v>
      </c>
      <c r="F12" s="92"/>
      <c r="G12" s="92"/>
      <c r="H12" s="92"/>
    </row>
    <row r="13" spans="1:10" x14ac:dyDescent="0.35">
      <c r="A13" s="78" t="s">
        <v>9</v>
      </c>
      <c r="B13" s="78"/>
      <c r="C13" s="78"/>
      <c r="D13" s="78"/>
      <c r="E13" s="92" t="s">
        <v>183</v>
      </c>
      <c r="F13" s="132"/>
      <c r="G13" s="132"/>
      <c r="H13" s="132"/>
    </row>
    <row r="14" spans="1:10" ht="51.75" customHeight="1" x14ac:dyDescent="0.35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Tulsi Kalash City, Survey No.142/7, 142/8/1, 142/9, 142/11/A,142/12/1/A, 142/12/2, 142/12/3/A, 142/12/4/A, 142/13, 142/14, near Rasayani Police Station, Savroli - Kharpada Road, Karade Khurd, Savroli, Panvel, Panvel, Raigad - 410220.</v>
      </c>
      <c r="D14" s="126"/>
      <c r="E14" s="126"/>
      <c r="F14" s="126"/>
      <c r="G14" s="126"/>
      <c r="H14" s="126"/>
    </row>
    <row r="15" spans="1:10" x14ac:dyDescent="0.35">
      <c r="A15" s="92" t="s">
        <v>185</v>
      </c>
      <c r="B15" s="92"/>
      <c r="C15" s="92" t="s">
        <v>184</v>
      </c>
      <c r="D15" s="92"/>
      <c r="E15" s="92"/>
      <c r="F15" s="92"/>
      <c r="G15" s="92"/>
      <c r="H15" s="92"/>
    </row>
    <row r="16" spans="1:10" ht="15.75" customHeight="1" x14ac:dyDescent="0.35">
      <c r="A16" s="92" t="s">
        <v>174</v>
      </c>
      <c r="B16" s="92"/>
      <c r="C16" s="92" t="s">
        <v>189</v>
      </c>
      <c r="D16" s="92"/>
      <c r="E16" s="92"/>
      <c r="F16" s="92"/>
      <c r="G16" s="92"/>
      <c r="H16" s="92"/>
    </row>
    <row r="17" spans="1:8" ht="15.75" customHeight="1" x14ac:dyDescent="0.35">
      <c r="A17" s="126" t="s">
        <v>11</v>
      </c>
      <c r="B17" s="126"/>
      <c r="C17" s="132" t="s">
        <v>187</v>
      </c>
      <c r="D17" s="132"/>
      <c r="E17" s="126" t="s">
        <v>76</v>
      </c>
      <c r="F17" s="126"/>
      <c r="G17" s="92" t="s">
        <v>186</v>
      </c>
      <c r="H17" s="92"/>
    </row>
    <row r="18" spans="1:8" x14ac:dyDescent="0.35">
      <c r="A18" s="78" t="s">
        <v>13</v>
      </c>
      <c r="B18" s="78"/>
      <c r="C18" s="92" t="s">
        <v>188</v>
      </c>
      <c r="D18" s="92"/>
      <c r="E18" s="126" t="s">
        <v>12</v>
      </c>
      <c r="F18" s="126"/>
      <c r="G18" s="135" t="s">
        <v>190</v>
      </c>
      <c r="H18" s="135"/>
    </row>
    <row r="19" spans="1:8" x14ac:dyDescent="0.35">
      <c r="A19" s="78" t="s">
        <v>77</v>
      </c>
      <c r="B19" s="78"/>
      <c r="C19" s="92" t="s">
        <v>188</v>
      </c>
      <c r="D19" s="92"/>
      <c r="E19" s="126" t="s">
        <v>14</v>
      </c>
      <c r="F19" s="126"/>
      <c r="G19" s="92">
        <v>410220</v>
      </c>
      <c r="H19" s="92"/>
    </row>
    <row r="20" spans="1:8" ht="32.25" customHeight="1" x14ac:dyDescent="0.35">
      <c r="A20" s="78" t="s">
        <v>129</v>
      </c>
      <c r="B20" s="78"/>
      <c r="C20" s="92" t="s">
        <v>191</v>
      </c>
      <c r="D20" s="92"/>
      <c r="E20" s="126" t="s">
        <v>15</v>
      </c>
      <c r="F20" s="126"/>
      <c r="G20" s="92" t="s">
        <v>192</v>
      </c>
      <c r="H20" s="92"/>
    </row>
    <row r="21" spans="1:8" ht="15" customHeight="1" x14ac:dyDescent="0.35">
      <c r="A21" s="126" t="s">
        <v>80</v>
      </c>
      <c r="B21" s="126"/>
      <c r="C21" s="126"/>
      <c r="D21" s="126"/>
      <c r="E21" s="132" t="s">
        <v>16</v>
      </c>
      <c r="F21" s="132"/>
      <c r="G21" s="132"/>
      <c r="H21" s="132"/>
    </row>
    <row r="22" spans="1:8" ht="18.75" customHeight="1" x14ac:dyDescent="0.35">
      <c r="A22" s="126"/>
      <c r="B22" s="126"/>
      <c r="C22" s="126"/>
      <c r="D22" s="126"/>
      <c r="E22" s="132"/>
      <c r="F22" s="132"/>
      <c r="G22" s="132"/>
      <c r="H22" s="132"/>
    </row>
    <row r="23" spans="1:8" ht="15" customHeight="1" x14ac:dyDescent="0.35">
      <c r="A23" s="126" t="s">
        <v>17</v>
      </c>
      <c r="B23" s="126"/>
      <c r="C23" s="126"/>
      <c r="D23" s="126"/>
      <c r="E23" s="92" t="s">
        <v>18</v>
      </c>
      <c r="F23" s="92"/>
      <c r="G23" s="92"/>
      <c r="H23" s="92"/>
    </row>
    <row r="24" spans="1:8" ht="15" customHeight="1" x14ac:dyDescent="0.35">
      <c r="A24" s="78" t="s">
        <v>19</v>
      </c>
      <c r="B24" s="78"/>
      <c r="C24" s="78"/>
      <c r="D24" s="78"/>
      <c r="E24" s="92" t="str">
        <f>IF(AND(G18="Mumbai"),"Upper Class","Middle Class")</f>
        <v>Middle Class</v>
      </c>
      <c r="F24" s="92"/>
      <c r="G24" s="92"/>
      <c r="H24" s="92"/>
    </row>
    <row r="25" spans="1:8" x14ac:dyDescent="0.35">
      <c r="A25" s="78" t="s">
        <v>20</v>
      </c>
      <c r="B25" s="78"/>
      <c r="C25" s="78"/>
      <c r="D25" s="78"/>
      <c r="E25" s="92" t="s">
        <v>21</v>
      </c>
      <c r="F25" s="92"/>
      <c r="G25" s="92"/>
      <c r="H25" s="92"/>
    </row>
    <row r="26" spans="1:8" ht="15.75" customHeight="1" x14ac:dyDescent="0.35">
      <c r="A26" s="78" t="s">
        <v>22</v>
      </c>
      <c r="B26" s="78"/>
      <c r="C26" s="78"/>
      <c r="D26" s="78"/>
      <c r="E26" s="92" t="str">
        <f>IF(AND(G18="Mumbai"),"Developed","Developing")</f>
        <v>Developing</v>
      </c>
      <c r="F26" s="92"/>
      <c r="G26" s="92"/>
      <c r="H26" s="92"/>
    </row>
    <row r="27" spans="1:8" x14ac:dyDescent="0.35">
      <c r="A27" s="78" t="s">
        <v>23</v>
      </c>
      <c r="B27" s="78"/>
      <c r="C27" s="78"/>
      <c r="D27" s="78"/>
      <c r="E27" s="92" t="s">
        <v>24</v>
      </c>
      <c r="F27" s="92"/>
      <c r="G27" s="92"/>
      <c r="H27" s="92"/>
    </row>
    <row r="28" spans="1:8" ht="15.75" customHeight="1" x14ac:dyDescent="0.35">
      <c r="A28" s="78" t="s">
        <v>85</v>
      </c>
      <c r="B28" s="78"/>
      <c r="C28" s="78"/>
      <c r="D28" s="78"/>
      <c r="E28" s="92" t="s">
        <v>86</v>
      </c>
      <c r="F28" s="92"/>
      <c r="G28" s="92"/>
      <c r="H28" s="92"/>
    </row>
    <row r="29" spans="1:8" ht="15" customHeight="1" x14ac:dyDescent="0.35">
      <c r="A29" s="78" t="s">
        <v>35</v>
      </c>
      <c r="B29" s="78"/>
      <c r="C29" s="78"/>
      <c r="D29" s="78"/>
      <c r="E29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Commercial</v>
      </c>
      <c r="F29" s="92"/>
      <c r="G29" s="92"/>
      <c r="H29" s="92"/>
    </row>
    <row r="30" spans="1:8" ht="15.75" customHeight="1" x14ac:dyDescent="0.35">
      <c r="A30" s="78" t="s">
        <v>97</v>
      </c>
      <c r="B30" s="78"/>
      <c r="C30" s="78"/>
      <c r="D30" s="78"/>
      <c r="E30" s="92" t="s">
        <v>36</v>
      </c>
      <c r="F30" s="92"/>
      <c r="G30" s="92"/>
      <c r="H30" s="92"/>
    </row>
    <row r="31" spans="1:8" s="22" customFormat="1" x14ac:dyDescent="0.35">
      <c r="A31" s="139" t="s">
        <v>98</v>
      </c>
      <c r="B31" s="139"/>
      <c r="C31" s="138" t="s">
        <v>29</v>
      </c>
      <c r="D31" s="138"/>
      <c r="E31" s="138"/>
      <c r="F31" s="138" t="s">
        <v>31</v>
      </c>
      <c r="G31" s="138"/>
      <c r="H31" s="138"/>
    </row>
    <row r="32" spans="1:8" s="22" customFormat="1" x14ac:dyDescent="0.35">
      <c r="A32" s="136" t="s">
        <v>25</v>
      </c>
      <c r="B32" s="136" t="s">
        <v>30</v>
      </c>
      <c r="C32" s="137" t="s">
        <v>30</v>
      </c>
      <c r="D32" s="137"/>
      <c r="E32" s="137"/>
      <c r="F32" s="137" t="s">
        <v>11</v>
      </c>
      <c r="G32" s="137"/>
      <c r="H32" s="137"/>
    </row>
    <row r="33" spans="1:8" x14ac:dyDescent="0.35">
      <c r="A33" s="136" t="s">
        <v>26</v>
      </c>
      <c r="B33" s="136" t="s">
        <v>30</v>
      </c>
      <c r="C33" s="137" t="s">
        <v>30</v>
      </c>
      <c r="D33" s="137"/>
      <c r="E33" s="137"/>
      <c r="F33" s="137" t="s">
        <v>193</v>
      </c>
      <c r="G33" s="137"/>
      <c r="H33" s="137"/>
    </row>
    <row r="34" spans="1:8" s="22" customFormat="1" x14ac:dyDescent="0.35">
      <c r="A34" s="136" t="s">
        <v>28</v>
      </c>
      <c r="B34" s="136" t="s">
        <v>30</v>
      </c>
      <c r="C34" s="137" t="s">
        <v>30</v>
      </c>
      <c r="D34" s="137"/>
      <c r="E34" s="137"/>
      <c r="F34" s="137" t="s">
        <v>11</v>
      </c>
      <c r="G34" s="137"/>
      <c r="H34" s="137"/>
    </row>
    <row r="35" spans="1:8" x14ac:dyDescent="0.35">
      <c r="A35" s="136" t="s">
        <v>27</v>
      </c>
      <c r="B35" s="136" t="s">
        <v>30</v>
      </c>
      <c r="C35" s="137" t="s">
        <v>30</v>
      </c>
      <c r="D35" s="137"/>
      <c r="E35" s="137"/>
      <c r="F35" s="137" t="s">
        <v>193</v>
      </c>
      <c r="G35" s="137"/>
      <c r="H35" s="137"/>
    </row>
    <row r="36" spans="1:8" x14ac:dyDescent="0.35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8" ht="15.75" customHeight="1" x14ac:dyDescent="0.35">
      <c r="A37" s="114" t="s">
        <v>33</v>
      </c>
      <c r="B37" s="114"/>
      <c r="C37" s="140">
        <v>18.8854513</v>
      </c>
      <c r="D37" s="140"/>
      <c r="E37" s="114" t="s">
        <v>34</v>
      </c>
      <c r="F37" s="114"/>
      <c r="G37" s="141">
        <v>73.169989999999999</v>
      </c>
      <c r="H37" s="141"/>
    </row>
    <row r="38" spans="1:8" x14ac:dyDescent="0.35">
      <c r="A38" s="114" t="s">
        <v>173</v>
      </c>
      <c r="B38" s="114"/>
      <c r="C38" s="153" t="s">
        <v>194</v>
      </c>
      <c r="D38" s="92"/>
      <c r="E38" s="92"/>
      <c r="F38" s="92"/>
      <c r="G38" s="92"/>
      <c r="H38" s="92"/>
    </row>
    <row r="39" spans="1:8" x14ac:dyDescent="0.35">
      <c r="A39" s="84" t="s">
        <v>37</v>
      </c>
      <c r="B39" s="84"/>
      <c r="C39" s="84"/>
      <c r="D39" s="84"/>
      <c r="E39" s="84"/>
      <c r="F39" s="84"/>
      <c r="G39" s="84"/>
      <c r="H39" s="84"/>
    </row>
    <row r="40" spans="1:8" x14ac:dyDescent="0.35">
      <c r="A40" s="78" t="s">
        <v>38</v>
      </c>
      <c r="B40" s="78"/>
      <c r="C40" s="78"/>
      <c r="D40" s="78"/>
      <c r="E40" s="151">
        <v>25148.696</v>
      </c>
      <c r="F40" s="151"/>
      <c r="G40" s="151"/>
      <c r="H40" s="151"/>
    </row>
    <row r="41" spans="1:8" x14ac:dyDescent="0.35">
      <c r="A41" s="78" t="s">
        <v>39</v>
      </c>
      <c r="B41" s="78"/>
      <c r="C41" s="78"/>
      <c r="D41" s="78"/>
      <c r="E41" s="93">
        <v>1.2</v>
      </c>
      <c r="F41" s="93"/>
      <c r="G41" s="93"/>
      <c r="H41" s="93"/>
    </row>
    <row r="42" spans="1:8" x14ac:dyDescent="0.35">
      <c r="A42" s="78" t="s">
        <v>40</v>
      </c>
      <c r="B42" s="78"/>
      <c r="C42" s="78"/>
      <c r="D42" s="78"/>
      <c r="E42" s="93">
        <f>E44/E40-E41</f>
        <v>0.19999998409460273</v>
      </c>
      <c r="F42" s="93"/>
      <c r="G42" s="93"/>
      <c r="H42" s="93"/>
    </row>
    <row r="43" spans="1:8" x14ac:dyDescent="0.35">
      <c r="A43" s="78" t="s">
        <v>41</v>
      </c>
      <c r="B43" s="78"/>
      <c r="C43" s="78"/>
      <c r="D43" s="78"/>
      <c r="E43" s="93">
        <v>1.2</v>
      </c>
      <c r="F43" s="93"/>
      <c r="G43" s="93"/>
      <c r="H43" s="93"/>
    </row>
    <row r="44" spans="1:8" x14ac:dyDescent="0.35">
      <c r="A44" s="78" t="s">
        <v>96</v>
      </c>
      <c r="B44" s="78"/>
      <c r="C44" s="78"/>
      <c r="D44" s="78"/>
      <c r="E44" s="154">
        <v>35208.173999999999</v>
      </c>
      <c r="F44" s="154"/>
      <c r="G44" s="154"/>
      <c r="H44" s="154"/>
    </row>
    <row r="45" spans="1:8" x14ac:dyDescent="0.35">
      <c r="A45" s="132" t="s">
        <v>42</v>
      </c>
      <c r="B45" s="132"/>
      <c r="C45" s="132"/>
      <c r="D45" s="132"/>
      <c r="E45" s="132" t="s">
        <v>195</v>
      </c>
      <c r="F45" s="132"/>
      <c r="G45" s="132"/>
      <c r="H45" s="132"/>
    </row>
    <row r="46" spans="1:8" x14ac:dyDescent="0.35">
      <c r="A46" s="84" t="s">
        <v>43</v>
      </c>
      <c r="B46" s="84"/>
      <c r="C46" s="84"/>
      <c r="D46" s="84"/>
      <c r="E46" s="84"/>
      <c r="F46" s="84"/>
      <c r="G46" s="84"/>
      <c r="H46" s="84"/>
    </row>
    <row r="47" spans="1:8" ht="33.75" customHeight="1" x14ac:dyDescent="0.35">
      <c r="A47" s="96" t="s">
        <v>161</v>
      </c>
      <c r="B47" s="97"/>
      <c r="C47" s="186" t="s">
        <v>196</v>
      </c>
      <c r="D47" s="187"/>
      <c r="E47" s="187"/>
      <c r="F47" s="187"/>
      <c r="G47" s="187"/>
      <c r="H47" s="188"/>
    </row>
    <row r="48" spans="1:8" ht="15.75" customHeight="1" x14ac:dyDescent="0.35">
      <c r="A48" s="96" t="s">
        <v>44</v>
      </c>
      <c r="B48" s="97"/>
      <c r="C48" s="96" t="s">
        <v>197</v>
      </c>
      <c r="D48" s="98"/>
      <c r="E48" s="97"/>
      <c r="F48" s="18" t="s">
        <v>45</v>
      </c>
      <c r="G48" s="99">
        <v>42951</v>
      </c>
      <c r="H48" s="97"/>
    </row>
    <row r="49" spans="1:14" x14ac:dyDescent="0.35">
      <c r="A49" s="96" t="s">
        <v>46</v>
      </c>
      <c r="B49" s="97"/>
      <c r="C49" s="96" t="str">
        <f>C48</f>
        <v>MASHA/LNA-1/Case No.112/2016</v>
      </c>
      <c r="D49" s="98"/>
      <c r="E49" s="97"/>
      <c r="F49" s="18" t="s">
        <v>45</v>
      </c>
      <c r="G49" s="99">
        <f>G48</f>
        <v>42951</v>
      </c>
      <c r="H49" s="100"/>
    </row>
    <row r="50" spans="1:14" ht="33.75" customHeight="1" x14ac:dyDescent="0.35">
      <c r="A50" s="96" t="s">
        <v>198</v>
      </c>
      <c r="B50" s="97"/>
      <c r="C50" s="96" t="s">
        <v>199</v>
      </c>
      <c r="D50" s="98"/>
      <c r="E50" s="97"/>
      <c r="F50" s="18" t="s">
        <v>45</v>
      </c>
      <c r="G50" s="99">
        <v>44337</v>
      </c>
      <c r="H50" s="100"/>
    </row>
    <row r="51" spans="1:14" s="23" customFormat="1" ht="15.75" customHeight="1" x14ac:dyDescent="0.35">
      <c r="A51" s="145" t="s">
        <v>165</v>
      </c>
      <c r="B51" s="146"/>
      <c r="C51" s="96" t="str">
        <f>C49</f>
        <v>MASHA/LNA-1/Case No.112/2016</v>
      </c>
      <c r="D51" s="98"/>
      <c r="E51" s="97"/>
      <c r="F51" s="18" t="s">
        <v>45</v>
      </c>
      <c r="G51" s="99">
        <f>G49</f>
        <v>42951</v>
      </c>
      <c r="H51" s="100"/>
    </row>
    <row r="52" spans="1:14" s="23" customFormat="1" ht="33.75" customHeight="1" x14ac:dyDescent="0.35">
      <c r="A52" s="147"/>
      <c r="B52" s="148"/>
      <c r="C52" s="96" t="s">
        <v>200</v>
      </c>
      <c r="D52" s="98"/>
      <c r="E52" s="98"/>
      <c r="F52" s="98"/>
      <c r="G52" s="98"/>
      <c r="H52" s="97"/>
    </row>
    <row r="53" spans="1:14" ht="32" customHeight="1" x14ac:dyDescent="0.35">
      <c r="A53" s="111" t="s">
        <v>223</v>
      </c>
      <c r="B53" s="112"/>
      <c r="C53" s="111" t="s">
        <v>219</v>
      </c>
      <c r="D53" s="113"/>
      <c r="E53" s="112"/>
      <c r="F53" s="46" t="s">
        <v>45</v>
      </c>
      <c r="G53" s="149">
        <v>45149</v>
      </c>
      <c r="H53" s="150"/>
    </row>
    <row r="54" spans="1:14" x14ac:dyDescent="0.35">
      <c r="A54" s="128" t="s">
        <v>48</v>
      </c>
      <c r="B54" s="128"/>
      <c r="C54" s="128"/>
      <c r="D54" s="128"/>
      <c r="E54" s="128"/>
      <c r="F54" s="128"/>
      <c r="G54" s="128"/>
      <c r="H54" s="128"/>
    </row>
    <row r="55" spans="1:14" x14ac:dyDescent="0.35">
      <c r="A55" s="126" t="s">
        <v>95</v>
      </c>
      <c r="B55" s="126"/>
      <c r="C55" s="126"/>
      <c r="D55" s="78">
        <f>E44</f>
        <v>35208.173999999999</v>
      </c>
      <c r="E55" s="78"/>
      <c r="F55" s="78"/>
      <c r="G55" s="78"/>
      <c r="H55" s="78"/>
    </row>
    <row r="56" spans="1:14" x14ac:dyDescent="0.35">
      <c r="A56" s="92" t="s">
        <v>49</v>
      </c>
      <c r="B56" s="132"/>
      <c r="C56" s="132"/>
      <c r="D56" s="132" t="s">
        <v>211</v>
      </c>
      <c r="E56" s="132"/>
      <c r="F56" s="132"/>
      <c r="G56" s="132"/>
      <c r="H56" s="132"/>
      <c r="I56" s="24"/>
    </row>
    <row r="57" spans="1:14" ht="31.5" customHeight="1" x14ac:dyDescent="0.35">
      <c r="A57" s="101" t="s">
        <v>50</v>
      </c>
      <c r="B57" s="102"/>
      <c r="C57" s="144"/>
      <c r="D57" s="142" t="s">
        <v>200</v>
      </c>
      <c r="E57" s="143"/>
      <c r="F57" s="143"/>
      <c r="G57" s="143"/>
      <c r="H57" s="143"/>
    </row>
    <row r="58" spans="1:14" ht="15.75" customHeight="1" x14ac:dyDescent="0.35">
      <c r="A58" s="101" t="s">
        <v>93</v>
      </c>
      <c r="B58" s="102"/>
      <c r="C58" s="102"/>
      <c r="D58" s="105" t="s">
        <v>209</v>
      </c>
      <c r="E58" s="106"/>
      <c r="F58" s="106"/>
      <c r="G58" s="106"/>
      <c r="H58" s="107"/>
    </row>
    <row r="59" spans="1:14" ht="15.75" customHeight="1" x14ac:dyDescent="0.35">
      <c r="A59" s="103"/>
      <c r="B59" s="104"/>
      <c r="C59" s="104"/>
      <c r="D59" s="108" t="s">
        <v>210</v>
      </c>
      <c r="E59" s="109"/>
      <c r="F59" s="109"/>
      <c r="G59" s="109"/>
      <c r="H59" s="110"/>
    </row>
    <row r="60" spans="1:14" ht="15.75" customHeight="1" x14ac:dyDescent="0.35">
      <c r="A60" s="78" t="s">
        <v>47</v>
      </c>
      <c r="B60" s="78"/>
      <c r="C60" s="78"/>
      <c r="D60" s="155" t="s">
        <v>218</v>
      </c>
      <c r="E60" s="155"/>
      <c r="F60" s="155"/>
      <c r="G60" s="155"/>
      <c r="H60" s="155"/>
      <c r="J60" s="25"/>
      <c r="K60" s="24"/>
      <c r="N60" s="24"/>
    </row>
    <row r="61" spans="1:14" ht="15.75" customHeight="1" x14ac:dyDescent="0.35">
      <c r="A61" s="78" t="s">
        <v>91</v>
      </c>
      <c r="B61" s="78"/>
      <c r="C61" s="78"/>
      <c r="D61" s="152" t="s">
        <v>229</v>
      </c>
      <c r="E61" s="152"/>
      <c r="F61" s="152"/>
      <c r="G61" s="152"/>
      <c r="H61" s="152"/>
      <c r="N61" s="24"/>
    </row>
    <row r="62" spans="1:14" ht="15.75" customHeight="1" x14ac:dyDescent="0.35">
      <c r="A62" s="78" t="s">
        <v>92</v>
      </c>
      <c r="B62" s="78"/>
      <c r="C62" s="78"/>
      <c r="D62" s="126" t="s">
        <v>24</v>
      </c>
      <c r="E62" s="126"/>
      <c r="F62" s="126"/>
      <c r="G62" s="126"/>
      <c r="H62" s="126"/>
      <c r="J62" s="26"/>
      <c r="K62" s="26"/>
    </row>
    <row r="63" spans="1:14" ht="30" customHeight="1" x14ac:dyDescent="0.35">
      <c r="A63" s="78" t="s">
        <v>78</v>
      </c>
      <c r="B63" s="78"/>
      <c r="C63" s="78"/>
      <c r="D63" s="92" t="s">
        <v>214</v>
      </c>
      <c r="E63" s="126"/>
      <c r="F63" s="126"/>
      <c r="G63" s="126"/>
      <c r="H63" s="126"/>
    </row>
    <row r="64" spans="1:14" x14ac:dyDescent="0.35">
      <c r="A64" s="126" t="s">
        <v>157</v>
      </c>
      <c r="B64" s="126"/>
      <c r="C64" s="126"/>
      <c r="D64" s="126" t="s">
        <v>30</v>
      </c>
      <c r="E64" s="126"/>
      <c r="F64" s="126"/>
      <c r="G64" s="126"/>
      <c r="H64" s="126"/>
      <c r="I64" s="27"/>
      <c r="J64" s="27"/>
      <c r="K64" s="27"/>
      <c r="L64" s="27"/>
      <c r="M64" s="27"/>
      <c r="N64" s="27"/>
    </row>
    <row r="65" spans="1:10" ht="15.75" customHeight="1" x14ac:dyDescent="0.35">
      <c r="A65" s="78" t="s">
        <v>90</v>
      </c>
      <c r="B65" s="78"/>
      <c r="C65" s="78"/>
      <c r="D65" s="92" t="str">
        <f ca="1">(IF(G72&gt;95%,"Nothing",IF(G72&gt;0%,"Cement, Aggregate, Steel, etc",IF(G72=0%,"Work not yet Started"))))</f>
        <v>Nothing</v>
      </c>
      <c r="E65" s="92"/>
      <c r="F65" s="92"/>
      <c r="G65" s="92"/>
      <c r="H65" s="92"/>
      <c r="J65" s="26"/>
    </row>
    <row r="66" spans="1:10" ht="33.75" customHeight="1" thickBot="1" x14ac:dyDescent="0.4">
      <c r="A66" s="126" t="s">
        <v>122</v>
      </c>
      <c r="B66" s="126"/>
      <c r="C66" s="126"/>
      <c r="D66" s="92" t="str">
        <f ca="1">(IF(D65="Nothing","Yes",IF(D65="Cement, Aggregate, Steel, etc","Under Construction",IF(D65="Work not yet Started","Work not yet Started"))))</f>
        <v>Yes</v>
      </c>
      <c r="E66" s="92"/>
      <c r="F66" s="92" t="str">
        <f ca="1">(IF(D65="Nothing","Yes",IF(D65="Cement, Aggregate, Steel, etc","Under Construction",IF(D65="Work not yet Started","Work not yet Started"))))</f>
        <v>Yes</v>
      </c>
      <c r="G66" s="92"/>
      <c r="H66" s="92"/>
    </row>
    <row r="67" spans="1:10" ht="15.75" customHeight="1" x14ac:dyDescent="0.35">
      <c r="A67" s="171" t="s">
        <v>147</v>
      </c>
      <c r="B67" s="171"/>
      <c r="C67" s="171" t="str">
        <f>D58</f>
        <v>Wing A, B, C, D &amp; E = Gr/St + 1st to 7th Floor</v>
      </c>
      <c r="D67" s="171"/>
      <c r="E67" s="171"/>
      <c r="F67" s="171"/>
      <c r="G67" s="171"/>
      <c r="H67" s="171"/>
      <c r="I67" s="63" t="str">
        <f ca="1">IF(D81=100%,"All work Completed. Possession granted to the Building.",IF(D80=100%,"All work Completed, Waiting for OC",I68&amp;""&amp;I69&amp;""&amp;J68&amp;""&amp;J67&amp;" "&amp;J69))</f>
        <v>All work Completed. Possession granted to the Building.</v>
      </c>
      <c r="J67" s="50" t="str">
        <f ca="1">(IF(C74=(D68+F68+H68),"",IF(C74&gt;0,", RCC upto "&amp;C74&amp;" Slab","")))&amp;(IF(C75=H68,"",IF(C75&gt;0,", Brickwork upto "&amp;C75&amp;" Floor","")))&amp;(IF(C76=H68,"",IF(C76&gt;0,", Internal Plaster upto "&amp;C76&amp;" Floor","")))&amp;(IF(C77=H68,"",IF(C77&gt;0,", External Plaster upto "&amp;C77&amp;" Floor","")))&amp;(IF(C78=H68,"",IF(C78&gt;0,", Flooring upto "&amp;C78&amp;" Floor","")))&amp;(IF(C79=H68,"",IF(C79&gt;0,", Painting upto "&amp;C79&amp;" Floor","")))&amp;(IF(C80=H68,"",IF(C80&gt;0,", Finishing upto "&amp;C80&amp;" Floor","")))&amp;(IF(C81=H68,"",IF(C81&gt;0,", Possession upto "&amp;C81&amp;" Floor","")))</f>
        <v/>
      </c>
    </row>
    <row r="68" spans="1:10" x14ac:dyDescent="0.35">
      <c r="A68" s="61" t="s">
        <v>149</v>
      </c>
      <c r="B68" s="61">
        <v>0</v>
      </c>
      <c r="C68" s="61" t="s">
        <v>75</v>
      </c>
      <c r="D68" s="61">
        <v>1</v>
      </c>
      <c r="E68" s="61" t="s">
        <v>74</v>
      </c>
      <c r="F68" s="61">
        <v>0</v>
      </c>
      <c r="G68" s="62" t="s">
        <v>84</v>
      </c>
      <c r="H68" s="61">
        <f ca="1">--TRIM(RIGHT(SUBSTITUTE(LEFT(C67,_xlfn.AGGREGATE(16,6,FIND({0,1,2,3,4,5,6,7,8,9},C67,ROW(INDIRECT("1:"&amp;LEN(C67)))),1))," ",REPT(" ",LEN(C67))),LEN(C67)))</f>
        <v>7</v>
      </c>
      <c r="I68" s="64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8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69" spans="1:10" ht="18.75" customHeight="1" x14ac:dyDescent="0.35">
      <c r="A69" s="134" t="s">
        <v>94</v>
      </c>
      <c r="B69" s="134"/>
      <c r="C69" s="157" t="s">
        <v>220</v>
      </c>
      <c r="D69" s="157"/>
      <c r="E69" s="157"/>
      <c r="F69" s="157"/>
      <c r="G69" s="157"/>
      <c r="H69" s="157"/>
      <c r="I69" s="64" t="str">
        <f ca="1">IF(I68&lt;&gt;""," Completed","")</f>
        <v xml:space="preserve"> Completed</v>
      </c>
      <c r="J69" s="52" t="str">
        <f ca="1">IF(J67&lt;&gt;"","Completed","")</f>
        <v/>
      </c>
    </row>
    <row r="70" spans="1:10" ht="34" customHeight="1" thickBot="1" x14ac:dyDescent="0.4">
      <c r="A70" s="172" t="s">
        <v>89</v>
      </c>
      <c r="B70" s="172"/>
      <c r="C70" s="173">
        <v>1</v>
      </c>
      <c r="D70" s="174"/>
      <c r="E70" s="174" t="s">
        <v>88</v>
      </c>
      <c r="F70" s="174"/>
      <c r="G70" s="173">
        <v>1</v>
      </c>
      <c r="H70" s="174"/>
      <c r="I70" s="64" t="str">
        <f ca="1">IF(I69&lt;&gt;""," Completed","")</f>
        <v xml:space="preserve"> Completed</v>
      </c>
      <c r="J70" s="52" t="str">
        <f ca="1">IF(J68&lt;&gt;"","Completed","")</f>
        <v/>
      </c>
    </row>
    <row r="71" spans="1:10" ht="15" hidden="1" customHeight="1" x14ac:dyDescent="0.4">
      <c r="A71" s="95" t="s">
        <v>51</v>
      </c>
      <c r="B71" s="95"/>
      <c r="C71" s="59" t="s">
        <v>146</v>
      </c>
      <c r="D71" s="59" t="s">
        <v>87</v>
      </c>
      <c r="E71" s="95" t="s">
        <v>89</v>
      </c>
      <c r="F71" s="95"/>
      <c r="G71" s="95" t="s">
        <v>88</v>
      </c>
      <c r="H71" s="95"/>
      <c r="I71" s="14" t="s">
        <v>148</v>
      </c>
      <c r="J71" s="28">
        <f ca="1">H68*25%</f>
        <v>1.75</v>
      </c>
    </row>
    <row r="72" spans="1:10" ht="16" hidden="1" thickBot="1" x14ac:dyDescent="0.4">
      <c r="A72" s="95" t="s">
        <v>135</v>
      </c>
      <c r="B72" s="95"/>
      <c r="C72" s="59">
        <f ca="1">J73</f>
        <v>7</v>
      </c>
      <c r="D72" s="19">
        <f ca="1">((100/H68)*C72)/100</f>
        <v>1</v>
      </c>
      <c r="E72" s="190">
        <f ca="1">(((C73/H68*10)+(40/(D68+F68+H68)*C74)+(7.5/(H68)*C75)+(7.5/(H68)*C76)+(10/H68*C77)+(10/H68*C78)+(5/H68*C79)+(5/H68*C80)+(5/H68*C81))/100)</f>
        <v>1</v>
      </c>
      <c r="F72" s="190"/>
      <c r="G72" s="190">
        <f ca="1">((((C72/H68)*20)+((C73/H68)*25)+(30/(H68+F68+D68)*C74)+(5/H68*C75)+(5/H68*C76)+(5/H68*C77)+(5/H68*C78)+(0/H68*C79)+(0/H68*C80)+(5/H68*C81))/100)</f>
        <v>1</v>
      </c>
      <c r="H72" s="190"/>
      <c r="I72" s="14" t="s">
        <v>105</v>
      </c>
      <c r="J72" s="29">
        <f ca="1">H68*50%</f>
        <v>3.5</v>
      </c>
    </row>
    <row r="73" spans="1:10" ht="16" hidden="1" thickBot="1" x14ac:dyDescent="0.4">
      <c r="A73" s="95" t="s">
        <v>52</v>
      </c>
      <c r="B73" s="95"/>
      <c r="C73" s="59">
        <f ca="1">J81</f>
        <v>7</v>
      </c>
      <c r="D73" s="19">
        <f ca="1">((100/H68)*C73)/100</f>
        <v>1</v>
      </c>
      <c r="E73" s="190"/>
      <c r="F73" s="190"/>
      <c r="G73" s="190"/>
      <c r="H73" s="190"/>
      <c r="I73" s="14" t="s">
        <v>106</v>
      </c>
      <c r="J73" s="29">
        <f ca="1">H68</f>
        <v>7</v>
      </c>
    </row>
    <row r="74" spans="1:10" ht="15.75" hidden="1" customHeight="1" x14ac:dyDescent="0.4">
      <c r="A74" s="95" t="s">
        <v>136</v>
      </c>
      <c r="B74" s="95"/>
      <c r="C74" s="59">
        <v>8</v>
      </c>
      <c r="D74" s="19">
        <f ca="1">((100/(D68+F68+H68))*C74)/100</f>
        <v>1</v>
      </c>
      <c r="E74" s="190"/>
      <c r="F74" s="190"/>
      <c r="G74" s="190"/>
      <c r="H74" s="190"/>
      <c r="I74" s="14" t="s">
        <v>107</v>
      </c>
      <c r="J74" s="30">
        <f ca="1">(IF(B68&gt;1,(H68/(B68+2)),H68/4))</f>
        <v>1.75</v>
      </c>
    </row>
    <row r="75" spans="1:10" ht="15.75" hidden="1" customHeight="1" x14ac:dyDescent="0.4">
      <c r="A75" s="95" t="s">
        <v>143</v>
      </c>
      <c r="B75" s="95" t="s">
        <v>137</v>
      </c>
      <c r="C75" s="59">
        <v>7</v>
      </c>
      <c r="D75" s="19">
        <f ca="1">((100/H68)*C75)/100</f>
        <v>1</v>
      </c>
      <c r="E75" s="190"/>
      <c r="F75" s="190"/>
      <c r="G75" s="190"/>
      <c r="H75" s="190"/>
      <c r="I75" s="14" t="s">
        <v>108</v>
      </c>
      <c r="J75" s="30">
        <f ca="1">(IF(B68&gt;1,(H68/(B68+2)+J74),H68/4+J74))</f>
        <v>3.5</v>
      </c>
    </row>
    <row r="76" spans="1:10" ht="15.75" hidden="1" customHeight="1" x14ac:dyDescent="0.4">
      <c r="A76" s="95" t="s">
        <v>144</v>
      </c>
      <c r="B76" s="95" t="s">
        <v>137</v>
      </c>
      <c r="C76" s="59">
        <v>7</v>
      </c>
      <c r="D76" s="19">
        <f ca="1">((100/H68)*C76)/100</f>
        <v>1</v>
      </c>
      <c r="E76" s="190"/>
      <c r="F76" s="190"/>
      <c r="G76" s="190"/>
      <c r="H76" s="190"/>
      <c r="I76" s="14" t="s">
        <v>155</v>
      </c>
      <c r="J76" s="30">
        <f>(IF(B68&gt;1,(H68/(B68+2)+J75),0))</f>
        <v>0</v>
      </c>
    </row>
    <row r="77" spans="1:10" ht="15" hidden="1" customHeight="1" x14ac:dyDescent="0.4">
      <c r="A77" s="95" t="s">
        <v>142</v>
      </c>
      <c r="B77" s="95" t="s">
        <v>139</v>
      </c>
      <c r="C77" s="59">
        <v>7</v>
      </c>
      <c r="D77" s="19">
        <f ca="1">((100/(H68))*C77)/100</f>
        <v>1</v>
      </c>
      <c r="E77" s="190"/>
      <c r="F77" s="190"/>
      <c r="G77" s="190"/>
      <c r="H77" s="190"/>
      <c r="I77" s="14" t="s">
        <v>150</v>
      </c>
      <c r="J77" s="30">
        <f>(IF(B68&gt;2,(H68/(B68+2)+J76),0))</f>
        <v>0</v>
      </c>
    </row>
    <row r="78" spans="1:10" ht="15.75" hidden="1" customHeight="1" x14ac:dyDescent="0.4">
      <c r="A78" s="95" t="s">
        <v>138</v>
      </c>
      <c r="B78" s="95" t="s">
        <v>138</v>
      </c>
      <c r="C78" s="59">
        <v>7</v>
      </c>
      <c r="D78" s="19">
        <f ca="1">((100/H68)*C78)/100</f>
        <v>1</v>
      </c>
      <c r="E78" s="190"/>
      <c r="F78" s="190"/>
      <c r="G78" s="190"/>
      <c r="H78" s="190"/>
      <c r="I78" s="14" t="s">
        <v>151</v>
      </c>
      <c r="J78" s="31">
        <f>(IF(B68&gt;3,(H68/(B68+2)+J77),0))</f>
        <v>0</v>
      </c>
    </row>
    <row r="79" spans="1:10" ht="15.75" hidden="1" customHeight="1" x14ac:dyDescent="0.4">
      <c r="A79" s="95" t="s">
        <v>145</v>
      </c>
      <c r="B79" s="95"/>
      <c r="C79" s="59">
        <v>7</v>
      </c>
      <c r="D79" s="19">
        <f ca="1">((100/H68)*C79)/100</f>
        <v>1</v>
      </c>
      <c r="E79" s="190"/>
      <c r="F79" s="190"/>
      <c r="G79" s="190"/>
      <c r="H79" s="190"/>
      <c r="I79" s="14" t="s">
        <v>152</v>
      </c>
      <c r="J79" s="30">
        <f>(IF(B68&gt;4,(H68/(B68+2)+J78),0))</f>
        <v>0</v>
      </c>
    </row>
    <row r="80" spans="1:10" ht="15.75" hidden="1" customHeight="1" x14ac:dyDescent="0.4">
      <c r="A80" s="95" t="s">
        <v>140</v>
      </c>
      <c r="B80" s="95" t="s">
        <v>140</v>
      </c>
      <c r="C80" s="59">
        <v>7</v>
      </c>
      <c r="D80" s="19">
        <f ca="1">((100/(H68))*C80)/100</f>
        <v>1</v>
      </c>
      <c r="E80" s="190"/>
      <c r="F80" s="190"/>
      <c r="G80" s="190"/>
      <c r="H80" s="190"/>
      <c r="I80" s="14" t="s">
        <v>156</v>
      </c>
      <c r="J80" s="30">
        <f ca="1">(IF(B68=1,(H68/(B68+3)+J75),IF(B68=0,(H68/4+J75),IF(B68&gt;1,0))))</f>
        <v>5.25</v>
      </c>
    </row>
    <row r="81" spans="1:10" ht="16" hidden="1" thickBot="1" x14ac:dyDescent="0.4">
      <c r="A81" s="95" t="s">
        <v>141</v>
      </c>
      <c r="B81" s="95"/>
      <c r="C81" s="59">
        <v>7</v>
      </c>
      <c r="D81" s="19">
        <f ca="1">((100/(H68))*C81)/100</f>
        <v>1</v>
      </c>
      <c r="E81" s="190"/>
      <c r="F81" s="190"/>
      <c r="G81" s="190"/>
      <c r="H81" s="190"/>
      <c r="I81" s="15" t="s">
        <v>109</v>
      </c>
      <c r="J81" s="32">
        <f ca="1">(IF(B68&gt;1.5,(H68/(B68+2)+J75+MAX(0,J76-J75)+MAX(0,J77-J76)+MAX(0,J78-J77)+MAX(0,J79-J78)+MAX(0,J80-J79)),IF(B68=1,(H68/(B68+3)+J80),IF(B68=0,H68/4+J80))))</f>
        <v>7</v>
      </c>
    </row>
    <row r="82" spans="1:10" ht="15.75" customHeight="1" x14ac:dyDescent="0.35">
      <c r="A82" s="171" t="s">
        <v>147</v>
      </c>
      <c r="B82" s="171"/>
      <c r="C82" s="171" t="str">
        <f>D59</f>
        <v>Wing X = Gr/St + 1st to 3rd Floor</v>
      </c>
      <c r="D82" s="171"/>
      <c r="E82" s="171"/>
      <c r="F82" s="171"/>
      <c r="G82" s="171"/>
      <c r="H82" s="171"/>
      <c r="I82" s="63" t="str">
        <f ca="1">IF(D95=100%,"All work Completed. Possession granted to the Building.",IF(D94=100%,"All work Completed, Waiting for OC",I83&amp;""&amp;I84&amp;""&amp;J83&amp;""&amp;J82&amp;" "&amp;J84))</f>
        <v>All work Completed. Possession granted to the Building.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x14ac:dyDescent="0.35">
      <c r="A83" s="16" t="s">
        <v>149</v>
      </c>
      <c r="B83" s="48">
        <v>0</v>
      </c>
      <c r="C83" s="48" t="s">
        <v>75</v>
      </c>
      <c r="D83" s="48">
        <v>1</v>
      </c>
      <c r="E83" s="48" t="s">
        <v>74</v>
      </c>
      <c r="F83" s="48">
        <v>0</v>
      </c>
      <c r="G83" s="49" t="s">
        <v>84</v>
      </c>
      <c r="H83" s="17">
        <f ca="1">--TRIM(RIGHT(SUBSTITUTE(LEFT(C82,_xlfn.AGGREGATE(16,6,FIND({0,1,2,3,4,5,6,7,8,9},C82,ROW(INDIRECT("1:"&amp;LEN(C82)))),1))," ",REPT(" ",LEN(C82))),LEN(C82)))</f>
        <v>3</v>
      </c>
      <c r="I83" s="51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Painting, Building common Amenities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19" customHeight="1" x14ac:dyDescent="0.35">
      <c r="A84" s="156" t="s">
        <v>94</v>
      </c>
      <c r="B84" s="134"/>
      <c r="C84" s="157" t="s">
        <v>224</v>
      </c>
      <c r="D84" s="157"/>
      <c r="E84" s="157"/>
      <c r="F84" s="157"/>
      <c r="G84" s="157"/>
      <c r="H84" s="158"/>
      <c r="I84" s="51" t="str">
        <f ca="1">IF(I83&lt;&gt;""," Completed","")</f>
        <v xml:space="preserve"> Completed</v>
      </c>
      <c r="J84" s="52" t="str">
        <f ca="1">IF(J82&lt;&gt;"","Completed","")</f>
        <v/>
      </c>
    </row>
    <row r="85" spans="1:10" ht="15.75" customHeight="1" x14ac:dyDescent="0.35">
      <c r="A85" s="94" t="s">
        <v>51</v>
      </c>
      <c r="B85" s="95"/>
      <c r="C85" s="44" t="s">
        <v>146</v>
      </c>
      <c r="D85" s="44" t="s">
        <v>87</v>
      </c>
      <c r="E85" s="95" t="s">
        <v>89</v>
      </c>
      <c r="F85" s="95"/>
      <c r="G85" s="95" t="s">
        <v>88</v>
      </c>
      <c r="H85" s="159"/>
      <c r="I85" s="14" t="s">
        <v>148</v>
      </c>
      <c r="J85" s="28">
        <f ca="1">H83*25%</f>
        <v>0.75</v>
      </c>
    </row>
    <row r="86" spans="1:10" x14ac:dyDescent="0.35">
      <c r="A86" s="94" t="s">
        <v>135</v>
      </c>
      <c r="B86" s="95"/>
      <c r="C86" s="44">
        <f ca="1">J87</f>
        <v>3</v>
      </c>
      <c r="D86" s="19">
        <f ca="1">((100/H83)*C86)/100</f>
        <v>1</v>
      </c>
      <c r="E86" s="160">
        <f ca="1">(((C87/H83*10)+(40/(D83+F83+H83)*C88)+(7.5/(H83)*C89)+(7.5/(H83)*C90)+(10/H83*C91)+(10/H83*C92)+(5/H83*C93)+(5/H83*C94)+(5/H83*C95))/100)</f>
        <v>1</v>
      </c>
      <c r="F86" s="161"/>
      <c r="G86" s="160">
        <f ca="1">((((C86/H83)*20)+((C87/H83)*25)+(30/(H83+F83+D83)*C88)+(5/H83*C89)+(5/H83*C90)+(5/H83*C91)+(5/H83*C92)+(0/H83*C93)+(0/H83*C94)+(5/H83*C95))/100)</f>
        <v>1</v>
      </c>
      <c r="H86" s="166"/>
      <c r="I86" s="14" t="s">
        <v>105</v>
      </c>
      <c r="J86" s="29">
        <f ca="1">H83*50%</f>
        <v>1.5</v>
      </c>
    </row>
    <row r="87" spans="1:10" x14ac:dyDescent="0.35">
      <c r="A87" s="94" t="s">
        <v>52</v>
      </c>
      <c r="B87" s="95"/>
      <c r="C87" s="44">
        <f ca="1">J95</f>
        <v>3</v>
      </c>
      <c r="D87" s="19">
        <f ca="1">((100/H83)*C87)/100</f>
        <v>1</v>
      </c>
      <c r="E87" s="162"/>
      <c r="F87" s="163"/>
      <c r="G87" s="162"/>
      <c r="H87" s="167"/>
      <c r="I87" s="14" t="s">
        <v>106</v>
      </c>
      <c r="J87" s="29">
        <f ca="1">H83</f>
        <v>3</v>
      </c>
    </row>
    <row r="88" spans="1:10" ht="15.75" customHeight="1" x14ac:dyDescent="0.35">
      <c r="A88" s="94" t="s">
        <v>136</v>
      </c>
      <c r="B88" s="95"/>
      <c r="C88" s="44">
        <f ca="1">D83+H83</f>
        <v>4</v>
      </c>
      <c r="D88" s="19">
        <f ca="1">((100/(D83+F83+H83))*C88)/100</f>
        <v>1</v>
      </c>
      <c r="E88" s="162"/>
      <c r="F88" s="163"/>
      <c r="G88" s="162"/>
      <c r="H88" s="167"/>
      <c r="I88" s="14" t="s">
        <v>107</v>
      </c>
      <c r="J88" s="30">
        <f ca="1">(IF(B83&gt;1,(H83/(B83+2)),H83/4))</f>
        <v>0.75</v>
      </c>
    </row>
    <row r="89" spans="1:10" ht="15.75" customHeight="1" x14ac:dyDescent="0.35">
      <c r="A89" s="94" t="s">
        <v>143</v>
      </c>
      <c r="B89" s="95" t="s">
        <v>137</v>
      </c>
      <c r="C89" s="57">
        <v>3</v>
      </c>
      <c r="D89" s="19">
        <f ca="1">((100/H83)*C89)/100</f>
        <v>1</v>
      </c>
      <c r="E89" s="162"/>
      <c r="F89" s="163"/>
      <c r="G89" s="162"/>
      <c r="H89" s="167"/>
      <c r="I89" s="14" t="s">
        <v>108</v>
      </c>
      <c r="J89" s="30">
        <f ca="1">(IF(B83&gt;1,(H83/(B83+2)+J88),H83/4+J88))</f>
        <v>1.5</v>
      </c>
    </row>
    <row r="90" spans="1:10" ht="15.75" customHeight="1" x14ac:dyDescent="0.35">
      <c r="A90" s="94" t="s">
        <v>144</v>
      </c>
      <c r="B90" s="95" t="s">
        <v>137</v>
      </c>
      <c r="C90" s="57">
        <v>3</v>
      </c>
      <c r="D90" s="19">
        <f ca="1">((100/H83)*C90)/100</f>
        <v>1</v>
      </c>
      <c r="E90" s="162"/>
      <c r="F90" s="163"/>
      <c r="G90" s="162"/>
      <c r="H90" s="167"/>
      <c r="I90" s="14" t="s">
        <v>155</v>
      </c>
      <c r="J90" s="30">
        <f>(IF(B83&gt;1,(H83/(B83+2)+J89),0))</f>
        <v>0</v>
      </c>
    </row>
    <row r="91" spans="1:10" ht="15" customHeight="1" x14ac:dyDescent="0.35">
      <c r="A91" s="94" t="s">
        <v>215</v>
      </c>
      <c r="B91" s="95" t="s">
        <v>139</v>
      </c>
      <c r="C91" s="57">
        <v>3</v>
      </c>
      <c r="D91" s="19">
        <f ca="1">((100/(H83))*C91)/100</f>
        <v>1</v>
      </c>
      <c r="E91" s="162"/>
      <c r="F91" s="163"/>
      <c r="G91" s="162"/>
      <c r="H91" s="167"/>
      <c r="I91" s="14" t="s">
        <v>150</v>
      </c>
      <c r="J91" s="30">
        <f>(IF(B83&gt;2,(H83/(B83+2)+J90),0))</f>
        <v>0</v>
      </c>
    </row>
    <row r="92" spans="1:10" ht="15.75" customHeight="1" x14ac:dyDescent="0.35">
      <c r="A92" s="94" t="s">
        <v>138</v>
      </c>
      <c r="B92" s="95" t="s">
        <v>138</v>
      </c>
      <c r="C92" s="44">
        <v>3</v>
      </c>
      <c r="D92" s="19">
        <f ca="1">((100/H83)*C92)/100</f>
        <v>1</v>
      </c>
      <c r="E92" s="162"/>
      <c r="F92" s="163"/>
      <c r="G92" s="162"/>
      <c r="H92" s="167"/>
      <c r="I92" s="14" t="s">
        <v>151</v>
      </c>
      <c r="J92" s="31">
        <f>(IF(B83&gt;3,(H83/(B83+2)+J91),0))</f>
        <v>0</v>
      </c>
    </row>
    <row r="93" spans="1:10" ht="15.75" customHeight="1" x14ac:dyDescent="0.35">
      <c r="A93" s="94" t="s">
        <v>145</v>
      </c>
      <c r="B93" s="95"/>
      <c r="C93" s="44">
        <v>3</v>
      </c>
      <c r="D93" s="19">
        <f ca="1">((100/H83)*C93)/100</f>
        <v>1</v>
      </c>
      <c r="E93" s="162"/>
      <c r="F93" s="163"/>
      <c r="G93" s="162"/>
      <c r="H93" s="167"/>
      <c r="I93" s="14" t="s">
        <v>152</v>
      </c>
      <c r="J93" s="30">
        <f>(IF(B83&gt;4,(H83/(B83+2)+J92),0))</f>
        <v>0</v>
      </c>
    </row>
    <row r="94" spans="1:10" ht="15.75" customHeight="1" x14ac:dyDescent="0.35">
      <c r="A94" s="94" t="s">
        <v>140</v>
      </c>
      <c r="B94" s="95" t="s">
        <v>140</v>
      </c>
      <c r="C94" s="44">
        <v>3</v>
      </c>
      <c r="D94" s="19">
        <f ca="1">((100/(H83))*C94)/100</f>
        <v>1</v>
      </c>
      <c r="E94" s="162"/>
      <c r="F94" s="163"/>
      <c r="G94" s="162"/>
      <c r="H94" s="167"/>
      <c r="I94" s="14" t="s">
        <v>156</v>
      </c>
      <c r="J94" s="30">
        <f ca="1">(IF(B83=1,(H83/(B83+3)+J89),IF(B83=0,(H83/4+J89),IF(B83&gt;1,0))))</f>
        <v>2.25</v>
      </c>
    </row>
    <row r="95" spans="1:10" ht="16" thickBot="1" x14ac:dyDescent="0.4">
      <c r="A95" s="169" t="s">
        <v>141</v>
      </c>
      <c r="B95" s="170"/>
      <c r="C95" s="45">
        <v>3</v>
      </c>
      <c r="D95" s="20">
        <f ca="1">((100/(H83))*C95)/100</f>
        <v>1</v>
      </c>
      <c r="E95" s="164"/>
      <c r="F95" s="165"/>
      <c r="G95" s="164"/>
      <c r="H95" s="168"/>
      <c r="I95" s="15" t="s">
        <v>109</v>
      </c>
      <c r="J95" s="32">
        <f ca="1">(IF(B83&gt;1.5,(H83/(B83+2)+J89+MAX(0,J90-J89)+MAX(0,J91-J90)+MAX(0,J92-J91)+MAX(0,J93-J92)+MAX(0,J94-J93)),IF(B83=1,(H83/(B83+3)+J94),IF(B83=0,H83/4+J94))))</f>
        <v>3</v>
      </c>
    </row>
    <row r="96" spans="1:10" x14ac:dyDescent="0.35">
      <c r="A96" s="80" t="s">
        <v>167</v>
      </c>
      <c r="B96" s="80"/>
      <c r="C96" s="80"/>
      <c r="D96" s="80"/>
      <c r="E96" s="80"/>
      <c r="F96" s="175" t="s">
        <v>171</v>
      </c>
      <c r="G96" s="175"/>
      <c r="H96" s="175"/>
    </row>
    <row r="97" spans="1:8" x14ac:dyDescent="0.35">
      <c r="A97" s="78" t="s">
        <v>169</v>
      </c>
      <c r="B97" s="78"/>
      <c r="C97" s="78"/>
      <c r="D97" s="78"/>
      <c r="E97" s="78"/>
      <c r="F97" s="85">
        <v>3700</v>
      </c>
      <c r="G97" s="85"/>
      <c r="H97" s="85"/>
    </row>
    <row r="98" spans="1:8" x14ac:dyDescent="0.35">
      <c r="A98" s="78" t="s">
        <v>168</v>
      </c>
      <c r="B98" s="78"/>
      <c r="C98" s="78"/>
      <c r="D98" s="78"/>
      <c r="E98" s="78"/>
      <c r="F98" s="79">
        <v>7500</v>
      </c>
      <c r="G98" s="79"/>
      <c r="H98" s="79"/>
    </row>
    <row r="99" spans="1:8" x14ac:dyDescent="0.35">
      <c r="A99" s="78" t="s">
        <v>170</v>
      </c>
      <c r="B99" s="78"/>
      <c r="C99" s="78"/>
      <c r="D99" s="78"/>
      <c r="E99" s="78"/>
      <c r="F99" s="79">
        <v>5000</v>
      </c>
      <c r="G99" s="79"/>
      <c r="H99" s="79"/>
    </row>
    <row r="100" spans="1:8" s="33" customFormat="1" hidden="1" x14ac:dyDescent="0.3">
      <c r="A100" s="78" t="s">
        <v>172</v>
      </c>
      <c r="B100" s="78"/>
      <c r="C100" s="78"/>
      <c r="D100" s="78"/>
      <c r="E100" s="78"/>
      <c r="F100" s="79">
        <v>15000</v>
      </c>
      <c r="G100" s="79"/>
      <c r="H100" s="79"/>
    </row>
    <row r="101" spans="1:8" s="33" customFormat="1" x14ac:dyDescent="0.3">
      <c r="A101" s="78" t="s">
        <v>99</v>
      </c>
      <c r="B101" s="78"/>
      <c r="C101" s="78"/>
      <c r="D101" s="78"/>
      <c r="E101" s="78"/>
      <c r="F101" s="79">
        <v>250000</v>
      </c>
      <c r="G101" s="79"/>
      <c r="H101" s="79"/>
    </row>
    <row r="102" spans="1:8" s="33" customFormat="1" x14ac:dyDescent="0.3">
      <c r="A102" s="78" t="s">
        <v>100</v>
      </c>
      <c r="B102" s="78"/>
      <c r="C102" s="78"/>
      <c r="D102" s="78"/>
      <c r="E102" s="78"/>
      <c r="F102" s="79">
        <v>75000</v>
      </c>
      <c r="G102" s="79"/>
      <c r="H102" s="79"/>
    </row>
    <row r="103" spans="1:8" s="33" customFormat="1" hidden="1" x14ac:dyDescent="0.3">
      <c r="A103" s="78" t="s">
        <v>172</v>
      </c>
      <c r="B103" s="78"/>
      <c r="C103" s="78"/>
      <c r="D103" s="78"/>
      <c r="E103" s="78"/>
      <c r="F103" s="79"/>
      <c r="G103" s="79"/>
      <c r="H103" s="79"/>
    </row>
    <row r="104" spans="1:8" s="33" customFormat="1" hidden="1" x14ac:dyDescent="0.3">
      <c r="A104" s="78" t="s">
        <v>101</v>
      </c>
      <c r="B104" s="78"/>
      <c r="C104" s="78"/>
      <c r="D104" s="78"/>
      <c r="E104" s="78"/>
      <c r="F104" s="79"/>
      <c r="G104" s="79"/>
      <c r="H104" s="79"/>
    </row>
    <row r="105" spans="1:8" s="33" customFormat="1" hidden="1" x14ac:dyDescent="0.3">
      <c r="A105" s="78" t="s">
        <v>102</v>
      </c>
      <c r="B105" s="78"/>
      <c r="C105" s="78"/>
      <c r="D105" s="78"/>
      <c r="E105" s="78"/>
      <c r="F105" s="79"/>
      <c r="G105" s="79"/>
      <c r="H105" s="79"/>
    </row>
    <row r="106" spans="1:8" s="33" customFormat="1" hidden="1" x14ac:dyDescent="0.3">
      <c r="A106" s="78" t="s">
        <v>103</v>
      </c>
      <c r="B106" s="78"/>
      <c r="C106" s="78"/>
      <c r="D106" s="78"/>
      <c r="E106" s="78"/>
      <c r="F106" s="79"/>
      <c r="G106" s="79"/>
      <c r="H106" s="79"/>
    </row>
    <row r="107" spans="1:8" s="33" customFormat="1" hidden="1" x14ac:dyDescent="0.3">
      <c r="A107" s="78" t="s">
        <v>104</v>
      </c>
      <c r="B107" s="78"/>
      <c r="C107" s="78"/>
      <c r="D107" s="78"/>
      <c r="E107" s="78"/>
      <c r="F107" s="79"/>
      <c r="G107" s="79"/>
      <c r="H107" s="79"/>
    </row>
    <row r="108" spans="1:8" x14ac:dyDescent="0.35">
      <c r="A108" s="78" t="s">
        <v>53</v>
      </c>
      <c r="B108" s="78"/>
      <c r="C108" s="78"/>
      <c r="D108" s="78"/>
      <c r="E108" s="78"/>
      <c r="F108" s="79">
        <v>200000</v>
      </c>
      <c r="G108" s="79"/>
      <c r="H108" s="79"/>
    </row>
    <row r="109" spans="1:8" s="34" customFormat="1" x14ac:dyDescent="0.35">
      <c r="A109" s="84" t="s">
        <v>54</v>
      </c>
      <c r="B109" s="84"/>
      <c r="C109" s="84"/>
      <c r="D109" s="84"/>
      <c r="E109" s="84"/>
      <c r="F109" s="79">
        <f>F97*0.8</f>
        <v>2960</v>
      </c>
      <c r="G109" s="79"/>
      <c r="H109" s="79"/>
    </row>
    <row r="110" spans="1:8" s="35" customFormat="1" ht="15.75" customHeight="1" x14ac:dyDescent="0.35">
      <c r="A110" s="83" t="s">
        <v>79</v>
      </c>
      <c r="B110" s="83"/>
      <c r="C110" s="83"/>
      <c r="D110" s="83"/>
      <c r="E110" s="83"/>
      <c r="F110" s="83"/>
      <c r="G110" s="83"/>
      <c r="H110" s="83"/>
    </row>
    <row r="111" spans="1:8" s="35" customFormat="1" ht="15.75" customHeight="1" x14ac:dyDescent="0.35">
      <c r="A111" s="88" t="s">
        <v>55</v>
      </c>
      <c r="B111" s="88"/>
      <c r="C111" s="176" t="s">
        <v>82</v>
      </c>
      <c r="D111" s="176"/>
      <c r="E111" s="87" t="s">
        <v>56</v>
      </c>
      <c r="F111" s="87"/>
      <c r="G111" s="88" t="s">
        <v>57</v>
      </c>
      <c r="H111" s="88"/>
    </row>
    <row r="112" spans="1:8" s="35" customFormat="1" x14ac:dyDescent="0.35">
      <c r="A112" s="89" t="s">
        <v>201</v>
      </c>
      <c r="B112" s="47" t="s">
        <v>206</v>
      </c>
      <c r="C112" s="115">
        <f>COUNT(D125:D134)</f>
        <v>10</v>
      </c>
      <c r="D112" s="81"/>
      <c r="E112" s="91">
        <f>SUM(D125:D134)</f>
        <v>3008.398068</v>
      </c>
      <c r="F112" s="82"/>
      <c r="G112" s="91">
        <f>SUM(F125:F134)</f>
        <v>6390</v>
      </c>
      <c r="H112" s="82"/>
    </row>
    <row r="113" spans="1:14" s="35" customFormat="1" x14ac:dyDescent="0.35">
      <c r="A113" s="90"/>
      <c r="B113" s="47" t="s">
        <v>207</v>
      </c>
      <c r="C113" s="81">
        <f>COUNT(D136:D143)*3</f>
        <v>24</v>
      </c>
      <c r="D113" s="81"/>
      <c r="E113" s="91">
        <f>SUM(D136:D143)*3</f>
        <v>13652.896139999999</v>
      </c>
      <c r="F113" s="91"/>
      <c r="G113" s="91">
        <f>SUM(F136:F143)*3</f>
        <v>24699</v>
      </c>
      <c r="H113" s="91"/>
    </row>
    <row r="114" spans="1:14" s="35" customFormat="1" x14ac:dyDescent="0.35">
      <c r="A114" s="83" t="s">
        <v>160</v>
      </c>
      <c r="B114" s="83"/>
      <c r="C114" s="177">
        <f>SUM(C112:D113)</f>
        <v>34</v>
      </c>
      <c r="D114" s="176"/>
      <c r="E114" s="177">
        <f t="shared" ref="E114" si="0">SUM(E112:F113)</f>
        <v>16661.294207999999</v>
      </c>
      <c r="F114" s="176"/>
      <c r="G114" s="177">
        <f>SUM(G112:H113)</f>
        <v>31089</v>
      </c>
      <c r="H114" s="176"/>
    </row>
    <row r="115" spans="1:14" s="35" customFormat="1" hidden="1" x14ac:dyDescent="0.35">
      <c r="A115" s="83" t="s">
        <v>73</v>
      </c>
      <c r="B115" s="83"/>
      <c r="C115" s="83"/>
      <c r="D115" s="83"/>
      <c r="E115" s="83"/>
      <c r="F115" s="83"/>
      <c r="G115" s="83"/>
      <c r="H115" s="83"/>
    </row>
    <row r="116" spans="1:14" s="35" customFormat="1" ht="15.75" hidden="1" customHeight="1" x14ac:dyDescent="0.35">
      <c r="A116" s="88" t="s">
        <v>55</v>
      </c>
      <c r="B116" s="88"/>
      <c r="C116" s="176" t="s">
        <v>82</v>
      </c>
      <c r="D116" s="176"/>
      <c r="E116" s="87" t="s">
        <v>56</v>
      </c>
      <c r="F116" s="87"/>
      <c r="G116" s="88" t="s">
        <v>57</v>
      </c>
      <c r="H116" s="88"/>
    </row>
    <row r="117" spans="1:14" s="35" customFormat="1" hidden="1" x14ac:dyDescent="0.35">
      <c r="A117" s="86"/>
      <c r="B117" s="86"/>
      <c r="C117" s="81"/>
      <c r="D117" s="81"/>
      <c r="E117" s="82"/>
      <c r="F117" s="82"/>
      <c r="G117" s="178"/>
      <c r="H117" s="178"/>
    </row>
    <row r="118" spans="1:14" s="35" customFormat="1" hidden="1" x14ac:dyDescent="0.35">
      <c r="A118" s="86"/>
      <c r="B118" s="86"/>
      <c r="C118" s="81"/>
      <c r="D118" s="81"/>
      <c r="E118" s="82"/>
      <c r="F118" s="82"/>
      <c r="G118" s="178"/>
      <c r="H118" s="178"/>
    </row>
    <row r="119" spans="1:14" s="35" customFormat="1" hidden="1" x14ac:dyDescent="0.35">
      <c r="A119" s="83" t="s">
        <v>160</v>
      </c>
      <c r="B119" s="83"/>
      <c r="C119" s="176"/>
      <c r="D119" s="176"/>
      <c r="E119" s="87"/>
      <c r="F119" s="87"/>
      <c r="G119" s="88"/>
      <c r="H119" s="88"/>
    </row>
    <row r="120" spans="1:14" s="34" customFormat="1" x14ac:dyDescent="0.35">
      <c r="A120" s="114" t="s">
        <v>58</v>
      </c>
      <c r="B120" s="114"/>
      <c r="C120" s="114"/>
      <c r="D120" s="114"/>
      <c r="E120" s="114"/>
      <c r="F120" s="114"/>
      <c r="G120" s="114"/>
      <c r="H120" s="114"/>
    </row>
    <row r="121" spans="1:14" x14ac:dyDescent="0.35">
      <c r="A121" s="114" t="s">
        <v>59</v>
      </c>
      <c r="B121" s="114"/>
      <c r="C121" s="114"/>
      <c r="D121" s="114"/>
      <c r="E121" s="114"/>
      <c r="F121" s="114"/>
      <c r="G121" s="114"/>
      <c r="H121" s="114"/>
    </row>
    <row r="122" spans="1:14" ht="51" customHeight="1" x14ac:dyDescent="0.35">
      <c r="A122" s="43" t="s">
        <v>126</v>
      </c>
      <c r="B122" s="43" t="s">
        <v>125</v>
      </c>
      <c r="C122" s="43" t="s">
        <v>60</v>
      </c>
      <c r="D122" s="43" t="s">
        <v>61</v>
      </c>
      <c r="E122" s="54" t="s">
        <v>166</v>
      </c>
      <c r="F122" s="43" t="s">
        <v>212</v>
      </c>
      <c r="G122" s="119" t="s">
        <v>63</v>
      </c>
      <c r="H122" s="120"/>
    </row>
    <row r="123" spans="1:14" s="37" customFormat="1" x14ac:dyDescent="0.35">
      <c r="A123" s="116" t="s">
        <v>201</v>
      </c>
      <c r="B123" s="116"/>
      <c r="C123" s="116"/>
      <c r="D123" s="116"/>
      <c r="E123" s="116"/>
      <c r="F123" s="116"/>
      <c r="G123" s="116"/>
      <c r="H123" s="116"/>
      <c r="J123" s="55"/>
    </row>
    <row r="124" spans="1:14" s="37" customFormat="1" x14ac:dyDescent="0.35">
      <c r="A124" s="116" t="s">
        <v>202</v>
      </c>
      <c r="B124" s="116"/>
      <c r="C124" s="116"/>
      <c r="D124" s="116"/>
      <c r="E124" s="116"/>
      <c r="F124" s="116"/>
      <c r="G124" s="116"/>
      <c r="H124" s="116"/>
      <c r="J124" s="36"/>
    </row>
    <row r="125" spans="1:14" s="37" customFormat="1" ht="15.75" customHeight="1" x14ac:dyDescent="0.35">
      <c r="A125" s="66">
        <v>1</v>
      </c>
      <c r="B125" s="66"/>
      <c r="C125" s="60" t="s">
        <v>203</v>
      </c>
      <c r="D125" s="55">
        <f>(27.211)*(10.764)</f>
        <v>292.89920399999994</v>
      </c>
      <c r="E125" s="60">
        <v>0</v>
      </c>
      <c r="F125" s="60">
        <v>614</v>
      </c>
      <c r="G125" s="66" t="str">
        <f>A124</f>
        <v>Ground Floor For Commercial &amp; Parking</v>
      </c>
      <c r="H125" s="66"/>
      <c r="I125" s="36">
        <f>F125*7500</f>
        <v>4605000</v>
      </c>
      <c r="J125" s="37">
        <f>614</f>
        <v>614</v>
      </c>
      <c r="K125" s="37">
        <f>J125/D125</f>
        <v>2.0962842903458356</v>
      </c>
      <c r="L125" s="65"/>
      <c r="M125" s="65"/>
      <c r="N125" s="36"/>
    </row>
    <row r="126" spans="1:14" s="37" customFormat="1" ht="15.75" customHeight="1" x14ac:dyDescent="0.35">
      <c r="A126" s="66">
        <f t="shared" ref="A126:A134" si="1">A125+1</f>
        <v>2</v>
      </c>
      <c r="B126" s="66"/>
      <c r="C126" s="60" t="s">
        <v>203</v>
      </c>
      <c r="D126" s="55">
        <f>(27.956)*(10.764)</f>
        <v>300.918384</v>
      </c>
      <c r="E126" s="60">
        <v>0</v>
      </c>
      <c r="F126" s="60">
        <v>631</v>
      </c>
      <c r="G126" s="66"/>
      <c r="H126" s="66"/>
      <c r="I126" s="36"/>
      <c r="J126" s="37">
        <f>631</f>
        <v>631</v>
      </c>
      <c r="K126" s="37">
        <f t="shared" ref="K126:K143" si="2">J126/D126</f>
        <v>2.0969140921612817</v>
      </c>
      <c r="L126" s="65"/>
      <c r="M126" s="65"/>
      <c r="N126" s="36"/>
    </row>
    <row r="127" spans="1:14" s="37" customFormat="1" ht="15.75" customHeight="1" x14ac:dyDescent="0.35">
      <c r="A127" s="66">
        <f t="shared" si="1"/>
        <v>3</v>
      </c>
      <c r="B127" s="66"/>
      <c r="C127" s="60" t="s">
        <v>203</v>
      </c>
      <c r="D127" s="55">
        <f>(28.7)*(10.764)</f>
        <v>308.92679999999996</v>
      </c>
      <c r="E127" s="60">
        <v>0</v>
      </c>
      <c r="F127" s="60">
        <v>647</v>
      </c>
      <c r="G127" s="66"/>
      <c r="H127" s="66"/>
      <c r="I127" s="36"/>
      <c r="J127" s="37">
        <f>647</f>
        <v>647</v>
      </c>
      <c r="K127" s="37">
        <f t="shared" si="2"/>
        <v>2.0943472693207585</v>
      </c>
      <c r="L127" s="65"/>
      <c r="M127" s="65"/>
      <c r="N127" s="36"/>
    </row>
    <row r="128" spans="1:14" s="37" customFormat="1" ht="15.75" customHeight="1" x14ac:dyDescent="0.35">
      <c r="A128" s="66">
        <f t="shared" si="1"/>
        <v>4</v>
      </c>
      <c r="B128" s="66"/>
      <c r="C128" s="60" t="s">
        <v>203</v>
      </c>
      <c r="D128" s="55">
        <f>(26.554)*(10.764)</f>
        <v>285.82725599999998</v>
      </c>
      <c r="E128" s="60">
        <v>0</v>
      </c>
      <c r="F128" s="60">
        <v>598</v>
      </c>
      <c r="G128" s="66"/>
      <c r="H128" s="66"/>
      <c r="I128" s="36"/>
      <c r="J128" s="37">
        <f>598</f>
        <v>598</v>
      </c>
      <c r="K128" s="37">
        <f t="shared" si="2"/>
        <v>2.0921727632580991</v>
      </c>
      <c r="L128" s="65"/>
      <c r="M128" s="65"/>
      <c r="N128" s="36"/>
    </row>
    <row r="129" spans="1:14" s="37" customFormat="1" ht="15.75" customHeight="1" x14ac:dyDescent="0.35">
      <c r="A129" s="66">
        <f t="shared" si="1"/>
        <v>5</v>
      </c>
      <c r="B129" s="66"/>
      <c r="C129" s="60" t="s">
        <v>203</v>
      </c>
      <c r="D129" s="55">
        <f>(27.164)*(10.764)</f>
        <v>292.39329600000002</v>
      </c>
      <c r="E129" s="60">
        <v>0</v>
      </c>
      <c r="F129" s="60">
        <v>611</v>
      </c>
      <c r="G129" s="66"/>
      <c r="H129" s="66"/>
      <c r="I129" s="36"/>
      <c r="J129" s="37">
        <f>611</f>
        <v>611</v>
      </c>
      <c r="K129" s="37">
        <f t="shared" si="2"/>
        <v>2.0896511936443303</v>
      </c>
      <c r="L129" s="65"/>
      <c r="M129" s="65"/>
      <c r="N129" s="36"/>
    </row>
    <row r="130" spans="1:14" s="37" customFormat="1" ht="15.75" customHeight="1" x14ac:dyDescent="0.35">
      <c r="A130" s="66">
        <f t="shared" si="1"/>
        <v>6</v>
      </c>
      <c r="B130" s="66"/>
      <c r="C130" s="60" t="s">
        <v>203</v>
      </c>
      <c r="D130" s="55">
        <f>(30.795)*(10.764)</f>
        <v>331.47737999999998</v>
      </c>
      <c r="E130" s="60">
        <v>0</v>
      </c>
      <c r="F130" s="60">
        <v>692</v>
      </c>
      <c r="G130" s="66"/>
      <c r="H130" s="66"/>
      <c r="I130" s="36"/>
      <c r="J130" s="37">
        <f>692</f>
        <v>692</v>
      </c>
      <c r="K130" s="37">
        <f t="shared" si="2"/>
        <v>2.0876235959147502</v>
      </c>
      <c r="L130" s="65"/>
      <c r="M130" s="65"/>
      <c r="N130" s="36"/>
    </row>
    <row r="131" spans="1:14" s="37" customFormat="1" ht="15.75" customHeight="1" x14ac:dyDescent="0.35">
      <c r="A131" s="66">
        <f t="shared" si="1"/>
        <v>7</v>
      </c>
      <c r="B131" s="66"/>
      <c r="C131" s="60" t="s">
        <v>203</v>
      </c>
      <c r="D131" s="55">
        <f>(31.539)*(10.764)</f>
        <v>339.48579599999999</v>
      </c>
      <c r="E131" s="60">
        <v>0</v>
      </c>
      <c r="F131" s="60">
        <v>708</v>
      </c>
      <c r="G131" s="66"/>
      <c r="H131" s="66"/>
      <c r="I131" s="36"/>
      <c r="J131" s="37">
        <f>708</f>
        <v>708</v>
      </c>
      <c r="K131" s="37">
        <f t="shared" si="2"/>
        <v>2.0855069883395063</v>
      </c>
      <c r="L131" s="65"/>
      <c r="M131" s="65"/>
      <c r="N131" s="36"/>
    </row>
    <row r="132" spans="1:14" s="37" customFormat="1" ht="15.75" customHeight="1" x14ac:dyDescent="0.35">
      <c r="A132" s="66">
        <f t="shared" si="1"/>
        <v>8</v>
      </c>
      <c r="B132" s="66"/>
      <c r="C132" s="60" t="s">
        <v>203</v>
      </c>
      <c r="D132" s="55">
        <f>(33.898)*(10.764)</f>
        <v>364.87807200000003</v>
      </c>
      <c r="E132" s="60">
        <v>0</v>
      </c>
      <c r="F132" s="60">
        <v>853</v>
      </c>
      <c r="G132" s="66"/>
      <c r="H132" s="66"/>
      <c r="I132" s="36"/>
      <c r="J132" s="37">
        <f>853</f>
        <v>853</v>
      </c>
      <c r="K132" s="37">
        <f t="shared" si="2"/>
        <v>2.3377672309121387</v>
      </c>
      <c r="L132" s="65"/>
      <c r="M132" s="65"/>
      <c r="N132" s="36"/>
    </row>
    <row r="133" spans="1:14" s="37" customFormat="1" ht="15.75" customHeight="1" x14ac:dyDescent="0.35">
      <c r="A133" s="66">
        <f t="shared" si="1"/>
        <v>9</v>
      </c>
      <c r="B133" s="66"/>
      <c r="C133" s="60" t="s">
        <v>203</v>
      </c>
      <c r="D133" s="55">
        <f>(22.835)*(10.764)</f>
        <v>245.79594</v>
      </c>
      <c r="E133" s="60">
        <v>0</v>
      </c>
      <c r="F133" s="60">
        <v>518</v>
      </c>
      <c r="G133" s="66"/>
      <c r="H133" s="66"/>
      <c r="I133" s="36"/>
      <c r="J133" s="37">
        <f>518</f>
        <v>518</v>
      </c>
      <c r="K133" s="37">
        <f t="shared" si="2"/>
        <v>2.1074392034302925</v>
      </c>
      <c r="L133" s="65"/>
      <c r="M133" s="65"/>
      <c r="N133" s="36"/>
    </row>
    <row r="134" spans="1:14" s="37" customFormat="1" ht="15.75" customHeight="1" x14ac:dyDescent="0.35">
      <c r="A134" s="66">
        <f t="shared" si="1"/>
        <v>10</v>
      </c>
      <c r="B134" s="66"/>
      <c r="C134" s="60" t="s">
        <v>203</v>
      </c>
      <c r="D134" s="55">
        <f>(22.835)*(10.764)</f>
        <v>245.79594</v>
      </c>
      <c r="E134" s="60">
        <v>0</v>
      </c>
      <c r="F134" s="60">
        <v>518</v>
      </c>
      <c r="G134" s="66"/>
      <c r="H134" s="66"/>
      <c r="I134" s="36"/>
      <c r="J134" s="37">
        <f>518</f>
        <v>518</v>
      </c>
      <c r="K134" s="37">
        <f t="shared" si="2"/>
        <v>2.1074392034302925</v>
      </c>
      <c r="L134" s="65"/>
      <c r="M134" s="65"/>
      <c r="N134" s="36"/>
    </row>
    <row r="135" spans="1:14" s="37" customFormat="1" x14ac:dyDescent="0.35">
      <c r="A135" s="75" t="s">
        <v>208</v>
      </c>
      <c r="B135" s="76"/>
      <c r="C135" s="76"/>
      <c r="D135" s="76"/>
      <c r="E135" s="76"/>
      <c r="F135" s="76"/>
      <c r="G135" s="76"/>
      <c r="H135" s="77"/>
      <c r="J135" s="36"/>
      <c r="K135" s="37" t="e">
        <f t="shared" si="2"/>
        <v>#DIV/0!</v>
      </c>
    </row>
    <row r="136" spans="1:14" s="37" customFormat="1" ht="15.75" customHeight="1" x14ac:dyDescent="0.35">
      <c r="A136" s="70">
        <v>1</v>
      </c>
      <c r="B136" s="71"/>
      <c r="C136" s="42" t="s">
        <v>204</v>
      </c>
      <c r="D136" s="55">
        <f>(35.615+0.75*(4.375+8.135))*(10.764)</f>
        <v>484.35309000000001</v>
      </c>
      <c r="E136" s="42">
        <v>0</v>
      </c>
      <c r="F136" s="42">
        <v>876</v>
      </c>
      <c r="G136" s="180" t="str">
        <f>A135</f>
        <v>1st to 3rd Floor For Commercial</v>
      </c>
      <c r="H136" s="181"/>
      <c r="I136" s="36">
        <f>F136*5000</f>
        <v>4380000</v>
      </c>
      <c r="J136" s="37">
        <f>876</f>
        <v>876</v>
      </c>
      <c r="K136" s="37">
        <f t="shared" si="2"/>
        <v>1.8085979383346145</v>
      </c>
      <c r="L136" s="65">
        <f>D136*9000</f>
        <v>4359177.8100000005</v>
      </c>
      <c r="M136" s="65"/>
      <c r="N136" s="36">
        <f>L136/F136</f>
        <v>4976.2303767123294</v>
      </c>
    </row>
    <row r="137" spans="1:14" s="37" customFormat="1" ht="15.75" customHeight="1" x14ac:dyDescent="0.35">
      <c r="A137" s="70">
        <f t="shared" ref="A137:A143" si="3">A136+1</f>
        <v>2</v>
      </c>
      <c r="B137" s="71"/>
      <c r="C137" s="42" t="s">
        <v>204</v>
      </c>
      <c r="D137" s="55">
        <f>(35.615+0.75*4.375)*(10.764)</f>
        <v>418.67923500000001</v>
      </c>
      <c r="E137" s="42">
        <v>0</v>
      </c>
      <c r="F137" s="42">
        <v>758</v>
      </c>
      <c r="G137" s="182"/>
      <c r="H137" s="183"/>
      <c r="I137" s="36"/>
      <c r="J137" s="37">
        <f>758</f>
        <v>758</v>
      </c>
      <c r="K137" s="37">
        <f t="shared" si="2"/>
        <v>1.8104552044478632</v>
      </c>
      <c r="L137" s="65"/>
      <c r="M137" s="65"/>
      <c r="N137" s="36"/>
    </row>
    <row r="138" spans="1:14" s="37" customFormat="1" ht="15.75" customHeight="1" x14ac:dyDescent="0.35">
      <c r="A138" s="70">
        <f t="shared" si="3"/>
        <v>3</v>
      </c>
      <c r="B138" s="71"/>
      <c r="C138" s="42" t="s">
        <v>204</v>
      </c>
      <c r="D138" s="55">
        <f>(57.795+0.75*(8.6+6.2))*(10.764)</f>
        <v>741.58578000000011</v>
      </c>
      <c r="E138" s="42">
        <v>0</v>
      </c>
      <c r="F138" s="42">
        <v>1341</v>
      </c>
      <c r="G138" s="182"/>
      <c r="H138" s="183"/>
      <c r="I138" s="36"/>
      <c r="J138" s="37">
        <f>1341</f>
        <v>1341</v>
      </c>
      <c r="K138" s="37">
        <f t="shared" si="2"/>
        <v>1.8082871006507162</v>
      </c>
      <c r="L138" s="65"/>
      <c r="M138" s="65"/>
      <c r="N138" s="36"/>
    </row>
    <row r="139" spans="1:14" s="37" customFormat="1" ht="15.75" customHeight="1" x14ac:dyDescent="0.35">
      <c r="A139" s="70">
        <f t="shared" si="3"/>
        <v>4</v>
      </c>
      <c r="B139" s="71"/>
      <c r="C139" s="42" t="s">
        <v>204</v>
      </c>
      <c r="D139" s="55">
        <f>(47.732+0.75*(5.905))*(10.764)</f>
        <v>561.45831299999998</v>
      </c>
      <c r="E139" s="42">
        <v>0</v>
      </c>
      <c r="F139" s="42">
        <v>1016</v>
      </c>
      <c r="G139" s="182"/>
      <c r="H139" s="183"/>
      <c r="I139" s="36"/>
      <c r="J139" s="37">
        <f>1016</f>
        <v>1016</v>
      </c>
      <c r="K139" s="37">
        <f t="shared" si="2"/>
        <v>1.8095733493930832</v>
      </c>
      <c r="L139" s="65"/>
      <c r="M139" s="65"/>
      <c r="N139" s="36"/>
    </row>
    <row r="140" spans="1:14" s="37" customFormat="1" ht="15.75" customHeight="1" x14ac:dyDescent="0.35">
      <c r="A140" s="70">
        <f t="shared" si="3"/>
        <v>5</v>
      </c>
      <c r="B140" s="71"/>
      <c r="C140" s="42" t="s">
        <v>204</v>
      </c>
      <c r="D140" s="55">
        <f>(50.464+0.75*5.95)*(10.764)</f>
        <v>591.22884599999998</v>
      </c>
      <c r="E140" s="42">
        <v>0</v>
      </c>
      <c r="F140" s="42">
        <v>1068</v>
      </c>
      <c r="G140" s="182"/>
      <c r="H140" s="183"/>
      <c r="I140" s="56"/>
      <c r="J140" s="37">
        <f>1068</f>
        <v>1068</v>
      </c>
      <c r="K140" s="37">
        <f t="shared" si="2"/>
        <v>1.8064071251354337</v>
      </c>
      <c r="L140" s="65"/>
      <c r="M140" s="65"/>
      <c r="N140" s="36"/>
    </row>
    <row r="141" spans="1:14" s="37" customFormat="1" ht="15.75" customHeight="1" x14ac:dyDescent="0.35">
      <c r="A141" s="70">
        <f t="shared" si="3"/>
        <v>6</v>
      </c>
      <c r="B141" s="71"/>
      <c r="C141" s="42" t="s">
        <v>204</v>
      </c>
      <c r="D141" s="55">
        <f>(66.603+0.75*(10.363+6.2))*(10.764)</f>
        <v>850.627791</v>
      </c>
      <c r="E141" s="42">
        <v>0</v>
      </c>
      <c r="F141" s="42">
        <v>1540</v>
      </c>
      <c r="G141" s="182"/>
      <c r="H141" s="183"/>
      <c r="I141" s="36"/>
      <c r="J141" s="37">
        <f>1540</f>
        <v>1540</v>
      </c>
      <c r="K141" s="37">
        <f t="shared" si="2"/>
        <v>1.810427564551556</v>
      </c>
      <c r="L141" s="65"/>
      <c r="M141" s="65"/>
      <c r="N141" s="36"/>
    </row>
    <row r="142" spans="1:14" s="37" customFormat="1" ht="15.75" customHeight="1" x14ac:dyDescent="0.35">
      <c r="A142" s="70">
        <f t="shared" si="3"/>
        <v>7</v>
      </c>
      <c r="B142" s="71"/>
      <c r="C142" s="42" t="s">
        <v>204</v>
      </c>
      <c r="D142" s="55">
        <f>(35.615+0.75*4.375)*(10.764)</f>
        <v>418.67923500000001</v>
      </c>
      <c r="E142" s="42">
        <v>0</v>
      </c>
      <c r="F142" s="42">
        <v>758</v>
      </c>
      <c r="G142" s="182"/>
      <c r="H142" s="183"/>
      <c r="I142" s="36"/>
      <c r="J142" s="37">
        <f>758</f>
        <v>758</v>
      </c>
      <c r="K142" s="37">
        <f t="shared" si="2"/>
        <v>1.8104552044478632</v>
      </c>
      <c r="L142" s="65"/>
      <c r="M142" s="65"/>
      <c r="N142" s="36"/>
    </row>
    <row r="143" spans="1:14" s="37" customFormat="1" ht="15.75" customHeight="1" x14ac:dyDescent="0.35">
      <c r="A143" s="70">
        <f t="shared" si="3"/>
        <v>8</v>
      </c>
      <c r="B143" s="71"/>
      <c r="C143" s="42" t="s">
        <v>204</v>
      </c>
      <c r="D143" s="55">
        <f>(35.615+0.75*(8.135+4.375))*(10.764)</f>
        <v>484.35309000000001</v>
      </c>
      <c r="E143" s="42">
        <v>0</v>
      </c>
      <c r="F143" s="42">
        <v>876</v>
      </c>
      <c r="G143" s="184"/>
      <c r="H143" s="185"/>
      <c r="I143" s="36"/>
      <c r="J143" s="37">
        <f>876</f>
        <v>876</v>
      </c>
      <c r="K143" s="37">
        <f t="shared" si="2"/>
        <v>1.8085979383346145</v>
      </c>
      <c r="L143" s="65"/>
      <c r="M143" s="65"/>
      <c r="N143" s="36"/>
    </row>
    <row r="144" spans="1:14" s="37" customFormat="1" hidden="1" x14ac:dyDescent="0.35">
      <c r="A144" s="70"/>
      <c r="B144" s="179"/>
      <c r="C144" s="179"/>
      <c r="D144" s="179"/>
      <c r="E144" s="179"/>
      <c r="F144" s="179"/>
      <c r="G144" s="179"/>
      <c r="H144" s="71"/>
      <c r="I144" s="36"/>
      <c r="N144" s="36"/>
    </row>
    <row r="145" spans="1:14" ht="47.25" hidden="1" customHeight="1" x14ac:dyDescent="0.35">
      <c r="A145" s="119" t="s">
        <v>127</v>
      </c>
      <c r="B145" s="119" t="s">
        <v>128</v>
      </c>
      <c r="C145" s="117" t="s">
        <v>60</v>
      </c>
      <c r="D145" s="117" t="s">
        <v>61</v>
      </c>
      <c r="E145" s="129" t="s">
        <v>62</v>
      </c>
      <c r="F145" s="43" t="s">
        <v>158</v>
      </c>
      <c r="G145" s="119" t="s">
        <v>63</v>
      </c>
      <c r="H145" s="120"/>
      <c r="I145" s="36"/>
    </row>
    <row r="146" spans="1:14" s="37" customFormat="1" hidden="1" x14ac:dyDescent="0.35">
      <c r="A146" s="121"/>
      <c r="B146" s="121"/>
      <c r="C146" s="118"/>
      <c r="D146" s="118"/>
      <c r="E146" s="130"/>
      <c r="F146" s="13">
        <v>0.5</v>
      </c>
      <c r="G146" s="121"/>
      <c r="H146" s="122"/>
      <c r="I146" s="36"/>
    </row>
    <row r="147" spans="1:14" s="37" customFormat="1" hidden="1" x14ac:dyDescent="0.35">
      <c r="A147" s="75" t="s">
        <v>123</v>
      </c>
      <c r="B147" s="76"/>
      <c r="C147" s="76"/>
      <c r="D147" s="76"/>
      <c r="E147" s="76"/>
      <c r="F147" s="76"/>
      <c r="G147" s="76"/>
      <c r="H147" s="77"/>
      <c r="J147" s="36"/>
    </row>
    <row r="148" spans="1:14" s="37" customFormat="1" hidden="1" x14ac:dyDescent="0.35">
      <c r="A148" s="70">
        <v>1</v>
      </c>
      <c r="B148" s="71"/>
      <c r="C148" s="53">
        <v>1</v>
      </c>
      <c r="D148" s="42"/>
      <c r="E148" s="42">
        <v>0</v>
      </c>
      <c r="F148" s="42">
        <f>D148*(($F$146)+1)+(IF(E148&lt;101,E148,IF(E148&lt;201,E148/2,IF(E148&lt;=301,E148/3,E148/4))))</f>
        <v>0</v>
      </c>
      <c r="G148" s="70" t="str">
        <f>A147</f>
        <v>Ground Floor</v>
      </c>
      <c r="H148" s="71"/>
      <c r="I148" s="36"/>
      <c r="L148" s="65"/>
      <c r="M148" s="65"/>
      <c r="N148" s="36"/>
    </row>
    <row r="149" spans="1:14" s="37" customFormat="1" hidden="1" x14ac:dyDescent="0.35">
      <c r="A149" s="70">
        <f t="shared" ref="A149:A151" si="4">A148+1</f>
        <v>2</v>
      </c>
      <c r="B149" s="71"/>
      <c r="C149" s="53"/>
      <c r="D149" s="42"/>
      <c r="E149" s="42">
        <v>0</v>
      </c>
      <c r="F149" s="42">
        <f>D149*(($F$146)+1)+(IF(E149&lt;101,E149,IF(E149&lt;201,E149/2,IF(E149&lt;=301,E149/3,E149/4))))</f>
        <v>0</v>
      </c>
      <c r="G149" s="70" t="str">
        <f t="shared" ref="G149:G151" si="5">G148</f>
        <v>Ground Floor</v>
      </c>
      <c r="H149" s="71"/>
      <c r="I149" s="36"/>
      <c r="L149" s="65"/>
      <c r="M149" s="65"/>
      <c r="N149" s="36"/>
    </row>
    <row r="150" spans="1:14" s="37" customFormat="1" hidden="1" x14ac:dyDescent="0.35">
      <c r="A150" s="70">
        <f t="shared" si="4"/>
        <v>3</v>
      </c>
      <c r="B150" s="71"/>
      <c r="C150" s="53"/>
      <c r="D150" s="42"/>
      <c r="E150" s="42">
        <v>0</v>
      </c>
      <c r="F150" s="42">
        <f>D150*(($F$146)+1)+(IF(E150&lt;101,E150,IF(E150&lt;201,E150/2,IF(E150&lt;=301,E150/3,E150/4))))</f>
        <v>0</v>
      </c>
      <c r="G150" s="70" t="str">
        <f t="shared" si="5"/>
        <v>Ground Floor</v>
      </c>
      <c r="H150" s="71"/>
      <c r="I150" s="36"/>
      <c r="L150" s="65"/>
      <c r="M150" s="65"/>
      <c r="N150" s="36"/>
    </row>
    <row r="151" spans="1:14" s="37" customFormat="1" hidden="1" x14ac:dyDescent="0.35">
      <c r="A151" s="70">
        <f t="shared" si="4"/>
        <v>4</v>
      </c>
      <c r="B151" s="71"/>
      <c r="C151" s="53"/>
      <c r="D151" s="42"/>
      <c r="E151" s="42">
        <v>0</v>
      </c>
      <c r="F151" s="42">
        <f>D151*(($F$146)+1)+(IF(E151&lt;101,E151,IF(E151&lt;201,E151/2,IF(E151&lt;=301,E151/3,E151/4))))</f>
        <v>0</v>
      </c>
      <c r="G151" s="70" t="str">
        <f t="shared" si="5"/>
        <v>Ground Floor</v>
      </c>
      <c r="H151" s="71"/>
      <c r="I151" s="36"/>
      <c r="L151" s="65"/>
      <c r="M151" s="65"/>
      <c r="N151" s="36"/>
    </row>
    <row r="152" spans="1:14" s="37" customFormat="1" hidden="1" x14ac:dyDescent="0.35">
      <c r="A152" s="116" t="s">
        <v>124</v>
      </c>
      <c r="B152" s="116"/>
      <c r="C152" s="116"/>
      <c r="D152" s="116"/>
      <c r="E152" s="116"/>
      <c r="F152" s="116"/>
      <c r="G152" s="116"/>
      <c r="H152" s="116"/>
      <c r="I152" s="36"/>
      <c r="L152" s="65"/>
      <c r="M152" s="65"/>
    </row>
    <row r="153" spans="1:14" s="37" customFormat="1" hidden="1" x14ac:dyDescent="0.35">
      <c r="A153" s="66">
        <f>LEFT(A152,SUM(LEN(A152)-LEN(SUBSTITUTE(A152,{"0","1","2","3","4","5","6","7","8","9"},""))))*100+1</f>
        <v>201</v>
      </c>
      <c r="B153" s="66"/>
      <c r="C153" s="53"/>
      <c r="D153" s="42"/>
      <c r="E153" s="42">
        <v>0</v>
      </c>
      <c r="F153" s="42">
        <f t="shared" ref="F153:F154" si="6">D153*(($F$146)+1)+(IF(E153&lt;101,E153,IF(E153&lt;201,E153/2,IF(E153&lt;=301,E153/3,E153/4))))</f>
        <v>0</v>
      </c>
      <c r="G153" s="66" t="str">
        <f>A152</f>
        <v>2nd Floor</v>
      </c>
      <c r="H153" s="66"/>
      <c r="I153" s="36"/>
      <c r="N153" s="36"/>
    </row>
    <row r="154" spans="1:14" s="37" customFormat="1" hidden="1" x14ac:dyDescent="0.35">
      <c r="A154" s="66">
        <f>A153+1</f>
        <v>202</v>
      </c>
      <c r="B154" s="66"/>
      <c r="C154" s="53"/>
      <c r="D154" s="42"/>
      <c r="E154" s="42">
        <v>0</v>
      </c>
      <c r="F154" s="42">
        <f t="shared" si="6"/>
        <v>0</v>
      </c>
      <c r="G154" s="66" t="str">
        <f>G153</f>
        <v>2nd Floor</v>
      </c>
      <c r="H154" s="66"/>
      <c r="I154" s="36"/>
      <c r="N154" s="36"/>
    </row>
    <row r="155" spans="1:14" s="37" customFormat="1" hidden="1" x14ac:dyDescent="0.35">
      <c r="A155" s="66">
        <f>A154+1</f>
        <v>203</v>
      </c>
      <c r="B155" s="66"/>
      <c r="C155" s="53"/>
      <c r="D155" s="42"/>
      <c r="E155" s="42">
        <v>0</v>
      </c>
      <c r="F155" s="42">
        <f>D155*(($F$146)+1)+(IF(E155&lt;101,E155,IF(E155&lt;201,E155/2,IF(E155&lt;=301,E155/3,E155/4))))</f>
        <v>0</v>
      </c>
      <c r="G155" s="66" t="str">
        <f>G154</f>
        <v>2nd Floor</v>
      </c>
      <c r="H155" s="66"/>
      <c r="I155" s="36"/>
      <c r="N155" s="36"/>
    </row>
    <row r="156" spans="1:14" s="37" customFormat="1" hidden="1" x14ac:dyDescent="0.35">
      <c r="A156" s="66">
        <f>A155+1</f>
        <v>204</v>
      </c>
      <c r="B156" s="66"/>
      <c r="C156" s="53"/>
      <c r="D156" s="42"/>
      <c r="E156" s="42">
        <v>0</v>
      </c>
      <c r="F156" s="42">
        <f>D156*(($F$146)+1)+(IF(E156&lt;101,E156,IF(E156&lt;201,E156/2,IF(E156&lt;=301,E156/3,E156/4))))</f>
        <v>0</v>
      </c>
      <c r="G156" s="66" t="str">
        <f>G155</f>
        <v>2nd Floor</v>
      </c>
      <c r="H156" s="66"/>
      <c r="I156" s="36"/>
      <c r="N156" s="36"/>
    </row>
    <row r="157" spans="1:14" s="37" customFormat="1" hidden="1" x14ac:dyDescent="0.35">
      <c r="A157" s="66">
        <f>A156+1</f>
        <v>205</v>
      </c>
      <c r="B157" s="66"/>
      <c r="C157" s="53"/>
      <c r="D157" s="42"/>
      <c r="E157" s="42">
        <v>0</v>
      </c>
      <c r="F157" s="42">
        <f>D157*(($F$146)+1)+(IF(E157&lt;101,E157,IF(E157&lt;201,E157/2,IF(E157&lt;=301,E157/3,E157/4))))</f>
        <v>0</v>
      </c>
      <c r="G157" s="66" t="str">
        <f>G156</f>
        <v>2nd Floor</v>
      </c>
      <c r="H157" s="66"/>
      <c r="I157" s="36"/>
      <c r="N157" s="36"/>
    </row>
    <row r="158" spans="1:14" s="37" customFormat="1" ht="15.75" hidden="1" customHeight="1" x14ac:dyDescent="0.35">
      <c r="A158" s="75" t="s">
        <v>159</v>
      </c>
      <c r="B158" s="76"/>
      <c r="C158" s="76"/>
      <c r="D158" s="76"/>
      <c r="E158" s="76"/>
      <c r="F158" s="76"/>
      <c r="G158" s="76"/>
      <c r="H158" s="77"/>
      <c r="I158" s="36"/>
    </row>
    <row r="159" spans="1:14" s="37" customFormat="1" hidden="1" x14ac:dyDescent="0.35">
      <c r="A159" s="70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10^ROW(INDIRECT("1:"&amp;LEN((LEFT(A158,SUM(LEN(A158)-LEN(SUBSTITUTE(A158,{"0","1","2"},""))))))))/10))*100+1&amp;""&amp;" ,..,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301 ,.., 1501</v>
      </c>
      <c r="B159" s="71"/>
      <c r="C159" s="53"/>
      <c r="D159" s="42"/>
      <c r="E159" s="42">
        <v>0</v>
      </c>
      <c r="F159" s="42">
        <f>D159*(($F$146)+1)+(IF(E159&lt;101,E159,IF(E159&lt;201,E159/2,IF(E159&lt;=301,E159/3,E159/4))))</f>
        <v>0</v>
      </c>
      <c r="G159" s="70" t="str">
        <f>A158</f>
        <v>3rd, 5th, 7th, 9th, 11th, 13th, 15th Floor</v>
      </c>
      <c r="H159" s="71"/>
      <c r="I159" s="36"/>
    </row>
    <row r="160" spans="1:14" s="37" customFormat="1" hidden="1" x14ac:dyDescent="0.35">
      <c r="A160" s="70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302 ,.., 1502</v>
      </c>
      <c r="B160" s="71"/>
      <c r="C160" s="53"/>
      <c r="D160" s="42"/>
      <c r="E160" s="42">
        <v>0</v>
      </c>
      <c r="F160" s="42">
        <f>D160*(($F$146)+1)+(IF(E160&lt;101,E160,IF(E160&lt;201,E160/2,IF(E160&lt;=301,E160/3,E160/4))))</f>
        <v>0</v>
      </c>
      <c r="G160" s="70" t="str">
        <f>G159</f>
        <v>3rd, 5th, 7th, 9th, 11th, 13th, 15th Floor</v>
      </c>
      <c r="H160" s="71"/>
      <c r="I160" s="36"/>
    </row>
    <row r="161" spans="1:9" s="37" customFormat="1" ht="15.75" hidden="1" customHeight="1" x14ac:dyDescent="0.35">
      <c r="A161" s="70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,..,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303 ,.., 1503</v>
      </c>
      <c r="B161" s="71"/>
      <c r="C161" s="53"/>
      <c r="D161" s="42"/>
      <c r="E161" s="42">
        <v>0</v>
      </c>
      <c r="F161" s="42">
        <f>D161*(($F$146)+1)+(IF(E161&lt;101,E161,IF(E161&lt;201,E161/2,IF(E161&lt;=301,E161/3,E161/4))))</f>
        <v>0</v>
      </c>
      <c r="G161" s="70" t="str">
        <f>G160</f>
        <v>3rd, 5th, 7th, 9th, 11th, 13th, 15th Floor</v>
      </c>
      <c r="H161" s="71"/>
      <c r="I161" s="36"/>
    </row>
    <row r="162" spans="1:9" s="37" customFormat="1" ht="15.75" hidden="1" customHeight="1" x14ac:dyDescent="0.35">
      <c r="A162" s="70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304 ,.., 1504</v>
      </c>
      <c r="B162" s="71"/>
      <c r="C162" s="53"/>
      <c r="D162" s="42"/>
      <c r="E162" s="42">
        <v>0</v>
      </c>
      <c r="F162" s="42">
        <f>D162*(($F$146)+1)+(IF(E162&lt;101,E162,IF(E162&lt;201,E162/2,IF(E162&lt;=301,E162/3,E162/4))))</f>
        <v>0</v>
      </c>
      <c r="G162" s="70" t="str">
        <f>G161</f>
        <v>3rd, 5th, 7th, 9th, 11th, 13th, 15th Floor</v>
      </c>
      <c r="H162" s="71"/>
      <c r="I162" s="36"/>
    </row>
    <row r="163" spans="1:9" s="37" customFormat="1" ht="15.75" hidden="1" customHeight="1" x14ac:dyDescent="0.35">
      <c r="A163" s="70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305 ,.., 1505</v>
      </c>
      <c r="B163" s="71"/>
      <c r="C163" s="53"/>
      <c r="D163" s="42"/>
      <c r="E163" s="42">
        <v>0</v>
      </c>
      <c r="F163" s="42">
        <f>D163*(($F$146)+1)+(IF(E163&lt;101,E163,IF(E163&lt;201,E163/2,IF(E163&lt;=301,E163/3,E163/4))))</f>
        <v>0</v>
      </c>
      <c r="G163" s="70" t="str">
        <f>G162</f>
        <v>3rd, 5th, 7th, 9th, 11th, 13th, 15th Floor</v>
      </c>
      <c r="H163" s="71"/>
      <c r="I163" s="36"/>
    </row>
    <row r="164" spans="1:9" s="37" customFormat="1" hidden="1" x14ac:dyDescent="0.35">
      <c r="A164" s="75" t="s">
        <v>153</v>
      </c>
      <c r="B164" s="76"/>
      <c r="C164" s="76"/>
      <c r="D164" s="76"/>
      <c r="E164" s="76"/>
      <c r="F164" s="76"/>
      <c r="G164" s="76"/>
      <c r="H164" s="77"/>
      <c r="I164" s="36"/>
    </row>
    <row r="165" spans="1:9" s="37" customFormat="1" hidden="1" x14ac:dyDescent="0.35">
      <c r="A165" s="70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201 to 501</v>
      </c>
      <c r="B165" s="71"/>
      <c r="C165" s="53"/>
      <c r="D165" s="42"/>
      <c r="E165" s="42">
        <v>0</v>
      </c>
      <c r="F165" s="42">
        <f>D165*(($F$146)+1)+(IF(E165&lt;101,E165,IF(E165&lt;201,E165/2,IF(E165&lt;=301,E165/3,E165/4))))</f>
        <v>0</v>
      </c>
      <c r="G165" s="70" t="str">
        <f>A164</f>
        <v>2nd to 5th Floor</v>
      </c>
      <c r="H165" s="71"/>
      <c r="I165" s="36"/>
    </row>
    <row r="166" spans="1:9" s="37" customFormat="1" hidden="1" x14ac:dyDescent="0.35">
      <c r="A166" s="70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202 to 502</v>
      </c>
      <c r="B166" s="71"/>
      <c r="C166" s="53"/>
      <c r="D166" s="42"/>
      <c r="E166" s="42">
        <v>0</v>
      </c>
      <c r="F166" s="42">
        <f>D166*(($F$146)+1)+(IF(E166&lt;101,E166,IF(E166&lt;201,E166/2,IF(E166&lt;=301,E166/3,E166/4))))</f>
        <v>0</v>
      </c>
      <c r="G166" s="70" t="str">
        <f>G165</f>
        <v>2nd to 5th Floor</v>
      </c>
      <c r="H166" s="71"/>
      <c r="I166" s="36"/>
    </row>
    <row r="167" spans="1:9" s="37" customFormat="1" hidden="1" x14ac:dyDescent="0.35">
      <c r="A167" s="70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to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203 to 503</v>
      </c>
      <c r="B167" s="71"/>
      <c r="C167" s="53"/>
      <c r="D167" s="42"/>
      <c r="E167" s="42">
        <v>0</v>
      </c>
      <c r="F167" s="42">
        <f>D167*(($F$146)+1)+(IF(E167&lt;101,E167,IF(E167&lt;201,E167/2,IF(E167&lt;=301,E167/3,E167/4))))</f>
        <v>0</v>
      </c>
      <c r="G167" s="70" t="str">
        <f>G166</f>
        <v>2nd to 5th Floor</v>
      </c>
      <c r="H167" s="71"/>
      <c r="I167" s="36"/>
    </row>
    <row r="168" spans="1:9" s="37" customFormat="1" hidden="1" x14ac:dyDescent="0.35">
      <c r="A168" s="70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204 to 504</v>
      </c>
      <c r="B168" s="71"/>
      <c r="C168" s="53"/>
      <c r="D168" s="42"/>
      <c r="E168" s="42">
        <v>0</v>
      </c>
      <c r="F168" s="42">
        <f>D168*(($F$146)+1)+(IF(E168&lt;101,E168,IF(E168&lt;201,E168/2,IF(E168&lt;=301,E168/3,E168/4))))</f>
        <v>0</v>
      </c>
      <c r="G168" s="70" t="str">
        <f>G167</f>
        <v>2nd to 5th Floor</v>
      </c>
      <c r="H168" s="71"/>
      <c r="I168" s="36"/>
    </row>
    <row r="169" spans="1:9" s="37" customFormat="1" hidden="1" x14ac:dyDescent="0.35">
      <c r="A169" s="70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205 to 505</v>
      </c>
      <c r="B169" s="71"/>
      <c r="C169" s="53"/>
      <c r="D169" s="42"/>
      <c r="E169" s="42">
        <v>0</v>
      </c>
      <c r="F169" s="42">
        <f>D169*(($F$146)+1)+(IF(E169&lt;101,E169,IF(E169&lt;201,E169/2,IF(E169&lt;=301,E169/3,E169/4))))</f>
        <v>0</v>
      </c>
      <c r="G169" s="70" t="str">
        <f>G168</f>
        <v>2nd to 5th Floor</v>
      </c>
      <c r="H169" s="71"/>
      <c r="I169" s="36"/>
    </row>
    <row r="170" spans="1:9" s="37" customFormat="1" hidden="1" x14ac:dyDescent="0.35">
      <c r="A170" s="75" t="s">
        <v>154</v>
      </c>
      <c r="B170" s="76"/>
      <c r="C170" s="76"/>
      <c r="D170" s="76"/>
      <c r="E170" s="76"/>
      <c r="F170" s="76"/>
      <c r="G170" s="76"/>
      <c r="H170" s="77"/>
      <c r="I170" s="36"/>
    </row>
    <row r="171" spans="1:9" s="37" customFormat="1" hidden="1" x14ac:dyDescent="0.35">
      <c r="A171" s="70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&amp;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201 &amp; 501</v>
      </c>
      <c r="B171" s="71"/>
      <c r="C171" s="53"/>
      <c r="D171" s="42"/>
      <c r="E171" s="42">
        <v>0</v>
      </c>
      <c r="F171" s="42">
        <f>D171*(($F$146)+1)+(IF(E171&lt;101,E171,IF(E171&lt;201,E171/2,IF(E171&lt;=301,E171/3,E171/4))))</f>
        <v>0</v>
      </c>
      <c r="G171" s="70" t="str">
        <f>A170</f>
        <v>2nd &amp; 5th Floor</v>
      </c>
      <c r="H171" s="71"/>
      <c r="I171" s="36"/>
    </row>
    <row r="172" spans="1:9" s="37" customFormat="1" hidden="1" x14ac:dyDescent="0.35">
      <c r="A172" s="70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&amp;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202 &amp; 502</v>
      </c>
      <c r="B172" s="71"/>
      <c r="C172" s="53"/>
      <c r="D172" s="42"/>
      <c r="E172" s="42">
        <v>0</v>
      </c>
      <c r="F172" s="42">
        <f>D172*(($F$146)+1)+(IF(E172&lt;101,E172,IF(E172&lt;201,E172/2,IF(E172&lt;=301,E172/3,E172/4))))</f>
        <v>0</v>
      </c>
      <c r="G172" s="70" t="str">
        <f t="shared" ref="G172:G175" si="7">G171</f>
        <v>2nd &amp; 5th Floor</v>
      </c>
      <c r="H172" s="71"/>
      <c r="I172" s="36"/>
    </row>
    <row r="173" spans="1:9" s="37" customFormat="1" hidden="1" x14ac:dyDescent="0.35">
      <c r="A173" s="70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&amp;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203 &amp; 503</v>
      </c>
      <c r="B173" s="71"/>
      <c r="C173" s="53"/>
      <c r="D173" s="42"/>
      <c r="E173" s="42">
        <v>0</v>
      </c>
      <c r="F173" s="42">
        <f>D173*(($F$146)+1)+(IF(E173&lt;101,E173,IF(E173&lt;201,E173/2,IF(E173&lt;=301,E173/3,E173/4))))</f>
        <v>0</v>
      </c>
      <c r="G173" s="70" t="str">
        <f t="shared" si="7"/>
        <v>2nd &amp; 5th Floor</v>
      </c>
      <c r="H173" s="71"/>
      <c r="I173" s="36"/>
    </row>
    <row r="174" spans="1:9" s="37" customFormat="1" hidden="1" x14ac:dyDescent="0.35">
      <c r="A174" s="70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204 &amp; 504</v>
      </c>
      <c r="B174" s="71"/>
      <c r="C174" s="53"/>
      <c r="D174" s="42"/>
      <c r="E174" s="42">
        <v>0</v>
      </c>
      <c r="F174" s="42">
        <f>D174*(($F$146)+1)+(IF(E174&lt;101,E174,IF(E174&lt;201,E174/2,IF(E174&lt;=301,E174/3,E174/4))))</f>
        <v>0</v>
      </c>
      <c r="G174" s="70" t="str">
        <f t="shared" si="7"/>
        <v>2nd &amp; 5th Floor</v>
      </c>
      <c r="H174" s="71"/>
      <c r="I174" s="36"/>
    </row>
    <row r="175" spans="1:9" s="37" customFormat="1" hidden="1" x14ac:dyDescent="0.35">
      <c r="A175" s="70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205 &amp; 505</v>
      </c>
      <c r="B175" s="71"/>
      <c r="C175" s="53"/>
      <c r="D175" s="42"/>
      <c r="E175" s="42">
        <v>0</v>
      </c>
      <c r="F175" s="42">
        <f>D175*(($F$146)+1)+(IF(E175&lt;101,E175,IF(E175&lt;201,E175/2,IF(E175&lt;=301,E175/3,E175/4))))</f>
        <v>0</v>
      </c>
      <c r="G175" s="70" t="str">
        <f t="shared" si="7"/>
        <v>2nd &amp; 5th Floor</v>
      </c>
      <c r="H175" s="71"/>
      <c r="I175" s="36"/>
    </row>
    <row r="176" spans="1:9" s="35" customFormat="1" x14ac:dyDescent="0.35">
      <c r="A176" s="123" t="s">
        <v>71</v>
      </c>
      <c r="B176" s="123"/>
      <c r="C176" s="123"/>
      <c r="D176" s="123"/>
      <c r="E176" s="123"/>
      <c r="F176" s="123"/>
      <c r="G176" s="123"/>
      <c r="H176" s="123"/>
    </row>
    <row r="177" spans="1:8" s="35" customFormat="1" ht="31.5" customHeight="1" x14ac:dyDescent="0.35">
      <c r="A177" s="47" t="s">
        <v>163</v>
      </c>
      <c r="B177" s="72" t="s">
        <v>221</v>
      </c>
      <c r="C177" s="73"/>
      <c r="D177" s="73"/>
      <c r="E177" s="73"/>
      <c r="F177" s="73"/>
      <c r="G177" s="73"/>
      <c r="H177" s="74"/>
    </row>
    <row r="178" spans="1:8" s="35" customFormat="1" hidden="1" x14ac:dyDescent="0.35">
      <c r="A178" s="47" t="s">
        <v>163</v>
      </c>
      <c r="B178" s="72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178" s="73"/>
      <c r="D178" s="73"/>
      <c r="E178" s="73"/>
      <c r="F178" s="73"/>
      <c r="G178" s="73"/>
      <c r="H178" s="74"/>
    </row>
    <row r="179" spans="1:8" s="35" customFormat="1" x14ac:dyDescent="0.35">
      <c r="A179" s="47" t="s">
        <v>163</v>
      </c>
      <c r="B179" s="72" t="str">
        <f>(IF(F122="Saleable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79" s="73"/>
      <c r="D179" s="73"/>
      <c r="E179" s="73"/>
      <c r="F179" s="73"/>
      <c r="G179" s="73"/>
      <c r="H179" s="74"/>
    </row>
    <row r="180" spans="1:8" s="35" customFormat="1" x14ac:dyDescent="0.35">
      <c r="A180" s="47" t="s">
        <v>163</v>
      </c>
      <c r="B180" s="67" t="s">
        <v>130</v>
      </c>
      <c r="C180" s="68"/>
      <c r="D180" s="68"/>
      <c r="E180" s="68"/>
      <c r="F180" s="68"/>
      <c r="G180" s="68"/>
      <c r="H180" s="69"/>
    </row>
    <row r="181" spans="1:8" s="35" customFormat="1" x14ac:dyDescent="0.35">
      <c r="A181" s="47" t="s">
        <v>163</v>
      </c>
      <c r="B181" s="67" t="s">
        <v>205</v>
      </c>
      <c r="C181" s="68"/>
      <c r="D181" s="68"/>
      <c r="E181" s="68"/>
      <c r="F181" s="68"/>
      <c r="G181" s="68"/>
      <c r="H181" s="69"/>
    </row>
    <row r="182" spans="1:8" s="35" customFormat="1" x14ac:dyDescent="0.35">
      <c r="A182" s="47" t="s">
        <v>163</v>
      </c>
      <c r="B182" s="67" t="s">
        <v>162</v>
      </c>
      <c r="C182" s="68"/>
      <c r="D182" s="68"/>
      <c r="E182" s="68"/>
      <c r="F182" s="68"/>
      <c r="G182" s="68"/>
      <c r="H182" s="69"/>
    </row>
    <row r="183" spans="1:8" s="35" customFormat="1" x14ac:dyDescent="0.35">
      <c r="A183" s="47" t="s">
        <v>163</v>
      </c>
      <c r="B183" s="67" t="s">
        <v>131</v>
      </c>
      <c r="C183" s="68"/>
      <c r="D183" s="68"/>
      <c r="E183" s="68"/>
      <c r="F183" s="68"/>
      <c r="G183" s="68"/>
      <c r="H183" s="69"/>
    </row>
    <row r="184" spans="1:8" s="35" customFormat="1" ht="34.5" customHeight="1" x14ac:dyDescent="0.35">
      <c r="A184" s="47" t="s">
        <v>163</v>
      </c>
      <c r="B184" s="67" t="s">
        <v>164</v>
      </c>
      <c r="C184" s="68"/>
      <c r="D184" s="68"/>
      <c r="E184" s="68"/>
      <c r="F184" s="68"/>
      <c r="G184" s="68"/>
      <c r="H184" s="69"/>
    </row>
    <row r="185" spans="1:8" s="35" customFormat="1" x14ac:dyDescent="0.35">
      <c r="A185" s="47" t="s">
        <v>163</v>
      </c>
      <c r="B185" s="67" t="s">
        <v>132</v>
      </c>
      <c r="C185" s="68"/>
      <c r="D185" s="68"/>
      <c r="E185" s="68"/>
      <c r="F185" s="68"/>
      <c r="G185" s="68"/>
      <c r="H185" s="69"/>
    </row>
    <row r="186" spans="1:8" s="35" customFormat="1" x14ac:dyDescent="0.35">
      <c r="A186" s="58" t="s">
        <v>163</v>
      </c>
      <c r="B186" s="67" t="s">
        <v>213</v>
      </c>
      <c r="C186" s="68"/>
      <c r="D186" s="68"/>
      <c r="E186" s="68"/>
      <c r="F186" s="68"/>
      <c r="G186" s="68"/>
      <c r="H186" s="69"/>
    </row>
    <row r="187" spans="1:8" s="35" customFormat="1" x14ac:dyDescent="0.35">
      <c r="A187" s="47" t="s">
        <v>163</v>
      </c>
      <c r="B187" s="67" t="s">
        <v>222</v>
      </c>
      <c r="C187" s="68"/>
      <c r="D187" s="68"/>
      <c r="E187" s="68"/>
      <c r="F187" s="68"/>
      <c r="G187" s="68"/>
      <c r="H187" s="69"/>
    </row>
    <row r="188" spans="1:8" x14ac:dyDescent="0.35">
      <c r="A188" s="128" t="s">
        <v>64</v>
      </c>
      <c r="B188" s="128"/>
      <c r="C188" s="128"/>
      <c r="D188" s="128"/>
      <c r="E188" s="128"/>
      <c r="F188" s="128"/>
      <c r="G188" s="128"/>
      <c r="H188" s="128"/>
    </row>
    <row r="189" spans="1:8" x14ac:dyDescent="0.35">
      <c r="A189" s="78" t="s">
        <v>65</v>
      </c>
      <c r="B189" s="78"/>
      <c r="C189" s="78"/>
      <c r="D189" s="78"/>
      <c r="E189" s="78"/>
      <c r="F189" s="78"/>
      <c r="G189" s="78"/>
      <c r="H189" s="78"/>
    </row>
    <row r="190" spans="1:8" ht="15.75" customHeight="1" x14ac:dyDescent="0.35">
      <c r="A190" s="127" t="s">
        <v>66</v>
      </c>
      <c r="B190" s="127"/>
      <c r="C190" s="127"/>
      <c r="D190" s="127"/>
      <c r="E190" s="127"/>
      <c r="F190" s="127"/>
      <c r="G190" s="127"/>
      <c r="H190" s="127"/>
    </row>
    <row r="191" spans="1:8" x14ac:dyDescent="0.35">
      <c r="A191" s="78" t="s">
        <v>67</v>
      </c>
      <c r="B191" s="78"/>
      <c r="C191" s="78"/>
      <c r="D191" s="78"/>
      <c r="E191" s="78"/>
      <c r="F191" s="78"/>
      <c r="G191" s="78"/>
      <c r="H191" s="78"/>
    </row>
    <row r="192" spans="1:8" x14ac:dyDescent="0.35">
      <c r="A192" s="78" t="s">
        <v>68</v>
      </c>
      <c r="B192" s="78"/>
      <c r="C192" s="78"/>
      <c r="D192" s="78"/>
      <c r="E192" s="78"/>
      <c r="F192" s="78"/>
      <c r="G192" s="78"/>
      <c r="H192" s="78"/>
    </row>
    <row r="193" spans="1:8" hidden="1" x14ac:dyDescent="0.35">
      <c r="A193" s="78" t="s">
        <v>133</v>
      </c>
      <c r="B193" s="78"/>
      <c r="C193" s="78"/>
      <c r="D193" s="78"/>
      <c r="E193" s="78"/>
      <c r="F193" s="78"/>
      <c r="G193" s="78"/>
      <c r="H193" s="78"/>
    </row>
    <row r="194" spans="1:8" hidden="1" x14ac:dyDescent="0.35">
      <c r="A194" s="126" t="s">
        <v>134</v>
      </c>
      <c r="B194" s="126"/>
      <c r="C194" s="126"/>
      <c r="D194" s="126"/>
      <c r="E194" s="126"/>
      <c r="F194" s="126"/>
      <c r="G194" s="126"/>
      <c r="H194" s="126"/>
    </row>
    <row r="195" spans="1:8" x14ac:dyDescent="0.35">
      <c r="A195" s="125" t="s">
        <v>81</v>
      </c>
      <c r="B195" s="125"/>
      <c r="C195" s="125" t="s">
        <v>227</v>
      </c>
      <c r="D195" s="125"/>
      <c r="E195" s="125" t="s">
        <v>110</v>
      </c>
      <c r="F195" s="125"/>
      <c r="G195" s="125" t="s">
        <v>226</v>
      </c>
      <c r="H195" s="125"/>
    </row>
    <row r="196" spans="1:8" x14ac:dyDescent="0.35">
      <c r="A196" s="124" t="s">
        <v>83</v>
      </c>
      <c r="B196" s="124"/>
      <c r="C196" s="124"/>
      <c r="D196" s="124"/>
      <c r="E196" s="124"/>
      <c r="F196" s="124"/>
      <c r="G196" s="124"/>
      <c r="H196" s="124"/>
    </row>
    <row r="197" spans="1:8" x14ac:dyDescent="0.35">
      <c r="A197" s="124"/>
      <c r="B197" s="124"/>
      <c r="C197" s="124"/>
      <c r="D197" s="124"/>
      <c r="E197" s="124"/>
      <c r="F197" s="124"/>
      <c r="G197" s="124"/>
      <c r="H197" s="124"/>
    </row>
    <row r="198" spans="1:8" x14ac:dyDescent="0.35">
      <c r="A198" s="124"/>
      <c r="B198" s="124"/>
      <c r="C198" s="124"/>
      <c r="D198" s="124"/>
      <c r="E198" s="124"/>
      <c r="F198" s="124"/>
      <c r="G198" s="124"/>
      <c r="H198" s="124"/>
    </row>
    <row r="199" spans="1:8" ht="12" hidden="1" customHeight="1" x14ac:dyDescent="0.35">
      <c r="A199" s="124"/>
      <c r="B199" s="124"/>
      <c r="C199" s="124"/>
      <c r="D199" s="124"/>
      <c r="E199" s="124"/>
      <c r="F199" s="124"/>
      <c r="G199" s="124"/>
      <c r="H199" s="124"/>
    </row>
    <row r="200" spans="1:8" x14ac:dyDescent="0.35">
      <c r="A200" s="38" t="s">
        <v>69</v>
      </c>
      <c r="B200" s="39"/>
      <c r="C200" s="39"/>
      <c r="D200" s="38" t="str">
        <f>E8</f>
        <v>Tulsi Kalash City</v>
      </c>
      <c r="F200" s="39"/>
      <c r="G200" s="39"/>
      <c r="H200" s="39"/>
    </row>
    <row r="201" spans="1:8" x14ac:dyDescent="0.35">
      <c r="A201" s="39"/>
      <c r="B201" s="39"/>
      <c r="C201" s="39"/>
      <c r="D201" s="39"/>
      <c r="E201" s="39"/>
      <c r="F201" s="39"/>
      <c r="G201" s="39"/>
      <c r="H201" s="39"/>
    </row>
    <row r="202" spans="1:8" x14ac:dyDescent="0.35">
      <c r="A202" s="39"/>
      <c r="B202" s="39"/>
      <c r="C202" s="39"/>
      <c r="D202" s="39"/>
      <c r="E202" s="39"/>
      <c r="F202" s="39"/>
      <c r="G202" s="39"/>
      <c r="H202" s="39"/>
    </row>
    <row r="203" spans="1:8" ht="15" customHeight="1" x14ac:dyDescent="0.35"/>
    <row r="243" spans="1:1" hidden="1" x14ac:dyDescent="0.35">
      <c r="A243" s="41" t="s">
        <v>177</v>
      </c>
    </row>
    <row r="244" spans="1:1" hidden="1" x14ac:dyDescent="0.35"/>
    <row r="245" spans="1:1" hidden="1" x14ac:dyDescent="0.35"/>
    <row r="246" spans="1:1" hidden="1" x14ac:dyDescent="0.35"/>
    <row r="247" spans="1:1" hidden="1" x14ac:dyDescent="0.35"/>
    <row r="248" spans="1:1" hidden="1" x14ac:dyDescent="0.35"/>
    <row r="249" spans="1:1" hidden="1" x14ac:dyDescent="0.35"/>
    <row r="250" spans="1:1" hidden="1" x14ac:dyDescent="0.35"/>
    <row r="251" spans="1:1" hidden="1" x14ac:dyDescent="0.35"/>
    <row r="252" spans="1:1" hidden="1" x14ac:dyDescent="0.35"/>
    <row r="253" spans="1:1" hidden="1" x14ac:dyDescent="0.35"/>
    <row r="254" spans="1:1" hidden="1" x14ac:dyDescent="0.35"/>
    <row r="255" spans="1:1" hidden="1" x14ac:dyDescent="0.35"/>
    <row r="256" spans="1:1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spans="1:1" hidden="1" x14ac:dyDescent="0.35"/>
    <row r="274" spans="1:1" hidden="1" x14ac:dyDescent="0.35"/>
    <row r="275" spans="1:1" hidden="1" x14ac:dyDescent="0.35"/>
    <row r="276" spans="1:1" hidden="1" x14ac:dyDescent="0.35"/>
    <row r="277" spans="1:1" hidden="1" x14ac:dyDescent="0.35"/>
    <row r="278" spans="1:1" hidden="1" x14ac:dyDescent="0.35"/>
    <row r="279" spans="1:1" hidden="1" x14ac:dyDescent="0.35"/>
    <row r="280" spans="1:1" hidden="1" x14ac:dyDescent="0.35"/>
    <row r="281" spans="1:1" hidden="1" x14ac:dyDescent="0.35"/>
    <row r="282" spans="1:1" hidden="1" x14ac:dyDescent="0.35"/>
    <row r="283" spans="1:1" hidden="1" x14ac:dyDescent="0.35"/>
    <row r="284" spans="1:1" hidden="1" x14ac:dyDescent="0.35"/>
    <row r="285" spans="1:1" hidden="1" x14ac:dyDescent="0.35"/>
    <row r="286" spans="1:1" hidden="1" x14ac:dyDescent="0.35"/>
    <row r="287" spans="1:1" x14ac:dyDescent="0.35">
      <c r="A287" s="41" t="s">
        <v>70</v>
      </c>
    </row>
  </sheetData>
  <mergeCells count="378">
    <mergeCell ref="B186:H186"/>
    <mergeCell ref="B184:H184"/>
    <mergeCell ref="A47:B47"/>
    <mergeCell ref="C47:H47"/>
    <mergeCell ref="B182:H182"/>
    <mergeCell ref="G86:H95"/>
    <mergeCell ref="A87:B87"/>
    <mergeCell ref="A88:B88"/>
    <mergeCell ref="A89:B89"/>
    <mergeCell ref="F98:H98"/>
    <mergeCell ref="A98:E98"/>
    <mergeCell ref="G160:H160"/>
    <mergeCell ref="G156:H156"/>
    <mergeCell ref="G153:H153"/>
    <mergeCell ref="A100:E100"/>
    <mergeCell ref="A136:B136"/>
    <mergeCell ref="A137:B137"/>
    <mergeCell ref="A138:B138"/>
    <mergeCell ref="A79:B79"/>
    <mergeCell ref="A97:E97"/>
    <mergeCell ref="A135:H135"/>
    <mergeCell ref="G122:H122"/>
    <mergeCell ref="A86:B86"/>
    <mergeCell ref="A94:B94"/>
    <mergeCell ref="L152:M152"/>
    <mergeCell ref="A144:H144"/>
    <mergeCell ref="A145:A146"/>
    <mergeCell ref="A157:B157"/>
    <mergeCell ref="A154:B154"/>
    <mergeCell ref="A155:B155"/>
    <mergeCell ref="A165:B165"/>
    <mergeCell ref="A166:B166"/>
    <mergeCell ref="L139:M139"/>
    <mergeCell ref="L143:M143"/>
    <mergeCell ref="L151:M151"/>
    <mergeCell ref="G148:H148"/>
    <mergeCell ref="L148:M148"/>
    <mergeCell ref="A149:B149"/>
    <mergeCell ref="G149:H149"/>
    <mergeCell ref="L149:M149"/>
    <mergeCell ref="A150:B150"/>
    <mergeCell ref="G150:H150"/>
    <mergeCell ref="L150:M150"/>
    <mergeCell ref="G136:H143"/>
    <mergeCell ref="L138:M138"/>
    <mergeCell ref="L137:M137"/>
    <mergeCell ref="L136:M136"/>
    <mergeCell ref="D145:D146"/>
    <mergeCell ref="F96:H96"/>
    <mergeCell ref="F101:H101"/>
    <mergeCell ref="C119:D119"/>
    <mergeCell ref="G119:H119"/>
    <mergeCell ref="G114:H114"/>
    <mergeCell ref="A118:B118"/>
    <mergeCell ref="A116:B116"/>
    <mergeCell ref="G118:H118"/>
    <mergeCell ref="C116:D116"/>
    <mergeCell ref="F104:H104"/>
    <mergeCell ref="C111:D111"/>
    <mergeCell ref="A101:E101"/>
    <mergeCell ref="G116:H116"/>
    <mergeCell ref="A119:B119"/>
    <mergeCell ref="E119:F119"/>
    <mergeCell ref="E113:F113"/>
    <mergeCell ref="G113:H113"/>
    <mergeCell ref="A114:B114"/>
    <mergeCell ref="C114:D114"/>
    <mergeCell ref="E114:F114"/>
    <mergeCell ref="C117:D117"/>
    <mergeCell ref="E117:F117"/>
    <mergeCell ref="G117:H117"/>
    <mergeCell ref="F103:H103"/>
    <mergeCell ref="A71:B71"/>
    <mergeCell ref="A74:B74"/>
    <mergeCell ref="A69:B69"/>
    <mergeCell ref="A67:B67"/>
    <mergeCell ref="C67:H67"/>
    <mergeCell ref="A76:B76"/>
    <mergeCell ref="A62:C62"/>
    <mergeCell ref="D62:H62"/>
    <mergeCell ref="C69:H69"/>
    <mergeCell ref="A73:B73"/>
    <mergeCell ref="A70:B70"/>
    <mergeCell ref="C70:D70"/>
    <mergeCell ref="E70:F70"/>
    <mergeCell ref="G70:H70"/>
    <mergeCell ref="A103:E103"/>
    <mergeCell ref="F102:H102"/>
    <mergeCell ref="A75:B75"/>
    <mergeCell ref="E71:F71"/>
    <mergeCell ref="A66:C66"/>
    <mergeCell ref="D66:H66"/>
    <mergeCell ref="A90:B90"/>
    <mergeCell ref="A91:B91"/>
    <mergeCell ref="A92:B92"/>
    <mergeCell ref="A84:B84"/>
    <mergeCell ref="C84:H84"/>
    <mergeCell ref="A85:B85"/>
    <mergeCell ref="E85:F85"/>
    <mergeCell ref="G85:H85"/>
    <mergeCell ref="E72:F81"/>
    <mergeCell ref="G72:H81"/>
    <mergeCell ref="A80:B80"/>
    <mergeCell ref="A81:B81"/>
    <mergeCell ref="A72:B72"/>
    <mergeCell ref="G71:H71"/>
    <mergeCell ref="E86:F95"/>
    <mergeCell ref="A93:B93"/>
    <mergeCell ref="A95:B95"/>
    <mergeCell ref="A78:B78"/>
    <mergeCell ref="A36:H36"/>
    <mergeCell ref="A35:B35"/>
    <mergeCell ref="C35:E35"/>
    <mergeCell ref="A40:D40"/>
    <mergeCell ref="E40:H40"/>
    <mergeCell ref="C52:H52"/>
    <mergeCell ref="A64:C64"/>
    <mergeCell ref="D64:H64"/>
    <mergeCell ref="A65:C65"/>
    <mergeCell ref="D65:H65"/>
    <mergeCell ref="D61:H61"/>
    <mergeCell ref="A38:B38"/>
    <mergeCell ref="C38:H38"/>
    <mergeCell ref="A42:D42"/>
    <mergeCell ref="E42:H42"/>
    <mergeCell ref="E43:H43"/>
    <mergeCell ref="E44:H44"/>
    <mergeCell ref="E45:H45"/>
    <mergeCell ref="A43:D43"/>
    <mergeCell ref="G50:H50"/>
    <mergeCell ref="A61:C61"/>
    <mergeCell ref="D60:H60"/>
    <mergeCell ref="A63:C63"/>
    <mergeCell ref="D63:H63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51:B52"/>
    <mergeCell ref="A56:C56"/>
    <mergeCell ref="D56:H56"/>
    <mergeCell ref="G53:H53"/>
    <mergeCell ref="A49:B49"/>
    <mergeCell ref="A54:H54"/>
    <mergeCell ref="A55:C55"/>
    <mergeCell ref="A50:B50"/>
    <mergeCell ref="C50:E5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G157:H157"/>
    <mergeCell ref="G163:H163"/>
    <mergeCell ref="G162:H162"/>
    <mergeCell ref="G166:H1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A169:B169"/>
    <mergeCell ref="G167:H167"/>
    <mergeCell ref="B145:B146"/>
    <mergeCell ref="A164:H164"/>
    <mergeCell ref="A158:H158"/>
    <mergeCell ref="A151:B151"/>
    <mergeCell ref="G161:H161"/>
    <mergeCell ref="G159:H159"/>
    <mergeCell ref="A174:B174"/>
    <mergeCell ref="G155:H155"/>
    <mergeCell ref="G165:H165"/>
    <mergeCell ref="A163:B163"/>
    <mergeCell ref="A152:H152"/>
    <mergeCell ref="A161:B161"/>
    <mergeCell ref="G168:H168"/>
    <mergeCell ref="E145:E146"/>
    <mergeCell ref="G169:H169"/>
    <mergeCell ref="A168:B168"/>
    <mergeCell ref="A147:H147"/>
    <mergeCell ref="A162:B162"/>
    <mergeCell ref="A159:B159"/>
    <mergeCell ref="G151:H151"/>
    <mergeCell ref="A153:B153"/>
    <mergeCell ref="A167:B167"/>
    <mergeCell ref="A172:B172"/>
    <mergeCell ref="A175:B175"/>
    <mergeCell ref="G175:H175"/>
    <mergeCell ref="G171:H171"/>
    <mergeCell ref="A176:H176"/>
    <mergeCell ref="A196:H199"/>
    <mergeCell ref="A195:B195"/>
    <mergeCell ref="E195:F195"/>
    <mergeCell ref="C195:D195"/>
    <mergeCell ref="G195:H195"/>
    <mergeCell ref="A194:H194"/>
    <mergeCell ref="A192:H192"/>
    <mergeCell ref="G174:H174"/>
    <mergeCell ref="B177:H177"/>
    <mergeCell ref="B178:H178"/>
    <mergeCell ref="A193:H193"/>
    <mergeCell ref="A190:H190"/>
    <mergeCell ref="A191:H191"/>
    <mergeCell ref="B180:H180"/>
    <mergeCell ref="B181:H181"/>
    <mergeCell ref="A188:H188"/>
    <mergeCell ref="A189:H189"/>
    <mergeCell ref="B185:H185"/>
    <mergeCell ref="B183:H183"/>
    <mergeCell ref="F107:H107"/>
    <mergeCell ref="F105:H105"/>
    <mergeCell ref="A160:B160"/>
    <mergeCell ref="A121:H121"/>
    <mergeCell ref="G111:H111"/>
    <mergeCell ref="A106:E106"/>
    <mergeCell ref="C112:D112"/>
    <mergeCell ref="E112:F112"/>
    <mergeCell ref="A123:H123"/>
    <mergeCell ref="A124:H124"/>
    <mergeCell ref="A115:H115"/>
    <mergeCell ref="A120:H120"/>
    <mergeCell ref="A139:B139"/>
    <mergeCell ref="A128:B128"/>
    <mergeCell ref="G125:H134"/>
    <mergeCell ref="A148:B148"/>
    <mergeCell ref="A126:B126"/>
    <mergeCell ref="A130:B130"/>
    <mergeCell ref="A134:B134"/>
    <mergeCell ref="A143:B143"/>
    <mergeCell ref="G154:H154"/>
    <mergeCell ref="C145:C146"/>
    <mergeCell ref="G145:H146"/>
    <mergeCell ref="A156:B156"/>
    <mergeCell ref="L126:M126"/>
    <mergeCell ref="A127:B127"/>
    <mergeCell ref="A112:A113"/>
    <mergeCell ref="G112:H112"/>
    <mergeCell ref="L127:M127"/>
    <mergeCell ref="A16:B16"/>
    <mergeCell ref="C16:H16"/>
    <mergeCell ref="E41:H41"/>
    <mergeCell ref="A41:D41"/>
    <mergeCell ref="A82:B82"/>
    <mergeCell ref="C82:H82"/>
    <mergeCell ref="A77:B77"/>
    <mergeCell ref="A48:B48"/>
    <mergeCell ref="C48:E48"/>
    <mergeCell ref="G48:H48"/>
    <mergeCell ref="G51:H51"/>
    <mergeCell ref="D55:H55"/>
    <mergeCell ref="C51:E51"/>
    <mergeCell ref="A58:C59"/>
    <mergeCell ref="D58:H58"/>
    <mergeCell ref="D59:H59"/>
    <mergeCell ref="C49:E49"/>
    <mergeCell ref="A53:B53"/>
    <mergeCell ref="C53:E53"/>
    <mergeCell ref="A105:E105"/>
    <mergeCell ref="F99:H99"/>
    <mergeCell ref="A104:E104"/>
    <mergeCell ref="A99:E99"/>
    <mergeCell ref="A96:E96"/>
    <mergeCell ref="F100:H100"/>
    <mergeCell ref="A125:B125"/>
    <mergeCell ref="L125:M125"/>
    <mergeCell ref="C118:D118"/>
    <mergeCell ref="E118:F118"/>
    <mergeCell ref="A110:H110"/>
    <mergeCell ref="A108:E108"/>
    <mergeCell ref="F108:H108"/>
    <mergeCell ref="A109:E109"/>
    <mergeCell ref="F109:H109"/>
    <mergeCell ref="F97:H97"/>
    <mergeCell ref="A117:B117"/>
    <mergeCell ref="E116:F116"/>
    <mergeCell ref="F106:H106"/>
    <mergeCell ref="E111:F111"/>
    <mergeCell ref="A111:B111"/>
    <mergeCell ref="A107:E107"/>
    <mergeCell ref="C113:D113"/>
    <mergeCell ref="A102:E102"/>
    <mergeCell ref="L128:M128"/>
    <mergeCell ref="A129:B129"/>
    <mergeCell ref="B187:H187"/>
    <mergeCell ref="L130:M130"/>
    <mergeCell ref="A131:B131"/>
    <mergeCell ref="L131:M131"/>
    <mergeCell ref="A132:B132"/>
    <mergeCell ref="L132:M132"/>
    <mergeCell ref="A133:B133"/>
    <mergeCell ref="L133:M133"/>
    <mergeCell ref="L134:M134"/>
    <mergeCell ref="A140:B140"/>
    <mergeCell ref="L140:M140"/>
    <mergeCell ref="A141:B141"/>
    <mergeCell ref="L141:M141"/>
    <mergeCell ref="A142:B142"/>
    <mergeCell ref="L142:M142"/>
    <mergeCell ref="L129:M129"/>
    <mergeCell ref="B179:H179"/>
    <mergeCell ref="A173:B173"/>
    <mergeCell ref="G173:H173"/>
    <mergeCell ref="G172:H172"/>
    <mergeCell ref="A170:H170"/>
    <mergeCell ref="A171:B171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6" max="16383" man="1"/>
    <brk id="199" max="16383" man="1"/>
    <brk id="2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9" t="s">
        <v>111</v>
      </c>
      <c r="C3" s="189"/>
      <c r="D3" s="189"/>
      <c r="E3" s="189"/>
      <c r="F3" s="189"/>
      <c r="G3" s="189"/>
      <c r="H3" s="189"/>
    </row>
    <row r="4" spans="1:9" x14ac:dyDescent="0.35">
      <c r="A4" s="2"/>
      <c r="B4" s="3" t="s">
        <v>112</v>
      </c>
      <c r="C4" s="3" t="s">
        <v>113</v>
      </c>
      <c r="D4" s="3" t="s">
        <v>72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2025-08-30T11:13:50Z</cp:lastPrinted>
  <dcterms:created xsi:type="dcterms:W3CDTF">2019-07-16T09:29:46Z</dcterms:created>
  <dcterms:modified xsi:type="dcterms:W3CDTF">2025-08-30T11:17:10Z</dcterms:modified>
</cp:coreProperties>
</file>