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Old\Sept 2025\01-09-2025\"/>
    </mc:Choice>
  </mc:AlternateContent>
  <bookViews>
    <workbookView xWindow="0" yWindow="0" windowWidth="19200" windowHeight="6640"/>
  </bookViews>
  <sheets>
    <sheet name="Report" sheetId="1" r:id="rId1"/>
    <sheet name="Note" sheetId="9" r:id="rId2"/>
    <sheet name="A%" sheetId="5" r:id="rId3"/>
    <sheet name="B% (2)" sheetId="6" r:id="rId4"/>
    <sheet name="C% (3)" sheetId="7" r:id="rId5"/>
    <sheet name="Valuation" sheetId="10" r:id="rId6"/>
  </sheets>
  <definedNames>
    <definedName name="_xlnm.Print_Area" localSheetId="0">Report!$A$1:$G$345</definedName>
  </definedNames>
  <calcPr calcId="162913"/>
</workbook>
</file>

<file path=xl/calcChain.xml><?xml version="1.0" encoding="utf-8"?>
<calcChain xmlns="http://schemas.openxmlformats.org/spreadsheetml/2006/main">
  <c r="C243" i="1" l="1"/>
  <c r="E243" i="1" s="1"/>
  <c r="C242" i="1"/>
  <c r="C241" i="1"/>
  <c r="C240" i="1"/>
  <c r="E240" i="1" s="1"/>
  <c r="C239" i="1"/>
  <c r="E239" i="1" s="1"/>
  <c r="C238" i="1"/>
  <c r="E238" i="1" s="1"/>
  <c r="C236" i="1"/>
  <c r="E236" i="1" s="1"/>
  <c r="C235" i="1"/>
  <c r="E235" i="1" s="1"/>
  <c r="C234" i="1"/>
  <c r="E234" i="1" s="1"/>
  <c r="C233" i="1"/>
  <c r="E233" i="1" s="1"/>
  <c r="C232" i="1"/>
  <c r="E232" i="1" s="1"/>
  <c r="C231" i="1"/>
  <c r="E231" i="1" s="1"/>
  <c r="C229" i="1"/>
  <c r="C228" i="1"/>
  <c r="E228" i="1" s="1"/>
  <c r="C227" i="1"/>
  <c r="E227" i="1" s="1"/>
  <c r="C226" i="1"/>
  <c r="E226" i="1" s="1"/>
  <c r="C225" i="1"/>
  <c r="E225" i="1" s="1"/>
  <c r="C224" i="1"/>
  <c r="E224" i="1" s="1"/>
  <c r="C223" i="1"/>
  <c r="E223" i="1" s="1"/>
  <c r="C222" i="1"/>
  <c r="E222" i="1" s="1"/>
  <c r="C221" i="1"/>
  <c r="E221" i="1" s="1"/>
  <c r="C220" i="1"/>
  <c r="C217" i="1"/>
  <c r="E217" i="1" s="1"/>
  <c r="C216" i="1"/>
  <c r="E216" i="1" s="1"/>
  <c r="C214" i="1"/>
  <c r="E214" i="1" s="1"/>
  <c r="C213" i="1"/>
  <c r="E213" i="1" s="1"/>
  <c r="C210" i="1"/>
  <c r="E210" i="1" s="1"/>
  <c r="C209" i="1"/>
  <c r="E209" i="1" s="1"/>
  <c r="D207" i="1"/>
  <c r="C207" i="1"/>
  <c r="E207" i="1" s="1"/>
  <c r="C206" i="1"/>
  <c r="E206" i="1" s="1"/>
  <c r="C203" i="1"/>
  <c r="E203" i="1" s="1"/>
  <c r="I203" i="1" s="1"/>
  <c r="C202" i="1"/>
  <c r="E202" i="1" s="1"/>
  <c r="I202" i="1" s="1"/>
  <c r="C201" i="1"/>
  <c r="E201" i="1" s="1"/>
  <c r="I201" i="1" s="1"/>
  <c r="C200" i="1"/>
  <c r="E200" i="1" s="1"/>
  <c r="C199" i="1"/>
  <c r="E199" i="1" s="1"/>
  <c r="C198" i="1"/>
  <c r="C196" i="1"/>
  <c r="E196" i="1" s="1"/>
  <c r="C195" i="1"/>
  <c r="E195" i="1" s="1"/>
  <c r="C194" i="1"/>
  <c r="E194" i="1" s="1"/>
  <c r="C193" i="1"/>
  <c r="E193" i="1" s="1"/>
  <c r="C192" i="1"/>
  <c r="E192" i="1" s="1"/>
  <c r="C191" i="1"/>
  <c r="E191" i="1" s="1"/>
  <c r="C188" i="1"/>
  <c r="E188" i="1" s="1"/>
  <c r="C187" i="1"/>
  <c r="E187" i="1" s="1"/>
  <c r="C186" i="1"/>
  <c r="E186" i="1" s="1"/>
  <c r="D185" i="1"/>
  <c r="C185" i="1"/>
  <c r="E185" i="1" s="1"/>
  <c r="C181" i="1"/>
  <c r="E181" i="1" s="1"/>
  <c r="C180" i="1"/>
  <c r="E180" i="1" s="1"/>
  <c r="C178" i="1"/>
  <c r="E178" i="1" s="1"/>
  <c r="C177" i="1"/>
  <c r="E177" i="1" s="1"/>
  <c r="C176" i="1"/>
  <c r="E176" i="1" s="1"/>
  <c r="C174" i="1"/>
  <c r="E174" i="1" s="1"/>
  <c r="C173" i="1"/>
  <c r="E173" i="1" s="1"/>
  <c r="C172" i="1"/>
  <c r="E172" i="1" s="1"/>
  <c r="C171" i="1"/>
  <c r="E171" i="1" s="1"/>
  <c r="C170" i="1"/>
  <c r="E170" i="1" s="1"/>
  <c r="C169" i="1"/>
  <c r="E169" i="1" s="1"/>
  <c r="D162" i="1"/>
  <c r="D167" i="1"/>
  <c r="C167" i="1"/>
  <c r="E167" i="1" s="1"/>
  <c r="D166" i="1"/>
  <c r="C166" i="1"/>
  <c r="E166" i="1" s="1"/>
  <c r="D165" i="1"/>
  <c r="C165" i="1"/>
  <c r="D164" i="1"/>
  <c r="C164" i="1"/>
  <c r="C162" i="1"/>
  <c r="C160" i="1"/>
  <c r="E160" i="1" s="1"/>
  <c r="C159" i="1"/>
  <c r="E159" i="1" s="1"/>
  <c r="C158" i="1"/>
  <c r="E158" i="1" s="1"/>
  <c r="C157" i="1"/>
  <c r="E157" i="1" s="1"/>
  <c r="C156" i="1"/>
  <c r="E156" i="1" s="1"/>
  <c r="C155" i="1"/>
  <c r="E155" i="1" s="1"/>
  <c r="C154" i="1"/>
  <c r="E154" i="1" s="1"/>
  <c r="C153" i="1"/>
  <c r="E153" i="1" s="1"/>
  <c r="C152" i="1"/>
  <c r="E152" i="1" s="1"/>
  <c r="C151" i="1"/>
  <c r="E151" i="1" s="1"/>
  <c r="C150" i="1"/>
  <c r="E150" i="1" s="1"/>
  <c r="C149" i="1"/>
  <c r="E149" i="1" s="1"/>
  <c r="C148" i="1"/>
  <c r="E148" i="1" s="1"/>
  <c r="C147" i="1"/>
  <c r="E147" i="1" s="1"/>
  <c r="C146" i="1"/>
  <c r="E146" i="1" s="1"/>
  <c r="C145" i="1"/>
  <c r="E145" i="1" s="1"/>
  <c r="C144" i="1"/>
  <c r="E144" i="1" s="1"/>
  <c r="C143" i="1"/>
  <c r="E143" i="1" s="1"/>
  <c r="C141" i="1"/>
  <c r="E141" i="1" s="1"/>
  <c r="C140" i="1"/>
  <c r="E140" i="1" s="1"/>
  <c r="C139" i="1"/>
  <c r="E139" i="1" s="1"/>
  <c r="C137" i="1"/>
  <c r="E137" i="1" s="1"/>
  <c r="C136" i="1"/>
  <c r="E136" i="1" s="1"/>
  <c r="C135" i="1"/>
  <c r="E135" i="1" s="1"/>
  <c r="C134" i="1"/>
  <c r="E134" i="1" s="1"/>
  <c r="C133" i="1"/>
  <c r="E133" i="1" s="1"/>
  <c r="G220" i="1"/>
  <c r="E229" i="1"/>
  <c r="H201" i="1"/>
  <c r="I204" i="1"/>
  <c r="E241" i="1"/>
  <c r="E242" i="1"/>
  <c r="E198" i="1"/>
  <c r="G183" i="1"/>
  <c r="G176" i="1"/>
  <c r="G169" i="1"/>
  <c r="H162" i="1"/>
  <c r="G162" i="1"/>
  <c r="H143" i="1"/>
  <c r="G143" i="1"/>
  <c r="G139" i="1"/>
  <c r="F45" i="1"/>
  <c r="B45" i="1"/>
  <c r="C87" i="1"/>
  <c r="C71" i="1"/>
  <c r="C120" i="1" l="1"/>
  <c r="E165" i="1"/>
  <c r="E117" i="1"/>
  <c r="E119" i="1"/>
  <c r="B124" i="1"/>
  <c r="E125" i="1"/>
  <c r="E116" i="1"/>
  <c r="E126" i="1"/>
  <c r="E118" i="1"/>
  <c r="C116" i="1"/>
  <c r="B125" i="1"/>
  <c r="B126" i="1"/>
  <c r="C118" i="1"/>
  <c r="B116" i="1"/>
  <c r="C124" i="1"/>
  <c r="B119" i="1"/>
  <c r="E162" i="1"/>
  <c r="B120" i="1"/>
  <c r="C125" i="1"/>
  <c r="C126" i="1"/>
  <c r="E220" i="1"/>
  <c r="E120" i="1" s="1"/>
  <c r="C117" i="1"/>
  <c r="C119" i="1"/>
  <c r="B118" i="1"/>
  <c r="B117" i="1"/>
  <c r="E164" i="1"/>
  <c r="D3" i="1"/>
  <c r="C121" i="1" l="1"/>
  <c r="C127" i="1"/>
  <c r="B127" i="1"/>
  <c r="J121" i="1"/>
  <c r="J118" i="1"/>
  <c r="B121" i="1"/>
  <c r="E121" i="1"/>
  <c r="E124" i="1"/>
  <c r="E127" i="1" s="1"/>
  <c r="I190" i="1"/>
  <c r="I191" i="1"/>
  <c r="I192" i="1"/>
  <c r="I193" i="1"/>
  <c r="I194" i="1"/>
  <c r="I195" i="1"/>
  <c r="I196" i="1"/>
  <c r="I197" i="1"/>
  <c r="I198" i="1"/>
  <c r="I199" i="1"/>
  <c r="I200" i="1"/>
  <c r="J120" i="1" l="1"/>
  <c r="L96" i="1"/>
  <c r="J96" i="1"/>
  <c r="L95" i="1"/>
  <c r="J95" i="1"/>
  <c r="L94" i="1"/>
  <c r="L99" i="1" s="1"/>
  <c r="L100" i="1" s="1"/>
  <c r="J94" i="1"/>
  <c r="J99" i="1" s="1"/>
  <c r="J100" i="1" s="1"/>
  <c r="L93" i="1"/>
  <c r="J93" i="1"/>
  <c r="L91" i="1"/>
  <c r="L92" i="1" s="1"/>
  <c r="L97" i="1" s="1"/>
  <c r="L98" i="1" s="1"/>
  <c r="L90" i="1"/>
  <c r="L89" i="1"/>
  <c r="L88" i="1"/>
  <c r="L80" i="1"/>
  <c r="J80" i="1"/>
  <c r="L79" i="1"/>
  <c r="J79" i="1"/>
  <c r="L78" i="1"/>
  <c r="L83" i="1" s="1"/>
  <c r="L84" i="1" s="1"/>
  <c r="J78" i="1"/>
  <c r="J83" i="1" s="1"/>
  <c r="J84" i="1" s="1"/>
  <c r="L77" i="1"/>
  <c r="J77" i="1"/>
  <c r="L75" i="1"/>
  <c r="L76" i="1" s="1"/>
  <c r="L81" i="1" s="1"/>
  <c r="L82" i="1" s="1"/>
  <c r="L74" i="1"/>
  <c r="L73" i="1"/>
  <c r="L72" i="1"/>
  <c r="L66" i="1"/>
  <c r="J66" i="1"/>
  <c r="L65" i="1"/>
  <c r="J65" i="1"/>
  <c r="L64" i="1"/>
  <c r="J64" i="1"/>
  <c r="L63" i="1"/>
  <c r="J63" i="1"/>
  <c r="L61" i="1"/>
  <c r="L62" i="1" s="1"/>
  <c r="L67" i="1" s="1"/>
  <c r="L68" i="1" s="1"/>
  <c r="L60" i="1"/>
  <c r="L59" i="1"/>
  <c r="L58" i="1"/>
  <c r="H70" i="1"/>
  <c r="H56" i="1"/>
  <c r="H86" i="1"/>
  <c r="D96" i="1" l="1"/>
  <c r="D92" i="1"/>
  <c r="D97" i="1"/>
  <c r="D93" i="1"/>
  <c r="J90" i="1"/>
  <c r="C89" i="1" s="1"/>
  <c r="J89" i="1"/>
  <c r="D98" i="1"/>
  <c r="D94" i="1"/>
  <c r="J91" i="1"/>
  <c r="J92" i="1" s="1"/>
  <c r="J97" i="1" s="1"/>
  <c r="J98" i="1" s="1"/>
  <c r="C90" i="1" s="1"/>
  <c r="D95" i="1"/>
  <c r="D91" i="1"/>
  <c r="J88" i="1"/>
  <c r="D80" i="1"/>
  <c r="D76" i="1"/>
  <c r="D78" i="1"/>
  <c r="J75" i="1"/>
  <c r="J76" i="1" s="1"/>
  <c r="J81" i="1" s="1"/>
  <c r="J82" i="1" s="1"/>
  <c r="C74" i="1" s="1"/>
  <c r="D79" i="1"/>
  <c r="D81" i="1"/>
  <c r="D77" i="1"/>
  <c r="J74" i="1"/>
  <c r="C73" i="1" s="1"/>
  <c r="D73" i="1" s="1"/>
  <c r="J73" i="1"/>
  <c r="D82" i="1"/>
  <c r="D75" i="1"/>
  <c r="J72" i="1"/>
  <c r="D66" i="1"/>
  <c r="D62" i="1"/>
  <c r="D68" i="1"/>
  <c r="D64" i="1"/>
  <c r="J61" i="1"/>
  <c r="D65" i="1"/>
  <c r="D61" i="1"/>
  <c r="J58" i="1"/>
  <c r="D67" i="1"/>
  <c r="D63" i="1"/>
  <c r="J60" i="1"/>
  <c r="C59" i="1" s="1"/>
  <c r="J59" i="1"/>
  <c r="J62" i="1" l="1"/>
  <c r="E89" i="1"/>
  <c r="D90" i="1"/>
  <c r="G89" i="1"/>
  <c r="D89" i="1"/>
  <c r="K85" i="1" s="1"/>
  <c r="E73" i="1"/>
  <c r="I69" i="1" s="1"/>
  <c r="D74" i="1"/>
  <c r="K69" i="1"/>
  <c r="G73" i="1"/>
  <c r="D59" i="1"/>
  <c r="J67" i="1" l="1"/>
  <c r="J68" i="1" s="1"/>
  <c r="C60" i="1" s="1"/>
  <c r="D60" i="1" s="1"/>
  <c r="I85" i="1"/>
  <c r="G59" i="1" l="1"/>
  <c r="K55" i="1"/>
  <c r="E59" i="1"/>
  <c r="I55" i="1" s="1"/>
  <c r="C57" i="1" s="1"/>
  <c r="F8" i="10"/>
  <c r="G8" i="10" s="1"/>
  <c r="F9" i="10"/>
  <c r="G9" i="10" s="1"/>
  <c r="F10" i="10"/>
  <c r="G10" i="10" s="1"/>
  <c r="F6" i="10"/>
  <c r="G6" i="10" s="1"/>
  <c r="F7" i="10"/>
  <c r="G7" i="10" s="1"/>
  <c r="F5" i="10"/>
  <c r="G5" i="10" s="1"/>
  <c r="G11" i="10" l="1"/>
  <c r="G13" i="7"/>
  <c r="G14" i="7" s="1"/>
  <c r="C13" i="7" s="1"/>
  <c r="D4" i="7"/>
  <c r="E3" i="7"/>
  <c r="B5" i="7" s="1"/>
  <c r="B9" i="7"/>
  <c r="G13" i="6"/>
  <c r="B13" i="6" s="1"/>
  <c r="D4" i="6"/>
  <c r="E3" i="6"/>
  <c r="B5" i="6" s="1"/>
  <c r="D5" i="6" s="1"/>
  <c r="C3" i="6"/>
  <c r="B9" i="6" s="1"/>
  <c r="D9" i="6" s="1"/>
  <c r="B6" i="7" l="1"/>
  <c r="I14" i="7" s="1"/>
  <c r="C15" i="7" s="1"/>
  <c r="B8" i="6"/>
  <c r="B10" i="6"/>
  <c r="B6" i="6"/>
  <c r="B8" i="7"/>
  <c r="D8" i="7" s="1"/>
  <c r="B10" i="7"/>
  <c r="M14" i="7" s="1"/>
  <c r="C19" i="7" s="1"/>
  <c r="D9" i="7"/>
  <c r="L14" i="7"/>
  <c r="C18" i="7" s="1"/>
  <c r="L13" i="7"/>
  <c r="B18" i="7" s="1"/>
  <c r="D5" i="7"/>
  <c r="H13" i="7"/>
  <c r="B14" i="7" s="1"/>
  <c r="H14" i="7"/>
  <c r="C14" i="7" s="1"/>
  <c r="K13" i="7"/>
  <c r="B17" i="7" s="1"/>
  <c r="B7" i="7"/>
  <c r="B13" i="7"/>
  <c r="I13" i="7"/>
  <c r="B15" i="7" s="1"/>
  <c r="L14" i="6"/>
  <c r="C18" i="6" s="1"/>
  <c r="L13" i="6"/>
  <c r="B18" i="6" s="1"/>
  <c r="H14" i="6"/>
  <c r="C14" i="6" s="1"/>
  <c r="H13" i="6"/>
  <c r="B14" i="6" s="1"/>
  <c r="G14" i="6"/>
  <c r="C13" i="6" s="1"/>
  <c r="B7" i="6"/>
  <c r="D7" i="6" s="1"/>
  <c r="I13" i="6"/>
  <c r="B15" i="6" s="1"/>
  <c r="M13" i="6"/>
  <c r="B19" i="6" s="1"/>
  <c r="K13" i="6"/>
  <c r="B17" i="6" s="1"/>
  <c r="C3" i="5"/>
  <c r="G13" i="5"/>
  <c r="B13" i="5" s="1"/>
  <c r="D4" i="5"/>
  <c r="E3" i="5"/>
  <c r="B5" i="5" s="1"/>
  <c r="B9" i="5"/>
  <c r="D6" i="7" l="1"/>
  <c r="I14" i="6"/>
  <c r="C15" i="6" s="1"/>
  <c r="D6" i="6"/>
  <c r="M14" i="6"/>
  <c r="C19" i="6" s="1"/>
  <c r="D10" i="6"/>
  <c r="K14" i="6"/>
  <c r="C17" i="6" s="1"/>
  <c r="D8" i="6"/>
  <c r="M13" i="7"/>
  <c r="B19" i="7" s="1"/>
  <c r="K14" i="7"/>
  <c r="C17" i="7" s="1"/>
  <c r="D10" i="7"/>
  <c r="J13" i="7"/>
  <c r="B16" i="7" s="1"/>
  <c r="D7" i="7"/>
  <c r="J14" i="7"/>
  <c r="C16" i="7" s="1"/>
  <c r="J13" i="6"/>
  <c r="B16" i="6" s="1"/>
  <c r="B20" i="6" s="1"/>
  <c r="J14" i="6"/>
  <c r="C16" i="6" s="1"/>
  <c r="D9" i="5"/>
  <c r="L14" i="5"/>
  <c r="C18" i="5" s="1"/>
  <c r="L13" i="5"/>
  <c r="B18" i="5" s="1"/>
  <c r="D5" i="5"/>
  <c r="H14" i="5"/>
  <c r="C14" i="5" s="1"/>
  <c r="H13" i="5"/>
  <c r="B14" i="5" s="1"/>
  <c r="B6" i="5"/>
  <c r="B8" i="5"/>
  <c r="B10" i="5"/>
  <c r="G14" i="5"/>
  <c r="C13" i="5" s="1"/>
  <c r="B7" i="5"/>
  <c r="C20" i="6" l="1"/>
  <c r="C20" i="7"/>
  <c r="B20" i="7"/>
  <c r="K14" i="5"/>
  <c r="C17" i="5" s="1"/>
  <c r="D8" i="5"/>
  <c r="K13" i="5"/>
  <c r="B17" i="5" s="1"/>
  <c r="J13" i="5"/>
  <c r="B16" i="5" s="1"/>
  <c r="D7" i="5"/>
  <c r="J14" i="5"/>
  <c r="C16" i="5" s="1"/>
  <c r="I14" i="5"/>
  <c r="C15" i="5" s="1"/>
  <c r="I13" i="5"/>
  <c r="B15" i="5" s="1"/>
  <c r="D6" i="5"/>
  <c r="M14" i="5"/>
  <c r="C19" i="5" s="1"/>
  <c r="M13" i="5"/>
  <c r="B19" i="5" s="1"/>
  <c r="D10" i="5"/>
  <c r="B20" i="5" l="1"/>
  <c r="C20" i="5"/>
</calcChain>
</file>

<file path=xl/sharedStrings.xml><?xml version="1.0" encoding="utf-8"?>
<sst xmlns="http://schemas.openxmlformats.org/spreadsheetml/2006/main" count="766" uniqueCount="300">
  <si>
    <r>
      <rPr>
        <b/>
        <sz val="11"/>
        <rFont val="Times New Roman"/>
        <family val="1"/>
      </rPr>
      <t>Valuation Report</t>
    </r>
  </si>
  <si>
    <r>
      <rPr>
        <b/>
        <sz val="12"/>
        <rFont val="Times New Roman"/>
        <family val="1"/>
      </rPr>
      <t>Description</t>
    </r>
  </si>
  <si>
    <r>
      <rPr>
        <b/>
        <sz val="12"/>
        <rFont val="Times New Roman"/>
        <family val="1"/>
      </rPr>
      <t>Floor</t>
    </r>
  </si>
  <si>
    <t>Google Map :</t>
  </si>
  <si>
    <t>Total Slab</t>
  </si>
  <si>
    <t>Basement</t>
  </si>
  <si>
    <t>Podium</t>
  </si>
  <si>
    <t>Ground</t>
  </si>
  <si>
    <t>Upper Floor</t>
  </si>
  <si>
    <t>Particulars</t>
  </si>
  <si>
    <t xml:space="preserve">total floor </t>
  </si>
  <si>
    <t>plinth</t>
  </si>
  <si>
    <t>slab</t>
  </si>
  <si>
    <t>Parking</t>
  </si>
  <si>
    <t>Rate</t>
  </si>
  <si>
    <t xml:space="preserve">Bricks </t>
  </si>
  <si>
    <t>Palghar</t>
  </si>
  <si>
    <t>100000/-</t>
  </si>
  <si>
    <t>plaster</t>
  </si>
  <si>
    <t>Ulwe, karanjade</t>
  </si>
  <si>
    <t>200000/-</t>
  </si>
  <si>
    <t>Flooring</t>
  </si>
  <si>
    <t>Panvel</t>
  </si>
  <si>
    <t>300000/-</t>
  </si>
  <si>
    <t>Wood &amp; painting</t>
  </si>
  <si>
    <t>Mumbai - G + 15</t>
  </si>
  <si>
    <t>500000/-</t>
  </si>
  <si>
    <t>Finishing</t>
  </si>
  <si>
    <t>Mumbai - G + 25</t>
  </si>
  <si>
    <t>800000/-</t>
  </si>
  <si>
    <t>Mumbai - G + 35</t>
  </si>
  <si>
    <t>1000000/-</t>
  </si>
  <si>
    <t>Progress</t>
  </si>
  <si>
    <t>Recommended</t>
  </si>
  <si>
    <t>rcc</t>
  </si>
  <si>
    <t>Bricks</t>
  </si>
  <si>
    <t>Plaster</t>
  </si>
  <si>
    <t>Plinth</t>
  </si>
  <si>
    <t>RCC</t>
  </si>
  <si>
    <t xml:space="preserve">Recommended </t>
  </si>
  <si>
    <t>total</t>
  </si>
  <si>
    <t>Thane - G + 7</t>
  </si>
  <si>
    <t>Thane - G + 15</t>
  </si>
  <si>
    <t>400000/-</t>
  </si>
  <si>
    <t>Excavation in process</t>
  </si>
  <si>
    <t>Thane - G + 25</t>
  </si>
  <si>
    <t>600000/-</t>
  </si>
  <si>
    <t>Excavation Completed</t>
  </si>
  <si>
    <t>Footing in Process</t>
  </si>
  <si>
    <t>Footing Completed</t>
  </si>
  <si>
    <t>Plinth in process</t>
  </si>
  <si>
    <t>Plinth completed</t>
  </si>
  <si>
    <r>
      <rPr>
        <b/>
        <sz val="12"/>
        <rFont val="Times New Roman"/>
        <family val="1"/>
      </rPr>
      <t>PLC Y/N</t>
    </r>
  </si>
  <si>
    <r>
      <rPr>
        <sz val="12"/>
        <rFont val="Times New Roman"/>
        <family val="1"/>
      </rPr>
      <t>NA</t>
    </r>
  </si>
  <si>
    <r>
      <rPr>
        <sz val="12"/>
        <rFont val="Times New Roman"/>
        <family val="1"/>
      </rPr>
      <t>Date:</t>
    </r>
  </si>
  <si>
    <r>
      <rPr>
        <sz val="12"/>
        <rFont val="Times New Roman"/>
        <family val="1"/>
      </rPr>
      <t>CPC Name:</t>
    </r>
  </si>
  <si>
    <r>
      <rPr>
        <sz val="12"/>
        <rFont val="Times New Roman"/>
        <family val="1"/>
      </rPr>
      <t>Axis Sanpada</t>
    </r>
  </si>
  <si>
    <r>
      <rPr>
        <sz val="12"/>
        <rFont val="Times New Roman"/>
        <family val="1"/>
      </rPr>
      <t>Date Of Property Visit</t>
    </r>
  </si>
  <si>
    <r>
      <rPr>
        <sz val="12"/>
        <rFont val="Times New Roman"/>
        <family val="1"/>
      </rPr>
      <t>Name of the builder group</t>
    </r>
  </si>
  <si>
    <r>
      <rPr>
        <sz val="12"/>
        <rFont val="Times New Roman"/>
        <family val="1"/>
      </rPr>
      <t>M/s.Jewel Orient</t>
    </r>
  </si>
  <si>
    <r>
      <rPr>
        <sz val="12"/>
        <rFont val="Times New Roman"/>
        <family val="1"/>
      </rPr>
      <t>Name of the builder company</t>
    </r>
  </si>
  <si>
    <r>
      <rPr>
        <sz val="12"/>
        <rFont val="Times New Roman"/>
        <family val="1"/>
      </rPr>
      <t>Name of the Project</t>
    </r>
  </si>
  <si>
    <r>
      <rPr>
        <sz val="12"/>
        <rFont val="Times New Roman"/>
        <family val="1"/>
      </rPr>
      <t>Name / No of the Building</t>
    </r>
  </si>
  <si>
    <r>
      <rPr>
        <sz val="12"/>
        <rFont val="Times New Roman"/>
        <family val="1"/>
      </rPr>
      <t>A, B &amp; C Wing</t>
    </r>
  </si>
  <si>
    <r>
      <rPr>
        <sz val="12"/>
        <rFont val="Times New Roman"/>
        <family val="1"/>
      </rPr>
      <t>Docouments Provided</t>
    </r>
  </si>
  <si>
    <r>
      <rPr>
        <sz val="12"/>
        <rFont val="Times New Roman"/>
        <family val="1"/>
      </rPr>
      <t>Approved Layout, Approved Building Plan, CC</t>
    </r>
  </si>
  <si>
    <r>
      <rPr>
        <sz val="12"/>
        <rFont val="Times New Roman"/>
        <family val="1"/>
      </rPr>
      <t>RERA Name &amp; No.</t>
    </r>
  </si>
  <si>
    <r>
      <rPr>
        <sz val="12"/>
        <rFont val="Times New Roman"/>
        <family val="1"/>
      </rPr>
      <t>Project location details</t>
    </r>
  </si>
  <si>
    <r>
      <rPr>
        <sz val="12"/>
        <rFont val="Times New Roman"/>
        <family val="1"/>
      </rPr>
      <t xml:space="preserve">Orient legacy, Survey No.89, H.No.1, Survey No.90, H.No.4, Barvi Dam Road,
</t>
    </r>
    <r>
      <rPr>
        <sz val="12"/>
        <rFont val="Times New Roman"/>
        <family val="1"/>
      </rPr>
      <t>Belavali, Chikhloli Halt, Ambarnath, Thane.</t>
    </r>
  </si>
  <si>
    <r>
      <rPr>
        <sz val="12"/>
        <rFont val="Times New Roman"/>
        <family val="1"/>
      </rPr>
      <t>Survey No</t>
    </r>
  </si>
  <si>
    <r>
      <rPr>
        <sz val="12"/>
        <rFont val="Times New Roman"/>
        <family val="1"/>
      </rPr>
      <t>89, H.No.1</t>
    </r>
  </si>
  <si>
    <r>
      <rPr>
        <sz val="12"/>
        <rFont val="Times New Roman"/>
        <family val="1"/>
      </rPr>
      <t>90, H.No.4</t>
    </r>
  </si>
  <si>
    <r>
      <rPr>
        <sz val="12"/>
        <rFont val="Times New Roman"/>
        <family val="1"/>
      </rPr>
      <t>Road</t>
    </r>
  </si>
  <si>
    <r>
      <rPr>
        <sz val="12"/>
        <rFont val="Times New Roman"/>
        <family val="1"/>
      </rPr>
      <t>Barvi Dam Road</t>
    </r>
  </si>
  <si>
    <r>
      <rPr>
        <sz val="12"/>
        <rFont val="Times New Roman"/>
        <family val="1"/>
      </rPr>
      <t>Locality/Village</t>
    </r>
  </si>
  <si>
    <r>
      <rPr>
        <sz val="12"/>
        <rFont val="Times New Roman"/>
        <family val="1"/>
      </rPr>
      <t>City</t>
    </r>
  </si>
  <si>
    <r>
      <rPr>
        <sz val="12"/>
        <rFont val="Times New Roman"/>
        <family val="1"/>
      </rPr>
      <t>Chikhloli Halt</t>
    </r>
  </si>
  <si>
    <r>
      <rPr>
        <sz val="12"/>
        <rFont val="Times New Roman"/>
        <family val="1"/>
      </rPr>
      <t>District</t>
    </r>
  </si>
  <si>
    <r>
      <rPr>
        <sz val="12"/>
        <rFont val="Times New Roman"/>
        <family val="1"/>
      </rPr>
      <t>Thane</t>
    </r>
  </si>
  <si>
    <r>
      <rPr>
        <sz val="12"/>
        <rFont val="Times New Roman"/>
        <family val="1"/>
      </rPr>
      <t>Taluka</t>
    </r>
  </si>
  <si>
    <r>
      <rPr>
        <sz val="12"/>
        <rFont val="Times New Roman"/>
        <family val="1"/>
      </rPr>
      <t>Ambarnath</t>
    </r>
  </si>
  <si>
    <r>
      <rPr>
        <sz val="12"/>
        <rFont val="Times New Roman"/>
        <family val="1"/>
      </rPr>
      <t>Pin Code</t>
    </r>
  </si>
  <si>
    <r>
      <rPr>
        <sz val="12"/>
        <rFont val="Times New Roman"/>
        <family val="1"/>
      </rPr>
      <t>Near by Landmark</t>
    </r>
  </si>
  <si>
    <r>
      <rPr>
        <sz val="12"/>
        <rFont val="Times New Roman"/>
        <family val="1"/>
      </rPr>
      <t>St . John Bosco High School &amp; Junior College</t>
    </r>
  </si>
  <si>
    <r>
      <rPr>
        <sz val="12"/>
        <rFont val="Times New Roman"/>
        <family val="1"/>
      </rPr>
      <t>Distance from city centre:</t>
    </r>
  </si>
  <si>
    <r>
      <rPr>
        <sz val="12"/>
        <rFont val="Times New Roman"/>
        <family val="1"/>
      </rPr>
      <t>About 1.6Km from Chikhloli Halt Railway</t>
    </r>
  </si>
  <si>
    <r>
      <rPr>
        <sz val="12"/>
        <rFont val="Times New Roman"/>
        <family val="1"/>
      </rPr>
      <t>Accessibility to the Project from the City: (Proximity to civic amenities like school, hospital, market, etc.)</t>
    </r>
  </si>
  <si>
    <r>
      <rPr>
        <sz val="12"/>
        <rFont val="Times New Roman"/>
        <family val="1"/>
      </rPr>
      <t>all available at  1 to 2 km.</t>
    </r>
  </si>
  <si>
    <r>
      <rPr>
        <sz val="12"/>
        <rFont val="Times New Roman"/>
        <family val="1"/>
      </rPr>
      <t xml:space="preserve">Does property have Electricity / Water / Drainage
</t>
    </r>
    <r>
      <rPr>
        <sz val="12"/>
        <rFont val="Times New Roman"/>
        <family val="1"/>
      </rPr>
      <t>Connection</t>
    </r>
  </si>
  <si>
    <r>
      <rPr>
        <sz val="12"/>
        <rFont val="Times New Roman"/>
        <family val="1"/>
      </rPr>
      <t>Yes</t>
    </r>
  </si>
  <si>
    <r>
      <rPr>
        <sz val="12"/>
        <rFont val="Times New Roman"/>
        <family val="1"/>
      </rPr>
      <t>Class of locality</t>
    </r>
  </si>
  <si>
    <r>
      <rPr>
        <sz val="12"/>
        <rFont val="Times New Roman"/>
        <family val="1"/>
      </rPr>
      <t>Middle Class</t>
    </r>
  </si>
  <si>
    <r>
      <rPr>
        <sz val="12"/>
        <rFont val="Times New Roman"/>
        <family val="1"/>
      </rPr>
      <t>Nature of land with topographical condtion</t>
    </r>
  </si>
  <si>
    <r>
      <rPr>
        <sz val="12"/>
        <rFont val="Times New Roman"/>
        <family val="1"/>
      </rPr>
      <t>Plane</t>
    </r>
  </si>
  <si>
    <r>
      <rPr>
        <sz val="12"/>
        <rFont val="Times New Roman"/>
        <family val="1"/>
      </rPr>
      <t>Nature of the locality</t>
    </r>
  </si>
  <si>
    <r>
      <rPr>
        <sz val="12"/>
        <rFont val="Times New Roman"/>
        <family val="1"/>
      </rPr>
      <t>Developing</t>
    </r>
  </si>
  <si>
    <r>
      <rPr>
        <sz val="12"/>
        <rFont val="Times New Roman"/>
        <family val="1"/>
      </rPr>
      <t>Quality of infrastructure in vicinity</t>
    </r>
  </si>
  <si>
    <r>
      <rPr>
        <sz val="12"/>
        <rFont val="Times New Roman"/>
        <family val="1"/>
      </rPr>
      <t>Good</t>
    </r>
  </si>
  <si>
    <r>
      <rPr>
        <sz val="12"/>
        <rFont val="Times New Roman"/>
        <family val="1"/>
      </rPr>
      <t>Boundaries</t>
    </r>
  </si>
  <si>
    <r>
      <rPr>
        <sz val="12"/>
        <rFont val="Times New Roman"/>
        <family val="1"/>
      </rPr>
      <t>East</t>
    </r>
  </si>
  <si>
    <r>
      <rPr>
        <sz val="12"/>
        <rFont val="Times New Roman"/>
        <family val="1"/>
      </rPr>
      <t>West</t>
    </r>
  </si>
  <si>
    <r>
      <rPr>
        <sz val="12"/>
        <rFont val="Times New Roman"/>
        <family val="1"/>
      </rPr>
      <t>North</t>
    </r>
  </si>
  <si>
    <r>
      <rPr>
        <sz val="12"/>
        <rFont val="Times New Roman"/>
        <family val="1"/>
      </rPr>
      <t>South</t>
    </r>
  </si>
  <si>
    <r>
      <rPr>
        <sz val="12"/>
        <rFont val="Times New Roman"/>
        <family val="1"/>
      </rPr>
      <t>As per deed</t>
    </r>
  </si>
  <si>
    <r>
      <rPr>
        <sz val="12"/>
        <rFont val="Times New Roman"/>
        <family val="1"/>
      </rPr>
      <t>At site</t>
    </r>
  </si>
  <si>
    <r>
      <rPr>
        <sz val="12"/>
        <rFont val="Times New Roman"/>
        <family val="1"/>
      </rPr>
      <t>Open Plot</t>
    </r>
  </si>
  <si>
    <r>
      <rPr>
        <sz val="12"/>
        <rFont val="Times New Roman"/>
        <family val="1"/>
      </rPr>
      <t>Bunglow</t>
    </r>
  </si>
  <si>
    <r>
      <rPr>
        <sz val="12"/>
        <rFont val="Times New Roman"/>
        <family val="1"/>
      </rPr>
      <t>College</t>
    </r>
  </si>
  <si>
    <r>
      <rPr>
        <sz val="12"/>
        <rFont val="Times New Roman"/>
        <family val="1"/>
      </rPr>
      <t>Does the boundaries at site match, as mentioned in the Docoumentation: NA</t>
    </r>
  </si>
  <si>
    <r>
      <rPr>
        <sz val="12"/>
        <rFont val="Times New Roman"/>
        <family val="1"/>
      </rPr>
      <t>Type of Structure : RCC Frame Structure</t>
    </r>
  </si>
  <si>
    <r>
      <rPr>
        <sz val="12"/>
        <rFont val="Times New Roman"/>
        <family val="1"/>
      </rPr>
      <t>Latitude &amp; Longitude</t>
    </r>
  </si>
  <si>
    <r>
      <rPr>
        <b/>
        <sz val="12"/>
        <rFont val="Times New Roman"/>
        <family val="1"/>
      </rPr>
      <t>Approval details:</t>
    </r>
  </si>
  <si>
    <r>
      <rPr>
        <sz val="12"/>
        <rFont val="Times New Roman"/>
        <family val="1"/>
      </rPr>
      <t>Approved usage of the Property:</t>
    </r>
  </si>
  <si>
    <r>
      <rPr>
        <sz val="12"/>
        <rFont val="Times New Roman"/>
        <family val="1"/>
      </rPr>
      <t>Residential + Commercial</t>
    </r>
  </si>
  <si>
    <r>
      <rPr>
        <sz val="12"/>
        <rFont val="Times New Roman"/>
        <family val="1"/>
      </rPr>
      <t>(Restrictive Covenants in regard to Land Use, if any)</t>
    </r>
  </si>
  <si>
    <r>
      <rPr>
        <sz val="12"/>
        <rFont val="Times New Roman"/>
        <family val="1"/>
      </rPr>
      <t>No</t>
    </r>
  </si>
  <si>
    <r>
      <rPr>
        <b/>
        <sz val="12"/>
        <rFont val="Times New Roman"/>
        <family val="1"/>
      </rPr>
      <t>Area Statement Details :</t>
    </r>
  </si>
  <si>
    <r>
      <rPr>
        <sz val="12"/>
        <rFont val="Times New Roman"/>
        <family val="1"/>
      </rPr>
      <t>Total land area of the project in Sq. Mt.</t>
    </r>
  </si>
  <si>
    <r>
      <rPr>
        <sz val="12"/>
        <rFont val="Times New Roman"/>
        <family val="1"/>
      </rPr>
      <t>Permissible FSI</t>
    </r>
  </si>
  <si>
    <r>
      <rPr>
        <sz val="12"/>
        <rFont val="Times New Roman"/>
        <family val="1"/>
      </rPr>
      <t>Permissible TDR/Paid FSI</t>
    </r>
  </si>
  <si>
    <r>
      <rPr>
        <sz val="12"/>
        <rFont val="Times New Roman"/>
        <family val="1"/>
      </rPr>
      <t>Total FSI availaible for the project</t>
    </r>
  </si>
  <si>
    <r>
      <rPr>
        <sz val="12"/>
        <rFont val="Times New Roman"/>
        <family val="1"/>
      </rPr>
      <t>Total Approved Builtup area of the project in Sq. Mt.</t>
    </r>
  </si>
  <si>
    <r>
      <rPr>
        <sz val="12"/>
        <rFont val="Times New Roman"/>
        <family val="1"/>
      </rPr>
      <t>Total number of Buildings</t>
    </r>
  </si>
  <si>
    <r>
      <rPr>
        <sz val="12"/>
        <rFont val="Times New Roman"/>
        <family val="1"/>
      </rPr>
      <t>03 Wings</t>
    </r>
  </si>
  <si>
    <r>
      <rPr>
        <b/>
        <sz val="12"/>
        <rFont val="Times New Roman"/>
        <family val="1"/>
      </rPr>
      <t>Approval Detail : Plan approval</t>
    </r>
  </si>
  <si>
    <r>
      <rPr>
        <sz val="12"/>
        <rFont val="Times New Roman"/>
        <family val="1"/>
      </rPr>
      <t>Layout Approval No</t>
    </r>
  </si>
  <si>
    <r>
      <rPr>
        <sz val="12"/>
        <rFont val="Times New Roman"/>
        <family val="1"/>
      </rPr>
      <t>Dated</t>
    </r>
  </si>
  <si>
    <r>
      <rPr>
        <sz val="12"/>
        <rFont val="Times New Roman"/>
        <family val="1"/>
      </rPr>
      <t>23/04/2019.</t>
    </r>
  </si>
  <si>
    <r>
      <rPr>
        <sz val="12"/>
        <rFont val="Times New Roman"/>
        <family val="1"/>
      </rPr>
      <t xml:space="preserve">Approved Floor plan
</t>
    </r>
    <r>
      <rPr>
        <sz val="12"/>
        <rFont val="Times New Roman"/>
        <family val="1"/>
      </rPr>
      <t>No.</t>
    </r>
  </si>
  <si>
    <r>
      <rPr>
        <sz val="12"/>
        <rFont val="Times New Roman"/>
        <family val="1"/>
      </rPr>
      <t>Commencement Certificate No.</t>
    </r>
  </si>
  <si>
    <r>
      <rPr>
        <sz val="11"/>
        <rFont val="Times New Roman"/>
        <family val="1"/>
      </rPr>
      <t>Valid upto date: One year from date of issue</t>
    </r>
  </si>
  <si>
    <r>
      <rPr>
        <sz val="12"/>
        <rFont val="Times New Roman"/>
        <family val="1"/>
      </rPr>
      <t>Commencement date of construction</t>
    </r>
  </si>
  <si>
    <r>
      <rPr>
        <sz val="12"/>
        <rFont val="Times New Roman"/>
        <family val="1"/>
      </rPr>
      <t>Expected Completion</t>
    </r>
  </si>
  <si>
    <r>
      <rPr>
        <b/>
        <sz val="12"/>
        <rFont val="Times New Roman"/>
        <family val="1"/>
      </rPr>
      <t>Building wise Construction details</t>
    </r>
  </si>
  <si>
    <r>
      <rPr>
        <sz val="12"/>
        <rFont val="Times New Roman"/>
        <family val="1"/>
      </rPr>
      <t>Approved area of the building in Sq.Mt</t>
    </r>
  </si>
  <si>
    <r>
      <rPr>
        <sz val="12"/>
        <rFont val="Times New Roman"/>
        <family val="1"/>
      </rPr>
      <t>Approved no of units</t>
    </r>
  </si>
  <si>
    <r>
      <rPr>
        <sz val="12"/>
        <rFont val="Times New Roman"/>
        <family val="1"/>
      </rPr>
      <t>Quality of construction: Good</t>
    </r>
  </si>
  <si>
    <r>
      <rPr>
        <sz val="12"/>
        <rFont val="Times New Roman"/>
        <family val="1"/>
      </rPr>
      <t>Projected life of the structure: 60 Years After Completion</t>
    </r>
  </si>
  <si>
    <r>
      <rPr>
        <sz val="12"/>
        <rFont val="Times New Roman"/>
        <family val="1"/>
      </rPr>
      <t>Wheather the construction is as per approved Building plan : Under Construction</t>
    </r>
  </si>
  <si>
    <r>
      <rPr>
        <sz val="12"/>
        <rFont val="Times New Roman"/>
        <family val="1"/>
      </rPr>
      <t>Violations Observed if any : NA</t>
    </r>
  </si>
  <si>
    <r>
      <rPr>
        <b/>
        <sz val="12"/>
        <rFont val="Times New Roman"/>
        <family val="1"/>
      </rPr>
      <t>Proposed Amenities :</t>
    </r>
  </si>
  <si>
    <r>
      <rPr>
        <sz val="12"/>
        <rFont val="Times New Roman"/>
        <family val="1"/>
      </rPr>
      <t>1.Vitrified tiles flooring 2. Granite Kitchen Platform  3. Decorative Enternace  etc.</t>
    </r>
  </si>
  <si>
    <r>
      <rPr>
        <b/>
        <sz val="12"/>
        <rFont val="Times New Roman"/>
        <family val="1"/>
      </rPr>
      <t>Recommended Rates of the Property :</t>
    </r>
  </si>
  <si>
    <r>
      <rPr>
        <sz val="12"/>
        <rFont val="Times New Roman"/>
        <family val="1"/>
      </rPr>
      <t>8000/-</t>
    </r>
  </si>
  <si>
    <r>
      <rPr>
        <sz val="12"/>
        <rFont val="Times New Roman"/>
        <family val="1"/>
      </rPr>
      <t>6500/-</t>
    </r>
  </si>
  <si>
    <r>
      <rPr>
        <sz val="12"/>
        <rFont val="Times New Roman"/>
        <family val="1"/>
      </rPr>
      <t>Grill charges</t>
    </r>
  </si>
  <si>
    <r>
      <rPr>
        <sz val="12"/>
        <rFont val="Times New Roman"/>
        <family val="1"/>
      </rPr>
      <t>Legal Charges</t>
    </r>
  </si>
  <si>
    <r>
      <rPr>
        <sz val="12"/>
        <rFont val="Times New Roman"/>
        <family val="1"/>
      </rPr>
      <t>10000/-</t>
    </r>
  </si>
  <si>
    <r>
      <rPr>
        <sz val="12"/>
        <rFont val="Times New Roman"/>
        <family val="1"/>
      </rPr>
      <t>Recommended rate of Parking</t>
    </r>
  </si>
  <si>
    <r>
      <rPr>
        <sz val="12"/>
        <rFont val="Times New Roman"/>
        <family val="1"/>
      </rPr>
      <t>Development charges</t>
    </r>
  </si>
  <si>
    <r>
      <rPr>
        <b/>
        <sz val="12"/>
        <rFont val="Times New Roman"/>
        <family val="1"/>
      </rPr>
      <t>Distressed valuation of the Property</t>
    </r>
  </si>
  <si>
    <r>
      <rPr>
        <b/>
        <sz val="12"/>
        <rFont val="Times New Roman"/>
        <family val="1"/>
      </rPr>
      <t>Commercial Area Details :</t>
    </r>
  </si>
  <si>
    <r>
      <rPr>
        <b/>
        <sz val="12"/>
        <rFont val="Times New Roman"/>
        <family val="1"/>
      </rPr>
      <t>Building &amp; Wing</t>
    </r>
  </si>
  <si>
    <r>
      <rPr>
        <b/>
        <sz val="12"/>
        <rFont val="Times New Roman"/>
        <family val="1"/>
      </rPr>
      <t>No. of Units</t>
    </r>
  </si>
  <si>
    <r>
      <rPr>
        <b/>
        <sz val="12"/>
        <rFont val="Times New Roman"/>
        <family val="1"/>
      </rPr>
      <t>Total Carpet Area</t>
    </r>
  </si>
  <si>
    <r>
      <rPr>
        <b/>
        <sz val="12"/>
        <rFont val="Times New Roman"/>
        <family val="1"/>
      </rPr>
      <t>Total Saleable Area</t>
    </r>
  </si>
  <si>
    <r>
      <rPr>
        <sz val="12"/>
        <rFont val="Times New Roman"/>
        <family val="1"/>
      </rPr>
      <t>A Wing (Offices)</t>
    </r>
  </si>
  <si>
    <r>
      <rPr>
        <sz val="12"/>
        <rFont val="Times New Roman"/>
        <family val="1"/>
      </rPr>
      <t>B Wing (Shops)</t>
    </r>
  </si>
  <si>
    <r>
      <rPr>
        <sz val="12"/>
        <rFont val="Times New Roman"/>
        <family val="1"/>
      </rPr>
      <t>C Wing (Shops)</t>
    </r>
  </si>
  <si>
    <r>
      <rPr>
        <b/>
        <sz val="12"/>
        <rFont val="Times New Roman"/>
        <family val="1"/>
      </rPr>
      <t>Total</t>
    </r>
  </si>
  <si>
    <r>
      <rPr>
        <b/>
        <sz val="12"/>
        <rFont val="Times New Roman"/>
        <family val="1"/>
      </rPr>
      <t>Residential Area Details :</t>
    </r>
  </si>
  <si>
    <r>
      <rPr>
        <b/>
        <sz val="12"/>
        <rFont val="Times New Roman"/>
        <family val="1"/>
      </rPr>
      <t>No. of Flats</t>
    </r>
  </si>
  <si>
    <r>
      <rPr>
        <sz val="12"/>
        <rFont val="Times New Roman"/>
        <family val="1"/>
      </rPr>
      <t>A Wing</t>
    </r>
  </si>
  <si>
    <r>
      <rPr>
        <sz val="12"/>
        <rFont val="Times New Roman"/>
        <family val="1"/>
      </rPr>
      <t>B Wing</t>
    </r>
  </si>
  <si>
    <r>
      <rPr>
        <sz val="12"/>
        <rFont val="Times New Roman"/>
        <family val="1"/>
      </rPr>
      <t>C Wing</t>
    </r>
  </si>
  <si>
    <r>
      <rPr>
        <b/>
        <sz val="12"/>
        <rFont val="Times New Roman"/>
        <family val="1"/>
      </rPr>
      <t>Building details Floor Wise</t>
    </r>
  </si>
  <si>
    <r>
      <rPr>
        <b/>
        <sz val="12"/>
        <rFont val="Times New Roman"/>
        <family val="1"/>
      </rPr>
      <t>Details of Flats in Building</t>
    </r>
  </si>
  <si>
    <r>
      <rPr>
        <b/>
        <sz val="12"/>
        <rFont val="Times New Roman"/>
        <family val="1"/>
      </rPr>
      <t>Flat/Shop No.</t>
    </r>
  </si>
  <si>
    <r>
      <rPr>
        <b/>
        <sz val="12"/>
        <rFont val="Times New Roman"/>
        <family val="1"/>
      </rPr>
      <t>Gross Carpet area</t>
    </r>
  </si>
  <si>
    <r>
      <rPr>
        <b/>
        <sz val="11"/>
        <rFont val="Times New Roman"/>
        <family val="1"/>
      </rPr>
      <t>Attached Terrace area</t>
    </r>
  </si>
  <si>
    <r>
      <rPr>
        <b/>
        <sz val="12"/>
        <rFont val="Times New Roman"/>
        <family val="1"/>
      </rPr>
      <t xml:space="preserve">Builder Saleable
</t>
    </r>
    <r>
      <rPr>
        <b/>
        <sz val="12"/>
        <rFont val="Times New Roman"/>
        <family val="1"/>
      </rPr>
      <t>area</t>
    </r>
  </si>
  <si>
    <r>
      <rPr>
        <b/>
        <sz val="12"/>
        <rFont val="Times New Roman"/>
        <family val="1"/>
      </rPr>
      <t>A Wing</t>
    </r>
  </si>
  <si>
    <r>
      <rPr>
        <sz val="12"/>
        <rFont val="Times New Roman"/>
        <family val="1"/>
      </rPr>
      <t>Shop</t>
    </r>
  </si>
  <si>
    <r>
      <rPr>
        <sz val="12"/>
        <rFont val="Times New Roman"/>
        <family val="1"/>
      </rPr>
      <t>N</t>
    </r>
  </si>
  <si>
    <r>
      <rPr>
        <sz val="12"/>
        <rFont val="Times New Roman"/>
        <family val="1"/>
      </rPr>
      <t>G + 1st Floor (Mezzanine Floor)</t>
    </r>
  </si>
  <si>
    <r>
      <rPr>
        <sz val="12"/>
        <rFont val="Times New Roman"/>
        <family val="1"/>
      </rPr>
      <t>2BHK</t>
    </r>
  </si>
  <si>
    <r>
      <rPr>
        <sz val="12"/>
        <rFont val="Times New Roman"/>
        <family val="1"/>
      </rPr>
      <t>1BHK</t>
    </r>
  </si>
  <si>
    <r>
      <rPr>
        <sz val="12"/>
        <rFont val="Times New Roman"/>
        <family val="1"/>
      </rPr>
      <t>1RK</t>
    </r>
  </si>
  <si>
    <r>
      <rPr>
        <b/>
        <sz val="12"/>
        <rFont val="Times New Roman"/>
        <family val="1"/>
      </rPr>
      <t>1st To 7th Floor</t>
    </r>
  </si>
  <si>
    <r>
      <rPr>
        <sz val="12"/>
        <rFont val="Times New Roman"/>
        <family val="1"/>
      </rPr>
      <t>1st To 7th Floor</t>
    </r>
  </si>
  <si>
    <r>
      <rPr>
        <b/>
        <sz val="12"/>
        <rFont val="Times New Roman"/>
        <family val="1"/>
      </rPr>
      <t>C Wing</t>
    </r>
  </si>
  <si>
    <r>
      <rPr>
        <b/>
        <sz val="12"/>
        <rFont val="Times New Roman"/>
        <family val="1"/>
      </rPr>
      <t>1st To 4th Floor</t>
    </r>
  </si>
  <si>
    <r>
      <rPr>
        <sz val="12"/>
        <rFont val="Times New Roman"/>
        <family val="1"/>
      </rPr>
      <t>1st To 4th Floor</t>
    </r>
  </si>
  <si>
    <r>
      <rPr>
        <b/>
        <sz val="12"/>
        <rFont val="Times New Roman"/>
        <family val="1"/>
      </rPr>
      <t>Remarks:</t>
    </r>
  </si>
  <si>
    <r>
      <rPr>
        <sz val="12"/>
        <rFont val="Times New Roman"/>
        <family val="1"/>
      </rPr>
      <t>Undertaking :</t>
    </r>
  </si>
  <si>
    <r>
      <rPr>
        <sz val="12"/>
        <rFont val="Times New Roman"/>
        <family val="1"/>
      </rPr>
      <t>1) We have personally visited the property &amp; identified the same based on the documents provided.</t>
    </r>
  </si>
  <si>
    <r>
      <rPr>
        <sz val="12"/>
        <rFont val="Times New Roman"/>
        <family val="1"/>
      </rPr>
      <t>2) I/We have no direct or Indirect Interest in the property being valued</t>
    </r>
  </si>
  <si>
    <r>
      <rPr>
        <sz val="12"/>
        <rFont val="Times New Roman"/>
        <family val="1"/>
      </rPr>
      <t>3) The information furnished above is true and correct to my/our knowledge.</t>
    </r>
  </si>
  <si>
    <r>
      <rPr>
        <sz val="12"/>
        <rFont val="Times New Roman"/>
        <family val="1"/>
      </rPr>
      <t>4) Legal title of the property is not verified by us.</t>
    </r>
  </si>
  <si>
    <r>
      <rPr>
        <sz val="12"/>
        <rFont val="Times New Roman"/>
        <family val="1"/>
      </rPr>
      <t>5) Gross carpet area =  Net Carpet area + Fungible area.</t>
    </r>
  </si>
  <si>
    <r>
      <rPr>
        <sz val="12"/>
        <rFont val="Times New Roman"/>
        <family val="1"/>
      </rPr>
      <t>6) Fungible Area= Enclosed Balcony + Flower Bed + Covered Balcony + Service Slab + Duct + Chajja + Wheather Shed area.</t>
    </r>
  </si>
  <si>
    <r>
      <rPr>
        <sz val="11"/>
        <rFont val="Times New Roman"/>
        <family val="1"/>
      </rPr>
      <t>Inspected By :</t>
    </r>
  </si>
  <si>
    <r>
      <rPr>
        <sz val="11"/>
        <rFont val="Times New Roman"/>
        <family val="1"/>
      </rPr>
      <t>Report Prepared By :</t>
    </r>
  </si>
  <si>
    <t>Authorized Signatory
                                                                                                                                                                                                                                                                                     Name &amp; Seal of the agency</t>
  </si>
  <si>
    <t>Photography of property :</t>
  </si>
  <si>
    <t>Pratiksha</t>
  </si>
  <si>
    <t>Market Research Data</t>
  </si>
  <si>
    <t>Source</t>
  </si>
  <si>
    <t>Distance from proposed property</t>
  </si>
  <si>
    <t>Flat</t>
  </si>
  <si>
    <t>Net Carpet</t>
  </si>
  <si>
    <t>Saleable Area</t>
  </si>
  <si>
    <t>Rate on Saleable</t>
  </si>
  <si>
    <t>Market Value</t>
  </si>
  <si>
    <t>Housing</t>
  </si>
  <si>
    <t>99 Acres</t>
  </si>
  <si>
    <t>Average</t>
  </si>
  <si>
    <t xml:space="preserve">Valuation Adopted </t>
  </si>
  <si>
    <t>Orient legacy</t>
  </si>
  <si>
    <t>Belavali</t>
  </si>
  <si>
    <t>1RK</t>
  </si>
  <si>
    <t>1BHK</t>
  </si>
  <si>
    <t>2BHK</t>
  </si>
  <si>
    <t>Material laying at Site: Bricks, Cement &amp; Steel etc.</t>
  </si>
  <si>
    <t>30/12/2020.</t>
  </si>
  <si>
    <t>Asmita</t>
  </si>
  <si>
    <t>Cost sheet by Akash TM</t>
  </si>
  <si>
    <t>Rate Change from 3500 to 3850</t>
  </si>
  <si>
    <t>Grill &amp; Development change of 1BHK</t>
  </si>
  <si>
    <t>2BHK charges are assumed &amp; increased</t>
  </si>
  <si>
    <t>Ground Floor</t>
  </si>
  <si>
    <t>Proposed no of Floor</t>
  </si>
  <si>
    <t>Construction details:</t>
  </si>
  <si>
    <t>Floors</t>
  </si>
  <si>
    <t xml:space="preserve">Stage of construction: </t>
  </si>
  <si>
    <t>All work Completed. OC Received.</t>
  </si>
  <si>
    <t>Type of Work</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</si>
  <si>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</si>
  <si>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</si>
  <si>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</si>
  <si>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</si>
  <si>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</si>
  <si>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</si>
  <si>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</si>
  <si>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</si>
  <si>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</si>
  <si>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</si>
  <si>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</si>
  <si>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</si>
  <si>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</si>
  <si>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</si>
  <si>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</si>
  <si>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</si>
  <si>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</si>
  <si>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</si>
  <si>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</si>
  <si>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</si>
  <si>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Recommended rate of the Shop Per Sq. Ft.(on Saleable area)</t>
  </si>
  <si>
    <t>Recommended rate of the flat Per Sq. Ft.(on Saleable area)</t>
  </si>
  <si>
    <t>Recommended rate of the Office Per Sq. Ft.(on Saleable area)</t>
  </si>
  <si>
    <t>20000/-</t>
  </si>
  <si>
    <t>175000/-</t>
  </si>
  <si>
    <t>Advance Maintenance For 12 Months</t>
  </si>
  <si>
    <t>Approved no of Floors</t>
  </si>
  <si>
    <t>Dated</t>
  </si>
  <si>
    <t>O.Certificate No.:</t>
  </si>
  <si>
    <t>30,000/-</t>
  </si>
  <si>
    <t>KBNP/NRV/B.P/8001/2021-22 Uniqe No-116
Valid Up to: Wing B - Gr + 1st to 9th Floor
Wing C - Gr + 1st to 5th Floor
Wing A - Gr + 1st to 15th Floor</t>
  </si>
  <si>
    <t>Wing A - Gr + 1st to 15th Floor
Wing B - Gr + 1st to 9th Floor
Wing C - Gr + 1st to 5th Floor</t>
  </si>
  <si>
    <t>A Wing = G + 1st to 15th Floor</t>
  </si>
  <si>
    <t>Wing B - Gr + 1st to 9th Floor</t>
  </si>
  <si>
    <t>Wing C - Gr + 1st to 5th Floor</t>
  </si>
  <si>
    <t>M/s.Jewel Orient</t>
  </si>
  <si>
    <t>Location Link</t>
  </si>
  <si>
    <t>https://goo.gl/maps/wFFamNF7CWb5DeTX6</t>
  </si>
  <si>
    <t>KBNP/NRV/3264/2022-2023
Approved upto : Wing B = Gr/Stilt + 1st to 9th Floor
Wing C = Gr/Stilt + 1st to 5th Floor</t>
  </si>
  <si>
    <t>KBNP/NRV/BP/8001-116</t>
  </si>
  <si>
    <t>G + Mezzanine Floor For Commercial</t>
  </si>
  <si>
    <t>1st Floor</t>
  </si>
  <si>
    <t>Office</t>
  </si>
  <si>
    <t>Room</t>
  </si>
  <si>
    <t>2nd to 4th Floor For Residential</t>
  </si>
  <si>
    <t>5th Floor</t>
  </si>
  <si>
    <t>Society Office &amp; Finess Center</t>
  </si>
  <si>
    <t>6th, 8th to 10th, 12th to 14th Floor</t>
  </si>
  <si>
    <t>7th &amp; 11th Floor (Part Refuge Area)</t>
  </si>
  <si>
    <t>Refuge Area</t>
  </si>
  <si>
    <t>15th Floor (Part Terrace Area)</t>
  </si>
  <si>
    <t>Terrace Area</t>
  </si>
  <si>
    <t>B Wing</t>
  </si>
  <si>
    <t>Ground Floor For Parking &amp; Commercial</t>
  </si>
  <si>
    <t>8th Floor (Part Terrace &amp; Refuge Area)</t>
  </si>
  <si>
    <t>9th Floor (Part Refuge Area)</t>
  </si>
  <si>
    <t>Below Terrace Area</t>
  </si>
  <si>
    <t>A Wing (Shops)</t>
  </si>
  <si>
    <t>A Wing (Comm. Rooms)</t>
  </si>
  <si>
    <t>Flats = 141 &amp; shop = 21, Office = 03, Comm. Rooms = 54</t>
  </si>
  <si>
    <t>A Wing = G + 1st to 15th Floor
B Wing = G + 1st to 9th Floor
C Wing = G + 1st to 5th Floor</t>
  </si>
  <si>
    <t>3850 to 4400</t>
  </si>
  <si>
    <t>sanket &amp; Rushikesh</t>
  </si>
  <si>
    <t>cost sheet</t>
  </si>
  <si>
    <t>Contact Details ( Name &amp; Contact No.)</t>
  </si>
  <si>
    <t>Office No. 1031, Wing J, Akshar Business Park, Plot No. 03 Sector 25, Near APMC Market,
Vashi, Navi Mumbai, Maharashtra 400703 TEL: 022-46090378/79/80                                                                                                                                                                                                      E mail : vsjcapf@gmail.com. Web site : www.vsjadon.com</t>
  </si>
  <si>
    <t>19.1787841,73.2255896</t>
  </si>
  <si>
    <t>Site Meet Person Contact Details ( Name &amp; Contact No.)</t>
  </si>
  <si>
    <t>Miss. Pooja : 8087326147</t>
  </si>
  <si>
    <t>Mr. Sudhir Bhosale</t>
  </si>
  <si>
    <t>P51700021264</t>
  </si>
  <si>
    <t>1. Wing B &amp; C = All work completed. OC Received.
    Wing A = Construction work was in process at the time of visit.
2. We considered B, C wing Saleable area as per Builder area sheet &amp; A wing as per our calculation.
3. We considered Carpet area as per Approved Plan.
4. We considered Gross carpet area = Net carpet + Enclose balcony + C.B Area + F.B Area.
5. We have considered rate by verifying it from market inquire.
6. We have considered Other charges from cost sheet.
7. Car parking is subjected to authentic documentation.
8. We have update latest approved C.C taken from RERA site. (on 16/06/2022)
9. We have updated OC from Rera for Wing B &amp; C (On 22/06/2023).
10. We have updated latest approved floor plans (On 22/06/2023).
8. On site, we meet Mr. Tejas - 8452954464.</t>
  </si>
  <si>
    <t>Pooja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</si>
</sst>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000"/>
    <numFmt numFmtId="166" formatCode="_(* #,##0.00_);_(* \(#,##0.00\);_(* &quot;-&quot;??_);_(@_)"/>
    <numFmt numFmtId="167" formatCode="_(* #,##0_);_(* \(#,##0\);_(* &quot;-&quot;??_);_(@_)"/>
  </numFmts>
  <fonts count="24" x14ac:knownFonts="1">
    <font>
      <sz val="10"/>
      <color rgb="FF000000"/>
      <name val="Times New Roman"/>
      <charset val="204"/>
    </font>
    <font>
      <sz val="11"/>
      <color theme="1"/>
      <name val="Calibri"/>
      <family val="2"/>
      <scheme val="minor"/>
    </font>
    <font>
      <sz val="11"/>
      <color theme="1"/>
      <name val="Calibri"/>
      <family val="2"/>
      <scheme val="minor"/>
    </font>
    <font>
      <b/>
      <sz val="11"/>
      <name val="Times New Roman"/>
      <family val="1"/>
    </font>
    <font>
      <sz val="11"/>
      <name val="Times New Roman"/>
      <family val="1"/>
    </font>
    <font>
      <b/>
      <sz val="12"/>
      <name val="Times New Roman"/>
      <family val="1"/>
    </font>
    <font>
      <sz val="12"/>
      <color rgb="FF000000"/>
      <name val="Times New Roman"/>
      <family val="2"/>
    </font>
    <font>
      <sz val="12"/>
      <name val="Times New Roman"/>
      <family val="1"/>
    </font>
    <font>
      <sz val="10"/>
      <color rgb="FF000000"/>
      <name val="Times New Roman"/>
      <family val="1"/>
    </font>
    <font>
      <sz val="11"/>
      <color rgb="FF000000"/>
      <name val="Times New Roman"/>
      <family val="1"/>
    </font>
    <font>
      <b/>
      <sz val="11"/>
      <color theme="1"/>
      <name val="Times New Roman"/>
      <family val="1"/>
    </font>
    <font>
      <b/>
      <sz val="11"/>
      <color rgb="FF000000"/>
      <name val="Times New Roman"/>
      <family val="1"/>
    </font>
    <font>
      <b/>
      <sz val="12"/>
      <color rgb="FF000000"/>
      <name val="Times New Roman"/>
      <family val="1"/>
    </font>
    <font>
      <b/>
      <sz val="12"/>
      <color rgb="FF000000"/>
      <name val="Times New Roman"/>
      <family val="2"/>
    </font>
    <font>
      <b/>
      <sz val="11"/>
      <color indexed="8"/>
      <name val="Times New Roman"/>
      <family val="1"/>
    </font>
    <font>
      <sz val="11"/>
      <color rgb="FFFF0000"/>
      <name val="Calibri"/>
      <family val="2"/>
      <scheme val="minor"/>
    </font>
    <font>
      <b/>
      <sz val="11"/>
      <color theme="1"/>
      <name val="Calibri"/>
      <family val="2"/>
      <scheme val="minor"/>
    </font>
    <font>
      <sz val="11"/>
      <color indexed="8"/>
      <name val="Calibri"/>
      <family val="2"/>
    </font>
    <font>
      <sz val="11"/>
      <color rgb="FFFF0000"/>
      <name val="Calibri"/>
      <family val="2"/>
    </font>
    <font>
      <sz val="8"/>
      <name val="Times New Roman"/>
      <family val="1"/>
    </font>
    <font>
      <b/>
      <sz val="12"/>
      <color indexed="8"/>
      <name val="Times New Roman"/>
      <family val="1"/>
    </font>
    <font>
      <sz val="12"/>
      <color theme="1"/>
      <name val="Times New Roman"/>
      <family val="1"/>
    </font>
    <font>
      <sz val="12"/>
      <color rgb="FF000000"/>
      <name val="Times New Roman"/>
      <family val="1"/>
    </font>
    <font>
      <u/>
      <sz val="10"/>
      <color theme="10"/>
      <name val="Times New Roman"/>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rgb="FF000000"/>
      </top>
      <bottom/>
      <diagonal/>
    </border>
    <border>
      <left/>
      <right/>
      <top/>
      <bottom style="thin">
        <color rgb="FF000000"/>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xf numFmtId="9" fontId="8" fillId="0" borderId="0" applyFont="0" applyFill="0" applyBorder="0" applyAlignment="0" applyProtection="0"/>
    <xf numFmtId="0" fontId="2" fillId="0" borderId="0"/>
    <xf numFmtId="0" fontId="17" fillId="0" borderId="0"/>
    <xf numFmtId="0" fontId="1" fillId="0" borderId="0"/>
    <xf numFmtId="166" fontId="17" fillId="0" borderId="0" applyFont="0" applyFill="0" applyBorder="0" applyAlignment="0" applyProtection="0"/>
    <xf numFmtId="0" fontId="23" fillId="0" borderId="0" applyNumberFormat="0" applyFill="0" applyBorder="0" applyAlignment="0" applyProtection="0"/>
  </cellStyleXfs>
  <cellXfs count="203">
    <xf numFmtId="0" fontId="0" fillId="0" borderId="0" xfId="0" applyAlignment="1">
      <alignment horizontal="left" vertical="top"/>
    </xf>
    <xf numFmtId="0" fontId="0" fillId="0" borderId="1" xfId="0" applyBorder="1" applyAlignment="1">
      <alignment horizontal="center" vertical="top" wrapText="1"/>
    </xf>
    <xf numFmtId="0" fontId="3" fillId="0" borderId="1" xfId="0" applyFont="1" applyBorder="1" applyAlignment="1">
      <alignment horizontal="center" vertical="top" wrapText="1"/>
    </xf>
    <xf numFmtId="0" fontId="5" fillId="0" borderId="1" xfId="0" applyFont="1" applyBorder="1" applyAlignment="1">
      <alignment horizontal="center" vertical="top" wrapText="1"/>
    </xf>
    <xf numFmtId="0" fontId="9" fillId="0" borderId="0" xfId="0" applyFont="1"/>
    <xf numFmtId="0" fontId="9" fillId="0" borderId="12" xfId="0" applyFont="1" applyBorder="1" applyAlignment="1">
      <alignment horizontal="right"/>
    </xf>
    <xf numFmtId="0" fontId="9" fillId="0" borderId="12" xfId="0" applyFont="1" applyBorder="1"/>
    <xf numFmtId="0" fontId="10" fillId="0" borderId="12" xfId="0" applyFont="1" applyBorder="1" applyAlignment="1">
      <alignment horizontal="center"/>
    </xf>
    <xf numFmtId="0" fontId="10" fillId="0" borderId="0" xfId="0" applyFont="1" applyAlignment="1">
      <alignment horizontal="center"/>
    </xf>
    <xf numFmtId="0" fontId="9" fillId="2" borderId="12" xfId="0" applyFont="1" applyFill="1" applyBorder="1"/>
    <xf numFmtId="0" fontId="9" fillId="0" borderId="12" xfId="0" applyFont="1" applyBorder="1" applyAlignment="1">
      <alignment horizontal="center"/>
    </xf>
    <xf numFmtId="0" fontId="9" fillId="2" borderId="12" xfId="0" applyFont="1" applyFill="1" applyBorder="1" applyAlignment="1">
      <alignment horizontal="center"/>
    </xf>
    <xf numFmtId="9" fontId="9" fillId="0" borderId="0" xfId="1" applyFont="1" applyBorder="1"/>
    <xf numFmtId="0" fontId="11" fillId="0" borderId="12" xfId="0" applyFont="1" applyBorder="1" applyAlignment="1">
      <alignment horizontal="center"/>
    </xf>
    <xf numFmtId="0" fontId="9" fillId="0" borderId="0" xfId="0" applyFont="1" applyAlignment="1">
      <alignment wrapText="1"/>
    </xf>
    <xf numFmtId="0" fontId="9" fillId="0" borderId="13" xfId="0" applyFont="1" applyBorder="1"/>
    <xf numFmtId="0" fontId="9" fillId="0" borderId="12" xfId="0" applyFont="1" applyBorder="1" applyAlignment="1">
      <alignment wrapText="1"/>
    </xf>
    <xf numFmtId="9" fontId="9" fillId="0" borderId="12" xfId="1" applyFont="1" applyBorder="1"/>
    <xf numFmtId="9" fontId="9" fillId="0" borderId="0" xfId="0" applyNumberFormat="1" applyFont="1"/>
    <xf numFmtId="0" fontId="12" fillId="0" borderId="0" xfId="0" applyFont="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horizontal="left" vertical="top" wrapText="1" indent="4"/>
    </xf>
    <xf numFmtId="0" fontId="7" fillId="0" borderId="1" xfId="0" applyFont="1" applyBorder="1" applyAlignment="1">
      <alignment horizontal="center" vertical="top" wrapText="1"/>
    </xf>
    <xf numFmtId="164" fontId="6" fillId="0" borderId="1" xfId="0" applyNumberFormat="1" applyFont="1" applyBorder="1" applyAlignment="1">
      <alignment horizontal="center" vertical="top" shrinkToFit="1"/>
    </xf>
    <xf numFmtId="1" fontId="6" fillId="0" borderId="1" xfId="0" applyNumberFormat="1" applyFont="1" applyBorder="1" applyAlignment="1">
      <alignment horizontal="center" vertical="top" shrinkToFit="1"/>
    </xf>
    <xf numFmtId="1" fontId="13" fillId="0" borderId="1" xfId="0" applyNumberFormat="1" applyFont="1" applyBorder="1" applyAlignment="1">
      <alignment horizontal="center" vertical="top" shrinkToFit="1"/>
    </xf>
    <xf numFmtId="0" fontId="5" fillId="0" borderId="1" xfId="0" applyFont="1" applyBorder="1" applyAlignment="1">
      <alignment horizontal="left" vertical="top" wrapText="1"/>
    </xf>
    <xf numFmtId="0" fontId="5" fillId="0" borderId="1" xfId="0" applyFont="1" applyBorder="1" applyAlignment="1">
      <alignment horizontal="left" vertical="top" wrapText="1" indent="3"/>
    </xf>
    <xf numFmtId="1" fontId="6" fillId="0" borderId="1" xfId="0" applyNumberFormat="1" applyFont="1" applyBorder="1" applyAlignment="1">
      <alignment horizontal="right" vertical="top" indent="7" shrinkToFit="1"/>
    </xf>
    <xf numFmtId="14" fontId="17" fillId="0" borderId="0" xfId="3" applyNumberFormat="1"/>
    <xf numFmtId="0" fontId="17" fillId="0" borderId="0" xfId="3"/>
    <xf numFmtId="0" fontId="1" fillId="0" borderId="0" xfId="4"/>
    <xf numFmtId="0" fontId="16" fillId="0" borderId="12" xfId="4" applyFont="1" applyBorder="1" applyAlignment="1">
      <alignment horizontal="center" vertical="top" wrapText="1"/>
    </xf>
    <xf numFmtId="0" fontId="1" fillId="0" borderId="12" xfId="4" applyBorder="1" applyAlignment="1">
      <alignment horizontal="center" vertical="center"/>
    </xf>
    <xf numFmtId="0" fontId="1" fillId="0" borderId="12" xfId="4" applyBorder="1" applyAlignment="1">
      <alignment horizontal="left" vertical="center"/>
    </xf>
    <xf numFmtId="1" fontId="1" fillId="0" borderId="12" xfId="4" applyNumberFormat="1" applyBorder="1" applyAlignment="1">
      <alignment horizontal="center" vertical="center"/>
    </xf>
    <xf numFmtId="167" fontId="1" fillId="0" borderId="12" xfId="5" applyNumberFormat="1" applyFont="1" applyBorder="1" applyAlignment="1">
      <alignment horizontal="right" vertical="center"/>
    </xf>
    <xf numFmtId="0" fontId="16" fillId="0" borderId="12" xfId="4" applyFont="1" applyBorder="1" applyAlignment="1">
      <alignment horizontal="center" vertical="center"/>
    </xf>
    <xf numFmtId="1" fontId="15" fillId="0" borderId="12" xfId="4" applyNumberFormat="1" applyFont="1" applyBorder="1" applyAlignment="1">
      <alignment horizontal="center" vertical="center"/>
    </xf>
    <xf numFmtId="0" fontId="17" fillId="0" borderId="12" xfId="3" applyBorder="1" applyAlignment="1">
      <alignment horizontal="center" vertical="center"/>
    </xf>
    <xf numFmtId="0" fontId="18" fillId="0" borderId="0" xfId="3" applyFont="1"/>
    <xf numFmtId="1" fontId="6" fillId="0" borderId="1" xfId="0" applyNumberFormat="1" applyFont="1" applyBorder="1" applyAlignment="1">
      <alignment horizontal="center" vertical="center" shrinkToFit="1"/>
    </xf>
    <xf numFmtId="0" fontId="8" fillId="0" borderId="0" xfId="0" applyFont="1" applyAlignment="1">
      <alignment horizontal="left" vertical="top"/>
    </xf>
    <xf numFmtId="0" fontId="20" fillId="0" borderId="16" xfId="2" applyFont="1" applyBorder="1" applyAlignment="1" applyProtection="1">
      <alignment vertical="top" wrapText="1"/>
      <protection locked="0"/>
    </xf>
    <xf numFmtId="0" fontId="21" fillId="0" borderId="17" xfId="2" applyFont="1" applyBorder="1" applyProtection="1">
      <protection hidden="1"/>
    </xf>
    <xf numFmtId="0" fontId="21" fillId="0" borderId="18" xfId="2" applyFont="1" applyBorder="1" applyProtection="1">
      <protection hidden="1"/>
    </xf>
    <xf numFmtId="0" fontId="7" fillId="0" borderId="20" xfId="2" applyFont="1" applyBorder="1" applyAlignment="1" applyProtection="1">
      <alignment horizontal="center" vertical="top"/>
      <protection locked="0"/>
    </xf>
    <xf numFmtId="0" fontId="7" fillId="0" borderId="21" xfId="2" applyFont="1" applyBorder="1" applyAlignment="1" applyProtection="1">
      <alignment horizontal="center" vertical="top"/>
      <protection locked="0"/>
    </xf>
    <xf numFmtId="0" fontId="21" fillId="0" borderId="0" xfId="2" applyFont="1" applyProtection="1">
      <protection hidden="1"/>
    </xf>
    <xf numFmtId="0" fontId="21" fillId="0" borderId="22" xfId="2" applyFont="1" applyBorder="1" applyProtection="1">
      <protection hidden="1"/>
    </xf>
    <xf numFmtId="0" fontId="5" fillId="0" borderId="21" xfId="2" applyFont="1" applyBorder="1" applyAlignment="1" applyProtection="1">
      <alignment vertical="top" wrapText="1"/>
      <protection locked="0"/>
    </xf>
    <xf numFmtId="0" fontId="7" fillId="0" borderId="12" xfId="2" applyFont="1" applyBorder="1" applyAlignment="1" applyProtection="1">
      <alignment horizontal="center" vertical="top" wrapText="1"/>
      <protection locked="0"/>
    </xf>
    <xf numFmtId="0" fontId="7" fillId="0" borderId="20" xfId="2" applyFont="1" applyBorder="1" applyAlignment="1" applyProtection="1">
      <alignment vertical="top" wrapText="1"/>
      <protection locked="0"/>
    </xf>
    <xf numFmtId="0" fontId="21" fillId="0" borderId="21" xfId="2" applyFont="1" applyBorder="1" applyAlignment="1" applyProtection="1">
      <alignment vertical="top" wrapText="1"/>
      <protection locked="0"/>
    </xf>
    <xf numFmtId="0" fontId="9" fillId="0" borderId="0" xfId="0" applyFont="1" applyProtection="1">
      <protection hidden="1"/>
    </xf>
    <xf numFmtId="0" fontId="21" fillId="0" borderId="22" xfId="2" applyFont="1" applyBorder="1"/>
    <xf numFmtId="0" fontId="7" fillId="0" borderId="12" xfId="2" applyFont="1" applyBorder="1" applyAlignment="1" applyProtection="1">
      <alignment horizontal="center" wrapText="1"/>
      <protection locked="0"/>
    </xf>
    <xf numFmtId="9" fontId="21" fillId="3" borderId="21" xfId="2" applyNumberFormat="1" applyFont="1" applyFill="1" applyBorder="1" applyAlignment="1" applyProtection="1">
      <alignment vertical="center" wrapText="1"/>
      <protection hidden="1"/>
    </xf>
    <xf numFmtId="0" fontId="9" fillId="0" borderId="22" xfId="0" applyFont="1" applyBorder="1" applyProtection="1">
      <protection hidden="1"/>
    </xf>
    <xf numFmtId="1" fontId="7" fillId="0" borderId="12" xfId="2" applyNumberFormat="1" applyFont="1" applyBorder="1" applyAlignment="1" applyProtection="1">
      <alignment horizontal="center" wrapText="1"/>
      <protection locked="0"/>
    </xf>
    <xf numFmtId="1" fontId="0" fillId="0" borderId="22" xfId="0" applyNumberFormat="1" applyBorder="1"/>
    <xf numFmtId="1" fontId="0" fillId="0" borderId="22" xfId="0" applyNumberFormat="1" applyBorder="1" applyAlignment="1">
      <alignment horizontal="right"/>
    </xf>
    <xf numFmtId="9" fontId="21" fillId="3" borderId="23" xfId="2" applyNumberFormat="1" applyFont="1" applyFill="1" applyBorder="1" applyAlignment="1" applyProtection="1">
      <alignment vertical="center" wrapText="1"/>
      <protection hidden="1"/>
    </xf>
    <xf numFmtId="0" fontId="9" fillId="0" borderId="24" xfId="0" applyFont="1" applyBorder="1" applyProtection="1">
      <protection hidden="1"/>
    </xf>
    <xf numFmtId="1" fontId="0" fillId="0" borderId="25" xfId="0" applyNumberFormat="1" applyBorder="1"/>
    <xf numFmtId="0" fontId="22" fillId="0" borderId="0" xfId="0" applyFont="1" applyAlignment="1">
      <alignment horizontal="left" vertical="top"/>
    </xf>
    <xf numFmtId="1" fontId="0" fillId="0" borderId="0" xfId="0" applyNumberFormat="1" applyAlignment="1">
      <alignment horizontal="left" vertical="top"/>
    </xf>
    <xf numFmtId="1" fontId="0" fillId="0" borderId="12" xfId="0" applyNumberFormat="1" applyBorder="1" applyAlignment="1">
      <alignment horizontal="center" vertical="center"/>
    </xf>
    <xf numFmtId="1" fontId="22" fillId="0" borderId="12" xfId="0" applyNumberFormat="1" applyFont="1" applyBorder="1" applyAlignment="1">
      <alignment horizontal="center" vertical="center"/>
    </xf>
    <xf numFmtId="1" fontId="22" fillId="0" borderId="1" xfId="0" applyNumberFormat="1" applyFont="1" applyBorder="1" applyAlignment="1">
      <alignment horizontal="center" vertical="top" shrinkToFit="1"/>
    </xf>
    <xf numFmtId="0" fontId="8" fillId="2" borderId="0" xfId="0" applyFont="1" applyFill="1" applyAlignment="1">
      <alignment horizontal="left" vertical="top"/>
    </xf>
    <xf numFmtId="14" fontId="0" fillId="2" borderId="0" xfId="0" applyNumberFormat="1" applyFill="1" applyAlignment="1">
      <alignment horizontal="left" vertical="top"/>
    </xf>
    <xf numFmtId="0" fontId="0" fillId="2" borderId="0" xfId="0" applyFill="1" applyAlignment="1">
      <alignment horizontal="left" vertical="top"/>
    </xf>
    <xf numFmtId="0" fontId="7" fillId="0" borderId="12" xfId="2" applyFont="1" applyBorder="1" applyAlignment="1" applyProtection="1">
      <alignment horizontal="center" vertical="top"/>
      <protection locked="0"/>
    </xf>
    <xf numFmtId="0" fontId="7" fillId="0" borderId="19" xfId="2" applyFont="1" applyBorder="1" applyAlignment="1" applyProtection="1">
      <alignment horizontal="center" vertical="top"/>
      <protection locked="0"/>
    </xf>
    <xf numFmtId="0" fontId="4" fillId="0" borderId="5" xfId="0" applyFont="1" applyBorder="1" applyAlignment="1">
      <alignment horizontal="center" vertical="center" wrapText="1"/>
    </xf>
    <xf numFmtId="0" fontId="7" fillId="0" borderId="12" xfId="2" applyFont="1" applyBorder="1" applyAlignment="1" applyProtection="1">
      <alignment horizontal="center" vertical="top"/>
      <protection locked="0"/>
    </xf>
    <xf numFmtId="0" fontId="7" fillId="0" borderId="12" xfId="2" applyFont="1" applyBorder="1" applyAlignment="1" applyProtection="1">
      <alignment horizontal="center" vertical="top"/>
      <protection locked="0"/>
    </xf>
    <xf numFmtId="0" fontId="7" fillId="0" borderId="12" xfId="2" applyFont="1" applyBorder="1" applyAlignment="1" applyProtection="1">
      <alignment horizontal="center" vertical="top" wrapText="1"/>
      <protection locked="0"/>
    </xf>
    <xf numFmtId="9" fontId="7" fillId="3" borderId="12" xfId="2" applyNumberFormat="1" applyFont="1" applyFill="1" applyBorder="1" applyAlignment="1" applyProtection="1">
      <alignment horizontal="center" vertical="center" wrapText="1"/>
      <protection hidden="1"/>
    </xf>
    <xf numFmtId="0" fontId="5" fillId="0" borderId="7" xfId="0" applyFont="1" applyBorder="1" applyAlignment="1">
      <alignment horizontal="left" vertical="top" wrapText="1"/>
    </xf>
    <xf numFmtId="0" fontId="7" fillId="0" borderId="12" xfId="0" applyFont="1" applyBorder="1" applyAlignment="1">
      <alignment horizontal="left" vertical="top" wrapText="1"/>
    </xf>
    <xf numFmtId="0" fontId="0" fillId="0" borderId="12" xfId="0" applyBorder="1" applyAlignment="1">
      <alignment horizontal="left" vertical="top" wrapText="1"/>
    </xf>
    <xf numFmtId="0" fontId="7" fillId="0" borderId="12" xfId="2" applyFont="1" applyBorder="1" applyAlignment="1" applyProtection="1">
      <alignment vertical="top" wrapText="1"/>
      <protection locked="0"/>
    </xf>
    <xf numFmtId="1" fontId="6" fillId="0" borderId="5" xfId="0" applyNumberFormat="1" applyFont="1" applyBorder="1" applyAlignment="1">
      <alignment horizontal="center" vertical="top" shrinkToFit="1"/>
    </xf>
    <xf numFmtId="0" fontId="7" fillId="0" borderId="5" xfId="0" applyFont="1" applyBorder="1" applyAlignment="1">
      <alignment horizontal="center" vertical="top" wrapText="1"/>
    </xf>
    <xf numFmtId="1" fontId="22" fillId="0" borderId="13" xfId="0" applyNumberFormat="1" applyFont="1" applyBorder="1" applyAlignment="1">
      <alignment horizontal="center" vertical="center"/>
    </xf>
    <xf numFmtId="0" fontId="5" fillId="0" borderId="12" xfId="0" applyFont="1" applyBorder="1" applyAlignment="1">
      <alignment horizontal="center" vertical="top" wrapText="1"/>
    </xf>
    <xf numFmtId="1" fontId="6" fillId="0" borderId="12" xfId="0" applyNumberFormat="1" applyFont="1" applyBorder="1" applyAlignment="1">
      <alignment horizontal="center" vertical="top" shrinkToFit="1"/>
    </xf>
    <xf numFmtId="0" fontId="7" fillId="0" borderId="12" xfId="0" applyFont="1" applyBorder="1" applyAlignment="1">
      <alignment horizontal="center" vertical="top" wrapText="1"/>
    </xf>
    <xf numFmtId="1" fontId="6" fillId="0" borderId="5" xfId="0" applyNumberFormat="1" applyFont="1" applyBorder="1" applyAlignment="1">
      <alignment horizontal="center" vertical="center" shrinkToFit="1"/>
    </xf>
    <xf numFmtId="1" fontId="6" fillId="0" borderId="12" xfId="0" applyNumberFormat="1" applyFont="1" applyBorder="1" applyAlignment="1">
      <alignment horizontal="right" vertical="top" indent="7" shrinkToFit="1"/>
    </xf>
    <xf numFmtId="1" fontId="6" fillId="0" borderId="5" xfId="0" applyNumberFormat="1" applyFont="1" applyBorder="1" applyAlignment="1">
      <alignment horizontal="right" vertical="top" indent="7" shrinkToFit="1"/>
    </xf>
    <xf numFmtId="0" fontId="8" fillId="2" borderId="0" xfId="0" applyFont="1" applyFill="1" applyAlignment="1">
      <alignment horizontal="center" vertical="top"/>
    </xf>
    <xf numFmtId="1" fontId="6" fillId="0" borderId="2" xfId="0" applyNumberFormat="1" applyFont="1" applyBorder="1" applyAlignment="1">
      <alignment horizontal="center" vertical="top" shrinkToFit="1"/>
    </xf>
    <xf numFmtId="1" fontId="6" fillId="0" borderId="4" xfId="0" applyNumberFormat="1" applyFont="1" applyBorder="1" applyAlignment="1">
      <alignment horizontal="center" vertical="top" shrinkToFit="1"/>
    </xf>
    <xf numFmtId="1" fontId="6" fillId="0" borderId="3" xfId="0" applyNumberFormat="1" applyFont="1" applyBorder="1" applyAlignment="1">
      <alignment horizontal="center" vertical="top" shrinkToFit="1"/>
    </xf>
    <xf numFmtId="1" fontId="13" fillId="0" borderId="2" xfId="0" applyNumberFormat="1" applyFont="1" applyBorder="1" applyAlignment="1">
      <alignment horizontal="center" vertical="top" shrinkToFit="1"/>
    </xf>
    <xf numFmtId="1" fontId="13" fillId="0" borderId="4" xfId="0" applyNumberFormat="1" applyFont="1" applyBorder="1" applyAlignment="1">
      <alignment horizontal="center" vertical="top" shrinkToFit="1"/>
    </xf>
    <xf numFmtId="1" fontId="13" fillId="0" borderId="3" xfId="0" applyNumberFormat="1" applyFont="1" applyBorder="1" applyAlignment="1">
      <alignment horizontal="center" vertical="top" shrinkToFi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2" xfId="0" applyFont="1" applyBorder="1" applyAlignment="1">
      <alignment horizontal="left" vertical="top" wrapText="1" indent="2"/>
    </xf>
    <xf numFmtId="0" fontId="5" fillId="0" borderId="4" xfId="0" applyFont="1" applyBorder="1" applyAlignment="1">
      <alignment horizontal="left" vertical="top" wrapText="1" indent="2"/>
    </xf>
    <xf numFmtId="0" fontId="5" fillId="0" borderId="2" xfId="0" applyFont="1" applyBorder="1" applyAlignment="1">
      <alignment horizontal="left" vertical="top" wrapText="1" indent="6"/>
    </xf>
    <xf numFmtId="0" fontId="5" fillId="0" borderId="3" xfId="0" applyFont="1" applyBorder="1" applyAlignment="1">
      <alignment horizontal="left" vertical="top" wrapText="1" indent="6"/>
    </xf>
    <xf numFmtId="0" fontId="5" fillId="0" borderId="4" xfId="0" applyFont="1" applyBorder="1" applyAlignment="1">
      <alignment horizontal="left" vertical="top" wrapText="1" indent="6"/>
    </xf>
    <xf numFmtId="1" fontId="6" fillId="0" borderId="2" xfId="0" applyNumberFormat="1" applyFont="1" applyBorder="1" applyAlignment="1">
      <alignment horizontal="left" vertical="top" shrinkToFit="1"/>
    </xf>
    <xf numFmtId="1" fontId="6" fillId="0" borderId="3" xfId="0" applyNumberFormat="1" applyFont="1" applyBorder="1" applyAlignment="1">
      <alignment horizontal="left" vertical="top" shrinkToFit="1"/>
    </xf>
    <xf numFmtId="1" fontId="6" fillId="0" borderId="4" xfId="0" applyNumberFormat="1" applyFont="1" applyBorder="1" applyAlignment="1">
      <alignment horizontal="left" vertical="top" shrinkToFit="1"/>
    </xf>
    <xf numFmtId="1" fontId="6" fillId="0" borderId="2" xfId="0" applyNumberFormat="1" applyFont="1" applyBorder="1" applyAlignment="1">
      <alignment horizontal="center" vertical="center" shrinkToFit="1"/>
    </xf>
    <xf numFmtId="1" fontId="6" fillId="0" borderId="4" xfId="0" applyNumberFormat="1" applyFont="1" applyBorder="1" applyAlignment="1">
      <alignment horizontal="center" vertical="center" shrinkToFit="1"/>
    </xf>
    <xf numFmtId="1" fontId="6" fillId="0" borderId="3" xfId="0" applyNumberFormat="1" applyFont="1" applyBorder="1" applyAlignment="1">
      <alignment horizontal="center" vertical="center" shrinkToFi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5" fillId="0" borderId="10" xfId="0" applyFont="1" applyBorder="1" applyAlignment="1">
      <alignment horizontal="center" vertical="top" wrapText="1"/>
    </xf>
    <xf numFmtId="0" fontId="5" fillId="0" borderId="15" xfId="0" applyFont="1" applyBorder="1" applyAlignment="1">
      <alignment horizontal="center" vertical="top" wrapText="1"/>
    </xf>
    <xf numFmtId="0" fontId="5" fillId="0" borderId="11" xfId="0" applyFont="1" applyBorder="1" applyAlignment="1">
      <alignment horizontal="center" vertical="top" wrapText="1"/>
    </xf>
    <xf numFmtId="0" fontId="5" fillId="0" borderId="12" xfId="0" applyFont="1" applyBorder="1" applyAlignment="1">
      <alignment horizontal="center" vertical="top" wrapText="1"/>
    </xf>
    <xf numFmtId="0" fontId="7" fillId="0" borderId="1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1" xfId="0" applyFont="1" applyBorder="1" applyAlignment="1">
      <alignment horizontal="center" vertical="center" wrapText="1"/>
    </xf>
    <xf numFmtId="0" fontId="5" fillId="4" borderId="12" xfId="0" applyFont="1" applyFill="1" applyBorder="1" applyAlignment="1">
      <alignment horizontal="center"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0" fontId="7" fillId="0" borderId="8" xfId="0" applyFont="1" applyBorder="1" applyAlignment="1">
      <alignment horizontal="left" vertical="top" wrapText="1"/>
    </xf>
    <xf numFmtId="0" fontId="7" fillId="0" borderId="14" xfId="0" applyFont="1" applyBorder="1" applyAlignment="1">
      <alignment horizontal="left" vertical="top" wrapText="1"/>
    </xf>
    <xf numFmtId="0" fontId="7" fillId="0" borderId="9" xfId="0" applyFont="1" applyBorder="1" applyAlignment="1">
      <alignment horizontal="left" vertical="top" wrapText="1"/>
    </xf>
    <xf numFmtId="0" fontId="7" fillId="0" borderId="12" xfId="0" applyFont="1" applyBorder="1" applyAlignment="1">
      <alignment horizontal="left" vertical="top" wrapText="1"/>
    </xf>
    <xf numFmtId="0" fontId="5" fillId="0" borderId="12" xfId="0" applyFont="1" applyBorder="1" applyAlignment="1">
      <alignment horizontal="left" vertical="top" wrapText="1"/>
    </xf>
    <xf numFmtId="0" fontId="7" fillId="0" borderId="10" xfId="0" applyFont="1" applyBorder="1" applyAlignment="1">
      <alignment horizontal="left" vertical="top" wrapText="1"/>
    </xf>
    <xf numFmtId="0" fontId="7" fillId="0" borderId="15" xfId="0" applyFont="1" applyBorder="1" applyAlignment="1">
      <alignment horizontal="left" vertical="top" wrapText="1"/>
    </xf>
    <xf numFmtId="0" fontId="7" fillId="0" borderId="11"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14" fontId="7" fillId="0" borderId="12" xfId="0" applyNumberFormat="1" applyFont="1" applyBorder="1" applyAlignment="1">
      <alignment horizontal="left" vertical="top" wrapText="1"/>
    </xf>
    <xf numFmtId="0" fontId="0" fillId="0" borderId="12" xfId="0" applyBorder="1" applyAlignment="1">
      <alignment horizontal="left" vertical="top" wrapText="1"/>
    </xf>
    <xf numFmtId="0" fontId="5" fillId="0" borderId="10" xfId="0" applyFont="1" applyBorder="1" applyAlignment="1">
      <alignment horizontal="left" vertical="top" wrapText="1"/>
    </xf>
    <xf numFmtId="0" fontId="5" fillId="0" borderId="15" xfId="0" applyFont="1" applyBorder="1" applyAlignment="1">
      <alignment horizontal="left" vertical="top" wrapText="1"/>
    </xf>
    <xf numFmtId="0" fontId="5" fillId="0" borderId="11" xfId="0" applyFont="1" applyBorder="1" applyAlignment="1">
      <alignment horizontal="left" vertical="top" wrapText="1"/>
    </xf>
    <xf numFmtId="14" fontId="5" fillId="0" borderId="10" xfId="0" applyNumberFormat="1" applyFont="1" applyBorder="1" applyAlignment="1">
      <alignment horizontal="left" vertical="top" wrapText="1"/>
    </xf>
    <xf numFmtId="14" fontId="7" fillId="0" borderId="2" xfId="0" applyNumberFormat="1" applyFont="1" applyBorder="1" applyAlignment="1">
      <alignment horizontal="left" vertical="top" wrapText="1"/>
    </xf>
    <xf numFmtId="164" fontId="6" fillId="0" borderId="12" xfId="0" applyNumberFormat="1" applyFont="1" applyBorder="1" applyAlignment="1">
      <alignment horizontal="left" vertical="top" shrinkToFit="1"/>
    </xf>
    <xf numFmtId="165" fontId="6" fillId="0" borderId="2" xfId="0" applyNumberFormat="1" applyFont="1" applyBorder="1" applyAlignment="1">
      <alignment horizontal="left" vertical="top" shrinkToFit="1"/>
    </xf>
    <xf numFmtId="165" fontId="6" fillId="0" borderId="3" xfId="0" applyNumberFormat="1" applyFont="1" applyBorder="1" applyAlignment="1">
      <alignment horizontal="left" vertical="top" shrinkToFit="1"/>
    </xf>
    <xf numFmtId="165" fontId="6" fillId="0" borderId="4" xfId="0" applyNumberFormat="1" applyFont="1" applyBorder="1" applyAlignment="1">
      <alignment horizontal="left" vertical="top" shrinkToFit="1"/>
    </xf>
    <xf numFmtId="165" fontId="23" fillId="0" borderId="2" xfId="6" applyNumberFormat="1" applyFill="1" applyBorder="1" applyAlignment="1">
      <alignment horizontal="left" vertical="top" shrinkToFit="1"/>
    </xf>
    <xf numFmtId="0" fontId="7" fillId="0" borderId="2" xfId="0" applyFont="1" applyBorder="1" applyAlignment="1">
      <alignment horizontal="left" vertical="top" wrapText="1" indent="2"/>
    </xf>
    <xf numFmtId="0" fontId="7" fillId="0" borderId="4" xfId="0" applyFont="1" applyBorder="1" applyAlignment="1">
      <alignment horizontal="left" vertical="top" wrapText="1" indent="2"/>
    </xf>
    <xf numFmtId="0" fontId="7" fillId="0" borderId="2" xfId="0" applyFont="1" applyBorder="1" applyAlignment="1">
      <alignment horizontal="left" vertical="top" wrapText="1" indent="4"/>
    </xf>
    <xf numFmtId="0" fontId="7" fillId="0" borderId="4" xfId="0" applyFont="1" applyBorder="1" applyAlignment="1">
      <alignment horizontal="left" vertical="top" wrapText="1" indent="4"/>
    </xf>
    <xf numFmtId="14" fontId="7" fillId="0" borderId="3" xfId="0" applyNumberFormat="1" applyFont="1" applyBorder="1" applyAlignment="1">
      <alignment horizontal="left" vertical="top" wrapText="1"/>
    </xf>
    <xf numFmtId="14" fontId="7" fillId="0" borderId="4" xfId="0" applyNumberFormat="1" applyFont="1" applyBorder="1" applyAlignment="1">
      <alignment horizontal="left"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0" fillId="0" borderId="2" xfId="0" applyBorder="1" applyAlignment="1">
      <alignment horizontal="left" vertical="top" wrapText="1"/>
    </xf>
    <xf numFmtId="0" fontId="5" fillId="0" borderId="26" xfId="2" applyFont="1" applyBorder="1" applyAlignment="1" applyProtection="1">
      <alignment horizontal="left" vertical="top" wrapText="1"/>
      <protection locked="0"/>
    </xf>
    <xf numFmtId="0" fontId="5" fillId="0" borderId="27" xfId="2" applyFont="1" applyBorder="1" applyAlignment="1" applyProtection="1">
      <alignment horizontal="left" vertical="top" wrapText="1"/>
      <protection locked="0"/>
    </xf>
    <xf numFmtId="0" fontId="5" fillId="0" borderId="28" xfId="2" applyFont="1" applyBorder="1" applyAlignment="1" applyProtection="1">
      <alignment horizontal="left" vertical="top" wrapText="1"/>
      <protection locked="0"/>
    </xf>
    <xf numFmtId="0" fontId="7" fillId="0" borderId="12" xfId="2" applyFont="1" applyBorder="1" applyAlignment="1" applyProtection="1">
      <alignment horizontal="center" vertical="top"/>
      <protection locked="0"/>
    </xf>
    <xf numFmtId="0" fontId="5" fillId="0" borderId="19" xfId="2" applyFont="1" applyBorder="1" applyAlignment="1" applyProtection="1">
      <alignment horizontal="left" vertical="top"/>
      <protection locked="0"/>
    </xf>
    <xf numFmtId="0" fontId="5" fillId="0" borderId="12" xfId="2" applyFont="1" applyBorder="1" applyAlignment="1" applyProtection="1">
      <alignment horizontal="left" vertical="top"/>
      <protection locked="0"/>
    </xf>
    <xf numFmtId="0" fontId="5" fillId="0" borderId="12" xfId="2" applyFont="1" applyBorder="1" applyAlignment="1" applyProtection="1">
      <alignment horizontal="left" vertical="top" wrapText="1"/>
      <protection locked="0"/>
    </xf>
    <xf numFmtId="0" fontId="5" fillId="0" borderId="20" xfId="2" applyFont="1" applyBorder="1" applyAlignment="1" applyProtection="1">
      <alignment horizontal="left" vertical="top" wrapText="1"/>
      <protection locked="0"/>
    </xf>
    <xf numFmtId="0" fontId="7" fillId="0" borderId="19" xfId="2" applyFont="1" applyBorder="1" applyAlignment="1" applyProtection="1">
      <alignment horizontal="center" vertical="top" wrapText="1"/>
      <protection locked="0"/>
    </xf>
    <xf numFmtId="0" fontId="7" fillId="0" borderId="12" xfId="2" applyFont="1" applyBorder="1" applyAlignment="1" applyProtection="1">
      <alignment horizontal="center" vertical="top" wrapText="1"/>
      <protection locked="0"/>
    </xf>
    <xf numFmtId="9" fontId="7" fillId="3" borderId="12" xfId="2" applyNumberFormat="1" applyFont="1" applyFill="1" applyBorder="1" applyAlignment="1" applyProtection="1">
      <alignment horizontal="center" vertical="center" wrapText="1"/>
      <protection hidden="1"/>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4" xfId="0" applyFont="1" applyFill="1" applyBorder="1" applyAlignment="1">
      <alignment horizontal="center" vertical="top" wrapText="1"/>
    </xf>
    <xf numFmtId="0" fontId="14" fillId="0" borderId="12" xfId="0" applyFont="1" applyBorder="1" applyAlignment="1">
      <alignment horizontal="center" vertical="top"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left" vertical="top" wrapText="1" indent="3"/>
    </xf>
    <xf numFmtId="0" fontId="4" fillId="0" borderId="9" xfId="0" applyFont="1" applyBorder="1" applyAlignment="1">
      <alignment horizontal="left" vertical="top" wrapText="1" indent="3"/>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5" fillId="0" borderId="12" xfId="2" applyFont="1" applyBorder="1" applyAlignment="1" applyProtection="1">
      <alignment horizontal="center" vertical="center" wrapText="1"/>
      <protection locked="0"/>
    </xf>
    <xf numFmtId="9" fontId="5" fillId="0" borderId="12" xfId="2" applyNumberFormat="1" applyFont="1" applyBorder="1" applyAlignment="1" applyProtection="1">
      <alignment horizontal="center" vertical="center" wrapText="1"/>
      <protection locked="0"/>
    </xf>
    <xf numFmtId="9" fontId="5" fillId="3" borderId="12" xfId="2" applyNumberFormat="1" applyFont="1" applyFill="1" applyBorder="1" applyAlignment="1" applyProtection="1">
      <alignment horizontal="center" vertical="center" wrapText="1"/>
      <protection hidden="1"/>
    </xf>
    <xf numFmtId="0" fontId="9" fillId="0" borderId="12" xfId="0" applyFont="1" applyBorder="1" applyAlignment="1">
      <alignment horizontal="left"/>
    </xf>
    <xf numFmtId="0" fontId="11" fillId="0" borderId="12" xfId="0" applyFont="1" applyBorder="1" applyAlignment="1">
      <alignment horizontal="center"/>
    </xf>
    <xf numFmtId="0" fontId="9" fillId="0" borderId="12" xfId="0" applyFont="1" applyBorder="1" applyAlignment="1">
      <alignment horizontal="center"/>
    </xf>
    <xf numFmtId="0" fontId="16" fillId="0" borderId="12" xfId="4" applyFont="1" applyBorder="1" applyAlignment="1">
      <alignment horizontal="left"/>
    </xf>
    <xf numFmtId="2" fontId="6" fillId="0" borderId="12" xfId="0" applyNumberFormat="1" applyFont="1" applyBorder="1" applyAlignment="1">
      <alignment horizontal="left" vertical="top" shrinkToFit="1"/>
    </xf>
    <xf numFmtId="1" fontId="6" fillId="0" borderId="12" xfId="0" applyNumberFormat="1" applyFont="1" applyBorder="1" applyAlignment="1">
      <alignment horizontal="left" vertical="top" shrinkToFit="1"/>
    </xf>
  </cellXfs>
  <cellStyles count="7">
    <cellStyle name="Comma 2" xfId="5"/>
    <cellStyle name="Excel Built-in Normal 2" xfId="3"/>
    <cellStyle name="Hyperlink" xfId="6" builtinId="8"/>
    <cellStyle name="Normal" xfId="0" builtinId="0"/>
    <cellStyle name="Normal 3" xfId="2"/>
    <cellStyle name="Normal 4" xfId="4"/>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jpg"/><Relationship Id="rId1" Type="http://schemas.openxmlformats.org/officeDocument/2006/relationships/image" Target="../media/image29.jpg"/></Relationships>
</file>

<file path=xl/drawings/_rels/drawing3.xml.rels><?xml version="1.0" encoding="UTF-8" standalone="yes"?>
<Relationships xmlns="http://schemas.openxmlformats.org/package/2006/relationships"><Relationship Id="rId2" Type="http://schemas.openxmlformats.org/officeDocument/2006/relationships/image" Target="../media/image33.jpeg"/><Relationship Id="rId1" Type="http://schemas.openxmlformats.org/officeDocument/2006/relationships/image" Target="../media/image32.jpg"/></Relationships>
</file>

<file path=xl/drawings/_rels/drawing4.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png"/><Relationship Id="rId5" Type="http://schemas.openxmlformats.org/officeDocument/2006/relationships/image" Target="../media/image38.png"/><Relationship Id="rId4" Type="http://schemas.openxmlformats.org/officeDocument/2006/relationships/image" Target="../media/image3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oneCellAnchor>
    <xdr:from>
      <xdr:col>1</xdr:col>
      <xdr:colOff>133304</xdr:colOff>
      <xdr:row>311</xdr:row>
      <xdr:rowOff>150247</xdr:rowOff>
    </xdr:from>
    <xdr:ext cx="4046489" cy="2520000"/>
    <xdr:grpSp>
      <xdr:nvGrpSpPr>
        <xdr:cNvPr id="22" name="Group 17">
          <a:extLst>
            <a:ext uri="{FF2B5EF4-FFF2-40B4-BE49-F238E27FC236}">
              <a16:creationId xmlns:a16="http://schemas.microsoft.com/office/drawing/2014/main" id="{00000000-0008-0000-0000-000016000000}"/>
            </a:ext>
          </a:extLst>
        </xdr:cNvPr>
        <xdr:cNvGrpSpPr/>
      </xdr:nvGrpSpPr>
      <xdr:grpSpPr>
        <a:xfrm>
          <a:off x="1212804" y="67568197"/>
          <a:ext cx="4046489" cy="2520000"/>
          <a:chOff x="245363" y="4572"/>
          <a:chExt cx="6101080" cy="3637915"/>
        </a:xfrm>
      </xdr:grpSpPr>
      <xdr:pic>
        <xdr:nvPicPr>
          <xdr:cNvPr id="23" name="image11.jpeg">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9936" y="9144"/>
            <a:ext cx="6089904" cy="3627120"/>
          </a:xfrm>
          <a:prstGeom prst="rect">
            <a:avLst/>
          </a:prstGeom>
        </xdr:spPr>
      </xdr:pic>
      <xdr:sp macro="" textlink="">
        <xdr:nvSpPr>
          <xdr:cNvPr id="24" name="Shape 19">
            <a:extLst>
              <a:ext uri="{FF2B5EF4-FFF2-40B4-BE49-F238E27FC236}">
                <a16:creationId xmlns:a16="http://schemas.microsoft.com/office/drawing/2014/main" id="{00000000-0008-0000-0000-000018000000}"/>
              </a:ext>
            </a:extLst>
          </xdr:cNvPr>
          <xdr:cNvSpPr/>
        </xdr:nvSpPr>
        <xdr:spPr>
          <a:xfrm>
            <a:off x="245363" y="4572"/>
            <a:ext cx="6101080" cy="3637915"/>
          </a:xfrm>
          <a:custGeom>
            <a:avLst/>
            <a:gdLst/>
            <a:ahLst/>
            <a:cxnLst/>
            <a:rect l="0" t="0" r="0" b="0"/>
            <a:pathLst>
              <a:path w="6101080" h="3637915">
                <a:moveTo>
                  <a:pt x="0" y="0"/>
                </a:moveTo>
                <a:lnTo>
                  <a:pt x="6100572" y="0"/>
                </a:lnTo>
                <a:lnTo>
                  <a:pt x="6100572" y="3637787"/>
                </a:lnTo>
                <a:lnTo>
                  <a:pt x="0" y="3637787"/>
                </a:lnTo>
                <a:lnTo>
                  <a:pt x="0" y="0"/>
                </a:lnTo>
                <a:close/>
              </a:path>
            </a:pathLst>
          </a:custGeom>
          <a:ln w="9143">
            <a:solidFill>
              <a:srgbClr val="000000"/>
            </a:solidFill>
          </a:ln>
        </xdr:spPr>
      </xdr:sp>
    </xdr:grpSp>
    <xdr:clientData/>
  </xdr:oneCellAnchor>
  <xdr:oneCellAnchor>
    <xdr:from>
      <xdr:col>1</xdr:col>
      <xdr:colOff>128733</xdr:colOff>
      <xdr:row>328</xdr:row>
      <xdr:rowOff>0</xdr:rowOff>
    </xdr:from>
    <xdr:ext cx="4052385" cy="2520000"/>
    <xdr:grpSp>
      <xdr:nvGrpSpPr>
        <xdr:cNvPr id="29" name="Group 22">
          <a:extLst>
            <a:ext uri="{FF2B5EF4-FFF2-40B4-BE49-F238E27FC236}">
              <a16:creationId xmlns:a16="http://schemas.microsoft.com/office/drawing/2014/main" id="{00000000-0008-0000-0000-00001D000000}"/>
            </a:ext>
          </a:extLst>
        </xdr:cNvPr>
        <xdr:cNvGrpSpPr/>
      </xdr:nvGrpSpPr>
      <xdr:grpSpPr>
        <a:xfrm>
          <a:off x="1208233" y="70224650"/>
          <a:ext cx="4052385" cy="2520000"/>
          <a:chOff x="0" y="0"/>
          <a:chExt cx="6109970" cy="3647440"/>
        </a:xfrm>
      </xdr:grpSpPr>
      <xdr:pic>
        <xdr:nvPicPr>
          <xdr:cNvPr id="30" name="image13.jpeg">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 y="9144"/>
            <a:ext cx="6089904" cy="3628644"/>
          </a:xfrm>
          <a:prstGeom prst="rect">
            <a:avLst/>
          </a:prstGeom>
        </xdr:spPr>
      </xdr:pic>
      <xdr:sp macro="" textlink="">
        <xdr:nvSpPr>
          <xdr:cNvPr id="31" name="Shape 24">
            <a:extLst>
              <a:ext uri="{FF2B5EF4-FFF2-40B4-BE49-F238E27FC236}">
                <a16:creationId xmlns:a16="http://schemas.microsoft.com/office/drawing/2014/main" id="{00000000-0008-0000-0000-00001F000000}"/>
              </a:ext>
            </a:extLst>
          </xdr:cNvPr>
          <xdr:cNvSpPr/>
        </xdr:nvSpPr>
        <xdr:spPr>
          <a:xfrm>
            <a:off x="4572" y="4572"/>
            <a:ext cx="6101080" cy="3637915"/>
          </a:xfrm>
          <a:custGeom>
            <a:avLst/>
            <a:gdLst/>
            <a:ahLst/>
            <a:cxnLst/>
            <a:rect l="0" t="0" r="0" b="0"/>
            <a:pathLst>
              <a:path w="6101080" h="3637915">
                <a:moveTo>
                  <a:pt x="0" y="0"/>
                </a:moveTo>
                <a:lnTo>
                  <a:pt x="6100572" y="0"/>
                </a:lnTo>
                <a:lnTo>
                  <a:pt x="6100572" y="3637787"/>
                </a:lnTo>
                <a:lnTo>
                  <a:pt x="0" y="3637787"/>
                </a:lnTo>
                <a:lnTo>
                  <a:pt x="0" y="0"/>
                </a:lnTo>
                <a:close/>
              </a:path>
            </a:pathLst>
          </a:custGeom>
          <a:ln w="9144">
            <a:solidFill>
              <a:srgbClr val="000000"/>
            </a:solidFill>
          </a:ln>
        </xdr:spPr>
      </xdr:sp>
    </xdr:grpSp>
    <xdr:clientData/>
  </xdr:oneCellAnchor>
  <xdr:oneCellAnchor>
    <xdr:from>
      <xdr:col>10</xdr:col>
      <xdr:colOff>146133</xdr:colOff>
      <xdr:row>254</xdr:row>
      <xdr:rowOff>0</xdr:rowOff>
    </xdr:from>
    <xdr:ext cx="266291" cy="264560"/>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8362481" y="61017978"/>
          <a:ext cx="266291"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0" cap="none" spc="0">
              <a:ln w="0"/>
              <a:solidFill>
                <a:schemeClr val="tx1"/>
              </a:solidFill>
              <a:effectLst>
                <a:outerShdw blurRad="38100" dist="19050" dir="2700000" algn="tl" rotWithShape="0">
                  <a:schemeClr val="dk1">
                    <a:alpha val="40000"/>
                  </a:schemeClr>
                </a:outerShdw>
              </a:effectLst>
            </a:rPr>
            <a:t>C</a:t>
          </a:r>
        </a:p>
      </xdr:txBody>
    </xdr:sp>
    <xdr:clientData/>
  </xdr:oneCellAnchor>
  <xdr:twoCellAnchor>
    <xdr:from>
      <xdr:col>8</xdr:col>
      <xdr:colOff>114299</xdr:colOff>
      <xdr:row>254</xdr:row>
      <xdr:rowOff>119903</xdr:rowOff>
    </xdr:from>
    <xdr:to>
      <xdr:col>18</xdr:col>
      <xdr:colOff>429656</xdr:colOff>
      <xdr:row>303</xdr:row>
      <xdr:rowOff>36472</xdr:rowOff>
    </xdr:to>
    <xdr:grpSp>
      <xdr:nvGrpSpPr>
        <xdr:cNvPr id="7" name="Group 6">
          <a:extLst>
            <a:ext uri="{FF2B5EF4-FFF2-40B4-BE49-F238E27FC236}">
              <a16:creationId xmlns:a16="http://schemas.microsoft.com/office/drawing/2014/main" id="{8D260E61-5C98-C146-5B78-7D68B3FE5A91}"/>
            </a:ext>
          </a:extLst>
        </xdr:cNvPr>
        <xdr:cNvGrpSpPr/>
      </xdr:nvGrpSpPr>
      <xdr:grpSpPr>
        <a:xfrm>
          <a:off x="8064499" y="58070003"/>
          <a:ext cx="6563757" cy="8038219"/>
          <a:chOff x="147917" y="59399021"/>
          <a:chExt cx="6220857" cy="6550451"/>
        </a:xfrm>
      </xdr:grpSpPr>
      <xdr:pic>
        <xdr:nvPicPr>
          <xdr:cNvPr id="15" name="Picture 14" descr="https://vsjcllp.vsjadon.com/upload/insp-197368-1525.jpg">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3971823" y="64262374"/>
            <a:ext cx="2301360" cy="167757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197368-919.jpg">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3540708" y="62075546"/>
            <a:ext cx="2828066" cy="205844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197368-931.jpg">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178314" y="64271899"/>
            <a:ext cx="1297563" cy="167757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197368-849.jpg">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1580030" y="64262374"/>
            <a:ext cx="2304722" cy="167757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3" name="Group 2">
            <a:extLst>
              <a:ext uri="{FF2B5EF4-FFF2-40B4-BE49-F238E27FC236}">
                <a16:creationId xmlns:a16="http://schemas.microsoft.com/office/drawing/2014/main" id="{00000000-0008-0000-0000-000003000000}"/>
              </a:ext>
            </a:extLst>
          </xdr:cNvPr>
          <xdr:cNvGrpSpPr/>
        </xdr:nvGrpSpPr>
        <xdr:grpSpPr>
          <a:xfrm>
            <a:off x="2268514" y="59427596"/>
            <a:ext cx="1972746" cy="2556842"/>
            <a:chOff x="2232096" y="58045350"/>
            <a:chExt cx="1968263" cy="2637525"/>
          </a:xfrm>
        </xdr:grpSpPr>
        <xdr:pic>
          <xdr:nvPicPr>
            <xdr:cNvPr id="21" name="Picture 20" descr="https://vsjcllp.vsjadon.com/upload/insp-197368-843.jp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2232096" y="58054875"/>
              <a:ext cx="1968263" cy="2628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2238374" y="58045350"/>
              <a:ext cx="828675" cy="31149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400" b="1" cap="none" spc="0">
                  <a:ln w="0"/>
                  <a:solidFill>
                    <a:srgbClr val="FF0000"/>
                  </a:solidFill>
                  <a:effectLst>
                    <a:outerShdw blurRad="38100" dist="19050" dir="2700000" algn="tl" rotWithShape="0">
                      <a:schemeClr val="dk1">
                        <a:alpha val="40000"/>
                      </a:schemeClr>
                    </a:outerShdw>
                  </a:effectLst>
                </a:rPr>
                <a:t>Wing B</a:t>
              </a:r>
            </a:p>
          </xdr:txBody>
        </xdr:sp>
      </xdr:grpSp>
      <xdr:grpSp>
        <xdr:nvGrpSpPr>
          <xdr:cNvPr id="4" name="Group 3">
            <a:extLst>
              <a:ext uri="{FF2B5EF4-FFF2-40B4-BE49-F238E27FC236}">
                <a16:creationId xmlns:a16="http://schemas.microsoft.com/office/drawing/2014/main" id="{00000000-0008-0000-0000-000004000000}"/>
              </a:ext>
            </a:extLst>
          </xdr:cNvPr>
          <xdr:cNvGrpSpPr/>
        </xdr:nvGrpSpPr>
        <xdr:grpSpPr>
          <a:xfrm>
            <a:off x="189263" y="59399021"/>
            <a:ext cx="1971064" cy="2585417"/>
            <a:chOff x="155646" y="58016775"/>
            <a:chExt cx="1968263" cy="2666100"/>
          </a:xfrm>
        </xdr:grpSpPr>
        <xdr:pic>
          <xdr:nvPicPr>
            <xdr:cNvPr id="26" name="Picture 25" descr="https://vsjcllp.vsjadon.com/upload/insp-197368-861.jpg">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155646" y="58054875"/>
              <a:ext cx="1968263" cy="2628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209550" y="58016775"/>
              <a:ext cx="722442" cy="31149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400" b="1" cap="none" spc="0">
                  <a:ln w="0"/>
                  <a:solidFill>
                    <a:srgbClr val="FF0000"/>
                  </a:solidFill>
                  <a:effectLst>
                    <a:outerShdw blurRad="38100" dist="19050" dir="2700000" algn="tl" rotWithShape="0">
                      <a:schemeClr val="dk1">
                        <a:alpha val="40000"/>
                      </a:schemeClr>
                    </a:outerShdw>
                  </a:effectLst>
                </a:rPr>
                <a:t>Wing A</a:t>
              </a:r>
            </a:p>
          </xdr:txBody>
        </xdr:sp>
      </xdr:grpSp>
      <xdr:grpSp>
        <xdr:nvGrpSpPr>
          <xdr:cNvPr id="2" name="Group 1">
            <a:extLst>
              <a:ext uri="{FF2B5EF4-FFF2-40B4-BE49-F238E27FC236}">
                <a16:creationId xmlns:a16="http://schemas.microsoft.com/office/drawing/2014/main" id="{00000000-0008-0000-0000-000002000000}"/>
              </a:ext>
            </a:extLst>
          </xdr:cNvPr>
          <xdr:cNvGrpSpPr/>
        </xdr:nvGrpSpPr>
        <xdr:grpSpPr>
          <a:xfrm>
            <a:off x="4353929" y="59427596"/>
            <a:ext cx="1964341" cy="2556842"/>
            <a:chOff x="4308546" y="58045350"/>
            <a:chExt cx="1968263" cy="2637525"/>
          </a:xfrm>
        </xdr:grpSpPr>
        <xdr:pic>
          <xdr:nvPicPr>
            <xdr:cNvPr id="25" name="Picture 24" descr="https://vsjcllp.vsjadon.com/upload/insp-197368-851.jpg">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4308546" y="58054875"/>
              <a:ext cx="1968263" cy="2628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4343400" y="58045350"/>
              <a:ext cx="828675" cy="31149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400" b="1" cap="none" spc="0">
                  <a:ln w="0"/>
                  <a:solidFill>
                    <a:srgbClr val="FF0000"/>
                  </a:solidFill>
                  <a:effectLst>
                    <a:outerShdw blurRad="38100" dist="19050" dir="2700000" algn="tl" rotWithShape="0">
                      <a:schemeClr val="dk1">
                        <a:alpha val="40000"/>
                      </a:schemeClr>
                    </a:outerShdw>
                  </a:effectLst>
                </a:rPr>
                <a:t>Wing C</a:t>
              </a:r>
            </a:p>
          </xdr:txBody>
        </xdr:sp>
      </xdr:grpSp>
      <xdr:grpSp>
        <xdr:nvGrpSpPr>
          <xdr:cNvPr id="6" name="Group 5">
            <a:extLst>
              <a:ext uri="{FF2B5EF4-FFF2-40B4-BE49-F238E27FC236}">
                <a16:creationId xmlns:a16="http://schemas.microsoft.com/office/drawing/2014/main" id="{00000000-0008-0000-0000-000006000000}"/>
              </a:ext>
            </a:extLst>
          </xdr:cNvPr>
          <xdr:cNvGrpSpPr/>
        </xdr:nvGrpSpPr>
        <xdr:grpSpPr>
          <a:xfrm>
            <a:off x="147917" y="62075546"/>
            <a:ext cx="1593588" cy="2058445"/>
            <a:chOff x="114300" y="60417075"/>
            <a:chExt cx="1590787" cy="2124000"/>
          </a:xfrm>
        </xdr:grpSpPr>
        <xdr:pic>
          <xdr:nvPicPr>
            <xdr:cNvPr id="37" name="Picture 36" descr="https://vsjcllp.vsjadon.com/upload/insp-197368-874.jpg">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14300" y="60417075"/>
              <a:ext cx="1590787" cy="2124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381000" y="60521850"/>
              <a:ext cx="722442" cy="31149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1" cap="none" spc="0">
                  <a:ln w="0"/>
                  <a:solidFill>
                    <a:srgbClr val="FF0000"/>
                  </a:solidFill>
                  <a:effectLst>
                    <a:outerShdw blurRad="38100" dist="19050" dir="2700000" algn="tl" rotWithShape="0">
                      <a:schemeClr val="dk1">
                        <a:alpha val="40000"/>
                      </a:schemeClr>
                    </a:outerShdw>
                  </a:effectLst>
                </a:rPr>
                <a:t>Wing A</a:t>
              </a:r>
            </a:p>
          </xdr:txBody>
        </xdr:sp>
      </xdr:grpSp>
      <xdr:grpSp>
        <xdr:nvGrpSpPr>
          <xdr:cNvPr id="5" name="Group 4">
            <a:extLst>
              <a:ext uri="{FF2B5EF4-FFF2-40B4-BE49-F238E27FC236}">
                <a16:creationId xmlns:a16="http://schemas.microsoft.com/office/drawing/2014/main" id="{00000000-0008-0000-0000-000005000000}"/>
              </a:ext>
            </a:extLst>
          </xdr:cNvPr>
          <xdr:cNvGrpSpPr/>
        </xdr:nvGrpSpPr>
        <xdr:grpSpPr>
          <a:xfrm>
            <a:off x="1832650" y="62075546"/>
            <a:ext cx="1595830" cy="2058445"/>
            <a:chOff x="1796232" y="60417075"/>
            <a:chExt cx="1590787" cy="2124000"/>
          </a:xfrm>
        </xdr:grpSpPr>
        <xdr:pic>
          <xdr:nvPicPr>
            <xdr:cNvPr id="38" name="Picture 37" descr="https://vsjcllp.vsjadon.com/upload/insp-197368-871.jpg">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796232" y="60417075"/>
              <a:ext cx="1590787" cy="2124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1996257" y="60483750"/>
              <a:ext cx="722442" cy="31149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1" cap="none" spc="0">
                  <a:ln w="0"/>
                  <a:solidFill>
                    <a:srgbClr val="FF0000"/>
                  </a:solidFill>
                  <a:effectLst>
                    <a:outerShdw blurRad="38100" dist="19050" dir="2700000" algn="tl" rotWithShape="0">
                      <a:schemeClr val="dk1">
                        <a:alpha val="40000"/>
                      </a:schemeClr>
                    </a:outerShdw>
                  </a:effectLst>
                </a:rPr>
                <a:t>Wing A</a:t>
              </a:r>
            </a:p>
          </xdr:txBody>
        </xdr:sp>
      </xdr:grpSp>
    </xdr:grpSp>
    <xdr:clientData/>
  </xdr:twoCellAnchor>
  <xdr:twoCellAnchor>
    <xdr:from>
      <xdr:col>8</xdr:col>
      <xdr:colOff>0</xdr:colOff>
      <xdr:row>252</xdr:row>
      <xdr:rowOff>0</xdr:rowOff>
    </xdr:from>
    <xdr:to>
      <xdr:col>8</xdr:col>
      <xdr:colOff>763348</xdr:colOff>
      <xdr:row>253</xdr:row>
      <xdr:rowOff>173827</xdr:rowOff>
    </xdr:to>
    <xdr:sp macro="" textlink="">
      <xdr:nvSpPr>
        <xdr:cNvPr id="66" name="TextBox 65">
          <a:extLst>
            <a:ext uri="{FF2B5EF4-FFF2-40B4-BE49-F238E27FC236}">
              <a16:creationId xmlns:a16="http://schemas.microsoft.com/office/drawing/2014/main" id="{00000000-0008-0000-0000-000023000000}"/>
            </a:ext>
          </a:extLst>
        </xdr:cNvPr>
        <xdr:cNvSpPr txBox="1"/>
      </xdr:nvSpPr>
      <xdr:spPr>
        <a:xfrm>
          <a:off x="7950200" y="57073800"/>
          <a:ext cx="763348" cy="37067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1" cap="none" spc="0">
              <a:ln w="0"/>
              <a:solidFill>
                <a:srgbClr val="FFFF00"/>
              </a:solidFill>
              <a:effectLst>
                <a:outerShdw blurRad="38100" dist="19050" dir="2700000" algn="tl" rotWithShape="0">
                  <a:schemeClr val="dk1">
                    <a:alpha val="40000"/>
                  </a:schemeClr>
                </a:outerShdw>
              </a:effectLst>
            </a:rPr>
            <a:t>Wing A</a:t>
          </a:r>
        </a:p>
      </xdr:txBody>
    </xdr:sp>
    <xdr:clientData/>
  </xdr:twoCellAnchor>
  <xdr:twoCellAnchor>
    <xdr:from>
      <xdr:col>0</xdr:col>
      <xdr:colOff>596900</xdr:colOff>
      <xdr:row>256</xdr:row>
      <xdr:rowOff>12700</xdr:rowOff>
    </xdr:from>
    <xdr:to>
      <xdr:col>6</xdr:col>
      <xdr:colOff>1626591</xdr:colOff>
      <xdr:row>306</xdr:row>
      <xdr:rowOff>14504</xdr:rowOff>
    </xdr:to>
    <xdr:grpSp>
      <xdr:nvGrpSpPr>
        <xdr:cNvPr id="9" name="Group 8"/>
        <xdr:cNvGrpSpPr/>
      </xdr:nvGrpSpPr>
      <xdr:grpSpPr>
        <a:xfrm>
          <a:off x="596900" y="58324750"/>
          <a:ext cx="6516091" cy="8256804"/>
          <a:chOff x="596900" y="58312050"/>
          <a:chExt cx="6516091" cy="8256804"/>
        </a:xfrm>
      </xdr:grpSpPr>
      <xdr:pic>
        <xdr:nvPicPr>
          <xdr:cNvPr id="62" name="Picture 61"/>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254499" y="62616586"/>
            <a:ext cx="1543294" cy="2052000"/>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5679164" y="64768854"/>
            <a:ext cx="1353767" cy="1800000"/>
          </a:xfrm>
          <a:prstGeom prst="rect">
            <a:avLst/>
          </a:prstGeom>
          <a:ln>
            <a:solidFill>
              <a:schemeClr val="tx1"/>
            </a:solidFill>
          </a:ln>
        </xdr:spPr>
      </xdr:pic>
      <xdr:pic>
        <xdr:nvPicPr>
          <xdr:cNvPr id="68" name="Picture 67"/>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659530" y="64768854"/>
            <a:ext cx="2387824" cy="1800000"/>
          </a:xfrm>
          <a:prstGeom prst="rect">
            <a:avLst/>
          </a:prstGeom>
          <a:ln>
            <a:solidFill>
              <a:schemeClr val="tx1"/>
            </a:solidFill>
          </a:ln>
        </xdr:spPr>
      </xdr:pic>
      <xdr:pic>
        <xdr:nvPicPr>
          <xdr:cNvPr id="69" name="Picture 68"/>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596900" y="62616586"/>
            <a:ext cx="1543294" cy="2052000"/>
          </a:xfrm>
          <a:prstGeom prst="rect">
            <a:avLst/>
          </a:prstGeom>
          <a:ln>
            <a:solidFill>
              <a:schemeClr val="tx1"/>
            </a:solidFill>
          </a:ln>
        </xdr:spPr>
      </xdr:pic>
      <xdr:pic>
        <xdr:nvPicPr>
          <xdr:cNvPr id="70" name="Picture 6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5569697" y="60464318"/>
            <a:ext cx="1543294" cy="2052000"/>
          </a:xfrm>
          <a:prstGeom prst="rect">
            <a:avLst/>
          </a:prstGeom>
          <a:ln>
            <a:solidFill>
              <a:schemeClr val="tx1"/>
            </a:solidFill>
          </a:ln>
        </xdr:spPr>
      </xdr:pic>
      <xdr:pic>
        <xdr:nvPicPr>
          <xdr:cNvPr id="71" name="Picture 70"/>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912098" y="60464318"/>
            <a:ext cx="1543294" cy="2052000"/>
          </a:xfrm>
          <a:prstGeom prst="rect">
            <a:avLst/>
          </a:prstGeom>
          <a:ln>
            <a:solidFill>
              <a:schemeClr val="tx1"/>
            </a:solidFill>
          </a:ln>
        </xdr:spPr>
      </xdr:pic>
      <xdr:pic>
        <xdr:nvPicPr>
          <xdr:cNvPr id="72" name="Picture 71"/>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912098" y="58312050"/>
            <a:ext cx="1543294" cy="2052000"/>
          </a:xfrm>
          <a:prstGeom prst="rect">
            <a:avLst/>
          </a:prstGeom>
          <a:ln>
            <a:solidFill>
              <a:schemeClr val="tx1"/>
            </a:solidFill>
          </a:ln>
        </xdr:spPr>
      </xdr:pic>
      <xdr:pic>
        <xdr:nvPicPr>
          <xdr:cNvPr id="73" name="Picture 72"/>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169347" y="64768854"/>
            <a:ext cx="2387824" cy="1800000"/>
          </a:xfrm>
          <a:prstGeom prst="rect">
            <a:avLst/>
          </a:prstGeom>
          <a:ln>
            <a:solidFill>
              <a:schemeClr val="tx1"/>
            </a:solidFill>
          </a:ln>
        </xdr:spPr>
      </xdr:pic>
      <xdr:pic>
        <xdr:nvPicPr>
          <xdr:cNvPr id="74" name="Picture 73"/>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2260162" y="60464318"/>
            <a:ext cx="1543294" cy="2052000"/>
          </a:xfrm>
          <a:prstGeom prst="rect">
            <a:avLst/>
          </a:prstGeom>
          <a:ln>
            <a:solidFill>
              <a:schemeClr val="tx1"/>
            </a:solidFill>
          </a:ln>
        </xdr:spPr>
      </xdr:pic>
      <xdr:pic>
        <xdr:nvPicPr>
          <xdr:cNvPr id="75" name="Picture 74"/>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2254499" y="58312050"/>
            <a:ext cx="1543294" cy="2052000"/>
          </a:xfrm>
          <a:prstGeom prst="rect">
            <a:avLst/>
          </a:prstGeom>
          <a:ln>
            <a:solidFill>
              <a:schemeClr val="tx1"/>
            </a:solidFill>
          </a:ln>
        </xdr:spPr>
      </xdr:pic>
      <xdr:pic>
        <xdr:nvPicPr>
          <xdr:cNvPr id="76" name="Picture 75"/>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596900" y="58312050"/>
            <a:ext cx="1543294" cy="2052000"/>
          </a:xfrm>
          <a:prstGeom prst="rect">
            <a:avLst/>
          </a:prstGeom>
          <a:ln>
            <a:solidFill>
              <a:schemeClr val="tx1"/>
            </a:solidFill>
          </a:ln>
        </xdr:spPr>
      </xdr:pic>
      <xdr:pic>
        <xdr:nvPicPr>
          <xdr:cNvPr id="77" name="Picture 76"/>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5569697" y="58312050"/>
            <a:ext cx="1543294" cy="2052000"/>
          </a:xfrm>
          <a:prstGeom prst="rect">
            <a:avLst/>
          </a:prstGeom>
          <a:ln>
            <a:solidFill>
              <a:schemeClr val="tx1"/>
            </a:solidFill>
          </a:ln>
        </xdr:spPr>
      </xdr:pic>
      <xdr:pic>
        <xdr:nvPicPr>
          <xdr:cNvPr id="78" name="Picture 77"/>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596900" y="60464318"/>
            <a:ext cx="1543294" cy="2052000"/>
          </a:xfrm>
          <a:prstGeom prst="rect">
            <a:avLst/>
          </a:prstGeom>
          <a:ln>
            <a:solidFill>
              <a:schemeClr val="tx1"/>
            </a:solidFill>
          </a:ln>
        </xdr:spPr>
      </xdr:pic>
      <xdr:pic>
        <xdr:nvPicPr>
          <xdr:cNvPr id="79" name="Picture 78"/>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3912098" y="62616586"/>
            <a:ext cx="1543294" cy="2052000"/>
          </a:xfrm>
          <a:prstGeom prst="rect">
            <a:avLst/>
          </a:prstGeom>
          <a:ln>
            <a:solidFill>
              <a:schemeClr val="tx1"/>
            </a:solidFill>
          </a:ln>
        </xdr:spPr>
      </xdr:pic>
      <xdr:pic>
        <xdr:nvPicPr>
          <xdr:cNvPr id="80" name="Picture 79"/>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5569697" y="62616586"/>
            <a:ext cx="1536863" cy="2052000"/>
          </a:xfrm>
          <a:prstGeom prst="rect">
            <a:avLst/>
          </a:prstGeom>
          <a:ln>
            <a:solidFill>
              <a:schemeClr val="tx1"/>
            </a:solidFill>
          </a:ln>
        </xdr:spPr>
      </xdr:pic>
      <xdr:sp macro="" textlink="">
        <xdr:nvSpPr>
          <xdr:cNvPr id="81" name="TextBox 80">
            <a:extLst>
              <a:ext uri="{FF2B5EF4-FFF2-40B4-BE49-F238E27FC236}">
                <a16:creationId xmlns:a16="http://schemas.microsoft.com/office/drawing/2014/main" id="{00000000-0008-0000-0000-000023000000}"/>
              </a:ext>
            </a:extLst>
          </xdr:cNvPr>
          <xdr:cNvSpPr txBox="1"/>
        </xdr:nvSpPr>
        <xdr:spPr>
          <a:xfrm>
            <a:off x="1085850" y="59982100"/>
            <a:ext cx="763348" cy="37067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1" cap="none" spc="0">
                <a:ln w="0"/>
                <a:solidFill>
                  <a:srgbClr val="FFFF00"/>
                </a:solidFill>
                <a:effectLst>
                  <a:outerShdw blurRad="38100" dist="19050" dir="2700000" algn="tl" rotWithShape="0">
                    <a:schemeClr val="dk1">
                      <a:alpha val="40000"/>
                    </a:schemeClr>
                  </a:outerShdw>
                </a:effectLst>
              </a:rPr>
              <a:t>Wing A</a:t>
            </a:r>
          </a:p>
        </xdr:txBody>
      </xdr:sp>
      <xdr:sp macro="" textlink="">
        <xdr:nvSpPr>
          <xdr:cNvPr id="82" name="TextBox 81">
            <a:extLst>
              <a:ext uri="{FF2B5EF4-FFF2-40B4-BE49-F238E27FC236}">
                <a16:creationId xmlns:a16="http://schemas.microsoft.com/office/drawing/2014/main" id="{00000000-0008-0000-0000-000023000000}"/>
              </a:ext>
            </a:extLst>
          </xdr:cNvPr>
          <xdr:cNvSpPr txBox="1"/>
        </xdr:nvSpPr>
        <xdr:spPr>
          <a:xfrm>
            <a:off x="2603749" y="60020200"/>
            <a:ext cx="763348" cy="37067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1" cap="none" spc="0">
                <a:ln w="0"/>
                <a:solidFill>
                  <a:srgbClr val="FFFF00"/>
                </a:solidFill>
                <a:effectLst>
                  <a:outerShdw blurRad="38100" dist="19050" dir="2700000" algn="tl" rotWithShape="0">
                    <a:schemeClr val="dk1">
                      <a:alpha val="40000"/>
                    </a:schemeClr>
                  </a:outerShdw>
                </a:effectLst>
              </a:rPr>
              <a:t>Wing A</a:t>
            </a:r>
          </a:p>
        </xdr:txBody>
      </xdr:sp>
      <xdr:sp macro="" textlink="">
        <xdr:nvSpPr>
          <xdr:cNvPr id="83" name="TextBox 82">
            <a:extLst>
              <a:ext uri="{FF2B5EF4-FFF2-40B4-BE49-F238E27FC236}">
                <a16:creationId xmlns:a16="http://schemas.microsoft.com/office/drawing/2014/main" id="{00000000-0008-0000-0000-000023000000}"/>
              </a:ext>
            </a:extLst>
          </xdr:cNvPr>
          <xdr:cNvSpPr txBox="1"/>
        </xdr:nvSpPr>
        <xdr:spPr>
          <a:xfrm>
            <a:off x="4337548" y="59753500"/>
            <a:ext cx="763348" cy="37067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1" cap="none" spc="0">
                <a:ln w="0"/>
                <a:solidFill>
                  <a:srgbClr val="FFFF00"/>
                </a:solidFill>
                <a:effectLst>
                  <a:outerShdw blurRad="38100" dist="19050" dir="2700000" algn="tl" rotWithShape="0">
                    <a:schemeClr val="dk1">
                      <a:alpha val="40000"/>
                    </a:schemeClr>
                  </a:outerShdw>
                </a:effectLst>
              </a:rPr>
              <a:t>Wing A</a:t>
            </a:r>
          </a:p>
        </xdr:txBody>
      </xdr:sp>
      <xdr:sp macro="" textlink="">
        <xdr:nvSpPr>
          <xdr:cNvPr id="84" name="TextBox 83">
            <a:extLst>
              <a:ext uri="{FF2B5EF4-FFF2-40B4-BE49-F238E27FC236}">
                <a16:creationId xmlns:a16="http://schemas.microsoft.com/office/drawing/2014/main" id="{00000000-0008-0000-0000-000023000000}"/>
              </a:ext>
            </a:extLst>
          </xdr:cNvPr>
          <xdr:cNvSpPr txBox="1"/>
        </xdr:nvSpPr>
        <xdr:spPr>
          <a:xfrm>
            <a:off x="5772897" y="59734450"/>
            <a:ext cx="763348" cy="37067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1" cap="none" spc="0">
                <a:ln w="0"/>
                <a:solidFill>
                  <a:srgbClr val="FFFF00"/>
                </a:solidFill>
                <a:effectLst>
                  <a:outerShdw blurRad="38100" dist="19050" dir="2700000" algn="tl" rotWithShape="0">
                    <a:schemeClr val="dk1">
                      <a:alpha val="40000"/>
                    </a:schemeClr>
                  </a:outerShdw>
                </a:effectLst>
              </a:rPr>
              <a:t>Wing B</a:t>
            </a:r>
          </a:p>
        </xdr:txBody>
      </xdr:sp>
      <xdr:sp macro="" textlink="">
        <xdr:nvSpPr>
          <xdr:cNvPr id="85" name="TextBox 84">
            <a:extLst>
              <a:ext uri="{FF2B5EF4-FFF2-40B4-BE49-F238E27FC236}">
                <a16:creationId xmlns:a16="http://schemas.microsoft.com/office/drawing/2014/main" id="{00000000-0008-0000-0000-000023000000}"/>
              </a:ext>
            </a:extLst>
          </xdr:cNvPr>
          <xdr:cNvSpPr txBox="1"/>
        </xdr:nvSpPr>
        <xdr:spPr>
          <a:xfrm>
            <a:off x="1066800" y="62007368"/>
            <a:ext cx="763348" cy="37067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1" cap="none" spc="0">
                <a:ln w="0"/>
                <a:solidFill>
                  <a:srgbClr val="FFFF00"/>
                </a:solidFill>
                <a:effectLst>
                  <a:outerShdw blurRad="38100" dist="19050" dir="2700000" algn="tl" rotWithShape="0">
                    <a:schemeClr val="dk1">
                      <a:alpha val="40000"/>
                    </a:schemeClr>
                  </a:outerShdw>
                </a:effectLst>
              </a:rPr>
              <a:t>Wing C</a:t>
            </a:r>
          </a:p>
        </xdr:txBody>
      </xdr:sp>
      <xdr:sp macro="" textlink="">
        <xdr:nvSpPr>
          <xdr:cNvPr id="86" name="TextBox 85">
            <a:extLst>
              <a:ext uri="{FF2B5EF4-FFF2-40B4-BE49-F238E27FC236}">
                <a16:creationId xmlns:a16="http://schemas.microsoft.com/office/drawing/2014/main" id="{00000000-0008-0000-0000-000023000000}"/>
              </a:ext>
            </a:extLst>
          </xdr:cNvPr>
          <xdr:cNvSpPr txBox="1"/>
        </xdr:nvSpPr>
        <xdr:spPr>
          <a:xfrm>
            <a:off x="2622112" y="62032768"/>
            <a:ext cx="763348" cy="37067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1" cap="none" spc="0">
                <a:ln w="0"/>
                <a:solidFill>
                  <a:srgbClr val="FFFF00"/>
                </a:solidFill>
                <a:effectLst>
                  <a:outerShdw blurRad="38100" dist="19050" dir="2700000" algn="tl" rotWithShape="0">
                    <a:schemeClr val="dk1">
                      <a:alpha val="40000"/>
                    </a:schemeClr>
                  </a:outerShdw>
                </a:effectLst>
              </a:rPr>
              <a:t>Wing A</a:t>
            </a:r>
          </a:p>
        </xdr:txBody>
      </xdr:sp>
      <xdr:sp macro="" textlink="">
        <xdr:nvSpPr>
          <xdr:cNvPr id="87" name="TextBox 86">
            <a:extLst>
              <a:ext uri="{FF2B5EF4-FFF2-40B4-BE49-F238E27FC236}">
                <a16:creationId xmlns:a16="http://schemas.microsoft.com/office/drawing/2014/main" id="{00000000-0008-0000-0000-000023000000}"/>
              </a:ext>
            </a:extLst>
          </xdr:cNvPr>
          <xdr:cNvSpPr txBox="1"/>
        </xdr:nvSpPr>
        <xdr:spPr>
          <a:xfrm>
            <a:off x="4324848" y="61981968"/>
            <a:ext cx="763348" cy="37067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1" cap="none" spc="0">
                <a:ln w="0"/>
                <a:solidFill>
                  <a:srgbClr val="FFFF00"/>
                </a:solidFill>
                <a:effectLst>
                  <a:outerShdw blurRad="38100" dist="19050" dir="2700000" algn="tl" rotWithShape="0">
                    <a:schemeClr val="dk1">
                      <a:alpha val="40000"/>
                    </a:schemeClr>
                  </a:outerShdw>
                </a:effectLst>
              </a:rPr>
              <a:t>Wing A</a:t>
            </a:r>
          </a:p>
        </xdr:txBody>
      </xdr:sp>
      <xdr:sp macro="" textlink="">
        <xdr:nvSpPr>
          <xdr:cNvPr id="88" name="TextBox 87">
            <a:extLst>
              <a:ext uri="{FF2B5EF4-FFF2-40B4-BE49-F238E27FC236}">
                <a16:creationId xmlns:a16="http://schemas.microsoft.com/office/drawing/2014/main" id="{00000000-0008-0000-0000-000023000000}"/>
              </a:ext>
            </a:extLst>
          </xdr:cNvPr>
          <xdr:cNvSpPr txBox="1"/>
        </xdr:nvSpPr>
        <xdr:spPr>
          <a:xfrm>
            <a:off x="6039597" y="62115318"/>
            <a:ext cx="763348" cy="37067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1" cap="none" spc="0">
                <a:ln w="0"/>
                <a:solidFill>
                  <a:srgbClr val="FFFF00"/>
                </a:solidFill>
                <a:effectLst>
                  <a:outerShdw blurRad="38100" dist="19050" dir="2700000" algn="tl" rotWithShape="0">
                    <a:schemeClr val="dk1">
                      <a:alpha val="40000"/>
                    </a:schemeClr>
                  </a:outerShdw>
                </a:effectLst>
              </a:rPr>
              <a:t>Wing A</a:t>
            </a:r>
          </a:p>
        </xdr:txBody>
      </xdr:sp>
      <xdr:sp macro="" textlink="">
        <xdr:nvSpPr>
          <xdr:cNvPr id="89" name="TextBox 88">
            <a:extLst>
              <a:ext uri="{FF2B5EF4-FFF2-40B4-BE49-F238E27FC236}">
                <a16:creationId xmlns:a16="http://schemas.microsoft.com/office/drawing/2014/main" id="{00000000-0008-0000-0000-000023000000}"/>
              </a:ext>
            </a:extLst>
          </xdr:cNvPr>
          <xdr:cNvSpPr txBox="1"/>
        </xdr:nvSpPr>
        <xdr:spPr>
          <a:xfrm>
            <a:off x="984250" y="64185036"/>
            <a:ext cx="763348" cy="37067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1" cap="none" spc="0">
                <a:ln w="0"/>
                <a:solidFill>
                  <a:srgbClr val="FFFF00"/>
                </a:solidFill>
                <a:effectLst>
                  <a:outerShdw blurRad="38100" dist="19050" dir="2700000" algn="tl" rotWithShape="0">
                    <a:schemeClr val="dk1">
                      <a:alpha val="40000"/>
                    </a:schemeClr>
                  </a:outerShdw>
                </a:effectLst>
              </a:rPr>
              <a:t>Wing A</a:t>
            </a:r>
          </a:p>
        </xdr:txBody>
      </xdr:sp>
      <xdr:sp macro="" textlink="">
        <xdr:nvSpPr>
          <xdr:cNvPr id="90" name="TextBox 89">
            <a:extLst>
              <a:ext uri="{FF2B5EF4-FFF2-40B4-BE49-F238E27FC236}">
                <a16:creationId xmlns:a16="http://schemas.microsoft.com/office/drawing/2014/main" id="{00000000-0008-0000-0000-000023000000}"/>
              </a:ext>
            </a:extLst>
          </xdr:cNvPr>
          <xdr:cNvSpPr txBox="1"/>
        </xdr:nvSpPr>
        <xdr:spPr>
          <a:xfrm>
            <a:off x="2571999" y="64146936"/>
            <a:ext cx="763348" cy="37067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1" cap="none" spc="0">
                <a:ln w="0"/>
                <a:solidFill>
                  <a:srgbClr val="FFFF00"/>
                </a:solidFill>
                <a:effectLst>
                  <a:outerShdw blurRad="38100" dist="19050" dir="2700000" algn="tl" rotWithShape="0">
                    <a:schemeClr val="dk1">
                      <a:alpha val="40000"/>
                    </a:schemeClr>
                  </a:outerShdw>
                </a:effectLst>
              </a:rPr>
              <a:t>Wing A</a:t>
            </a:r>
          </a:p>
        </xdr:txBody>
      </xdr:sp>
      <xdr:sp macro="" textlink="">
        <xdr:nvSpPr>
          <xdr:cNvPr id="91" name="TextBox 90">
            <a:extLst>
              <a:ext uri="{FF2B5EF4-FFF2-40B4-BE49-F238E27FC236}">
                <a16:creationId xmlns:a16="http://schemas.microsoft.com/office/drawing/2014/main" id="{00000000-0008-0000-0000-000023000000}"/>
              </a:ext>
            </a:extLst>
          </xdr:cNvPr>
          <xdr:cNvSpPr txBox="1"/>
        </xdr:nvSpPr>
        <xdr:spPr>
          <a:xfrm>
            <a:off x="3804347" y="66134104"/>
            <a:ext cx="763348" cy="37067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1" cap="none" spc="0">
                <a:ln w="0"/>
                <a:solidFill>
                  <a:srgbClr val="FFFF00"/>
                </a:solidFill>
                <a:effectLst>
                  <a:outerShdw blurRad="38100" dist="19050" dir="2700000" algn="tl" rotWithShape="0">
                    <a:schemeClr val="dk1">
                      <a:alpha val="40000"/>
                    </a:schemeClr>
                  </a:outerShdw>
                </a:effectLst>
              </a:rPr>
              <a:t>Wing 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444643</xdr:colOff>
      <xdr:row>0</xdr:row>
      <xdr:rowOff>160020</xdr:rowOff>
    </xdr:from>
    <xdr:to>
      <xdr:col>13</xdr:col>
      <xdr:colOff>22543</xdr:colOff>
      <xdr:row>26</xdr:row>
      <xdr:rowOff>106140</xdr:rowOff>
    </xdr:to>
    <xdr:pic>
      <xdr:nvPicPr>
        <xdr:cNvPr id="2" name="Picture 1">
          <a:extLst>
            <a:ext uri="{FF2B5EF4-FFF2-40B4-BE49-F238E27FC236}">
              <a16:creationId xmlns:a16="http://schemas.microsoft.com/office/drawing/2014/main" id="{6AE086DE-B807-4BAE-B78E-A1820DF11D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10903" y="160020"/>
          <a:ext cx="3235500" cy="4320000"/>
        </a:xfrm>
        <a:prstGeom prst="rect">
          <a:avLst/>
        </a:prstGeom>
        <a:ln>
          <a:solidFill>
            <a:schemeClr val="tx1"/>
          </a:solidFill>
        </a:ln>
      </xdr:spPr>
    </xdr:pic>
    <xdr:clientData/>
  </xdr:twoCellAnchor>
  <xdr:twoCellAnchor editAs="oneCell">
    <xdr:from>
      <xdr:col>2</xdr:col>
      <xdr:colOff>137160</xdr:colOff>
      <xdr:row>0</xdr:row>
      <xdr:rowOff>160020</xdr:rowOff>
    </xdr:from>
    <xdr:to>
      <xdr:col>4</xdr:col>
      <xdr:colOff>334185</xdr:colOff>
      <xdr:row>26</xdr:row>
      <xdr:rowOff>106140</xdr:rowOff>
    </xdr:to>
    <xdr:pic>
      <xdr:nvPicPr>
        <xdr:cNvPr id="3" name="Picture 2">
          <a:extLst>
            <a:ext uri="{FF2B5EF4-FFF2-40B4-BE49-F238E27FC236}">
              <a16:creationId xmlns:a16="http://schemas.microsoft.com/office/drawing/2014/main" id="{D2C9B408-5F0F-42F4-B065-24CC76F851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0800000">
          <a:off x="1455420" y="160020"/>
          <a:ext cx="3235500" cy="4320000"/>
        </a:xfrm>
        <a:prstGeom prst="rect">
          <a:avLst/>
        </a:prstGeom>
        <a:ln>
          <a:solidFill>
            <a:schemeClr val="tx1"/>
          </a:solidFill>
        </a:ln>
      </xdr:spPr>
    </xdr:pic>
    <xdr:clientData/>
  </xdr:twoCellAnchor>
  <xdr:twoCellAnchor editAs="oneCell">
    <xdr:from>
      <xdr:col>3</xdr:col>
      <xdr:colOff>114300</xdr:colOff>
      <xdr:row>28</xdr:row>
      <xdr:rowOff>0</xdr:rowOff>
    </xdr:from>
    <xdr:to>
      <xdr:col>14</xdr:col>
      <xdr:colOff>227852</xdr:colOff>
      <xdr:row>69</xdr:row>
      <xdr:rowOff>37265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2962275" y="4562475"/>
          <a:ext cx="5980952" cy="66761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25</xdr:row>
      <xdr:rowOff>0</xdr:rowOff>
    </xdr:from>
    <xdr:to>
      <xdr:col>8</xdr:col>
      <xdr:colOff>216900</xdr:colOff>
      <xdr:row>40</xdr:row>
      <xdr:rowOff>18500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rot="16200000">
          <a:off x="3937775" y="3596500"/>
          <a:ext cx="2876000" cy="2160000"/>
        </a:xfrm>
        <a:prstGeom prst="rect">
          <a:avLst/>
        </a:prstGeom>
        <a:ln>
          <a:solidFill>
            <a:schemeClr val="tx1"/>
          </a:solidFill>
        </a:ln>
      </xdr:spPr>
    </xdr:pic>
    <xdr:clientData/>
  </xdr:twoCellAnchor>
  <xdr:twoCellAnchor editAs="oneCell">
    <xdr:from>
      <xdr:col>8</xdr:col>
      <xdr:colOff>394301</xdr:colOff>
      <xdr:row>25</xdr:row>
      <xdr:rowOff>10109</xdr:rowOff>
    </xdr:from>
    <xdr:to>
      <xdr:col>11</xdr:col>
      <xdr:colOff>186176</xdr:colOff>
      <xdr:row>38</xdr:row>
      <xdr:rowOff>53609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633176" y="3248609"/>
          <a:ext cx="1887375" cy="2520000"/>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7</xdr:col>
      <xdr:colOff>561949</xdr:colOff>
      <xdr:row>36</xdr:row>
      <xdr:rowOff>113760</xdr:rowOff>
    </xdr:to>
    <xdr:pic>
      <xdr:nvPicPr>
        <xdr:cNvPr id="2" name="Picture 1">
          <a:extLst>
            <a:ext uri="{FF2B5EF4-FFF2-40B4-BE49-F238E27FC236}">
              <a16:creationId xmlns:a16="http://schemas.microsoft.com/office/drawing/2014/main" id="{5A31E56F-607E-4F71-817B-A3A68D24C08F}"/>
            </a:ext>
          </a:extLst>
        </xdr:cNvPr>
        <xdr:cNvPicPr>
          <a:picLocks noChangeAspect="1"/>
        </xdr:cNvPicPr>
      </xdr:nvPicPr>
      <xdr:blipFill rotWithShape="1">
        <a:blip xmlns:r="http://schemas.openxmlformats.org/officeDocument/2006/relationships" r:embed="rId1"/>
        <a:srcRect t="19467" r="16750" b="5467"/>
        <a:stretch/>
      </xdr:blipFill>
      <xdr:spPr>
        <a:xfrm>
          <a:off x="723900" y="2560320"/>
          <a:ext cx="8517229" cy="4320000"/>
        </a:xfrm>
        <a:prstGeom prst="rect">
          <a:avLst/>
        </a:prstGeom>
        <a:ln>
          <a:solidFill>
            <a:schemeClr val="tx1"/>
          </a:solidFill>
        </a:ln>
      </xdr:spPr>
    </xdr:pic>
    <xdr:clientData/>
  </xdr:twoCellAnchor>
  <xdr:twoCellAnchor editAs="oneCell">
    <xdr:from>
      <xdr:col>1</xdr:col>
      <xdr:colOff>0</xdr:colOff>
      <xdr:row>37</xdr:row>
      <xdr:rowOff>64505</xdr:rowOff>
    </xdr:from>
    <xdr:to>
      <xdr:col>7</xdr:col>
      <xdr:colOff>213999</xdr:colOff>
      <xdr:row>60</xdr:row>
      <xdr:rowOff>178265</xdr:rowOff>
    </xdr:to>
    <xdr:pic>
      <xdr:nvPicPr>
        <xdr:cNvPr id="3" name="Picture 2">
          <a:extLst>
            <a:ext uri="{FF2B5EF4-FFF2-40B4-BE49-F238E27FC236}">
              <a16:creationId xmlns:a16="http://schemas.microsoft.com/office/drawing/2014/main" id="{5144E66E-5ECA-4CA9-9D3A-891A58EF61D1}"/>
            </a:ext>
          </a:extLst>
        </xdr:cNvPr>
        <xdr:cNvPicPr>
          <a:picLocks noChangeAspect="1"/>
        </xdr:cNvPicPr>
      </xdr:nvPicPr>
      <xdr:blipFill rotWithShape="1">
        <a:blip xmlns:r="http://schemas.openxmlformats.org/officeDocument/2006/relationships" r:embed="rId2"/>
        <a:srcRect t="18934" r="19300" b="5200"/>
        <a:stretch/>
      </xdr:blipFill>
      <xdr:spPr>
        <a:xfrm>
          <a:off x="723900" y="7013945"/>
          <a:ext cx="8169279" cy="4320000"/>
        </a:xfrm>
        <a:prstGeom prst="rect">
          <a:avLst/>
        </a:prstGeom>
        <a:ln>
          <a:solidFill>
            <a:schemeClr val="tx1"/>
          </a:solidFill>
        </a:ln>
      </xdr:spPr>
    </xdr:pic>
    <xdr:clientData/>
  </xdr:twoCellAnchor>
  <xdr:twoCellAnchor editAs="oneCell">
    <xdr:from>
      <xdr:col>1</xdr:col>
      <xdr:colOff>0</xdr:colOff>
      <xdr:row>62</xdr:row>
      <xdr:rowOff>0</xdr:rowOff>
    </xdr:from>
    <xdr:to>
      <xdr:col>7</xdr:col>
      <xdr:colOff>322203</xdr:colOff>
      <xdr:row>85</xdr:row>
      <xdr:rowOff>113760</xdr:rowOff>
    </xdr:to>
    <xdr:pic>
      <xdr:nvPicPr>
        <xdr:cNvPr id="4" name="Picture 3">
          <a:extLst>
            <a:ext uri="{FF2B5EF4-FFF2-40B4-BE49-F238E27FC236}">
              <a16:creationId xmlns:a16="http://schemas.microsoft.com/office/drawing/2014/main" id="{372D78CE-92EF-459F-9CE2-432B0B6D5E14}"/>
            </a:ext>
          </a:extLst>
        </xdr:cNvPr>
        <xdr:cNvPicPr>
          <a:picLocks noChangeAspect="1"/>
        </xdr:cNvPicPr>
      </xdr:nvPicPr>
      <xdr:blipFill rotWithShape="1">
        <a:blip xmlns:r="http://schemas.openxmlformats.org/officeDocument/2006/relationships" r:embed="rId3"/>
        <a:srcRect t="18533" r="17800" b="5201"/>
        <a:stretch/>
      </xdr:blipFill>
      <xdr:spPr>
        <a:xfrm>
          <a:off x="723900" y="11521440"/>
          <a:ext cx="8277483" cy="4320000"/>
        </a:xfrm>
        <a:prstGeom prst="rect">
          <a:avLst/>
        </a:prstGeom>
        <a:ln>
          <a:solidFill>
            <a:schemeClr val="tx1"/>
          </a:solidFill>
        </a:ln>
      </xdr:spPr>
    </xdr:pic>
    <xdr:clientData/>
  </xdr:twoCellAnchor>
  <xdr:twoCellAnchor editAs="oneCell">
    <xdr:from>
      <xdr:col>1</xdr:col>
      <xdr:colOff>0</xdr:colOff>
      <xdr:row>87</xdr:row>
      <xdr:rowOff>0</xdr:rowOff>
    </xdr:from>
    <xdr:to>
      <xdr:col>7</xdr:col>
      <xdr:colOff>211677</xdr:colOff>
      <xdr:row>110</xdr:row>
      <xdr:rowOff>113760</xdr:rowOff>
    </xdr:to>
    <xdr:pic>
      <xdr:nvPicPr>
        <xdr:cNvPr id="5" name="Picture 4">
          <a:extLst>
            <a:ext uri="{FF2B5EF4-FFF2-40B4-BE49-F238E27FC236}">
              <a16:creationId xmlns:a16="http://schemas.microsoft.com/office/drawing/2014/main" id="{9760422B-EC65-4E64-8C6E-0DC15BE60A29}"/>
            </a:ext>
          </a:extLst>
        </xdr:cNvPr>
        <xdr:cNvPicPr>
          <a:picLocks noChangeAspect="1"/>
        </xdr:cNvPicPr>
      </xdr:nvPicPr>
      <xdr:blipFill rotWithShape="1">
        <a:blip xmlns:r="http://schemas.openxmlformats.org/officeDocument/2006/relationships" r:embed="rId4"/>
        <a:srcRect t="11734" r="11950" b="5466"/>
        <a:stretch/>
      </xdr:blipFill>
      <xdr:spPr>
        <a:xfrm>
          <a:off x="723900" y="16093440"/>
          <a:ext cx="8166957" cy="4320000"/>
        </a:xfrm>
        <a:prstGeom prst="rect">
          <a:avLst/>
        </a:prstGeom>
        <a:ln>
          <a:solidFill>
            <a:schemeClr val="tx1"/>
          </a:solidFill>
        </a:ln>
      </xdr:spPr>
    </xdr:pic>
    <xdr:clientData/>
  </xdr:twoCellAnchor>
  <xdr:twoCellAnchor editAs="oneCell">
    <xdr:from>
      <xdr:col>1</xdr:col>
      <xdr:colOff>0</xdr:colOff>
      <xdr:row>111</xdr:row>
      <xdr:rowOff>55576</xdr:rowOff>
    </xdr:from>
    <xdr:to>
      <xdr:col>7</xdr:col>
      <xdr:colOff>607166</xdr:colOff>
      <xdr:row>134</xdr:row>
      <xdr:rowOff>169336</xdr:rowOff>
    </xdr:to>
    <xdr:pic>
      <xdr:nvPicPr>
        <xdr:cNvPr id="6" name="Picture 5">
          <a:extLst>
            <a:ext uri="{FF2B5EF4-FFF2-40B4-BE49-F238E27FC236}">
              <a16:creationId xmlns:a16="http://schemas.microsoft.com/office/drawing/2014/main" id="{AD69145C-A949-45F8-B3E6-6F2A3589816C}"/>
            </a:ext>
          </a:extLst>
        </xdr:cNvPr>
        <xdr:cNvPicPr>
          <a:picLocks noChangeAspect="1"/>
        </xdr:cNvPicPr>
      </xdr:nvPicPr>
      <xdr:blipFill rotWithShape="1">
        <a:blip xmlns:r="http://schemas.openxmlformats.org/officeDocument/2006/relationships" r:embed="rId5"/>
        <a:srcRect t="11866" r="11997" b="9200"/>
        <a:stretch/>
      </xdr:blipFill>
      <xdr:spPr>
        <a:xfrm>
          <a:off x="723900" y="20538136"/>
          <a:ext cx="8562446" cy="432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wFFamNF7CWb5DeTX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0"/>
  <sheetViews>
    <sheetView tabSelected="1" view="pageBreakPreview" topLeftCell="A56" zoomScaleNormal="85" zoomScaleSheetLayoutView="100" zoomScalePageLayoutView="70" workbookViewId="0">
      <selection activeCell="C68" sqref="C68"/>
    </sheetView>
  </sheetViews>
  <sheetFormatPr defaultRowHeight="13" x14ac:dyDescent="0.3"/>
  <cols>
    <col min="1" max="1" width="17" customWidth="1"/>
    <col min="2" max="2" width="12.19921875" customWidth="1"/>
    <col min="3" max="3" width="17.19921875" customWidth="1"/>
    <col min="4" max="4" width="15.5" customWidth="1"/>
    <col min="5" max="5" width="12.69921875" customWidth="1"/>
    <col min="6" max="6" width="11.796875" customWidth="1"/>
    <col min="7" max="7" width="33.796875" customWidth="1"/>
    <col min="8" max="8" width="5" customWidth="1"/>
    <col min="9" max="9" width="17.5" customWidth="1"/>
    <col min="12" max="12" width="10.5" bestFit="1" customWidth="1"/>
  </cols>
  <sheetData>
    <row r="1" spans="1:7" ht="45" customHeight="1" x14ac:dyDescent="0.3">
      <c r="A1" s="166" t="s">
        <v>292</v>
      </c>
      <c r="B1" s="167"/>
      <c r="C1" s="167"/>
      <c r="D1" s="167"/>
      <c r="E1" s="167"/>
      <c r="F1" s="167"/>
      <c r="G1" s="168"/>
    </row>
    <row r="2" spans="1:7" ht="15.75" customHeight="1" x14ac:dyDescent="0.3">
      <c r="A2" s="169" t="s">
        <v>0</v>
      </c>
      <c r="B2" s="170"/>
      <c r="C2" s="170"/>
      <c r="D2" s="170"/>
      <c r="E2" s="170"/>
      <c r="F2" s="170"/>
      <c r="G2" s="171"/>
    </row>
    <row r="3" spans="1:7" ht="15.5" x14ac:dyDescent="0.3">
      <c r="A3" s="132" t="s">
        <v>54</v>
      </c>
      <c r="B3" s="134"/>
      <c r="C3" s="133"/>
      <c r="D3" s="154" t="str">
        <f ca="1">TEXT(TODAY(),"DD/MM/YYYY")</f>
        <v>01/09/2025</v>
      </c>
      <c r="E3" s="164"/>
      <c r="F3" s="164"/>
      <c r="G3" s="165"/>
    </row>
    <row r="4" spans="1:7" ht="17.25" customHeight="1" x14ac:dyDescent="0.3">
      <c r="A4" s="132" t="s">
        <v>55</v>
      </c>
      <c r="B4" s="134"/>
      <c r="C4" s="133"/>
      <c r="D4" s="154" t="s">
        <v>56</v>
      </c>
      <c r="E4" s="164"/>
      <c r="F4" s="164"/>
      <c r="G4" s="165"/>
    </row>
    <row r="5" spans="1:7" ht="17.25" customHeight="1" x14ac:dyDescent="0.3">
      <c r="A5" s="132" t="s">
        <v>57</v>
      </c>
      <c r="B5" s="134"/>
      <c r="C5" s="133"/>
      <c r="D5" s="154">
        <v>45901</v>
      </c>
      <c r="E5" s="164"/>
      <c r="F5" s="164"/>
      <c r="G5" s="165"/>
    </row>
    <row r="6" spans="1:7" ht="17.25" customHeight="1" x14ac:dyDescent="0.3">
      <c r="A6" s="132" t="s">
        <v>58</v>
      </c>
      <c r="B6" s="134"/>
      <c r="C6" s="133"/>
      <c r="D6" s="132" t="s">
        <v>262</v>
      </c>
      <c r="E6" s="134"/>
      <c r="F6" s="134"/>
      <c r="G6" s="133"/>
    </row>
    <row r="7" spans="1:7" ht="17.25" customHeight="1" x14ac:dyDescent="0.3">
      <c r="A7" s="132" t="s">
        <v>60</v>
      </c>
      <c r="B7" s="134"/>
      <c r="C7" s="133"/>
      <c r="D7" s="132" t="s">
        <v>59</v>
      </c>
      <c r="E7" s="134"/>
      <c r="F7" s="134"/>
      <c r="G7" s="133"/>
    </row>
    <row r="8" spans="1:7" ht="17.25" customHeight="1" x14ac:dyDescent="0.3">
      <c r="A8" s="132" t="s">
        <v>61</v>
      </c>
      <c r="B8" s="134"/>
      <c r="C8" s="133"/>
      <c r="D8" s="145" t="s">
        <v>208</v>
      </c>
      <c r="E8" s="146"/>
      <c r="F8" s="146"/>
      <c r="G8" s="147"/>
    </row>
    <row r="9" spans="1:7" ht="17.25" customHeight="1" x14ac:dyDescent="0.3">
      <c r="A9" s="132" t="s">
        <v>291</v>
      </c>
      <c r="B9" s="134"/>
      <c r="C9" s="133"/>
      <c r="D9" s="108">
        <v>2225274120</v>
      </c>
      <c r="E9" s="109"/>
      <c r="F9" s="109"/>
      <c r="G9" s="110"/>
    </row>
    <row r="10" spans="1:7" ht="17.25" hidden="1" customHeight="1" x14ac:dyDescent="0.3">
      <c r="A10" s="132" t="s">
        <v>294</v>
      </c>
      <c r="B10" s="134"/>
      <c r="C10" s="133"/>
      <c r="D10" s="108" t="s">
        <v>295</v>
      </c>
      <c r="E10" s="109"/>
      <c r="F10" s="109"/>
      <c r="G10" s="110"/>
    </row>
    <row r="11" spans="1:7" ht="17.25" customHeight="1" x14ac:dyDescent="0.3">
      <c r="A11" s="132" t="s">
        <v>62</v>
      </c>
      <c r="B11" s="134"/>
      <c r="C11" s="133"/>
      <c r="D11" s="132" t="s">
        <v>63</v>
      </c>
      <c r="E11" s="134"/>
      <c r="F11" s="134"/>
      <c r="G11" s="133"/>
    </row>
    <row r="12" spans="1:7" ht="17.25" customHeight="1" x14ac:dyDescent="0.3">
      <c r="A12" s="132" t="s">
        <v>64</v>
      </c>
      <c r="B12" s="134"/>
      <c r="C12" s="133"/>
      <c r="D12" s="132" t="s">
        <v>65</v>
      </c>
      <c r="E12" s="134"/>
      <c r="F12" s="134"/>
      <c r="G12" s="133"/>
    </row>
    <row r="13" spans="1:7" ht="17.25" customHeight="1" x14ac:dyDescent="0.3">
      <c r="A13" s="132" t="s">
        <v>66</v>
      </c>
      <c r="B13" s="134"/>
      <c r="C13" s="133"/>
      <c r="D13" s="132" t="s">
        <v>297</v>
      </c>
      <c r="E13" s="134"/>
      <c r="F13" s="134"/>
      <c r="G13" s="133"/>
    </row>
    <row r="14" spans="1:7" ht="34.5" customHeight="1" x14ac:dyDescent="0.3">
      <c r="A14" s="20" t="s">
        <v>67</v>
      </c>
      <c r="B14" s="172" t="s">
        <v>68</v>
      </c>
      <c r="C14" s="143"/>
      <c r="D14" s="143"/>
      <c r="E14" s="143"/>
      <c r="F14" s="143"/>
      <c r="G14" s="144"/>
    </row>
    <row r="15" spans="1:7" ht="17.25" customHeight="1" x14ac:dyDescent="0.3">
      <c r="A15" s="20" t="s">
        <v>69</v>
      </c>
      <c r="B15" s="132" t="s">
        <v>70</v>
      </c>
      <c r="C15" s="133"/>
      <c r="D15" s="132" t="s">
        <v>69</v>
      </c>
      <c r="E15" s="133"/>
      <c r="F15" s="132" t="s">
        <v>71</v>
      </c>
      <c r="G15" s="133"/>
    </row>
    <row r="16" spans="1:7" ht="17.25" customHeight="1" x14ac:dyDescent="0.3">
      <c r="A16" s="20" t="s">
        <v>72</v>
      </c>
      <c r="B16" s="132" t="s">
        <v>73</v>
      </c>
      <c r="C16" s="133"/>
      <c r="D16" s="132" t="s">
        <v>74</v>
      </c>
      <c r="E16" s="133"/>
      <c r="F16" s="132" t="s">
        <v>209</v>
      </c>
      <c r="G16" s="133"/>
    </row>
    <row r="17" spans="1:7" ht="17.25" customHeight="1" x14ac:dyDescent="0.3">
      <c r="A17" s="20" t="s">
        <v>75</v>
      </c>
      <c r="B17" s="132" t="s">
        <v>76</v>
      </c>
      <c r="C17" s="133"/>
      <c r="D17" s="132" t="s">
        <v>77</v>
      </c>
      <c r="E17" s="133"/>
      <c r="F17" s="132" t="s">
        <v>78</v>
      </c>
      <c r="G17" s="133"/>
    </row>
    <row r="18" spans="1:7" ht="17.25" customHeight="1" x14ac:dyDescent="0.3">
      <c r="A18" s="20" t="s">
        <v>79</v>
      </c>
      <c r="B18" s="132" t="s">
        <v>80</v>
      </c>
      <c r="C18" s="133"/>
      <c r="D18" s="132" t="s">
        <v>81</v>
      </c>
      <c r="E18" s="133"/>
      <c r="F18" s="108">
        <v>421503</v>
      </c>
      <c r="G18" s="110"/>
    </row>
    <row r="19" spans="1:7" ht="32.5" customHeight="1" x14ac:dyDescent="0.3">
      <c r="A19" s="20" t="s">
        <v>82</v>
      </c>
      <c r="B19" s="132" t="s">
        <v>83</v>
      </c>
      <c r="C19" s="133"/>
      <c r="D19" s="132" t="s">
        <v>84</v>
      </c>
      <c r="E19" s="133"/>
      <c r="F19" s="132" t="s">
        <v>85</v>
      </c>
      <c r="G19" s="133"/>
    </row>
    <row r="20" spans="1:7" ht="34" customHeight="1" x14ac:dyDescent="0.3">
      <c r="A20" s="132" t="s">
        <v>86</v>
      </c>
      <c r="B20" s="134"/>
      <c r="C20" s="133"/>
      <c r="D20" s="132" t="s">
        <v>87</v>
      </c>
      <c r="E20" s="134"/>
      <c r="F20" s="134"/>
      <c r="G20" s="133"/>
    </row>
    <row r="21" spans="1:7" ht="34.5" customHeight="1" x14ac:dyDescent="0.3">
      <c r="A21" s="172" t="s">
        <v>88</v>
      </c>
      <c r="B21" s="143"/>
      <c r="C21" s="144"/>
      <c r="D21" s="132" t="s">
        <v>89</v>
      </c>
      <c r="E21" s="134"/>
      <c r="F21" s="134"/>
      <c r="G21" s="133"/>
    </row>
    <row r="22" spans="1:7" ht="17.25" customHeight="1" x14ac:dyDescent="0.3">
      <c r="A22" s="132" t="s">
        <v>90</v>
      </c>
      <c r="B22" s="134"/>
      <c r="C22" s="133"/>
      <c r="D22" s="132" t="s">
        <v>91</v>
      </c>
      <c r="E22" s="134"/>
      <c r="F22" s="134"/>
      <c r="G22" s="133"/>
    </row>
    <row r="23" spans="1:7" ht="17.25" customHeight="1" x14ac:dyDescent="0.3">
      <c r="A23" s="132" t="s">
        <v>92</v>
      </c>
      <c r="B23" s="134"/>
      <c r="C23" s="133"/>
      <c r="D23" s="132" t="s">
        <v>93</v>
      </c>
      <c r="E23" s="134"/>
      <c r="F23" s="134"/>
      <c r="G23" s="133"/>
    </row>
    <row r="24" spans="1:7" ht="17.25" customHeight="1" x14ac:dyDescent="0.3">
      <c r="A24" s="132" t="s">
        <v>94</v>
      </c>
      <c r="B24" s="134"/>
      <c r="C24" s="133"/>
      <c r="D24" s="132" t="s">
        <v>95</v>
      </c>
      <c r="E24" s="134"/>
      <c r="F24" s="134"/>
      <c r="G24" s="133"/>
    </row>
    <row r="25" spans="1:7" ht="17.25" customHeight="1" x14ac:dyDescent="0.3">
      <c r="A25" s="132" t="s">
        <v>96</v>
      </c>
      <c r="B25" s="134"/>
      <c r="C25" s="133"/>
      <c r="D25" s="132" t="s">
        <v>97</v>
      </c>
      <c r="E25" s="134"/>
      <c r="F25" s="134"/>
      <c r="G25" s="133"/>
    </row>
    <row r="26" spans="1:7" ht="17.25" customHeight="1" x14ac:dyDescent="0.3">
      <c r="A26" s="21" t="s">
        <v>98</v>
      </c>
      <c r="B26" s="22" t="s">
        <v>99</v>
      </c>
      <c r="C26" s="117" t="s">
        <v>100</v>
      </c>
      <c r="D26" s="119"/>
      <c r="E26" s="117" t="s">
        <v>101</v>
      </c>
      <c r="F26" s="119"/>
      <c r="G26" s="22" t="s">
        <v>102</v>
      </c>
    </row>
    <row r="27" spans="1:7" ht="17.25" customHeight="1" x14ac:dyDescent="0.3">
      <c r="A27" s="21" t="s">
        <v>103</v>
      </c>
      <c r="B27" s="22" t="s">
        <v>53</v>
      </c>
      <c r="C27" s="117" t="s">
        <v>53</v>
      </c>
      <c r="D27" s="119"/>
      <c r="E27" s="117" t="s">
        <v>53</v>
      </c>
      <c r="F27" s="119"/>
      <c r="G27" s="22" t="s">
        <v>53</v>
      </c>
    </row>
    <row r="28" spans="1:7" ht="17.25" customHeight="1" x14ac:dyDescent="0.3">
      <c r="A28" s="22" t="s">
        <v>104</v>
      </c>
      <c r="B28" s="22" t="s">
        <v>72</v>
      </c>
      <c r="C28" s="160" t="s">
        <v>105</v>
      </c>
      <c r="D28" s="161"/>
      <c r="E28" s="162" t="s">
        <v>106</v>
      </c>
      <c r="F28" s="163"/>
      <c r="G28" s="22" t="s">
        <v>107</v>
      </c>
    </row>
    <row r="29" spans="1:7" ht="17.25" customHeight="1" x14ac:dyDescent="0.3">
      <c r="A29" s="132" t="s">
        <v>108</v>
      </c>
      <c r="B29" s="134"/>
      <c r="C29" s="134"/>
      <c r="D29" s="134"/>
      <c r="E29" s="134"/>
      <c r="F29" s="134"/>
      <c r="G29" s="133"/>
    </row>
    <row r="30" spans="1:7" ht="17.25" customHeight="1" x14ac:dyDescent="0.3">
      <c r="A30" s="132" t="s">
        <v>109</v>
      </c>
      <c r="B30" s="134"/>
      <c r="C30" s="134"/>
      <c r="D30" s="134"/>
      <c r="E30" s="134"/>
      <c r="F30" s="134"/>
      <c r="G30" s="133"/>
    </row>
    <row r="31" spans="1:7" ht="17.25" customHeight="1" x14ac:dyDescent="0.3">
      <c r="A31" s="132" t="s">
        <v>110</v>
      </c>
      <c r="B31" s="133"/>
      <c r="C31" s="156" t="s">
        <v>293</v>
      </c>
      <c r="D31" s="157"/>
      <c r="E31" s="157"/>
      <c r="F31" s="157"/>
      <c r="G31" s="158"/>
    </row>
    <row r="32" spans="1:7" ht="15.5" x14ac:dyDescent="0.3">
      <c r="A32" s="132" t="s">
        <v>263</v>
      </c>
      <c r="B32" s="133"/>
      <c r="C32" s="159" t="s">
        <v>264</v>
      </c>
      <c r="D32" s="157"/>
      <c r="E32" s="157"/>
      <c r="F32" s="157"/>
      <c r="G32" s="158"/>
    </row>
    <row r="33" spans="1:7" ht="17.25" customHeight="1" x14ac:dyDescent="0.3">
      <c r="A33" s="145" t="s">
        <v>111</v>
      </c>
      <c r="B33" s="146"/>
      <c r="C33" s="146"/>
      <c r="D33" s="146"/>
      <c r="E33" s="146"/>
      <c r="F33" s="146"/>
      <c r="G33" s="147"/>
    </row>
    <row r="34" spans="1:7" ht="17.25" customHeight="1" x14ac:dyDescent="0.3">
      <c r="A34" s="132" t="s">
        <v>112</v>
      </c>
      <c r="B34" s="134"/>
      <c r="C34" s="133"/>
      <c r="D34" s="132" t="s">
        <v>113</v>
      </c>
      <c r="E34" s="134"/>
      <c r="F34" s="134"/>
      <c r="G34" s="133"/>
    </row>
    <row r="35" spans="1:7" ht="17.25" customHeight="1" x14ac:dyDescent="0.3">
      <c r="A35" s="135" t="s">
        <v>114</v>
      </c>
      <c r="B35" s="136"/>
      <c r="C35" s="137"/>
      <c r="D35" s="135" t="s">
        <v>115</v>
      </c>
      <c r="E35" s="136"/>
      <c r="F35" s="136"/>
      <c r="G35" s="137"/>
    </row>
    <row r="36" spans="1:7" ht="17.25" customHeight="1" x14ac:dyDescent="0.3">
      <c r="A36" s="139" t="s">
        <v>116</v>
      </c>
      <c r="B36" s="139"/>
      <c r="C36" s="139"/>
      <c r="D36" s="139"/>
      <c r="E36" s="139"/>
      <c r="F36" s="139"/>
      <c r="G36" s="139"/>
    </row>
    <row r="37" spans="1:7" ht="17.25" customHeight="1" x14ac:dyDescent="0.3">
      <c r="A37" s="138" t="s">
        <v>117</v>
      </c>
      <c r="B37" s="138"/>
      <c r="C37" s="138"/>
      <c r="D37" s="155">
        <v>3872.7</v>
      </c>
      <c r="E37" s="155"/>
      <c r="F37" s="155"/>
      <c r="G37" s="155"/>
    </row>
    <row r="38" spans="1:7" ht="17.25" customHeight="1" x14ac:dyDescent="0.3">
      <c r="A38" s="138" t="s">
        <v>118</v>
      </c>
      <c r="B38" s="138"/>
      <c r="C38" s="138"/>
      <c r="D38" s="201">
        <v>0.65</v>
      </c>
      <c r="E38" s="201"/>
      <c r="F38" s="201"/>
      <c r="G38" s="201"/>
    </row>
    <row r="39" spans="1:7" ht="17.25" customHeight="1" x14ac:dyDescent="0.3">
      <c r="A39" s="138" t="s">
        <v>119</v>
      </c>
      <c r="B39" s="138"/>
      <c r="C39" s="138"/>
      <c r="D39" s="201">
        <v>1.2</v>
      </c>
      <c r="E39" s="201"/>
      <c r="F39" s="201"/>
      <c r="G39" s="201"/>
    </row>
    <row r="40" spans="1:7" ht="17.25" customHeight="1" x14ac:dyDescent="0.3">
      <c r="A40" s="138" t="s">
        <v>120</v>
      </c>
      <c r="B40" s="138"/>
      <c r="C40" s="138"/>
      <c r="D40" s="201">
        <v>1.85</v>
      </c>
      <c r="E40" s="201"/>
      <c r="F40" s="201"/>
      <c r="G40" s="201"/>
    </row>
    <row r="41" spans="1:7" ht="17.25" customHeight="1" x14ac:dyDescent="0.3">
      <c r="A41" s="138" t="s">
        <v>121</v>
      </c>
      <c r="B41" s="138"/>
      <c r="C41" s="138"/>
      <c r="D41" s="155">
        <v>7149.1</v>
      </c>
      <c r="E41" s="155"/>
      <c r="F41" s="155"/>
      <c r="G41" s="155"/>
    </row>
    <row r="42" spans="1:7" ht="17.25" customHeight="1" x14ac:dyDescent="0.3">
      <c r="A42" s="138" t="s">
        <v>122</v>
      </c>
      <c r="B42" s="138"/>
      <c r="C42" s="138"/>
      <c r="D42" s="138" t="s">
        <v>123</v>
      </c>
      <c r="E42" s="138"/>
      <c r="F42" s="138"/>
      <c r="G42" s="138"/>
    </row>
    <row r="43" spans="1:7" ht="17.25" customHeight="1" x14ac:dyDescent="0.3">
      <c r="A43" s="139" t="s">
        <v>124</v>
      </c>
      <c r="B43" s="139"/>
      <c r="C43" s="139"/>
      <c r="D43" s="139"/>
      <c r="E43" s="139"/>
      <c r="F43" s="139"/>
      <c r="G43" s="139"/>
    </row>
    <row r="44" spans="1:7" ht="17.25" customHeight="1" x14ac:dyDescent="0.3">
      <c r="A44" s="81" t="s">
        <v>125</v>
      </c>
      <c r="B44" s="138" t="s">
        <v>266</v>
      </c>
      <c r="C44" s="138"/>
      <c r="D44" s="138"/>
      <c r="E44" s="81" t="s">
        <v>126</v>
      </c>
      <c r="F44" s="148">
        <v>44476</v>
      </c>
      <c r="G44" s="138"/>
    </row>
    <row r="45" spans="1:7" ht="31.5" customHeight="1" x14ac:dyDescent="0.3">
      <c r="A45" s="82" t="s">
        <v>128</v>
      </c>
      <c r="B45" s="138" t="str">
        <f>B44</f>
        <v>KBNP/NRV/BP/8001-116</v>
      </c>
      <c r="C45" s="138"/>
      <c r="D45" s="138"/>
      <c r="E45" s="81" t="s">
        <v>126</v>
      </c>
      <c r="F45" s="148">
        <f>F44</f>
        <v>44476</v>
      </c>
      <c r="G45" s="148"/>
    </row>
    <row r="46" spans="1:7" ht="96.75" customHeight="1" x14ac:dyDescent="0.3">
      <c r="A46" s="81" t="s">
        <v>129</v>
      </c>
      <c r="B46" s="138" t="s">
        <v>257</v>
      </c>
      <c r="C46" s="149"/>
      <c r="D46" s="149"/>
      <c r="E46" s="81" t="s">
        <v>126</v>
      </c>
      <c r="F46" s="148">
        <v>44476</v>
      </c>
      <c r="G46" s="138" t="s">
        <v>130</v>
      </c>
    </row>
    <row r="47" spans="1:7" ht="63.75" customHeight="1" x14ac:dyDescent="0.3">
      <c r="A47" s="80" t="s">
        <v>255</v>
      </c>
      <c r="B47" s="150" t="s">
        <v>265</v>
      </c>
      <c r="C47" s="151"/>
      <c r="D47" s="152"/>
      <c r="E47" s="80" t="s">
        <v>254</v>
      </c>
      <c r="F47" s="153">
        <v>44670</v>
      </c>
      <c r="G47" s="152"/>
    </row>
    <row r="48" spans="1:7" ht="15.5" x14ac:dyDescent="0.3">
      <c r="A48" s="132" t="s">
        <v>131</v>
      </c>
      <c r="B48" s="133"/>
      <c r="C48" s="22" t="s">
        <v>127</v>
      </c>
      <c r="D48" s="132" t="s">
        <v>132</v>
      </c>
      <c r="E48" s="133"/>
      <c r="F48" s="154">
        <v>45838</v>
      </c>
      <c r="G48" s="133"/>
    </row>
    <row r="49" spans="1:12" ht="17.25" customHeight="1" x14ac:dyDescent="0.3">
      <c r="A49" s="145" t="s">
        <v>133</v>
      </c>
      <c r="B49" s="146"/>
      <c r="C49" s="146"/>
      <c r="D49" s="146"/>
      <c r="E49" s="146"/>
      <c r="F49" s="146"/>
      <c r="G49" s="147"/>
    </row>
    <row r="50" spans="1:12" ht="36.75" customHeight="1" x14ac:dyDescent="0.3">
      <c r="A50" s="132" t="s">
        <v>134</v>
      </c>
      <c r="B50" s="133"/>
      <c r="C50" s="23">
        <v>7149.1</v>
      </c>
      <c r="D50" s="132" t="s">
        <v>135</v>
      </c>
      <c r="E50" s="133"/>
      <c r="F50" s="132" t="s">
        <v>286</v>
      </c>
      <c r="G50" s="133"/>
    </row>
    <row r="51" spans="1:12" ht="47.25" customHeight="1" x14ac:dyDescent="0.3">
      <c r="A51" s="20" t="s">
        <v>253</v>
      </c>
      <c r="B51" s="132" t="s">
        <v>258</v>
      </c>
      <c r="C51" s="134"/>
      <c r="D51" s="134"/>
      <c r="E51" s="134"/>
      <c r="F51" s="134"/>
      <c r="G51" s="133"/>
    </row>
    <row r="52" spans="1:12" ht="48" customHeight="1" x14ac:dyDescent="0.3">
      <c r="A52" s="20" t="s">
        <v>221</v>
      </c>
      <c r="B52" s="132" t="s">
        <v>287</v>
      </c>
      <c r="C52" s="134"/>
      <c r="D52" s="134"/>
      <c r="E52" s="134"/>
      <c r="F52" s="134"/>
      <c r="G52" s="133"/>
    </row>
    <row r="53" spans="1:12" ht="17.25" customHeight="1" x14ac:dyDescent="0.3">
      <c r="A53" s="132" t="s">
        <v>136</v>
      </c>
      <c r="B53" s="133"/>
      <c r="C53" s="132" t="s">
        <v>137</v>
      </c>
      <c r="D53" s="134"/>
      <c r="E53" s="134"/>
      <c r="F53" s="134"/>
      <c r="G53" s="133"/>
    </row>
    <row r="54" spans="1:12" ht="16" thickBot="1" x14ac:dyDescent="0.35">
      <c r="A54" s="135" t="s">
        <v>213</v>
      </c>
      <c r="B54" s="136"/>
      <c r="C54" s="136"/>
      <c r="D54" s="136"/>
      <c r="E54" s="136"/>
      <c r="F54" s="136"/>
      <c r="G54" s="137"/>
    </row>
    <row r="55" spans="1:12" ht="14.25" customHeight="1" x14ac:dyDescent="0.35">
      <c r="A55" s="173" t="s">
        <v>222</v>
      </c>
      <c r="B55" s="174"/>
      <c r="C55" s="174" t="s">
        <v>259</v>
      </c>
      <c r="D55" s="174"/>
      <c r="E55" s="174"/>
      <c r="F55" s="174"/>
      <c r="G55" s="175"/>
      <c r="H55" s="43"/>
      <c r="I55" s="44" t="str">
        <f ca="1">(IF(E59&gt;99%,"All work completed. Please provide OC.",IF(E59&gt;89.8%,"Plinth, RCC, Brick, Plaster, Flooring, Painting work Completed. Finishing work is in process.",IF(E59&lt;94%,(IF(C59=0,"Work not yet Started.",IF(D59=25%,"Piling work in process",IF(D59=50%,"Excavation work in process",IF(D59=100%,"Excavation work Completed. ","0")))&amp;(IF(C60=0%,"",IF(C60=J61,"Footing work is process",IF(C60=J62,"Footing work Completed",IF(C60=J63,"1st Basement Completed",IF(C60=J64,"1st &amp; 2nd Basement Completed",IF(C60=J65,"1st to 3rd Basement Completed",IF(C60=J66,"1st to 4th Basement Completed",IF(C60=J67,"Plinth work is process",IF(C60=J68,"Plinth work completed","0")))))))))))&amp;(IF(C61=(D56+F56+H56),", RCC Slab",IF(C61&gt;0,", RCC upto "&amp;C61&amp;" Slab",""))&amp;(IF(C62=H56,", Brickwork",IF(C62&gt;0,", Brickwork upto "&amp;C62&amp;" Floor",""))&amp;(IF(C63=H56,", Internal Plaster",IF(C63&gt;0,", Internal Plaster upto "&amp;C63&amp;" Floor",""))&amp;(IF(C64=H56,", External Plaster",IF(C64&gt;0,", External Plaster upto "&amp;C64&amp;" Floor",""))&amp;(IF(C65=H56,", Flooring",IF(C65&gt;0,", Flooring upto "&amp;C65&amp;" Floor",""))&amp;(IF(C66=H56,", Painting",IF(C66&gt;0,", Painting upto "&amp;C66&amp;" Floor",""))&amp;(IF(C67&gt;0,", Finishing upto "&amp;C67&amp;" Floor","")&amp;(IF(C61&gt;0.5," Completed",""))))))))))))))</f>
        <v>Plinth, RCC, Brick, Plaster, Flooring, Painting work Completed. Finishing work is in process.</v>
      </c>
      <c r="J55" s="45"/>
      <c r="K55" s="44" t="str">
        <f ca="1">(IF(F59&gt;99%,"All work completed. Please provide OC.",IF(F59&gt;89.8%,"Plinth, RCC, Brick, Plaster, Flooring, Painting work Completed. Finishing work is in process.",IF(F59&lt;94%,(IF(C59=0,"Work not yet Started.",IF(D59=25%,"Piling work in process",IF(D59=50%,"Excavation work in process",IF(D59=100%,"Excavation work Completed. ","0")))&amp;(IF(C60=0%,"",IF(C60=L61,"Footing work is process",IF(C60=L62,"Footing work Completed",IF(C60=L63,"1st Basement Completed",IF(C60=L64,"1st &amp; 2nd Basement Completed",IF(C60=L65,"1st to 3rd Basement Completed",IF(C60=L66,"1st to 4th Basement Completed",IF(C60=L67,"Plinth work is process",IF(C60=L68,"Plinth work completed","0")))))))))))&amp;(IF(C61=(D56+G56+I56),", RCC Slab",IF(C61&gt;0,", RCC upto "&amp;C61&amp;" Slab",""))&amp;(IF(C62=I56,", Brickwork",IF(C62&gt;0,", Brickwork upto "&amp;C62&amp;" Floor",""))&amp;(IF(C63=I56,", Internal Plaster",IF(C63&gt;0,", Internal Plaster upto "&amp;C63&amp;" Floor",""))&amp;(IF(C64=I56,", External Plaster",IF(C64&gt;0,", External Plaster upto "&amp;C64&amp;" Floor",""))&amp;(IF(C65=I56,", Flooring",IF(C65&gt;0,", Flooring upto "&amp;C65&amp;" Floor",""))&amp;(IF(C66=I56,", Painting",IF(C66&gt;0,", Painting upto "&amp;C66&amp;" Floor",""))&amp;(IF(C67&gt;0,", Finishing upto "&amp;C67&amp;" Floor","")&amp;(IF(C61&gt;0.5," Completed",""))))))))))))))</f>
        <v>Excavation work Completed. 0, RCC Slab, Brickwork upto 15 Floor, Internal Plaster upto 15 Floor, External Plaster upto 15 Floor, Flooring upto 15 Floor, Painting upto 15 Floor, Finishing upto 5 Floor Completed</v>
      </c>
      <c r="L55" s="45"/>
    </row>
    <row r="56" spans="1:12" ht="15.5" x14ac:dyDescent="0.35">
      <c r="A56" s="74" t="s">
        <v>5</v>
      </c>
      <c r="B56" s="73">
        <v>0</v>
      </c>
      <c r="C56" s="73" t="s">
        <v>7</v>
      </c>
      <c r="D56" s="73">
        <v>1</v>
      </c>
      <c r="E56" s="176" t="s">
        <v>223</v>
      </c>
      <c r="F56" s="176"/>
      <c r="G56" s="46">
        <v>15</v>
      </c>
      <c r="H56" s="47">
        <f ca="1">--TRIM(RIGHT(SUBSTITUTE(LEFT(C55,_xlfn.AGGREGATE(16,6,FIND({0,1,2,3,4,5,6,7,8,9},C55,ROW(INDIRECT("1:"&amp;LEN(C55)))),1))," ",REPT(" ",LEN(C55))),LEN(C55)))</f>
        <v>15</v>
      </c>
      <c r="I56" s="48"/>
      <c r="J56" s="49"/>
      <c r="K56" s="48"/>
      <c r="L56" s="49"/>
    </row>
    <row r="57" spans="1:12" ht="33.5" customHeight="1" x14ac:dyDescent="0.35">
      <c r="A57" s="177" t="s">
        <v>224</v>
      </c>
      <c r="B57" s="178"/>
      <c r="C57" s="179" t="str">
        <f ca="1">I55</f>
        <v>Plinth, RCC, Brick, Plaster, Flooring, Painting work Completed. Finishing work is in process.</v>
      </c>
      <c r="D57" s="179"/>
      <c r="E57" s="179"/>
      <c r="F57" s="179"/>
      <c r="G57" s="180"/>
      <c r="H57" s="50"/>
      <c r="I57" s="48" t="s">
        <v>225</v>
      </c>
      <c r="J57" s="49"/>
      <c r="K57" s="48" t="s">
        <v>225</v>
      </c>
      <c r="L57" s="49"/>
    </row>
    <row r="58" spans="1:12" ht="15.75" customHeight="1" x14ac:dyDescent="0.35">
      <c r="A58" s="181" t="s">
        <v>226</v>
      </c>
      <c r="B58" s="182"/>
      <c r="C58" s="51" t="s">
        <v>227</v>
      </c>
      <c r="D58" s="51" t="s">
        <v>228</v>
      </c>
      <c r="E58" s="182" t="s">
        <v>229</v>
      </c>
      <c r="F58" s="182"/>
      <c r="G58" s="52" t="s">
        <v>230</v>
      </c>
      <c r="H58" s="53"/>
      <c r="I58" s="54" t="s">
        <v>231</v>
      </c>
      <c r="J58" s="55">
        <f ca="1">H56*25%</f>
        <v>3.75</v>
      </c>
      <c r="K58" s="54" t="s">
        <v>231</v>
      </c>
      <c r="L58" s="55">
        <f>I56*25%</f>
        <v>0</v>
      </c>
    </row>
    <row r="59" spans="1:12" ht="15.5" x14ac:dyDescent="0.35">
      <c r="A59" s="182" t="s">
        <v>232</v>
      </c>
      <c r="B59" s="182"/>
      <c r="C59" s="56">
        <f ca="1">J60</f>
        <v>15</v>
      </c>
      <c r="D59" s="79">
        <f ca="1">((100/H56)*C59)/100</f>
        <v>1</v>
      </c>
      <c r="E59" s="183">
        <f ca="1">(((C60/H56*10)+(40/(D56+F56+H56)*C61)+(7.5/(H56)*C62)+(7.5/(H56)*C63)+(10/H56*C64)+(10/H56*C65)+(5/H56*C66)+(5/H56*C67)+(5/H56*C68))/100)</f>
        <v>0.91666666666666674</v>
      </c>
      <c r="F59" s="183"/>
      <c r="G59" s="183">
        <f ca="1">((((C59/H56)*20)+((C60/H56)*25)+(30/(H56+F56+D56)*C61)+(5/H56*C62)+(5/H56*C63)+(5/H56*C64)+(5/H56*C65)+(0/H56*C66)+(0/H56*C67)+(5/H56*C68))/100)</f>
        <v>0.95</v>
      </c>
      <c r="H59" s="57"/>
      <c r="I59" s="54" t="s">
        <v>44</v>
      </c>
      <c r="J59" s="58">
        <f ca="1">H56*50%</f>
        <v>7.5</v>
      </c>
      <c r="K59" s="54" t="s">
        <v>44</v>
      </c>
      <c r="L59" s="58">
        <f>I56*50%</f>
        <v>0</v>
      </c>
    </row>
    <row r="60" spans="1:12" ht="15.5" x14ac:dyDescent="0.35">
      <c r="A60" s="182" t="s">
        <v>37</v>
      </c>
      <c r="B60" s="182"/>
      <c r="C60" s="59">
        <f ca="1">J68</f>
        <v>15</v>
      </c>
      <c r="D60" s="79">
        <f ca="1">((100/H56)*C60)/100</f>
        <v>1</v>
      </c>
      <c r="E60" s="183"/>
      <c r="F60" s="183"/>
      <c r="G60" s="183"/>
      <c r="H60" s="57"/>
      <c r="I60" s="54" t="s">
        <v>47</v>
      </c>
      <c r="J60" s="58">
        <f ca="1">H56</f>
        <v>15</v>
      </c>
      <c r="K60" s="54" t="s">
        <v>47</v>
      </c>
      <c r="L60" s="58">
        <f>I56</f>
        <v>0</v>
      </c>
    </row>
    <row r="61" spans="1:12" ht="15.75" customHeight="1" x14ac:dyDescent="0.35">
      <c r="A61" s="176" t="s">
        <v>233</v>
      </c>
      <c r="B61" s="176"/>
      <c r="C61" s="59">
        <v>16</v>
      </c>
      <c r="D61" s="79">
        <f ca="1">((100/(D56+F56+H56))*C61)/100</f>
        <v>1</v>
      </c>
      <c r="E61" s="183"/>
      <c r="F61" s="183"/>
      <c r="G61" s="183"/>
      <c r="H61" s="57"/>
      <c r="I61" s="54" t="s">
        <v>48</v>
      </c>
      <c r="J61" s="60">
        <f ca="1">(IF(B56&gt;1,(H56/(B56+2)),H56/4))</f>
        <v>3.75</v>
      </c>
      <c r="K61" s="54" t="s">
        <v>48</v>
      </c>
      <c r="L61" s="60">
        <f>(IF(B56&gt;1,(I56/(B56+2)),I56/4))</f>
        <v>0</v>
      </c>
    </row>
    <row r="62" spans="1:12" ht="15.75" customHeight="1" x14ac:dyDescent="0.35">
      <c r="A62" s="182" t="s">
        <v>234</v>
      </c>
      <c r="B62" s="182" t="s">
        <v>235</v>
      </c>
      <c r="C62" s="56">
        <v>15</v>
      </c>
      <c r="D62" s="79">
        <f ca="1">((100/H56)*C62)/100</f>
        <v>1</v>
      </c>
      <c r="E62" s="183"/>
      <c r="F62" s="183"/>
      <c r="G62" s="183"/>
      <c r="H62" s="57"/>
      <c r="I62" s="54" t="s">
        <v>49</v>
      </c>
      <c r="J62" s="60">
        <f ca="1">(IF(B56&gt;1,(H56/(B56+2)+J61),H56/4+J61))</f>
        <v>7.5</v>
      </c>
      <c r="K62" s="54" t="s">
        <v>49</v>
      </c>
      <c r="L62" s="60">
        <f>(IF(B56&gt;1,(I56/(B56+2)+L61),I56/4+L61))</f>
        <v>0</v>
      </c>
    </row>
    <row r="63" spans="1:12" ht="15.75" customHeight="1" x14ac:dyDescent="0.35">
      <c r="A63" s="182" t="s">
        <v>236</v>
      </c>
      <c r="B63" s="182" t="s">
        <v>235</v>
      </c>
      <c r="C63" s="56">
        <v>15</v>
      </c>
      <c r="D63" s="79">
        <f ca="1">((100/H56)*C63)/100</f>
        <v>1</v>
      </c>
      <c r="E63" s="183"/>
      <c r="F63" s="183"/>
      <c r="G63" s="183"/>
      <c r="H63" s="57"/>
      <c r="I63" s="54" t="s">
        <v>237</v>
      </c>
      <c r="J63" s="60">
        <f>(IF(B56&gt;1,(H56/(B56+2)+J62),0))</f>
        <v>0</v>
      </c>
      <c r="K63" s="54" t="s">
        <v>237</v>
      </c>
      <c r="L63" s="60">
        <f>(IF(B56&gt;1,(I56/(B56+2)+L62),0))</f>
        <v>0</v>
      </c>
    </row>
    <row r="64" spans="1:12" ht="15.75" customHeight="1" x14ac:dyDescent="0.35">
      <c r="A64" s="182" t="s">
        <v>238</v>
      </c>
      <c r="B64" s="182" t="s">
        <v>239</v>
      </c>
      <c r="C64" s="56">
        <v>15</v>
      </c>
      <c r="D64" s="79">
        <f ca="1">((100/(H56))*C64)/100</f>
        <v>1</v>
      </c>
      <c r="E64" s="183"/>
      <c r="F64" s="183"/>
      <c r="G64" s="183"/>
      <c r="H64" s="57"/>
      <c r="I64" s="54" t="s">
        <v>240</v>
      </c>
      <c r="J64" s="60">
        <f>(IF(B56&gt;2,(H56/(B56+2)+J63),0))</f>
        <v>0</v>
      </c>
      <c r="K64" s="54" t="s">
        <v>240</v>
      </c>
      <c r="L64" s="60">
        <f>(IF(B56&gt;2,(I56/(B56+2)+L63),0))</f>
        <v>0</v>
      </c>
    </row>
    <row r="65" spans="1:12" ht="15.75" customHeight="1" x14ac:dyDescent="0.35">
      <c r="A65" s="182" t="s">
        <v>241</v>
      </c>
      <c r="B65" s="182" t="s">
        <v>241</v>
      </c>
      <c r="C65" s="56">
        <v>15</v>
      </c>
      <c r="D65" s="79">
        <f ca="1">((100/H56)*C65)/100</f>
        <v>1</v>
      </c>
      <c r="E65" s="183"/>
      <c r="F65" s="183"/>
      <c r="G65" s="183"/>
      <c r="H65" s="57"/>
      <c r="I65" s="54" t="s">
        <v>242</v>
      </c>
      <c r="J65" s="61">
        <f>(IF(B56&gt;3,(H56/(B56+2)+J64),0))</f>
        <v>0</v>
      </c>
      <c r="K65" s="54" t="s">
        <v>242</v>
      </c>
      <c r="L65" s="61">
        <f>(IF(B56&gt;3,(I56/(B56+2)+L64),0))</f>
        <v>0</v>
      </c>
    </row>
    <row r="66" spans="1:12" ht="15" customHeight="1" x14ac:dyDescent="0.35">
      <c r="A66" s="182" t="s">
        <v>243</v>
      </c>
      <c r="B66" s="182"/>
      <c r="C66" s="56">
        <v>15</v>
      </c>
      <c r="D66" s="79">
        <f ca="1">((100/H56)*C66)/100</f>
        <v>1</v>
      </c>
      <c r="E66" s="183"/>
      <c r="F66" s="183"/>
      <c r="G66" s="183"/>
      <c r="H66" s="57"/>
      <c r="I66" s="54" t="s">
        <v>244</v>
      </c>
      <c r="J66" s="60">
        <f>(IF(B56&gt;4,(H56/(B56+2)+J65),0))</f>
        <v>0</v>
      </c>
      <c r="K66" s="54" t="s">
        <v>244</v>
      </c>
      <c r="L66" s="60">
        <f>(IF(B56&gt;4,(I56/(B56+2)+L65),0))</f>
        <v>0</v>
      </c>
    </row>
    <row r="67" spans="1:12" ht="15.75" customHeight="1" x14ac:dyDescent="0.35">
      <c r="A67" s="182" t="s">
        <v>245</v>
      </c>
      <c r="B67" s="182" t="s">
        <v>245</v>
      </c>
      <c r="C67" s="56">
        <v>5</v>
      </c>
      <c r="D67" s="79">
        <f ca="1">((100/(H56))*C67)/100</f>
        <v>0.33333333333333337</v>
      </c>
      <c r="E67" s="183"/>
      <c r="F67" s="183"/>
      <c r="G67" s="183"/>
      <c r="H67" s="57"/>
      <c r="I67" s="54" t="s">
        <v>50</v>
      </c>
      <c r="J67" s="60">
        <f ca="1">(IF(B56=1,(H56/(B56+3)+J62),IF(B56=0,(H56/4+J62),IF(B56&gt;1,0))))</f>
        <v>11.25</v>
      </c>
      <c r="K67" s="54" t="s">
        <v>50</v>
      </c>
      <c r="L67" s="60">
        <f>(IF(B56=1,(I56/(B56+3)+L62),IF(B56=0,(I56/4+L62),IF(B56&gt;1,0))))</f>
        <v>0</v>
      </c>
    </row>
    <row r="68" spans="1:12" ht="15" customHeight="1" thickBot="1" x14ac:dyDescent="0.4">
      <c r="A68" s="182" t="s">
        <v>246</v>
      </c>
      <c r="B68" s="182"/>
      <c r="C68" s="56">
        <v>0</v>
      </c>
      <c r="D68" s="79">
        <f ca="1">((100/(H56))*C68)/100</f>
        <v>0</v>
      </c>
      <c r="E68" s="183"/>
      <c r="F68" s="183"/>
      <c r="G68" s="183"/>
      <c r="H68" s="62"/>
      <c r="I68" s="63" t="s">
        <v>51</v>
      </c>
      <c r="J68" s="64">
        <f ca="1">(IF(B56&gt;1.5,(H56/(B56+2)+J62+MAX(0,J63-J62)+MAX(0,J64-J63)+MAX(0,J65-J64)+MAX(0,J66-J65)+MAX(0,J67-J66)),IF(B56=1,(H56/(B56+3)+J67),IF(B56=0,H56/4+J67))))</f>
        <v>15</v>
      </c>
      <c r="K68" s="63" t="s">
        <v>51</v>
      </c>
      <c r="L68" s="64">
        <f>(IF(B56&gt;1.5,(I56/(B56+2)+L62+MAX(0,L63-L62)+MAX(0,L64-L63)+MAX(0,L65-L64)+MAX(0,L66-L65)+MAX(0,L67-L66)),IF(B56=1,(I56/(B56+3)+L67),IF(B56=0,I56/4+L67))))</f>
        <v>0</v>
      </c>
    </row>
    <row r="69" spans="1:12" ht="15.5" x14ac:dyDescent="0.35">
      <c r="A69" s="179" t="s">
        <v>222</v>
      </c>
      <c r="B69" s="179"/>
      <c r="C69" s="179" t="s">
        <v>260</v>
      </c>
      <c r="D69" s="179"/>
      <c r="E69" s="179"/>
      <c r="F69" s="179"/>
      <c r="G69" s="179"/>
      <c r="H69" s="43"/>
      <c r="I69" s="44" t="str">
        <f ca="1">(IF(E73&gt;99%,"All work completed. Please provide OC.",IF(E73&gt;89.8%,"Plinth, RCC, Brick, Plaster, Flooring, Painting work Completed. Finishing work is in process.",IF(E73&lt;94%,(IF(C73=0,"Work not yet Started.",IF(D73=25%,"Piling work in process",IF(D73=50%,"Excavation work in process",IF(D73=100%,"Excavation work Completed. ","0")))&amp;(IF(C74=0%,"",IF(C74=J75,"Footing work is process",IF(C74=J76,"Footing work Completed",IF(C74=J77,"1st Basement Completed",IF(C74=J78,"1st &amp; 2nd Basement Completed",IF(C74=J79,"1st to 3rd Basement Completed",IF(C74=J80,"1st to 4th Basement Completed",IF(C74=J81,"Plinth work is process",IF(C74=J82,"Plinth work completed","0")))))))))))&amp;(IF(C75=(D70+F70+H70),", RCC Slab",IF(C75&gt;0,", RCC upto "&amp;C75&amp;" Slab",""))&amp;(IF(C76=H70,", Brickwork",IF(C76&gt;0,", Brickwork upto "&amp;C76&amp;" Floor",""))&amp;(IF(C77=H70,", Internal Plaster",IF(C77&gt;0,", Internal Plaster upto "&amp;C77&amp;" Floor",""))&amp;(IF(C78=H70,", External Plaster",IF(C78&gt;0,", External Plaster upto "&amp;C78&amp;" Floor",""))&amp;(IF(C79=H70,", Flooring",IF(C79&gt;0,", Flooring upto "&amp;C79&amp;" Floor",""))&amp;(IF(C80=H70,", Painting",IF(C80&gt;0,", Painting upto "&amp;C80&amp;" Floor",""))&amp;(IF(C81&gt;0,", Finishing upto "&amp;C81&amp;" Floor","")&amp;(IF(C75&gt;0.5," Completed",""))))))))))))))</f>
        <v>All work completed. Please provide OC.</v>
      </c>
      <c r="J69" s="45"/>
      <c r="K69" s="44" t="str">
        <f ca="1">(IF(F73&gt;99%,"All work completed. Please provide OC.",IF(F73&gt;89.8%,"Plinth, RCC, Brick, Plaster, Flooring, Painting work Completed. Finishing work is in process.",IF(F73&lt;94%,(IF(C73=0,"Work not yet Started.",IF(D73=25%,"Piling work in process",IF(D73=50%,"Excavation work in process",IF(D73=100%,"Excavation work Completed. ","0")))&amp;(IF(C74=0%,"",IF(C74=L75,"Footing work is process",IF(C74=L76,"Footing work Completed",IF(C74=L77,"1st Basement Completed",IF(C74=L78,"1st &amp; 2nd Basement Completed",IF(C74=L79,"1st to 3rd Basement Completed",IF(C74=L80,"1st to 4th Basement Completed",IF(C74=L81,"Plinth work is process",IF(C74=L82,"Plinth work completed","0")))))))))))&amp;(IF(C75=(D70+G70+I70),", RCC Slab",IF(C75&gt;0,", RCC upto "&amp;C75&amp;" Slab",""))&amp;(IF(C76=I70,", Brickwork",IF(C76&gt;0,", Brickwork upto "&amp;C76&amp;" Floor",""))&amp;(IF(C77=I70,", Internal Plaster",IF(C77&gt;0,", Internal Plaster upto "&amp;C77&amp;" Floor",""))&amp;(IF(C78=I70,", External Plaster",IF(C78&gt;0,", External Plaster upto "&amp;C78&amp;" Floor",""))&amp;(IF(C79=I70,", Flooring",IF(C79&gt;0,", Flooring upto "&amp;C79&amp;" Floor",""))&amp;(IF(C80=I70,", Painting",IF(C80&gt;0,", Painting upto "&amp;C80&amp;" Floor",""))&amp;(IF(C81&gt;0,", Finishing upto "&amp;C81&amp;" Floor","")&amp;(IF(C75&gt;0.5," Completed",""))))))))))))))</f>
        <v>Excavation work Completed. 0, RCC Slab, Brickwork upto 9 Floor, Internal Plaster upto 9 Floor, External Plaster upto 9 Floor, Flooring upto 9 Floor, Painting upto 9 Floor, Finishing upto 9 Floor Completed</v>
      </c>
      <c r="L69" s="45"/>
    </row>
    <row r="70" spans="1:12" ht="15.5" x14ac:dyDescent="0.35">
      <c r="A70" s="77" t="s">
        <v>5</v>
      </c>
      <c r="B70" s="77">
        <v>0</v>
      </c>
      <c r="C70" s="77" t="s">
        <v>7</v>
      </c>
      <c r="D70" s="77">
        <v>1</v>
      </c>
      <c r="E70" s="176" t="s">
        <v>223</v>
      </c>
      <c r="F70" s="176"/>
      <c r="G70" s="77">
        <v>9</v>
      </c>
      <c r="H70" s="47">
        <f ca="1">--TRIM(RIGHT(SUBSTITUTE(LEFT(C69,_xlfn.AGGREGATE(16,6,FIND({0,1,2,3,4,5,6,7,8,9},C69,ROW(INDIRECT("1:"&amp;LEN(C69)))),1))," ",REPT(" ",LEN(C69))),LEN(C69)))</f>
        <v>9</v>
      </c>
      <c r="I70" s="48"/>
      <c r="J70" s="49"/>
      <c r="K70" s="48"/>
      <c r="L70" s="49"/>
    </row>
    <row r="71" spans="1:12" ht="15.5" x14ac:dyDescent="0.35">
      <c r="A71" s="178" t="s">
        <v>224</v>
      </c>
      <c r="B71" s="178"/>
      <c r="C71" s="179" t="str">
        <f>I71</f>
        <v>All work Completed. OC Received.</v>
      </c>
      <c r="D71" s="179"/>
      <c r="E71" s="179"/>
      <c r="F71" s="179"/>
      <c r="G71" s="179"/>
      <c r="H71" s="50"/>
      <c r="I71" s="48" t="s">
        <v>225</v>
      </c>
      <c r="J71" s="49"/>
      <c r="K71" s="48" t="s">
        <v>225</v>
      </c>
      <c r="L71" s="49"/>
    </row>
    <row r="72" spans="1:12" ht="15.75" hidden="1" customHeight="1" x14ac:dyDescent="0.35">
      <c r="A72" s="182" t="s">
        <v>226</v>
      </c>
      <c r="B72" s="182"/>
      <c r="C72" s="78" t="s">
        <v>227</v>
      </c>
      <c r="D72" s="78" t="s">
        <v>228</v>
      </c>
      <c r="E72" s="182" t="s">
        <v>229</v>
      </c>
      <c r="F72" s="182"/>
      <c r="G72" s="83" t="s">
        <v>230</v>
      </c>
      <c r="H72" s="53"/>
      <c r="I72" s="54" t="s">
        <v>231</v>
      </c>
      <c r="J72" s="55">
        <f ca="1">H70*25%</f>
        <v>2.25</v>
      </c>
      <c r="K72" s="54" t="s">
        <v>231</v>
      </c>
      <c r="L72" s="55">
        <f>I70*25%</f>
        <v>0</v>
      </c>
    </row>
    <row r="73" spans="1:12" ht="15.5" hidden="1" x14ac:dyDescent="0.35">
      <c r="A73" s="182" t="s">
        <v>232</v>
      </c>
      <c r="B73" s="182"/>
      <c r="C73" s="56">
        <f ca="1">J74</f>
        <v>9</v>
      </c>
      <c r="D73" s="79">
        <f ca="1">((100/H70)*C73)/100</f>
        <v>1</v>
      </c>
      <c r="E73" s="183">
        <f ca="1">(((C74/H70*10)+(40/(D70+F70+H70)*C75)+(7.5/(H70)*C76)+(7.5/(H70)*C77)+(10/H70*C78)+(10/H70*C79)+(5/H70*C80)+(5/H70*C81)+(5/H70*C82))/100)</f>
        <v>1</v>
      </c>
      <c r="F73" s="183"/>
      <c r="G73" s="183">
        <f ca="1">((((C73/H70)*20)+((C74/H70)*25)+(30/(H70+F70+D70)*C75)+(5/H70*C76)+(5/H70*C77)+(5/H70*C78)+(5/H70*C79)+(0/H70*C80)+(0/H70*C81)+(5/H70*C82))/100)</f>
        <v>1</v>
      </c>
      <c r="H73" s="57"/>
      <c r="I73" s="54" t="s">
        <v>44</v>
      </c>
      <c r="J73" s="58">
        <f ca="1">H70*50%</f>
        <v>4.5</v>
      </c>
      <c r="K73" s="54" t="s">
        <v>44</v>
      </c>
      <c r="L73" s="58">
        <f>I70*50%</f>
        <v>0</v>
      </c>
    </row>
    <row r="74" spans="1:12" ht="15.5" hidden="1" x14ac:dyDescent="0.35">
      <c r="A74" s="182" t="s">
        <v>37</v>
      </c>
      <c r="B74" s="182"/>
      <c r="C74" s="59">
        <f ca="1">J82</f>
        <v>9</v>
      </c>
      <c r="D74" s="79">
        <f ca="1">((100/H70)*C74)/100</f>
        <v>1</v>
      </c>
      <c r="E74" s="183"/>
      <c r="F74" s="183"/>
      <c r="G74" s="183"/>
      <c r="H74" s="57"/>
      <c r="I74" s="54" t="s">
        <v>47</v>
      </c>
      <c r="J74" s="58">
        <f ca="1">H70</f>
        <v>9</v>
      </c>
      <c r="K74" s="54" t="s">
        <v>47</v>
      </c>
      <c r="L74" s="58">
        <f>I70</f>
        <v>0</v>
      </c>
    </row>
    <row r="75" spans="1:12" ht="15.75" hidden="1" customHeight="1" x14ac:dyDescent="0.35">
      <c r="A75" s="176" t="s">
        <v>233</v>
      </c>
      <c r="B75" s="176"/>
      <c r="C75" s="59">
        <v>10</v>
      </c>
      <c r="D75" s="79">
        <f ca="1">((100/(D70+F70+H70))*C75)/100</f>
        <v>1</v>
      </c>
      <c r="E75" s="183"/>
      <c r="F75" s="183"/>
      <c r="G75" s="183"/>
      <c r="H75" s="57"/>
      <c r="I75" s="54" t="s">
        <v>48</v>
      </c>
      <c r="J75" s="60">
        <f ca="1">(IF(B70&gt;1,(H70/(B70+2)),H70/4))</f>
        <v>2.25</v>
      </c>
      <c r="K75" s="54" t="s">
        <v>48</v>
      </c>
      <c r="L75" s="60">
        <f>(IF(B70&gt;1,(I70/(B70+2)),I70/4))</f>
        <v>0</v>
      </c>
    </row>
    <row r="76" spans="1:12" ht="15.75" hidden="1" customHeight="1" x14ac:dyDescent="0.35">
      <c r="A76" s="182" t="s">
        <v>234</v>
      </c>
      <c r="B76" s="182" t="s">
        <v>235</v>
      </c>
      <c r="C76" s="56">
        <v>9</v>
      </c>
      <c r="D76" s="79">
        <f ca="1">((100/H70)*C76)/100</f>
        <v>1</v>
      </c>
      <c r="E76" s="183"/>
      <c r="F76" s="183"/>
      <c r="G76" s="183"/>
      <c r="H76" s="57"/>
      <c r="I76" s="54" t="s">
        <v>49</v>
      </c>
      <c r="J76" s="60">
        <f ca="1">(IF(B70&gt;1,(H70/(B70+2)+J75),H70/4+J75))</f>
        <v>4.5</v>
      </c>
      <c r="K76" s="54" t="s">
        <v>49</v>
      </c>
      <c r="L76" s="60">
        <f>(IF(B70&gt;1,(I70/(B70+2)+L75),I70/4+L75))</f>
        <v>0</v>
      </c>
    </row>
    <row r="77" spans="1:12" ht="15.75" hidden="1" customHeight="1" x14ac:dyDescent="0.35">
      <c r="A77" s="182" t="s">
        <v>236</v>
      </c>
      <c r="B77" s="182" t="s">
        <v>235</v>
      </c>
      <c r="C77" s="56">
        <v>9</v>
      </c>
      <c r="D77" s="79">
        <f ca="1">((100/H70)*C77)/100</f>
        <v>1</v>
      </c>
      <c r="E77" s="183"/>
      <c r="F77" s="183"/>
      <c r="G77" s="183"/>
      <c r="H77" s="57"/>
      <c r="I77" s="54" t="s">
        <v>237</v>
      </c>
      <c r="J77" s="60">
        <f>(IF(B70&gt;1,(H70/(B70+2)+J76),0))</f>
        <v>0</v>
      </c>
      <c r="K77" s="54" t="s">
        <v>237</v>
      </c>
      <c r="L77" s="60">
        <f>(IF(B70&gt;1,(I70/(B70+2)+L76),0))</f>
        <v>0</v>
      </c>
    </row>
    <row r="78" spans="1:12" ht="15.75" hidden="1" customHeight="1" x14ac:dyDescent="0.35">
      <c r="A78" s="182" t="s">
        <v>238</v>
      </c>
      <c r="B78" s="182" t="s">
        <v>239</v>
      </c>
      <c r="C78" s="56">
        <v>9</v>
      </c>
      <c r="D78" s="79">
        <f ca="1">((100/(H70))*C78)/100</f>
        <v>1</v>
      </c>
      <c r="E78" s="183"/>
      <c r="F78" s="183"/>
      <c r="G78" s="183"/>
      <c r="H78" s="57"/>
      <c r="I78" s="54" t="s">
        <v>240</v>
      </c>
      <c r="J78" s="60">
        <f>(IF(B70&gt;2,(H70/(B70+2)+J77),0))</f>
        <v>0</v>
      </c>
      <c r="K78" s="54" t="s">
        <v>240</v>
      </c>
      <c r="L78" s="60">
        <f>(IF(B70&gt;2,(I70/(B70+2)+L77),0))</f>
        <v>0</v>
      </c>
    </row>
    <row r="79" spans="1:12" ht="15.75" hidden="1" customHeight="1" x14ac:dyDescent="0.35">
      <c r="A79" s="182" t="s">
        <v>241</v>
      </c>
      <c r="B79" s="182" t="s">
        <v>241</v>
      </c>
      <c r="C79" s="56">
        <v>9</v>
      </c>
      <c r="D79" s="79">
        <f ca="1">((100/H70)*C79)/100</f>
        <v>1</v>
      </c>
      <c r="E79" s="183"/>
      <c r="F79" s="183"/>
      <c r="G79" s="183"/>
      <c r="H79" s="57"/>
      <c r="I79" s="54" t="s">
        <v>242</v>
      </c>
      <c r="J79" s="61">
        <f>(IF(B70&gt;3,(H70/(B70+2)+J78),0))</f>
        <v>0</v>
      </c>
      <c r="K79" s="54" t="s">
        <v>242</v>
      </c>
      <c r="L79" s="61">
        <f>(IF(B70&gt;3,(I70/(B70+2)+L78),0))</f>
        <v>0</v>
      </c>
    </row>
    <row r="80" spans="1:12" ht="15" hidden="1" customHeight="1" x14ac:dyDescent="0.35">
      <c r="A80" s="182" t="s">
        <v>243</v>
      </c>
      <c r="B80" s="182"/>
      <c r="C80" s="56">
        <v>9</v>
      </c>
      <c r="D80" s="79">
        <f ca="1">((100/H70)*C80)/100</f>
        <v>1</v>
      </c>
      <c r="E80" s="183"/>
      <c r="F80" s="183"/>
      <c r="G80" s="183"/>
      <c r="H80" s="57"/>
      <c r="I80" s="54" t="s">
        <v>244</v>
      </c>
      <c r="J80" s="60">
        <f>(IF(B70&gt;4,(H70/(B70+2)+J79),0))</f>
        <v>0</v>
      </c>
      <c r="K80" s="54" t="s">
        <v>244</v>
      </c>
      <c r="L80" s="60">
        <f>(IF(B70&gt;4,(I70/(B70+2)+L79),0))</f>
        <v>0</v>
      </c>
    </row>
    <row r="81" spans="1:12" ht="15.75" hidden="1" customHeight="1" x14ac:dyDescent="0.35">
      <c r="A81" s="182" t="s">
        <v>245</v>
      </c>
      <c r="B81" s="182" t="s">
        <v>245</v>
      </c>
      <c r="C81" s="56">
        <v>9</v>
      </c>
      <c r="D81" s="79">
        <f ca="1">((100/(H70))*C81)/100</f>
        <v>1</v>
      </c>
      <c r="E81" s="183"/>
      <c r="F81" s="183"/>
      <c r="G81" s="183"/>
      <c r="H81" s="57"/>
      <c r="I81" s="54" t="s">
        <v>50</v>
      </c>
      <c r="J81" s="60">
        <f ca="1">(IF(B70=1,(H70/(B70+3)+J76),IF(B70=0,(H70/4+J76),IF(B70&gt;1,0))))</f>
        <v>6.75</v>
      </c>
      <c r="K81" s="54" t="s">
        <v>50</v>
      </c>
      <c r="L81" s="60">
        <f>(IF(B70=1,(I70/(B70+3)+L76),IF(B70=0,(I70/4+L76),IF(B70&gt;1,0))))</f>
        <v>0</v>
      </c>
    </row>
    <row r="82" spans="1:12" ht="15" hidden="1" customHeight="1" thickBot="1" x14ac:dyDescent="0.4">
      <c r="A82" s="182" t="s">
        <v>246</v>
      </c>
      <c r="B82" s="182"/>
      <c r="C82" s="56">
        <v>9</v>
      </c>
      <c r="D82" s="79">
        <f ca="1">((100/(H70))*C82)/100</f>
        <v>1</v>
      </c>
      <c r="E82" s="183"/>
      <c r="F82" s="183"/>
      <c r="G82" s="183"/>
      <c r="H82" s="62"/>
      <c r="I82" s="63" t="s">
        <v>51</v>
      </c>
      <c r="J82" s="64">
        <f ca="1">(IF(B70&gt;1.5,(H70/(B70+2)+J76+MAX(0,J77-J76)+MAX(0,J78-J77)+MAX(0,J79-J78)+MAX(0,J80-J79)+MAX(0,J81-J80)),IF(B70=1,(H70/(B70+3)+J81),IF(B70=0,H70/4+J81))))</f>
        <v>9</v>
      </c>
      <c r="K82" s="63" t="s">
        <v>51</v>
      </c>
      <c r="L82" s="64">
        <f>(IF(B70&gt;1.5,(I70/(B70+2)+L76+MAX(0,L77-L76)+MAX(0,L78-L77)+MAX(0,L79-L78)+MAX(0,L80-L79)+MAX(0,L81-L80)),IF(B70=1,(I70/(B70+3)+L81),IF(B70=0,I70/4+L81))))</f>
        <v>0</v>
      </c>
    </row>
    <row r="83" spans="1:12" ht="15.75" customHeight="1" x14ac:dyDescent="0.3">
      <c r="A83" s="194" t="s">
        <v>229</v>
      </c>
      <c r="B83" s="194"/>
      <c r="C83" s="195">
        <v>1</v>
      </c>
      <c r="D83" s="194"/>
      <c r="E83" s="196" t="s">
        <v>230</v>
      </c>
      <c r="F83" s="196"/>
      <c r="G83" s="196">
        <v>1</v>
      </c>
      <c r="H83" s="57"/>
      <c r="I83" s="54" t="s">
        <v>50</v>
      </c>
      <c r="J83" s="60">
        <f>(IF(B72=1,(H72/(B72+3)+J78),IF(B72=0,(H72/4+J78),IF(B72&gt;1,0))))</f>
        <v>0</v>
      </c>
      <c r="K83" s="54" t="s">
        <v>50</v>
      </c>
      <c r="L83" s="60" t="e">
        <f>(IF(B72=1,(I72/(B72+3)+L78),IF(B72=0,(I72/4+L78),IF(B72&gt;1,0))))</f>
        <v>#VALUE!</v>
      </c>
    </row>
    <row r="84" spans="1:12" ht="15" customHeight="1" thickBot="1" x14ac:dyDescent="0.35">
      <c r="A84" s="194"/>
      <c r="B84" s="194"/>
      <c r="C84" s="194"/>
      <c r="D84" s="194"/>
      <c r="E84" s="196"/>
      <c r="F84" s="196"/>
      <c r="G84" s="196"/>
      <c r="H84" s="62"/>
      <c r="I84" s="63" t="s">
        <v>51</v>
      </c>
      <c r="J84" s="64">
        <f>(IF(B72&gt;1.5,(H72/(B72+2)+J78+MAX(0,J79-J78)+MAX(0,J80-J79)+MAX(0,J81-J80)+MAX(0,J82-J81)+MAX(0,J83-J82)),IF(B72=1,(H72/(B72+3)+J83),IF(B72=0,H72/4+J83))))</f>
        <v>0</v>
      </c>
      <c r="K84" s="63" t="s">
        <v>51</v>
      </c>
      <c r="L84" s="64" t="e">
        <f>(IF(B72&gt;1.5,(I72/(B72+2)+L78+MAX(0,L79-L78)+MAX(0,L80-L79)+MAX(0,L81-L80)+MAX(0,L82-L81)+MAX(0,L83-L82)),IF(B72=1,(I72/(B72+3)+L83),IF(B72=0,I72/4+L83))))</f>
        <v>#VALUE!</v>
      </c>
    </row>
    <row r="85" spans="1:12" ht="15.5" x14ac:dyDescent="0.35">
      <c r="A85" s="179" t="s">
        <v>222</v>
      </c>
      <c r="B85" s="179"/>
      <c r="C85" s="179" t="s">
        <v>261</v>
      </c>
      <c r="D85" s="179"/>
      <c r="E85" s="179"/>
      <c r="F85" s="179"/>
      <c r="G85" s="179"/>
      <c r="H85" s="43"/>
      <c r="I85" s="44" t="str">
        <f ca="1">(IF(E89&gt;99%,"All work completed. Please provide OC.",IF(E89&gt;89.8%,"Plinth, RCC, Brick, Plaster, Flooring, Painting work Completed. Finishing work is in process.",IF(E89&lt;94%,(IF(C89=0,"Work not yet Started.",IF(D89=25%,"Piling work in process",IF(D89=50%,"Excavation work in process",IF(D89=100%,"Excavation work Completed. ","0")))&amp;(IF(C90=0%,"",IF(C90=J91,"Footing work is process",IF(C90=J92,"Footing work Completed",IF(C90=J93,"1st Basement Completed",IF(C90=J94,"1st &amp; 2nd Basement Completed",IF(C90=J95,"1st to 3rd Basement Completed",IF(C90=J96,"1st to 4th Basement Completed",IF(C90=J97,"Plinth work is process",IF(C90=J98,"Plinth work completed","0")))))))))))&amp;(IF(C91=(D86+F86+H86),", RCC Slab",IF(C91&gt;0,", RCC upto "&amp;C91&amp;" Slab",""))&amp;(IF(C92=H86,", Brickwork",IF(C92&gt;0,", Brickwork upto "&amp;C92&amp;" Floor",""))&amp;(IF(C93=H86,", Internal Plaster",IF(C93&gt;0,", Internal Plaster upto "&amp;C93&amp;" Floor",""))&amp;(IF(C94=H86,", External Plaster",IF(C94&gt;0,", External Plaster upto "&amp;C94&amp;" Floor",""))&amp;(IF(C95=H86,", Flooring",IF(C95&gt;0,", Flooring upto "&amp;C95&amp;" Floor",""))&amp;(IF(C96=H86,", Painting",IF(C96&gt;0,", Painting upto "&amp;C96&amp;" Floor",""))&amp;(IF(C97&gt;0,", Finishing upto "&amp;C97&amp;" Floor","")&amp;(IF(C91&gt;0.5," Completed",""))))))))))))))</f>
        <v>All work completed. Please provide OC.</v>
      </c>
      <c r="J85" s="45"/>
      <c r="K85" s="44" t="str">
        <f ca="1">(IF(F89&gt;99%,"All work completed. Please provide OC.",IF(F89&gt;89.8%,"Plinth, RCC, Brick, Plaster, Flooring, Painting work Completed. Finishing work is in process.",IF(F89&lt;94%,(IF(C89=0,"Work not yet Started.",IF(D89=25%,"Piling work in process",IF(D89=50%,"Excavation work in process",IF(D89=100%,"Excavation work Completed. ","0")))&amp;(IF(C90=0%,"",IF(C90=L91,"Footing work is process",IF(C90=L92,"Footing work Completed",IF(C90=L93,"1st Basement Completed",IF(C90=L94,"1st &amp; 2nd Basement Completed",IF(C90=L95,"1st to 3rd Basement Completed",IF(C90=L96,"1st to 4th Basement Completed",IF(C90=L97,"Plinth work is process",IF(C90=L98,"Plinth work completed","0")))))))))))&amp;(IF(C91=(D86+G86+I86),", RCC Slab",IF(C91&gt;0,", RCC upto "&amp;C91&amp;" Slab",""))&amp;(IF(C92=I86,", Brickwork",IF(C92&gt;0,", Brickwork upto "&amp;C92&amp;" Floor",""))&amp;(IF(C93=I86,", Internal Plaster",IF(C93&gt;0,", Internal Plaster upto "&amp;C93&amp;" Floor",""))&amp;(IF(C94=I86,", External Plaster",IF(C94&gt;0,", External Plaster upto "&amp;C94&amp;" Floor",""))&amp;(IF(C95=I86,", Flooring",IF(C95&gt;0,", Flooring upto "&amp;C95&amp;" Floor",""))&amp;(IF(C96=I86,", Painting",IF(C96&gt;0,", Painting upto "&amp;C96&amp;" Floor",""))&amp;(IF(C97&gt;0,", Finishing upto "&amp;C97&amp;" Floor","")&amp;(IF(C91&gt;0.5," Completed",""))))))))))))))</f>
        <v>Excavation work Completed. 0, RCC Slab, Brickwork upto 5 Floor, Internal Plaster upto 5 Floor, External Plaster upto 5 Floor, Flooring upto 5 Floor, Painting upto 5 Floor, Finishing upto 5 Floor Completed</v>
      </c>
      <c r="L85" s="45"/>
    </row>
    <row r="86" spans="1:12" ht="15.5" x14ac:dyDescent="0.35">
      <c r="A86" s="76" t="s">
        <v>5</v>
      </c>
      <c r="B86" s="76">
        <v>0</v>
      </c>
      <c r="C86" s="76" t="s">
        <v>7</v>
      </c>
      <c r="D86" s="76">
        <v>1</v>
      </c>
      <c r="E86" s="176" t="s">
        <v>223</v>
      </c>
      <c r="F86" s="176"/>
      <c r="G86" s="76">
        <v>5</v>
      </c>
      <c r="H86" s="47">
        <f ca="1">--TRIM(RIGHT(SUBSTITUTE(LEFT(C85,_xlfn.AGGREGATE(16,6,FIND({0,1,2,3,4,5,6,7,8,9},C85,ROW(INDIRECT("1:"&amp;LEN(C85)))),1))," ",REPT(" ",LEN(C85))),LEN(C85)))</f>
        <v>5</v>
      </c>
      <c r="I86" s="48"/>
      <c r="J86" s="49"/>
      <c r="K86" s="48"/>
      <c r="L86" s="49"/>
    </row>
    <row r="87" spans="1:12" ht="15.5" x14ac:dyDescent="0.35">
      <c r="A87" s="178" t="s">
        <v>224</v>
      </c>
      <c r="B87" s="178"/>
      <c r="C87" s="179" t="str">
        <f>I87</f>
        <v>All work Completed. OC Received.</v>
      </c>
      <c r="D87" s="179"/>
      <c r="E87" s="179"/>
      <c r="F87" s="179"/>
      <c r="G87" s="179"/>
      <c r="H87" s="50"/>
      <c r="I87" s="48" t="s">
        <v>225</v>
      </c>
      <c r="J87" s="49"/>
      <c r="K87" s="48" t="s">
        <v>225</v>
      </c>
      <c r="L87" s="49"/>
    </row>
    <row r="88" spans="1:12" ht="15.75" hidden="1" customHeight="1" x14ac:dyDescent="0.35">
      <c r="A88" s="182" t="s">
        <v>226</v>
      </c>
      <c r="B88" s="182"/>
      <c r="C88" s="78" t="s">
        <v>227</v>
      </c>
      <c r="D88" s="78" t="s">
        <v>228</v>
      </c>
      <c r="E88" s="182" t="s">
        <v>229</v>
      </c>
      <c r="F88" s="182"/>
      <c r="G88" s="83" t="s">
        <v>230</v>
      </c>
      <c r="H88" s="53"/>
      <c r="I88" s="54" t="s">
        <v>231</v>
      </c>
      <c r="J88" s="55">
        <f ca="1">H86*25%</f>
        <v>1.25</v>
      </c>
      <c r="K88" s="54" t="s">
        <v>231</v>
      </c>
      <c r="L88" s="55">
        <f>I86*25%</f>
        <v>0</v>
      </c>
    </row>
    <row r="89" spans="1:12" ht="15.5" hidden="1" x14ac:dyDescent="0.35">
      <c r="A89" s="182" t="s">
        <v>232</v>
      </c>
      <c r="B89" s="182"/>
      <c r="C89" s="56">
        <f ca="1">J90</f>
        <v>5</v>
      </c>
      <c r="D89" s="79">
        <f ca="1">((100/H86)*C89)/100</f>
        <v>1</v>
      </c>
      <c r="E89" s="183">
        <f ca="1">(((C90/H86*10)+(40/(D86+F86+H86)*C91)+(7.5/(H86)*C92)+(7.5/(H86)*C93)+(10/H86*C94)+(10/H86*C95)+(5/H86*C96)+(5/H86*C97)+(5/H86*C98))/100)</f>
        <v>1</v>
      </c>
      <c r="F89" s="183"/>
      <c r="G89" s="183">
        <f ca="1">((((C89/H86)*20)+((C90/H86)*25)+(30/(H86+F86+D86)*C91)+(5/H86*C92)+(5/H86*C93)+(5/H86*C94)+(5/H86*C95)+(0/H86*C96)+(0/H86*C97)+(5/H86*C98))/100)</f>
        <v>1</v>
      </c>
      <c r="H89" s="57"/>
      <c r="I89" s="54" t="s">
        <v>44</v>
      </c>
      <c r="J89" s="58">
        <f ca="1">H86*50%</f>
        <v>2.5</v>
      </c>
      <c r="K89" s="54" t="s">
        <v>44</v>
      </c>
      <c r="L89" s="58">
        <f>I86*50%</f>
        <v>0</v>
      </c>
    </row>
    <row r="90" spans="1:12" ht="15.5" hidden="1" x14ac:dyDescent="0.35">
      <c r="A90" s="182" t="s">
        <v>37</v>
      </c>
      <c r="B90" s="182"/>
      <c r="C90" s="59">
        <f ca="1">J98</f>
        <v>5</v>
      </c>
      <c r="D90" s="79">
        <f ca="1">((100/H86)*C90)/100</f>
        <v>1</v>
      </c>
      <c r="E90" s="183"/>
      <c r="F90" s="183"/>
      <c r="G90" s="183"/>
      <c r="H90" s="57"/>
      <c r="I90" s="54" t="s">
        <v>47</v>
      </c>
      <c r="J90" s="58">
        <f ca="1">H86</f>
        <v>5</v>
      </c>
      <c r="K90" s="54" t="s">
        <v>47</v>
      </c>
      <c r="L90" s="58">
        <f>I86</f>
        <v>0</v>
      </c>
    </row>
    <row r="91" spans="1:12" ht="15.75" hidden="1" customHeight="1" x14ac:dyDescent="0.35">
      <c r="A91" s="176" t="s">
        <v>233</v>
      </c>
      <c r="B91" s="176"/>
      <c r="C91" s="59">
        <v>6</v>
      </c>
      <c r="D91" s="79">
        <f ca="1">((100/(D86+F86+H86))*C91)/100</f>
        <v>1</v>
      </c>
      <c r="E91" s="183"/>
      <c r="F91" s="183"/>
      <c r="G91" s="183"/>
      <c r="H91" s="57"/>
      <c r="I91" s="54" t="s">
        <v>48</v>
      </c>
      <c r="J91" s="60">
        <f ca="1">(IF(B86&gt;1,(H86/(B86+2)),H86/4))</f>
        <v>1.25</v>
      </c>
      <c r="K91" s="54" t="s">
        <v>48</v>
      </c>
      <c r="L91" s="60">
        <f>(IF(B86&gt;1,(I86/(B86+2)),I86/4))</f>
        <v>0</v>
      </c>
    </row>
    <row r="92" spans="1:12" ht="15.75" hidden="1" customHeight="1" x14ac:dyDescent="0.35">
      <c r="A92" s="182" t="s">
        <v>234</v>
      </c>
      <c r="B92" s="182" t="s">
        <v>235</v>
      </c>
      <c r="C92" s="56">
        <v>5</v>
      </c>
      <c r="D92" s="79">
        <f ca="1">((100/H86)*C92)/100</f>
        <v>1</v>
      </c>
      <c r="E92" s="183"/>
      <c r="F92" s="183"/>
      <c r="G92" s="183"/>
      <c r="H92" s="57"/>
      <c r="I92" s="54" t="s">
        <v>49</v>
      </c>
      <c r="J92" s="60">
        <f ca="1">(IF(B86&gt;1,(H86/(B86+2)+J91),H86/4+J91))</f>
        <v>2.5</v>
      </c>
      <c r="K92" s="54" t="s">
        <v>49</v>
      </c>
      <c r="L92" s="60">
        <f>(IF(B86&gt;1,(I86/(B86+2)+L91),I86/4+L91))</f>
        <v>0</v>
      </c>
    </row>
    <row r="93" spans="1:12" ht="15.75" hidden="1" customHeight="1" x14ac:dyDescent="0.35">
      <c r="A93" s="182" t="s">
        <v>236</v>
      </c>
      <c r="B93" s="182" t="s">
        <v>235</v>
      </c>
      <c r="C93" s="56">
        <v>5</v>
      </c>
      <c r="D93" s="79">
        <f ca="1">((100/H86)*C93)/100</f>
        <v>1</v>
      </c>
      <c r="E93" s="183"/>
      <c r="F93" s="183"/>
      <c r="G93" s="183"/>
      <c r="H93" s="57"/>
      <c r="I93" s="54" t="s">
        <v>237</v>
      </c>
      <c r="J93" s="60">
        <f>(IF(B86&gt;1,(H86/(B86+2)+J92),0))</f>
        <v>0</v>
      </c>
      <c r="K93" s="54" t="s">
        <v>237</v>
      </c>
      <c r="L93" s="60">
        <f>(IF(B86&gt;1,(I86/(B86+2)+L92),0))</f>
        <v>0</v>
      </c>
    </row>
    <row r="94" spans="1:12" ht="15.75" hidden="1" customHeight="1" x14ac:dyDescent="0.35">
      <c r="A94" s="182" t="s">
        <v>238</v>
      </c>
      <c r="B94" s="182" t="s">
        <v>239</v>
      </c>
      <c r="C94" s="56">
        <v>5</v>
      </c>
      <c r="D94" s="79">
        <f ca="1">((100/(H86))*C94)/100</f>
        <v>1</v>
      </c>
      <c r="E94" s="183"/>
      <c r="F94" s="183"/>
      <c r="G94" s="183"/>
      <c r="H94" s="57"/>
      <c r="I94" s="54" t="s">
        <v>240</v>
      </c>
      <c r="J94" s="60">
        <f>(IF(B86&gt;2,(H86/(B86+2)+J93),0))</f>
        <v>0</v>
      </c>
      <c r="K94" s="54" t="s">
        <v>240</v>
      </c>
      <c r="L94" s="60">
        <f>(IF(B86&gt;2,(I86/(B86+2)+L93),0))</f>
        <v>0</v>
      </c>
    </row>
    <row r="95" spans="1:12" ht="15.75" hidden="1" customHeight="1" x14ac:dyDescent="0.35">
      <c r="A95" s="182" t="s">
        <v>241</v>
      </c>
      <c r="B95" s="182" t="s">
        <v>241</v>
      </c>
      <c r="C95" s="56">
        <v>5</v>
      </c>
      <c r="D95" s="79">
        <f ca="1">((100/H86)*C95)/100</f>
        <v>1</v>
      </c>
      <c r="E95" s="183"/>
      <c r="F95" s="183"/>
      <c r="G95" s="183"/>
      <c r="H95" s="57"/>
      <c r="I95" s="54" t="s">
        <v>242</v>
      </c>
      <c r="J95" s="61">
        <f>(IF(B86&gt;3,(H86/(B86+2)+J94),0))</f>
        <v>0</v>
      </c>
      <c r="K95" s="54" t="s">
        <v>242</v>
      </c>
      <c r="L95" s="61">
        <f>(IF(B86&gt;3,(I86/(B86+2)+L94),0))</f>
        <v>0</v>
      </c>
    </row>
    <row r="96" spans="1:12" ht="15" hidden="1" customHeight="1" x14ac:dyDescent="0.35">
      <c r="A96" s="182" t="s">
        <v>243</v>
      </c>
      <c r="B96" s="182"/>
      <c r="C96" s="56">
        <v>5</v>
      </c>
      <c r="D96" s="79">
        <f ca="1">((100/H86)*C96)/100</f>
        <v>1</v>
      </c>
      <c r="E96" s="183"/>
      <c r="F96" s="183"/>
      <c r="G96" s="183"/>
      <c r="H96" s="57"/>
      <c r="I96" s="54" t="s">
        <v>244</v>
      </c>
      <c r="J96" s="60">
        <f>(IF(B86&gt;4,(H86/(B86+2)+J95),0))</f>
        <v>0</v>
      </c>
      <c r="K96" s="54" t="s">
        <v>244</v>
      </c>
      <c r="L96" s="60">
        <f>(IF(B86&gt;4,(I86/(B86+2)+L95),0))</f>
        <v>0</v>
      </c>
    </row>
    <row r="97" spans="1:14" ht="15.75" hidden="1" customHeight="1" x14ac:dyDescent="0.35">
      <c r="A97" s="182" t="s">
        <v>245</v>
      </c>
      <c r="B97" s="182" t="s">
        <v>245</v>
      </c>
      <c r="C97" s="56">
        <v>5</v>
      </c>
      <c r="D97" s="79">
        <f ca="1">((100/(H86))*C97)/100</f>
        <v>1</v>
      </c>
      <c r="E97" s="183"/>
      <c r="F97" s="183"/>
      <c r="G97" s="183"/>
      <c r="H97" s="57"/>
      <c r="I97" s="54" t="s">
        <v>50</v>
      </c>
      <c r="J97" s="60">
        <f ca="1">(IF(B86=1,(H86/(B86+3)+J92),IF(B86=0,(H86/4+J92),IF(B86&gt;1,0))))</f>
        <v>3.75</v>
      </c>
      <c r="K97" s="54" t="s">
        <v>50</v>
      </c>
      <c r="L97" s="60">
        <f>(IF(B86=1,(I86/(B86+3)+L92),IF(B86=0,(I86/4+L92),IF(B86&gt;1,0))))</f>
        <v>0</v>
      </c>
    </row>
    <row r="98" spans="1:14" ht="15" hidden="1" customHeight="1" thickBot="1" x14ac:dyDescent="0.4">
      <c r="A98" s="182" t="s">
        <v>246</v>
      </c>
      <c r="B98" s="182"/>
      <c r="C98" s="56">
        <v>5</v>
      </c>
      <c r="D98" s="79">
        <f ca="1">((100/(H86))*C98)/100</f>
        <v>1</v>
      </c>
      <c r="E98" s="183"/>
      <c r="F98" s="183"/>
      <c r="G98" s="183"/>
      <c r="H98" s="62"/>
      <c r="I98" s="63" t="s">
        <v>51</v>
      </c>
      <c r="J98" s="64">
        <f ca="1">(IF(B86&gt;1.5,(H86/(B86+2)+J92+MAX(0,J93-J92)+MAX(0,J94-J93)+MAX(0,J95-J94)+MAX(0,J96-J95)+MAX(0,J97-J96)),IF(B86=1,(H86/(B86+3)+J97),IF(B86=0,H86/4+J97))))</f>
        <v>5</v>
      </c>
      <c r="K98" s="63" t="s">
        <v>51</v>
      </c>
      <c r="L98" s="64">
        <f>(IF(B86&gt;1.5,(I86/(B86+2)+L92+MAX(0,L93-L92)+MAX(0,L94-L93)+MAX(0,L95-L94)+MAX(0,L96-L95)+MAX(0,L97-L96)),IF(B86=1,(I86/(B86+3)+L97),IF(B86=0,I86/4+L97))))</f>
        <v>0</v>
      </c>
    </row>
    <row r="99" spans="1:14" ht="15.75" customHeight="1" x14ac:dyDescent="0.3">
      <c r="A99" s="194" t="s">
        <v>229</v>
      </c>
      <c r="B99" s="194"/>
      <c r="C99" s="195">
        <v>1</v>
      </c>
      <c r="D99" s="194"/>
      <c r="E99" s="196" t="s">
        <v>230</v>
      </c>
      <c r="F99" s="196"/>
      <c r="G99" s="196">
        <v>1</v>
      </c>
      <c r="H99" s="57"/>
      <c r="I99" s="54" t="s">
        <v>50</v>
      </c>
      <c r="J99" s="60">
        <f>(IF(B88=1,(H88/(B88+3)+J94),IF(B88=0,(H88/4+J94),IF(B88&gt;1,0))))</f>
        <v>0</v>
      </c>
      <c r="K99" s="54" t="s">
        <v>50</v>
      </c>
      <c r="L99" s="60" t="e">
        <f>(IF(B88=1,(I88/(B88+3)+L94),IF(B88=0,(I88/4+L94),IF(B88&gt;1,0))))</f>
        <v>#VALUE!</v>
      </c>
    </row>
    <row r="100" spans="1:14" ht="15" customHeight="1" thickBot="1" x14ac:dyDescent="0.35">
      <c r="A100" s="194"/>
      <c r="B100" s="194"/>
      <c r="C100" s="194"/>
      <c r="D100" s="194"/>
      <c r="E100" s="196"/>
      <c r="F100" s="196"/>
      <c r="G100" s="196"/>
      <c r="H100" s="62"/>
      <c r="I100" s="63" t="s">
        <v>51</v>
      </c>
      <c r="J100" s="64">
        <f>(IF(B88&gt;1.5,(H88/(B88+2)+J94+MAX(0,J95-J94)+MAX(0,J96-J95)+MAX(0,J97-J96)+MAX(0,J98-J97)+MAX(0,J99-J98)),IF(B88=1,(H88/(B88+3)+J99),IF(B88=0,H88/4+J99))))</f>
        <v>0</v>
      </c>
      <c r="K100" s="63" t="s">
        <v>51</v>
      </c>
      <c r="L100" s="64" t="e">
        <f>(IF(B88&gt;1.5,(I88/(B88+2)+L94+MAX(0,L95-L94)+MAX(0,L96-L95)+MAX(0,L97-L96)+MAX(0,L98-L97)+MAX(0,L99-L98)),IF(B88=1,(I88/(B88+3)+L99),IF(B88=0,I88/4+L99))))</f>
        <v>#VALUE!</v>
      </c>
    </row>
    <row r="101" spans="1:14" ht="17.25" customHeight="1" x14ac:dyDescent="0.3">
      <c r="A101" s="138" t="s">
        <v>138</v>
      </c>
      <c r="B101" s="138"/>
      <c r="C101" s="138"/>
      <c r="D101" s="138"/>
      <c r="E101" s="138"/>
      <c r="F101" s="138"/>
      <c r="G101" s="138"/>
    </row>
    <row r="102" spans="1:14" ht="17.25" customHeight="1" x14ac:dyDescent="0.3">
      <c r="A102" s="138" t="s">
        <v>139</v>
      </c>
      <c r="B102" s="138"/>
      <c r="C102" s="138"/>
      <c r="D102" s="138"/>
      <c r="E102" s="138"/>
      <c r="F102" s="138"/>
      <c r="G102" s="138"/>
    </row>
    <row r="103" spans="1:14" ht="17.25" customHeight="1" x14ac:dyDescent="0.3">
      <c r="A103" s="87" t="s">
        <v>140</v>
      </c>
      <c r="B103" s="138" t="s">
        <v>141</v>
      </c>
      <c r="C103" s="138"/>
      <c r="D103" s="138"/>
      <c r="E103" s="138"/>
      <c r="F103" s="138"/>
      <c r="G103" s="138"/>
    </row>
    <row r="104" spans="1:14" ht="17.25" customHeight="1" x14ac:dyDescent="0.3">
      <c r="A104" s="139" t="s">
        <v>142</v>
      </c>
      <c r="B104" s="139"/>
      <c r="C104" s="139"/>
      <c r="D104" s="139"/>
      <c r="E104" s="139"/>
      <c r="F104" s="139"/>
      <c r="G104" s="139"/>
    </row>
    <row r="105" spans="1:14" ht="17.25" customHeight="1" x14ac:dyDescent="0.3">
      <c r="A105" s="138" t="s">
        <v>248</v>
      </c>
      <c r="B105" s="138"/>
      <c r="C105" s="138"/>
      <c r="D105" s="138"/>
      <c r="E105" s="202">
        <v>4400</v>
      </c>
      <c r="F105" s="202"/>
      <c r="G105" s="202"/>
      <c r="I105" s="70" t="s">
        <v>288</v>
      </c>
      <c r="J105" s="93" t="s">
        <v>289</v>
      </c>
      <c r="K105" s="93"/>
      <c r="L105" s="71">
        <v>45104</v>
      </c>
      <c r="M105" s="70" t="s">
        <v>290</v>
      </c>
      <c r="N105" s="72"/>
    </row>
    <row r="106" spans="1:14" ht="15.5" x14ac:dyDescent="0.3">
      <c r="A106" s="138" t="s">
        <v>247</v>
      </c>
      <c r="B106" s="138"/>
      <c r="C106" s="138"/>
      <c r="D106" s="138"/>
      <c r="E106" s="138" t="s">
        <v>143</v>
      </c>
      <c r="F106" s="138"/>
      <c r="G106" s="138"/>
    </row>
    <row r="107" spans="1:14" ht="15.5" x14ac:dyDescent="0.3">
      <c r="A107" s="138" t="s">
        <v>249</v>
      </c>
      <c r="B107" s="138"/>
      <c r="C107" s="138"/>
      <c r="D107" s="138"/>
      <c r="E107" s="138" t="s">
        <v>144</v>
      </c>
      <c r="F107" s="138"/>
      <c r="G107" s="138"/>
    </row>
    <row r="108" spans="1:14" ht="15.5" x14ac:dyDescent="0.3">
      <c r="A108" s="140" t="s">
        <v>252</v>
      </c>
      <c r="B108" s="141"/>
      <c r="C108" s="141"/>
      <c r="D108" s="142"/>
      <c r="E108" s="140" t="s">
        <v>256</v>
      </c>
      <c r="F108" s="141"/>
      <c r="G108" s="142"/>
    </row>
    <row r="109" spans="1:14" ht="15.5" x14ac:dyDescent="0.3">
      <c r="A109" s="132" t="s">
        <v>145</v>
      </c>
      <c r="B109" s="134"/>
      <c r="C109" s="134"/>
      <c r="D109" s="133"/>
      <c r="E109" s="132" t="s">
        <v>250</v>
      </c>
      <c r="F109" s="143"/>
      <c r="G109" s="144"/>
    </row>
    <row r="110" spans="1:14" ht="17.25" hidden="1" customHeight="1" x14ac:dyDescent="0.3">
      <c r="A110" s="132" t="s">
        <v>146</v>
      </c>
      <c r="B110" s="134"/>
      <c r="C110" s="134"/>
      <c r="D110" s="133"/>
      <c r="E110" s="132" t="s">
        <v>147</v>
      </c>
      <c r="F110" s="134"/>
      <c r="G110" s="133"/>
    </row>
    <row r="111" spans="1:14" ht="17.25" customHeight="1" x14ac:dyDescent="0.3">
      <c r="A111" s="132" t="s">
        <v>148</v>
      </c>
      <c r="B111" s="134"/>
      <c r="C111" s="134"/>
      <c r="D111" s="133"/>
      <c r="E111" s="132" t="s">
        <v>23</v>
      </c>
      <c r="F111" s="134"/>
      <c r="G111" s="133"/>
    </row>
    <row r="112" spans="1:14" ht="15.5" x14ac:dyDescent="0.3">
      <c r="A112" s="132" t="s">
        <v>149</v>
      </c>
      <c r="B112" s="134"/>
      <c r="C112" s="134"/>
      <c r="D112" s="133"/>
      <c r="E112" s="132" t="s">
        <v>251</v>
      </c>
      <c r="F112" s="143"/>
      <c r="G112" s="144"/>
    </row>
    <row r="113" spans="1:10" ht="17.25" customHeight="1" x14ac:dyDescent="0.3">
      <c r="A113" s="145" t="s">
        <v>150</v>
      </c>
      <c r="B113" s="146"/>
      <c r="C113" s="146"/>
      <c r="D113" s="147"/>
      <c r="E113" s="108">
        <v>2800</v>
      </c>
      <c r="F113" s="109"/>
      <c r="G113" s="110"/>
    </row>
    <row r="114" spans="1:10" ht="17.25" customHeight="1" x14ac:dyDescent="0.3">
      <c r="A114" s="100" t="s">
        <v>151</v>
      </c>
      <c r="B114" s="101"/>
      <c r="C114" s="101"/>
      <c r="D114" s="101"/>
      <c r="E114" s="101"/>
      <c r="F114" s="101"/>
      <c r="G114" s="102"/>
    </row>
    <row r="115" spans="1:10" ht="17.25" customHeight="1" x14ac:dyDescent="0.3">
      <c r="A115" s="3" t="s">
        <v>152</v>
      </c>
      <c r="B115" s="3" t="s">
        <v>153</v>
      </c>
      <c r="C115" s="103" t="s">
        <v>154</v>
      </c>
      <c r="D115" s="104"/>
      <c r="E115" s="105" t="s">
        <v>155</v>
      </c>
      <c r="F115" s="106"/>
      <c r="G115" s="107"/>
    </row>
    <row r="116" spans="1:10" ht="34.5" customHeight="1" x14ac:dyDescent="0.3">
      <c r="A116" s="22" t="s">
        <v>284</v>
      </c>
      <c r="B116" s="41">
        <f>COUNT(C133:C137)</f>
        <v>5</v>
      </c>
      <c r="C116" s="111">
        <f>SUM(C133:C137)</f>
        <v>5763.4438679999994</v>
      </c>
      <c r="D116" s="112"/>
      <c r="E116" s="111">
        <f>SUM(E133:E137)</f>
        <v>9221.5101888000008</v>
      </c>
      <c r="F116" s="113"/>
      <c r="G116" s="112"/>
    </row>
    <row r="117" spans="1:10" ht="34.5" customHeight="1" x14ac:dyDescent="0.3">
      <c r="A117" s="22" t="s">
        <v>156</v>
      </c>
      <c r="B117" s="41">
        <f>COUNT(C139:C141)</f>
        <v>3</v>
      </c>
      <c r="C117" s="111">
        <f>SUM(C139:C141)</f>
        <v>3613.3994519999997</v>
      </c>
      <c r="D117" s="112"/>
      <c r="E117" s="111">
        <f>SUM(E139:E141)</f>
        <v>5781.4391231999998</v>
      </c>
      <c r="F117" s="113"/>
      <c r="G117" s="112"/>
    </row>
    <row r="118" spans="1:10" ht="51" customHeight="1" x14ac:dyDescent="0.3">
      <c r="A118" s="22" t="s">
        <v>285</v>
      </c>
      <c r="B118" s="41">
        <f>COUNT(C143:C160)*3</f>
        <v>54</v>
      </c>
      <c r="C118" s="111">
        <f>SUM(C143:C160)*3</f>
        <v>17201.173391999993</v>
      </c>
      <c r="D118" s="112"/>
      <c r="E118" s="111">
        <f>SUM(E143:E160)*3</f>
        <v>24941.7014184</v>
      </c>
      <c r="F118" s="113"/>
      <c r="G118" s="112"/>
      <c r="J118" s="66">
        <f>B116+B119+B120</f>
        <v>21</v>
      </c>
    </row>
    <row r="119" spans="1:10" ht="34.5" customHeight="1" x14ac:dyDescent="0.3">
      <c r="A119" s="22" t="s">
        <v>157</v>
      </c>
      <c r="B119" s="41">
        <f>COUNT(C191:C196)</f>
        <v>6</v>
      </c>
      <c r="C119" s="111">
        <f>SUM(C191:C196)</f>
        <v>1386.2955599999998</v>
      </c>
      <c r="D119" s="112"/>
      <c r="E119" s="111">
        <f>SUM(E191:E196)</f>
        <v>2218.0728959999997</v>
      </c>
      <c r="F119" s="113"/>
      <c r="G119" s="112"/>
    </row>
    <row r="120" spans="1:10" ht="34.5" customHeight="1" x14ac:dyDescent="0.3">
      <c r="A120" s="22" t="s">
        <v>158</v>
      </c>
      <c r="B120" s="41">
        <f>COUNT(C220:C229)</f>
        <v>10</v>
      </c>
      <c r="C120" s="111">
        <f>SUM(C220:C229)</f>
        <v>1344.2890499999994</v>
      </c>
      <c r="D120" s="112"/>
      <c r="E120" s="111">
        <f>SUM(E220:E229)</f>
        <v>2150.8624799999998</v>
      </c>
      <c r="F120" s="113"/>
      <c r="G120" s="112"/>
      <c r="J120" s="66">
        <f>E121+E127</f>
        <v>155530.10217419997</v>
      </c>
    </row>
    <row r="121" spans="1:10" ht="17.25" customHeight="1" x14ac:dyDescent="0.3">
      <c r="A121" s="3" t="s">
        <v>159</v>
      </c>
      <c r="B121" s="25">
        <f>SUM(B116:B120)</f>
        <v>78</v>
      </c>
      <c r="C121" s="97">
        <f>SUM(C116:C120)</f>
        <v>29308.601321999991</v>
      </c>
      <c r="D121" s="98"/>
      <c r="E121" s="97">
        <f>SUM(E116:E120)</f>
        <v>44313.586106399991</v>
      </c>
      <c r="F121" s="99"/>
      <c r="G121" s="98"/>
      <c r="J121" s="66">
        <f>C121+C127</f>
        <v>104046.53547599999</v>
      </c>
    </row>
    <row r="122" spans="1:10" ht="17.25" customHeight="1" x14ac:dyDescent="0.3">
      <c r="A122" s="100" t="s">
        <v>160</v>
      </c>
      <c r="B122" s="101"/>
      <c r="C122" s="101"/>
      <c r="D122" s="101"/>
      <c r="E122" s="101"/>
      <c r="F122" s="101"/>
      <c r="G122" s="102"/>
    </row>
    <row r="123" spans="1:10" ht="17.25" customHeight="1" x14ac:dyDescent="0.3">
      <c r="A123" s="3" t="s">
        <v>152</v>
      </c>
      <c r="B123" s="3" t="s">
        <v>161</v>
      </c>
      <c r="C123" s="103" t="s">
        <v>154</v>
      </c>
      <c r="D123" s="104"/>
      <c r="E123" s="105" t="s">
        <v>155</v>
      </c>
      <c r="F123" s="106"/>
      <c r="G123" s="107"/>
    </row>
    <row r="124" spans="1:10" ht="17.25" customHeight="1" x14ac:dyDescent="0.3">
      <c r="A124" s="22" t="s">
        <v>162</v>
      </c>
      <c r="B124" s="24">
        <f>COUNT(C162,C164:C167)+COUNT(C169:C174)*7+COUNT(C176:C178,C180:C181)*2+COUNT(C185:C188)</f>
        <v>61</v>
      </c>
      <c r="C124" s="94">
        <f>+SUM(C162,C164:C167)+SUM(C169:C174)*7+SUM(C176:C178,C180:C181)*2+SUM(C185:C188)</f>
        <v>37868.462424000005</v>
      </c>
      <c r="D124" s="95"/>
      <c r="E124" s="94">
        <f>SUM(E162,E164:E167)+SUM(E169:E174)*7+SUM(E176:E178,E180:E181)*2+SUM(E185:E188)</f>
        <v>57589.324872299992</v>
      </c>
      <c r="F124" s="96"/>
      <c r="G124" s="95"/>
    </row>
    <row r="125" spans="1:10" ht="17.25" customHeight="1" x14ac:dyDescent="0.3">
      <c r="A125" s="22" t="s">
        <v>163</v>
      </c>
      <c r="B125" s="24">
        <f>COUNT(C198:C203)*7+COUNT(C206:C207,C209:C210)+COUNT(C213:C214,C216:C217)</f>
        <v>50</v>
      </c>
      <c r="C125" s="94">
        <f>SUM(C198:C203)*7+SUM(C206:C207,C209:C210)+SUM(C213:C214,C216:C217)</f>
        <v>24872.993729999995</v>
      </c>
      <c r="D125" s="95"/>
      <c r="E125" s="94">
        <f>SUM(E198:E203)*7+SUM(E206:E207,E209:E210)+SUM(E213:E214,E216:E217)</f>
        <v>36232.298095499995</v>
      </c>
      <c r="F125" s="96"/>
      <c r="G125" s="95"/>
    </row>
    <row r="126" spans="1:10" ht="17.25" customHeight="1" x14ac:dyDescent="0.3">
      <c r="A126" s="22" t="s">
        <v>164</v>
      </c>
      <c r="B126" s="24">
        <f>COUNT(C231:C236)*4+COUNT(C238:C243)</f>
        <v>30</v>
      </c>
      <c r="C126" s="94">
        <f>SUM(C231:C236)*4+SUM(C238:C243)</f>
        <v>11996.477999999999</v>
      </c>
      <c r="D126" s="95"/>
      <c r="E126" s="94">
        <f>SUM(E231:E236)*4+SUM(E238:E243)</f>
        <v>17394.893099999998</v>
      </c>
      <c r="F126" s="96"/>
      <c r="G126" s="95"/>
    </row>
    <row r="127" spans="1:10" ht="17.25" customHeight="1" x14ac:dyDescent="0.3">
      <c r="A127" s="3" t="s">
        <v>159</v>
      </c>
      <c r="B127" s="25">
        <f>SUM(B124:B126)</f>
        <v>141</v>
      </c>
      <c r="C127" s="97">
        <f>SUM(C124:C126)</f>
        <v>74737.934154000002</v>
      </c>
      <c r="D127" s="98"/>
      <c r="E127" s="97">
        <f>SUM(E124:E126)</f>
        <v>111216.51606779998</v>
      </c>
      <c r="F127" s="99"/>
      <c r="G127" s="98"/>
    </row>
    <row r="128" spans="1:10" ht="17.25" customHeight="1" x14ac:dyDescent="0.3">
      <c r="A128" s="100" t="s">
        <v>165</v>
      </c>
      <c r="B128" s="101"/>
      <c r="C128" s="101"/>
      <c r="D128" s="101"/>
      <c r="E128" s="101"/>
      <c r="F128" s="101"/>
      <c r="G128" s="102"/>
    </row>
    <row r="129" spans="1:10" ht="17.25" customHeight="1" x14ac:dyDescent="0.3">
      <c r="A129" s="100" t="s">
        <v>166</v>
      </c>
      <c r="B129" s="101"/>
      <c r="C129" s="101"/>
      <c r="D129" s="101"/>
      <c r="E129" s="101"/>
      <c r="F129" s="101"/>
      <c r="G129" s="102"/>
    </row>
    <row r="130" spans="1:10" ht="47.25" customHeight="1" x14ac:dyDescent="0.3">
      <c r="A130" s="3" t="s">
        <v>167</v>
      </c>
      <c r="B130" s="3" t="s">
        <v>1</v>
      </c>
      <c r="C130" s="26" t="s">
        <v>168</v>
      </c>
      <c r="D130" s="2" t="s">
        <v>169</v>
      </c>
      <c r="E130" s="1" t="s">
        <v>170</v>
      </c>
      <c r="F130" s="3" t="s">
        <v>52</v>
      </c>
      <c r="G130" s="27" t="s">
        <v>2</v>
      </c>
    </row>
    <row r="131" spans="1:10" ht="17.5" customHeight="1" x14ac:dyDescent="0.3">
      <c r="A131" s="184" t="s">
        <v>171</v>
      </c>
      <c r="B131" s="185"/>
      <c r="C131" s="185"/>
      <c r="D131" s="185"/>
      <c r="E131" s="185"/>
      <c r="F131" s="185"/>
      <c r="G131" s="186"/>
    </row>
    <row r="132" spans="1:10" ht="17.5" customHeight="1" x14ac:dyDescent="0.3">
      <c r="A132" s="100" t="s">
        <v>267</v>
      </c>
      <c r="B132" s="101"/>
      <c r="C132" s="101"/>
      <c r="D132" s="101"/>
      <c r="E132" s="101"/>
      <c r="F132" s="101"/>
      <c r="G132" s="102"/>
    </row>
    <row r="133" spans="1:10" ht="17.5" customHeight="1" x14ac:dyDescent="0.3">
      <c r="A133" s="24">
        <v>1</v>
      </c>
      <c r="B133" s="22" t="s">
        <v>172</v>
      </c>
      <c r="C133" s="68">
        <f>(186.287)*10.764</f>
        <v>2005.193268</v>
      </c>
      <c r="D133" s="24">
        <v>0</v>
      </c>
      <c r="E133" s="24">
        <f>(C133+D133)*1.6</f>
        <v>3208.3092288000003</v>
      </c>
      <c r="F133" s="22" t="s">
        <v>173</v>
      </c>
      <c r="G133" s="114" t="s">
        <v>174</v>
      </c>
      <c r="J133" s="67">
        <v>10.763999999999999</v>
      </c>
    </row>
    <row r="134" spans="1:10" ht="17.5" customHeight="1" x14ac:dyDescent="0.3">
      <c r="A134" s="24">
        <v>2</v>
      </c>
      <c r="B134" s="22" t="s">
        <v>172</v>
      </c>
      <c r="C134" s="68">
        <f>(97.512)*10.764</f>
        <v>1049.6191679999999</v>
      </c>
      <c r="D134" s="24">
        <v>0</v>
      </c>
      <c r="E134" s="24">
        <f t="shared" ref="E134:E141" si="0">(C134+D134)*1.6</f>
        <v>1679.3906688</v>
      </c>
      <c r="F134" s="22" t="s">
        <v>173</v>
      </c>
      <c r="G134" s="115"/>
    </row>
    <row r="135" spans="1:10" ht="17.5" customHeight="1" x14ac:dyDescent="0.3">
      <c r="A135" s="24">
        <v>3</v>
      </c>
      <c r="B135" s="22" t="s">
        <v>172</v>
      </c>
      <c r="C135" s="68">
        <f>(82.037)*10.764</f>
        <v>883.04626800000005</v>
      </c>
      <c r="D135" s="24">
        <v>0</v>
      </c>
      <c r="E135" s="24">
        <f t="shared" si="0"/>
        <v>1412.8740288000001</v>
      </c>
      <c r="F135" s="22" t="s">
        <v>173</v>
      </c>
      <c r="G135" s="115"/>
    </row>
    <row r="136" spans="1:10" ht="15.5" x14ac:dyDescent="0.3">
      <c r="A136" s="24">
        <v>4</v>
      </c>
      <c r="B136" s="22" t="s">
        <v>172</v>
      </c>
      <c r="C136" s="68">
        <f>(75.585)*10.764</f>
        <v>813.5969399999999</v>
      </c>
      <c r="D136" s="24">
        <v>0</v>
      </c>
      <c r="E136" s="24">
        <f t="shared" si="0"/>
        <v>1301.7551039999998</v>
      </c>
      <c r="F136" s="22" t="s">
        <v>173</v>
      </c>
      <c r="G136" s="115"/>
    </row>
    <row r="137" spans="1:10" ht="15.5" x14ac:dyDescent="0.3">
      <c r="A137" s="84">
        <v>5</v>
      </c>
      <c r="B137" s="85" t="s">
        <v>172</v>
      </c>
      <c r="C137" s="86">
        <f>(94.016)*10.764</f>
        <v>1011.9882239999999</v>
      </c>
      <c r="D137" s="84">
        <v>0</v>
      </c>
      <c r="E137" s="84">
        <f t="shared" si="0"/>
        <v>1619.1811584</v>
      </c>
      <c r="F137" s="85" t="s">
        <v>173</v>
      </c>
      <c r="G137" s="115"/>
    </row>
    <row r="138" spans="1:10" ht="17.5" customHeight="1" x14ac:dyDescent="0.3">
      <c r="A138" s="123" t="s">
        <v>268</v>
      </c>
      <c r="B138" s="123"/>
      <c r="C138" s="123"/>
      <c r="D138" s="123"/>
      <c r="E138" s="123"/>
      <c r="F138" s="123"/>
      <c r="G138" s="123"/>
    </row>
    <row r="139" spans="1:10" ht="17.5" customHeight="1" x14ac:dyDescent="0.3">
      <c r="A139" s="88">
        <v>1</v>
      </c>
      <c r="B139" s="89" t="s">
        <v>269</v>
      </c>
      <c r="C139" s="68">
        <f>(186.175+21.692)*10.764</f>
        <v>2237.4803879999999</v>
      </c>
      <c r="D139" s="88">
        <v>0</v>
      </c>
      <c r="E139" s="88">
        <f t="shared" si="0"/>
        <v>3579.9686208000003</v>
      </c>
      <c r="F139" s="89" t="s">
        <v>173</v>
      </c>
      <c r="G139" s="124" t="str">
        <f>A138</f>
        <v>1st Floor</v>
      </c>
    </row>
    <row r="140" spans="1:10" ht="17.5" customHeight="1" x14ac:dyDescent="0.3">
      <c r="A140" s="88">
        <v>2</v>
      </c>
      <c r="B140" s="89" t="s">
        <v>269</v>
      </c>
      <c r="C140" s="68">
        <f>(65.89)*10.764</f>
        <v>709.23996</v>
      </c>
      <c r="D140" s="88">
        <v>0</v>
      </c>
      <c r="E140" s="88">
        <f t="shared" si="0"/>
        <v>1134.783936</v>
      </c>
      <c r="F140" s="89" t="s">
        <v>173</v>
      </c>
      <c r="G140" s="124"/>
    </row>
    <row r="141" spans="1:10" ht="17.5" customHeight="1" x14ac:dyDescent="0.3">
      <c r="A141" s="88">
        <v>3</v>
      </c>
      <c r="B141" s="89" t="s">
        <v>269</v>
      </c>
      <c r="C141" s="68">
        <f>(61.936)*10.764</f>
        <v>666.67910399999994</v>
      </c>
      <c r="D141" s="88">
        <v>0</v>
      </c>
      <c r="E141" s="88">
        <f t="shared" si="0"/>
        <v>1066.6865663999999</v>
      </c>
      <c r="F141" s="89" t="s">
        <v>173</v>
      </c>
      <c r="G141" s="124"/>
    </row>
    <row r="142" spans="1:10" ht="17.5" customHeight="1" x14ac:dyDescent="0.3">
      <c r="A142" s="123" t="s">
        <v>271</v>
      </c>
      <c r="B142" s="123"/>
      <c r="C142" s="123"/>
      <c r="D142" s="123"/>
      <c r="E142" s="123"/>
      <c r="F142" s="123"/>
      <c r="G142" s="123"/>
    </row>
    <row r="143" spans="1:10" ht="17.5" customHeight="1" x14ac:dyDescent="0.3">
      <c r="A143" s="88">
        <v>1</v>
      </c>
      <c r="B143" s="89" t="s">
        <v>270</v>
      </c>
      <c r="C143" s="68">
        <f>(21.773)*10.764</f>
        <v>234.36457199999998</v>
      </c>
      <c r="D143" s="88">
        <v>0</v>
      </c>
      <c r="E143" s="88">
        <f>(C143+D143)*1.45</f>
        <v>339.82862939999995</v>
      </c>
      <c r="F143" s="89" t="s">
        <v>173</v>
      </c>
      <c r="G143" s="124" t="str">
        <f>A142</f>
        <v>2nd to 4th Floor For Residential</v>
      </c>
      <c r="H143">
        <f>5.8*3+1.2*3</f>
        <v>21</v>
      </c>
    </row>
    <row r="144" spans="1:10" ht="17.5" customHeight="1" x14ac:dyDescent="0.3">
      <c r="A144" s="88">
        <v>2</v>
      </c>
      <c r="B144" s="89" t="s">
        <v>270</v>
      </c>
      <c r="C144" s="68">
        <f>(19.179)*10.764</f>
        <v>206.44275599999997</v>
      </c>
      <c r="D144" s="88">
        <v>0</v>
      </c>
      <c r="E144" s="88">
        <f t="shared" ref="E144:E181" si="1">(C144+D144)*1.45</f>
        <v>299.34199619999993</v>
      </c>
      <c r="F144" s="89" t="s">
        <v>173</v>
      </c>
      <c r="G144" s="124"/>
    </row>
    <row r="145" spans="1:7" ht="17.5" customHeight="1" x14ac:dyDescent="0.3">
      <c r="A145" s="88">
        <v>3</v>
      </c>
      <c r="B145" s="89" t="s">
        <v>270</v>
      </c>
      <c r="C145" s="68">
        <f>(29.561)*10.764</f>
        <v>318.19460399999997</v>
      </c>
      <c r="D145" s="88">
        <v>0</v>
      </c>
      <c r="E145" s="88">
        <f t="shared" si="1"/>
        <v>461.38217579999997</v>
      </c>
      <c r="F145" s="89" t="s">
        <v>173</v>
      </c>
      <c r="G145" s="124"/>
    </row>
    <row r="146" spans="1:7" ht="17.5" customHeight="1" x14ac:dyDescent="0.3">
      <c r="A146" s="88">
        <v>4</v>
      </c>
      <c r="B146" s="89" t="s">
        <v>270</v>
      </c>
      <c r="C146" s="68">
        <f>(21.347)*10.764</f>
        <v>229.77910800000001</v>
      </c>
      <c r="D146" s="88">
        <v>0</v>
      </c>
      <c r="E146" s="88">
        <f t="shared" si="1"/>
        <v>333.17970659999997</v>
      </c>
      <c r="F146" s="89" t="s">
        <v>173</v>
      </c>
      <c r="G146" s="124"/>
    </row>
    <row r="147" spans="1:7" ht="17.5" customHeight="1" x14ac:dyDescent="0.3">
      <c r="A147" s="88">
        <v>5</v>
      </c>
      <c r="B147" s="89" t="s">
        <v>270</v>
      </c>
      <c r="C147" s="68">
        <f>(21.214)*10.764</f>
        <v>228.34749599999998</v>
      </c>
      <c r="D147" s="88">
        <v>0</v>
      </c>
      <c r="E147" s="88">
        <f t="shared" si="1"/>
        <v>331.10386919999996</v>
      </c>
      <c r="F147" s="89" t="s">
        <v>173</v>
      </c>
      <c r="G147" s="124"/>
    </row>
    <row r="148" spans="1:7" ht="17.5" customHeight="1" x14ac:dyDescent="0.3">
      <c r="A148" s="88">
        <v>6</v>
      </c>
      <c r="B148" s="89" t="s">
        <v>270</v>
      </c>
      <c r="C148" s="68">
        <f>(23.037)*10.764</f>
        <v>247.97026799999998</v>
      </c>
      <c r="D148" s="88">
        <v>0</v>
      </c>
      <c r="E148" s="88">
        <f t="shared" si="1"/>
        <v>359.55688859999998</v>
      </c>
      <c r="F148" s="89" t="s">
        <v>173</v>
      </c>
      <c r="G148" s="124"/>
    </row>
    <row r="149" spans="1:7" ht="17.5" customHeight="1" x14ac:dyDescent="0.3">
      <c r="A149" s="88">
        <v>7</v>
      </c>
      <c r="B149" s="89" t="s">
        <v>270</v>
      </c>
      <c r="C149" s="68">
        <f>(27.197)*10.764</f>
        <v>292.74850799999996</v>
      </c>
      <c r="D149" s="88">
        <v>0</v>
      </c>
      <c r="E149" s="88">
        <f t="shared" si="1"/>
        <v>424.48533659999993</v>
      </c>
      <c r="F149" s="89" t="s">
        <v>173</v>
      </c>
      <c r="G149" s="124"/>
    </row>
    <row r="150" spans="1:7" ht="17.5" customHeight="1" x14ac:dyDescent="0.3">
      <c r="A150" s="88">
        <v>8</v>
      </c>
      <c r="B150" s="89" t="s">
        <v>270</v>
      </c>
      <c r="C150" s="68">
        <f>(35.575)*10.764</f>
        <v>382.92930000000001</v>
      </c>
      <c r="D150" s="88">
        <v>0</v>
      </c>
      <c r="E150" s="88">
        <f t="shared" si="1"/>
        <v>555.24748499999998</v>
      </c>
      <c r="F150" s="89" t="s">
        <v>173</v>
      </c>
      <c r="G150" s="124"/>
    </row>
    <row r="151" spans="1:7" ht="17.5" customHeight="1" x14ac:dyDescent="0.3">
      <c r="A151" s="88">
        <v>9</v>
      </c>
      <c r="B151" s="89" t="s">
        <v>270</v>
      </c>
      <c r="C151" s="68">
        <f>(33.947)*10.764</f>
        <v>365.405508</v>
      </c>
      <c r="D151" s="88">
        <v>0</v>
      </c>
      <c r="E151" s="88">
        <f t="shared" si="1"/>
        <v>529.83798660000002</v>
      </c>
      <c r="F151" s="89" t="s">
        <v>173</v>
      </c>
      <c r="G151" s="124"/>
    </row>
    <row r="152" spans="1:7" ht="17.5" customHeight="1" x14ac:dyDescent="0.3">
      <c r="A152" s="88">
        <v>10</v>
      </c>
      <c r="B152" s="89" t="s">
        <v>270</v>
      </c>
      <c r="C152" s="68">
        <f>(30.82)*10.764</f>
        <v>331.74647999999996</v>
      </c>
      <c r="D152" s="88">
        <v>0</v>
      </c>
      <c r="E152" s="88">
        <f t="shared" si="1"/>
        <v>481.03239599999995</v>
      </c>
      <c r="F152" s="89" t="s">
        <v>173</v>
      </c>
      <c r="G152" s="124"/>
    </row>
    <row r="153" spans="1:7" ht="17.5" customHeight="1" x14ac:dyDescent="0.3">
      <c r="A153" s="88">
        <v>11</v>
      </c>
      <c r="B153" s="89" t="s">
        <v>270</v>
      </c>
      <c r="C153" s="68">
        <f>(30.96)*10.764</f>
        <v>333.25344000000001</v>
      </c>
      <c r="D153" s="88">
        <v>0</v>
      </c>
      <c r="E153" s="88">
        <f t="shared" si="1"/>
        <v>483.217488</v>
      </c>
      <c r="F153" s="89" t="s">
        <v>173</v>
      </c>
      <c r="G153" s="124"/>
    </row>
    <row r="154" spans="1:7" ht="17.5" customHeight="1" x14ac:dyDescent="0.3">
      <c r="A154" s="88">
        <v>12</v>
      </c>
      <c r="B154" s="89" t="s">
        <v>270</v>
      </c>
      <c r="C154" s="68">
        <f>(33.8)*10.764</f>
        <v>363.82319999999993</v>
      </c>
      <c r="D154" s="88">
        <v>0</v>
      </c>
      <c r="E154" s="88">
        <f t="shared" si="1"/>
        <v>527.54363999999987</v>
      </c>
      <c r="F154" s="89" t="s">
        <v>173</v>
      </c>
      <c r="G154" s="124"/>
    </row>
    <row r="155" spans="1:7" ht="17.5" customHeight="1" x14ac:dyDescent="0.3">
      <c r="A155" s="88">
        <v>13</v>
      </c>
      <c r="B155" s="89" t="s">
        <v>270</v>
      </c>
      <c r="C155" s="68">
        <f>(33.834)*10.764</f>
        <v>364.18917600000003</v>
      </c>
      <c r="D155" s="88">
        <v>0</v>
      </c>
      <c r="E155" s="88">
        <f t="shared" si="1"/>
        <v>528.07430520000003</v>
      </c>
      <c r="F155" s="89" t="s">
        <v>173</v>
      </c>
      <c r="G155" s="124"/>
    </row>
    <row r="156" spans="1:7" ht="17.5" customHeight="1" x14ac:dyDescent="0.3">
      <c r="A156" s="88">
        <v>14</v>
      </c>
      <c r="B156" s="89" t="s">
        <v>270</v>
      </c>
      <c r="C156" s="68">
        <f>(47.917+19.007)*10.764</f>
        <v>720.36993600000005</v>
      </c>
      <c r="D156" s="88">
        <v>0</v>
      </c>
      <c r="E156" s="88">
        <f t="shared" si="1"/>
        <v>1044.5364072</v>
      </c>
      <c r="F156" s="89" t="s">
        <v>173</v>
      </c>
      <c r="G156" s="124"/>
    </row>
    <row r="157" spans="1:7" ht="17.5" customHeight="1" x14ac:dyDescent="0.3">
      <c r="A157" s="88">
        <v>15</v>
      </c>
      <c r="B157" s="89" t="s">
        <v>270</v>
      </c>
      <c r="C157" s="68">
        <f>(30.91+6.246)*10.764</f>
        <v>399.94718399999994</v>
      </c>
      <c r="D157" s="88">
        <v>0</v>
      </c>
      <c r="E157" s="88">
        <f t="shared" si="1"/>
        <v>579.92341679999993</v>
      </c>
      <c r="F157" s="89" t="s">
        <v>173</v>
      </c>
      <c r="G157" s="124"/>
    </row>
    <row r="158" spans="1:7" ht="17.5" customHeight="1" x14ac:dyDescent="0.3">
      <c r="A158" s="88">
        <v>16</v>
      </c>
      <c r="B158" s="89" t="s">
        <v>270</v>
      </c>
      <c r="C158" s="68">
        <f>(21.757)*10.764</f>
        <v>234.19234800000001</v>
      </c>
      <c r="D158" s="88">
        <v>0</v>
      </c>
      <c r="E158" s="88">
        <f t="shared" si="1"/>
        <v>339.57890459999999</v>
      </c>
      <c r="F158" s="89" t="s">
        <v>173</v>
      </c>
      <c r="G158" s="124"/>
    </row>
    <row r="159" spans="1:7" ht="17.5" customHeight="1" x14ac:dyDescent="0.3">
      <c r="A159" s="88">
        <v>17</v>
      </c>
      <c r="B159" s="89" t="s">
        <v>270</v>
      </c>
      <c r="C159" s="68">
        <f>(22.297)*10.764</f>
        <v>240.004908</v>
      </c>
      <c r="D159" s="88">
        <v>0</v>
      </c>
      <c r="E159" s="88">
        <f t="shared" si="1"/>
        <v>348.00711660000002</v>
      </c>
      <c r="F159" s="89" t="s">
        <v>173</v>
      </c>
      <c r="G159" s="124"/>
    </row>
    <row r="160" spans="1:7" ht="17.5" customHeight="1" x14ac:dyDescent="0.3">
      <c r="A160" s="88">
        <v>18</v>
      </c>
      <c r="B160" s="89" t="s">
        <v>270</v>
      </c>
      <c r="C160" s="68">
        <f>(22.298)*10.764</f>
        <v>240.01567199999997</v>
      </c>
      <c r="D160" s="88">
        <v>0</v>
      </c>
      <c r="E160" s="88">
        <f t="shared" si="1"/>
        <v>348.02272439999996</v>
      </c>
      <c r="F160" s="89" t="s">
        <v>173</v>
      </c>
      <c r="G160" s="124"/>
    </row>
    <row r="161" spans="1:9" ht="17.5" customHeight="1" x14ac:dyDescent="0.3">
      <c r="A161" s="120" t="s">
        <v>272</v>
      </c>
      <c r="B161" s="121"/>
      <c r="C161" s="121"/>
      <c r="D161" s="121"/>
      <c r="E161" s="121"/>
      <c r="F161" s="121"/>
      <c r="G161" s="122"/>
    </row>
    <row r="162" spans="1:9" ht="17.5" customHeight="1" x14ac:dyDescent="0.3">
      <c r="A162" s="24">
        <v>1</v>
      </c>
      <c r="B162" s="22" t="s">
        <v>212</v>
      </c>
      <c r="C162" s="68">
        <f>(54.48+7.911)*10.764</f>
        <v>671.5767239999999</v>
      </c>
      <c r="D162" s="68">
        <f>(2.7*5.15+2.15*5.1+0.5*3.7*5.1+0.5*1.5*2.2+1*1.7)*10.764</f>
        <v>405.31842</v>
      </c>
      <c r="E162" s="24">
        <f t="shared" si="1"/>
        <v>1561.4979587999997</v>
      </c>
      <c r="F162" s="22" t="s">
        <v>173</v>
      </c>
      <c r="G162" s="114" t="str">
        <f>A161</f>
        <v>5th Floor</v>
      </c>
      <c r="H162">
        <f>4.4*3.05+2.2*2.25+3.2*2.15+3.4*3.3+3.25*3.3+2.1*1.2+2.1*1.2+0.9*1.2</f>
        <v>53.315000000000005</v>
      </c>
    </row>
    <row r="163" spans="1:9" ht="17.5" customHeight="1" x14ac:dyDescent="0.3">
      <c r="A163" s="24">
        <v>2</v>
      </c>
      <c r="B163" s="117" t="s">
        <v>273</v>
      </c>
      <c r="C163" s="118"/>
      <c r="D163" s="118"/>
      <c r="E163" s="118"/>
      <c r="F163" s="119"/>
      <c r="G163" s="115"/>
    </row>
    <row r="164" spans="1:9" ht="17.5" customHeight="1" x14ac:dyDescent="0.3">
      <c r="A164" s="24">
        <v>3</v>
      </c>
      <c r="B164" s="22" t="s">
        <v>212</v>
      </c>
      <c r="C164" s="68">
        <f>(51.126+8.777)*10.764</f>
        <v>644.79589199999998</v>
      </c>
      <c r="D164" s="68">
        <f>(1.35*2.9+0.35*5.75+5.25*1.35+3.85*2.35+0.5*3.75*6+3.5*3.3)*10.764</f>
        <v>482.89994999999993</v>
      </c>
      <c r="E164" s="24">
        <f t="shared" si="1"/>
        <v>1635.1589708999998</v>
      </c>
      <c r="F164" s="22" t="s">
        <v>173</v>
      </c>
      <c r="G164" s="115"/>
    </row>
    <row r="165" spans="1:9" ht="17.5" customHeight="1" x14ac:dyDescent="0.3">
      <c r="A165" s="24">
        <v>4</v>
      </c>
      <c r="B165" s="22" t="s">
        <v>211</v>
      </c>
      <c r="C165" s="68">
        <f>(41.387+4.507)*10.764</f>
        <v>494.00301599999995</v>
      </c>
      <c r="D165" s="68">
        <f>(2.9*1.35+0.75*5+2*2.9)*10.764</f>
        <v>144.93725999999998</v>
      </c>
      <c r="E165" s="24">
        <f t="shared" si="1"/>
        <v>926.46340019999991</v>
      </c>
      <c r="F165" s="22" t="s">
        <v>173</v>
      </c>
      <c r="G165" s="115"/>
    </row>
    <row r="166" spans="1:9" ht="17.5" customHeight="1" x14ac:dyDescent="0.3">
      <c r="A166" s="24">
        <v>5</v>
      </c>
      <c r="B166" s="22" t="s">
        <v>211</v>
      </c>
      <c r="C166" s="68">
        <f>(41.387+4.507)*10.764</f>
        <v>494.00301599999995</v>
      </c>
      <c r="D166" s="68">
        <f>(2.9*1.35+0.75*5+2*2.9)*10.764</f>
        <v>144.93725999999998</v>
      </c>
      <c r="E166" s="24">
        <f t="shared" si="1"/>
        <v>926.46340019999991</v>
      </c>
      <c r="F166" s="22" t="s">
        <v>173</v>
      </c>
      <c r="G166" s="115"/>
    </row>
    <row r="167" spans="1:9" ht="17.5" customHeight="1" x14ac:dyDescent="0.3">
      <c r="A167" s="24">
        <v>6</v>
      </c>
      <c r="B167" s="22" t="s">
        <v>212</v>
      </c>
      <c r="C167" s="68">
        <f>(57.07+5.365)*10.764</f>
        <v>672.05034000000001</v>
      </c>
      <c r="D167" s="68">
        <f>(2.9*1.3+0.3*6.5+0.5*7.25*9.4+5.05*2.1)*10.764</f>
        <v>542.50560000000007</v>
      </c>
      <c r="E167" s="24">
        <f t="shared" si="1"/>
        <v>1761.1061130000003</v>
      </c>
      <c r="F167" s="22" t="s">
        <v>173</v>
      </c>
      <c r="G167" s="116"/>
    </row>
    <row r="168" spans="1:9" ht="17.5" customHeight="1" x14ac:dyDescent="0.3">
      <c r="A168" s="100" t="s">
        <v>274</v>
      </c>
      <c r="B168" s="101"/>
      <c r="C168" s="101"/>
      <c r="D168" s="101"/>
      <c r="E168" s="101"/>
      <c r="F168" s="101"/>
      <c r="G168" s="102"/>
      <c r="I168" s="42"/>
    </row>
    <row r="169" spans="1:9" ht="17.5" customHeight="1" x14ac:dyDescent="0.3">
      <c r="A169" s="24">
        <v>1</v>
      </c>
      <c r="B169" s="22" t="s">
        <v>212</v>
      </c>
      <c r="C169" s="68">
        <f>(54.75+9.53)*10.764</f>
        <v>691.90991999999994</v>
      </c>
      <c r="D169" s="24">
        <v>0</v>
      </c>
      <c r="E169" s="24">
        <f t="shared" si="1"/>
        <v>1003.2693839999998</v>
      </c>
      <c r="F169" s="22" t="s">
        <v>173</v>
      </c>
      <c r="G169" s="114" t="str">
        <f>A168</f>
        <v>6th, 8th to 10th, 12th to 14th Floor</v>
      </c>
      <c r="I169" s="42"/>
    </row>
    <row r="170" spans="1:9" ht="17.5" customHeight="1" x14ac:dyDescent="0.3">
      <c r="A170" s="24">
        <v>2</v>
      </c>
      <c r="B170" s="22" t="s">
        <v>212</v>
      </c>
      <c r="C170" s="68">
        <f>(52.883+10.882)*10.764</f>
        <v>686.36645999999996</v>
      </c>
      <c r="D170" s="24">
        <v>0</v>
      </c>
      <c r="E170" s="24">
        <f t="shared" si="1"/>
        <v>995.23136699999986</v>
      </c>
      <c r="F170" s="22" t="s">
        <v>173</v>
      </c>
      <c r="G170" s="115"/>
      <c r="I170" s="42"/>
    </row>
    <row r="171" spans="1:9" ht="17.5" customHeight="1" x14ac:dyDescent="0.3">
      <c r="A171" s="24">
        <v>3</v>
      </c>
      <c r="B171" s="22" t="s">
        <v>212</v>
      </c>
      <c r="C171" s="68">
        <f>(51.126+8.777)*10.764</f>
        <v>644.79589199999998</v>
      </c>
      <c r="D171" s="24">
        <v>0</v>
      </c>
      <c r="E171" s="24">
        <f t="shared" si="1"/>
        <v>934.95404339999993</v>
      </c>
      <c r="F171" s="22" t="s">
        <v>173</v>
      </c>
      <c r="G171" s="115"/>
      <c r="I171" s="42"/>
    </row>
    <row r="172" spans="1:9" ht="17.5" customHeight="1" x14ac:dyDescent="0.3">
      <c r="A172" s="24">
        <v>4</v>
      </c>
      <c r="B172" s="22" t="s">
        <v>211</v>
      </c>
      <c r="C172" s="68">
        <f>(41.387+4.507)*10.764</f>
        <v>494.00301599999995</v>
      </c>
      <c r="D172" s="24">
        <v>0</v>
      </c>
      <c r="E172" s="24">
        <f t="shared" si="1"/>
        <v>716.30437319999987</v>
      </c>
      <c r="F172" s="22" t="s">
        <v>173</v>
      </c>
      <c r="G172" s="115"/>
      <c r="I172" s="42"/>
    </row>
    <row r="173" spans="1:9" ht="17.5" customHeight="1" x14ac:dyDescent="0.3">
      <c r="A173" s="24">
        <v>5</v>
      </c>
      <c r="B173" s="22" t="s">
        <v>211</v>
      </c>
      <c r="C173" s="68">
        <f>(41.387+4.507)*10.764</f>
        <v>494.00301599999995</v>
      </c>
      <c r="D173" s="24">
        <v>0</v>
      </c>
      <c r="E173" s="24">
        <f t="shared" si="1"/>
        <v>716.30437319999987</v>
      </c>
      <c r="F173" s="22" t="s">
        <v>173</v>
      </c>
      <c r="G173" s="115"/>
      <c r="I173" s="42"/>
    </row>
    <row r="174" spans="1:9" ht="17.5" customHeight="1" x14ac:dyDescent="0.3">
      <c r="A174" s="41">
        <v>6</v>
      </c>
      <c r="B174" s="22" t="s">
        <v>212</v>
      </c>
      <c r="C174" s="68">
        <f>(57.07+5.365)*10.764</f>
        <v>672.05034000000001</v>
      </c>
      <c r="D174" s="24">
        <v>0</v>
      </c>
      <c r="E174" s="24">
        <f t="shared" si="1"/>
        <v>974.47299299999997</v>
      </c>
      <c r="F174" s="22" t="s">
        <v>173</v>
      </c>
      <c r="G174" s="116"/>
      <c r="I174" s="42"/>
    </row>
    <row r="175" spans="1:9" ht="17.5" customHeight="1" x14ac:dyDescent="0.3">
      <c r="A175" s="100" t="s">
        <v>275</v>
      </c>
      <c r="B175" s="101"/>
      <c r="C175" s="101"/>
      <c r="D175" s="101"/>
      <c r="E175" s="101"/>
      <c r="F175" s="101"/>
      <c r="G175" s="102"/>
      <c r="I175" s="42"/>
    </row>
    <row r="176" spans="1:9" ht="17.5" customHeight="1" x14ac:dyDescent="0.3">
      <c r="A176" s="24">
        <v>1</v>
      </c>
      <c r="B176" s="22" t="s">
        <v>212</v>
      </c>
      <c r="C176" s="68">
        <f>(54.75+9.53)*10.764</f>
        <v>691.90991999999994</v>
      </c>
      <c r="D176" s="24">
        <v>0</v>
      </c>
      <c r="E176" s="24">
        <f t="shared" si="1"/>
        <v>1003.2693839999998</v>
      </c>
      <c r="F176" s="22" t="s">
        <v>173</v>
      </c>
      <c r="G176" s="114" t="str">
        <f>A175</f>
        <v>7th &amp; 11th Floor (Part Refuge Area)</v>
      </c>
      <c r="I176" s="42"/>
    </row>
    <row r="177" spans="1:9" ht="17.5" customHeight="1" x14ac:dyDescent="0.3">
      <c r="A177" s="24">
        <v>2</v>
      </c>
      <c r="B177" s="22" t="s">
        <v>212</v>
      </c>
      <c r="C177" s="68">
        <f>(52.883+10.882)*10.764</f>
        <v>686.36645999999996</v>
      </c>
      <c r="D177" s="24">
        <v>0</v>
      </c>
      <c r="E177" s="24">
        <f t="shared" si="1"/>
        <v>995.23136699999986</v>
      </c>
      <c r="F177" s="22" t="s">
        <v>173</v>
      </c>
      <c r="G177" s="115"/>
      <c r="I177" s="42"/>
    </row>
    <row r="178" spans="1:9" ht="17.5" customHeight="1" x14ac:dyDescent="0.3">
      <c r="A178" s="24">
        <v>3</v>
      </c>
      <c r="B178" s="22" t="s">
        <v>212</v>
      </c>
      <c r="C178" s="68">
        <f>(51.126+8.777)*10.764</f>
        <v>644.79589199999998</v>
      </c>
      <c r="D178" s="24">
        <v>0</v>
      </c>
      <c r="E178" s="24">
        <f t="shared" si="1"/>
        <v>934.95404339999993</v>
      </c>
      <c r="F178" s="22" t="s">
        <v>173</v>
      </c>
      <c r="G178" s="115"/>
      <c r="I178" s="42"/>
    </row>
    <row r="179" spans="1:9" ht="17.5" customHeight="1" x14ac:dyDescent="0.3">
      <c r="A179" s="24">
        <v>4</v>
      </c>
      <c r="B179" s="117" t="s">
        <v>276</v>
      </c>
      <c r="C179" s="118"/>
      <c r="D179" s="118"/>
      <c r="E179" s="118"/>
      <c r="F179" s="119"/>
      <c r="G179" s="115"/>
      <c r="I179" s="42"/>
    </row>
    <row r="180" spans="1:9" ht="17.5" customHeight="1" x14ac:dyDescent="0.3">
      <c r="A180" s="24">
        <v>5</v>
      </c>
      <c r="B180" s="22" t="s">
        <v>212</v>
      </c>
      <c r="C180" s="68">
        <f>(67.205+4.507)*10.764</f>
        <v>771.90796799999998</v>
      </c>
      <c r="D180" s="24">
        <v>0</v>
      </c>
      <c r="E180" s="24">
        <f>(C180+D180)*1.45</f>
        <v>1119.2665536</v>
      </c>
      <c r="F180" s="22" t="s">
        <v>173</v>
      </c>
      <c r="G180" s="115"/>
      <c r="I180" s="42"/>
    </row>
    <row r="181" spans="1:9" ht="17.5" customHeight="1" x14ac:dyDescent="0.3">
      <c r="A181" s="41">
        <v>6</v>
      </c>
      <c r="B181" s="22" t="s">
        <v>212</v>
      </c>
      <c r="C181" s="68">
        <f>(57.07+5.365)*10.764</f>
        <v>672.05034000000001</v>
      </c>
      <c r="D181" s="24">
        <v>0</v>
      </c>
      <c r="E181" s="24">
        <f t="shared" si="1"/>
        <v>974.47299299999997</v>
      </c>
      <c r="F181" s="22" t="s">
        <v>173</v>
      </c>
      <c r="G181" s="116"/>
      <c r="I181" s="42"/>
    </row>
    <row r="182" spans="1:9" ht="17.5" customHeight="1" x14ac:dyDescent="0.3">
      <c r="A182" s="100" t="s">
        <v>277</v>
      </c>
      <c r="B182" s="101"/>
      <c r="C182" s="101"/>
      <c r="D182" s="101"/>
      <c r="E182" s="101"/>
      <c r="F182" s="101"/>
      <c r="G182" s="102"/>
      <c r="I182" s="42"/>
    </row>
    <row r="183" spans="1:9" ht="17.5" customHeight="1" x14ac:dyDescent="0.3">
      <c r="A183" s="24">
        <v>1</v>
      </c>
      <c r="B183" s="125" t="s">
        <v>278</v>
      </c>
      <c r="C183" s="126"/>
      <c r="D183" s="126"/>
      <c r="E183" s="126"/>
      <c r="F183" s="127"/>
      <c r="G183" s="114" t="str">
        <f>A182</f>
        <v>15th Floor (Part Terrace Area)</v>
      </c>
      <c r="I183" s="42"/>
    </row>
    <row r="184" spans="1:9" ht="17.5" customHeight="1" x14ac:dyDescent="0.3">
      <c r="A184" s="24">
        <v>2</v>
      </c>
      <c r="B184" s="128"/>
      <c r="C184" s="129"/>
      <c r="D184" s="129"/>
      <c r="E184" s="129"/>
      <c r="F184" s="130"/>
      <c r="G184" s="115"/>
      <c r="I184" s="42"/>
    </row>
    <row r="185" spans="1:9" ht="17.5" customHeight="1" x14ac:dyDescent="0.3">
      <c r="A185" s="24">
        <v>3</v>
      </c>
      <c r="B185" s="22" t="s">
        <v>211</v>
      </c>
      <c r="C185" s="68">
        <f>(43.116+4.823)*10.764</f>
        <v>516.01539600000001</v>
      </c>
      <c r="D185" s="68">
        <f>(3.7*1.95+3.1*1.5)*10.764</f>
        <v>127.71486</v>
      </c>
      <c r="E185" s="24">
        <f t="shared" ref="E185:E188" si="2">(C185+D185)*1.45</f>
        <v>933.40887120000002</v>
      </c>
      <c r="F185" s="22" t="s">
        <v>173</v>
      </c>
      <c r="G185" s="115"/>
      <c r="I185" s="42"/>
    </row>
    <row r="186" spans="1:9" ht="17.5" customHeight="1" x14ac:dyDescent="0.3">
      <c r="A186" s="24">
        <v>4</v>
      </c>
      <c r="B186" s="22" t="s">
        <v>211</v>
      </c>
      <c r="C186" s="68">
        <f>(41.387+4.507)*10.764</f>
        <v>494.00301599999995</v>
      </c>
      <c r="D186" s="68">
        <v>0</v>
      </c>
      <c r="E186" s="24">
        <f>(C186+D186)*1.45</f>
        <v>716.30437319999987</v>
      </c>
      <c r="F186" s="22" t="s">
        <v>173</v>
      </c>
      <c r="G186" s="115"/>
      <c r="I186" s="42"/>
    </row>
    <row r="187" spans="1:9" ht="17.5" customHeight="1" x14ac:dyDescent="0.3">
      <c r="A187" s="24">
        <v>5</v>
      </c>
      <c r="B187" s="22" t="s">
        <v>211</v>
      </c>
      <c r="C187" s="68">
        <f>(41.387+4.507)*10.764</f>
        <v>494.00301599999995</v>
      </c>
      <c r="D187" s="68">
        <v>0</v>
      </c>
      <c r="E187" s="24">
        <f t="shared" si="2"/>
        <v>716.30437319999987</v>
      </c>
      <c r="F187" s="22" t="s">
        <v>173</v>
      </c>
      <c r="G187" s="115"/>
      <c r="I187" s="42"/>
    </row>
    <row r="188" spans="1:9" ht="17.5" customHeight="1" x14ac:dyDescent="0.3">
      <c r="A188" s="90">
        <v>6</v>
      </c>
      <c r="B188" s="85" t="s">
        <v>212</v>
      </c>
      <c r="C188" s="86">
        <f>(57.07+5.365)*10.764</f>
        <v>672.05034000000001</v>
      </c>
      <c r="D188" s="86">
        <v>0</v>
      </c>
      <c r="E188" s="84">
        <f t="shared" si="2"/>
        <v>974.47299299999997</v>
      </c>
      <c r="F188" s="85" t="s">
        <v>173</v>
      </c>
      <c r="G188" s="115"/>
      <c r="I188" s="42"/>
    </row>
    <row r="189" spans="1:9" ht="17.5" customHeight="1" x14ac:dyDescent="0.3">
      <c r="A189" s="131" t="s">
        <v>279</v>
      </c>
      <c r="B189" s="131"/>
      <c r="C189" s="131"/>
      <c r="D189" s="131"/>
      <c r="E189" s="131"/>
      <c r="F189" s="131"/>
      <c r="G189" s="131"/>
    </row>
    <row r="190" spans="1:9" ht="17.5" customHeight="1" x14ac:dyDescent="0.3">
      <c r="A190" s="123" t="s">
        <v>280</v>
      </c>
      <c r="B190" s="123"/>
      <c r="C190" s="123"/>
      <c r="D190" s="123"/>
      <c r="E190" s="123"/>
      <c r="F190" s="123"/>
      <c r="G190" s="123"/>
      <c r="I190" s="42">
        <f t="shared" ref="I190:I203" si="3">3*E190*12</f>
        <v>0</v>
      </c>
    </row>
    <row r="191" spans="1:9" ht="17.5" customHeight="1" x14ac:dyDescent="0.3">
      <c r="A191" s="91">
        <v>1</v>
      </c>
      <c r="B191" s="89" t="s">
        <v>172</v>
      </c>
      <c r="C191" s="68">
        <f>(11*2.45)*10.764</f>
        <v>290.08980000000003</v>
      </c>
      <c r="D191" s="88">
        <v>0</v>
      </c>
      <c r="E191" s="88">
        <f t="shared" ref="E191:E196" si="4">(C191+D191)*1.6</f>
        <v>464.14368000000007</v>
      </c>
      <c r="F191" s="89" t="s">
        <v>173</v>
      </c>
      <c r="G191" s="124" t="s">
        <v>220</v>
      </c>
      <c r="I191" s="42">
        <f t="shared" si="3"/>
        <v>16709.172480000001</v>
      </c>
    </row>
    <row r="192" spans="1:9" ht="17.5" customHeight="1" x14ac:dyDescent="0.3">
      <c r="A192" s="91">
        <v>2</v>
      </c>
      <c r="B192" s="89" t="s">
        <v>172</v>
      </c>
      <c r="C192" s="68">
        <f>(9.85*2.75)*10.764</f>
        <v>291.56984999999997</v>
      </c>
      <c r="D192" s="88">
        <v>0</v>
      </c>
      <c r="E192" s="88">
        <f t="shared" si="4"/>
        <v>466.51175999999998</v>
      </c>
      <c r="F192" s="89" t="s">
        <v>173</v>
      </c>
      <c r="G192" s="124"/>
      <c r="I192" s="42">
        <f t="shared" si="3"/>
        <v>16794.423360000001</v>
      </c>
    </row>
    <row r="193" spans="1:9" ht="17.5" customHeight="1" x14ac:dyDescent="0.3">
      <c r="A193" s="91">
        <v>3</v>
      </c>
      <c r="B193" s="89" t="s">
        <v>172</v>
      </c>
      <c r="C193" s="68">
        <f>(8.6*2.9)*10.764</f>
        <v>268.45415999999994</v>
      </c>
      <c r="D193" s="88">
        <v>0</v>
      </c>
      <c r="E193" s="88">
        <f t="shared" si="4"/>
        <v>429.52665599999995</v>
      </c>
      <c r="F193" s="89" t="s">
        <v>173</v>
      </c>
      <c r="G193" s="124"/>
      <c r="I193" s="42">
        <f t="shared" si="3"/>
        <v>15462.959615999996</v>
      </c>
    </row>
    <row r="194" spans="1:9" ht="17.5" customHeight="1" x14ac:dyDescent="0.3">
      <c r="A194" s="91">
        <v>4</v>
      </c>
      <c r="B194" s="89" t="s">
        <v>172</v>
      </c>
      <c r="C194" s="68">
        <f>(7.3*2.9)*10.764</f>
        <v>227.87387999999996</v>
      </c>
      <c r="D194" s="88">
        <v>0</v>
      </c>
      <c r="E194" s="88">
        <f t="shared" si="4"/>
        <v>364.59820799999994</v>
      </c>
      <c r="F194" s="89" t="s">
        <v>173</v>
      </c>
      <c r="G194" s="124"/>
      <c r="I194" s="42">
        <f t="shared" si="3"/>
        <v>13125.535487999998</v>
      </c>
    </row>
    <row r="195" spans="1:9" ht="17.5" customHeight="1" x14ac:dyDescent="0.3">
      <c r="A195" s="91">
        <v>5</v>
      </c>
      <c r="B195" s="89" t="s">
        <v>172</v>
      </c>
      <c r="C195" s="68">
        <f>(6.05*2.75)*10.764</f>
        <v>179.08604999999997</v>
      </c>
      <c r="D195" s="88">
        <v>0</v>
      </c>
      <c r="E195" s="88">
        <f t="shared" si="4"/>
        <v>286.53767999999997</v>
      </c>
      <c r="F195" s="89" t="s">
        <v>173</v>
      </c>
      <c r="G195" s="124"/>
      <c r="I195" s="42">
        <f t="shared" si="3"/>
        <v>10315.356479999999</v>
      </c>
    </row>
    <row r="196" spans="1:9" ht="17.5" customHeight="1" x14ac:dyDescent="0.3">
      <c r="A196" s="91">
        <v>6</v>
      </c>
      <c r="B196" s="89" t="s">
        <v>172</v>
      </c>
      <c r="C196" s="68">
        <f>(4.9*2.45)*10.764</f>
        <v>129.22182000000001</v>
      </c>
      <c r="D196" s="88">
        <v>0</v>
      </c>
      <c r="E196" s="88">
        <f t="shared" si="4"/>
        <v>206.75491200000002</v>
      </c>
      <c r="F196" s="89" t="s">
        <v>173</v>
      </c>
      <c r="G196" s="124"/>
      <c r="I196" s="42">
        <f t="shared" si="3"/>
        <v>7443.176832000001</v>
      </c>
    </row>
    <row r="197" spans="1:9" ht="17.5" customHeight="1" x14ac:dyDescent="0.3">
      <c r="A197" s="120" t="s">
        <v>178</v>
      </c>
      <c r="B197" s="121"/>
      <c r="C197" s="121"/>
      <c r="D197" s="121"/>
      <c r="E197" s="121"/>
      <c r="F197" s="121"/>
      <c r="G197" s="122"/>
      <c r="I197" s="42">
        <f t="shared" si="3"/>
        <v>0</v>
      </c>
    </row>
    <row r="198" spans="1:9" ht="17.5" customHeight="1" x14ac:dyDescent="0.3">
      <c r="A198" s="28">
        <v>1</v>
      </c>
      <c r="B198" s="22" t="s">
        <v>176</v>
      </c>
      <c r="C198" s="68">
        <f>(2.9*4.3+2.1*1.75+2.9*2.75+1.25*2.26+1.2*2.25+0.75*2.9+1*(2.1+2.9)+0.9*2.1)*10.764</f>
        <v>416.67443999999989</v>
      </c>
      <c r="D198" s="24">
        <v>0</v>
      </c>
      <c r="E198" s="24">
        <f t="shared" ref="E198:E203" si="5">(C198+D198)*1.45</f>
        <v>604.17793799999981</v>
      </c>
      <c r="F198" s="22" t="s">
        <v>173</v>
      </c>
      <c r="G198" s="114" t="s">
        <v>179</v>
      </c>
      <c r="I198" s="42">
        <f t="shared" si="3"/>
        <v>21750.405767999993</v>
      </c>
    </row>
    <row r="199" spans="1:9" ht="17.5" customHeight="1" x14ac:dyDescent="0.3">
      <c r="A199" s="28">
        <v>2</v>
      </c>
      <c r="B199" s="22" t="s">
        <v>176</v>
      </c>
      <c r="C199" s="68">
        <f>(2.9*4.6+2.75*2.15+3.05*2.4+2.05*1.2+1.2*2.1+0.75*2.9+1.4*3.05+0.9*1.2+0.75*2.15)*10.764</f>
        <v>437.98715999999996</v>
      </c>
      <c r="D199" s="24">
        <v>0</v>
      </c>
      <c r="E199" s="24">
        <f t="shared" si="5"/>
        <v>635.08138199999996</v>
      </c>
      <c r="F199" s="22" t="s">
        <v>173</v>
      </c>
      <c r="G199" s="115"/>
      <c r="I199" s="42">
        <f t="shared" si="3"/>
        <v>22862.929752</v>
      </c>
    </row>
    <row r="200" spans="1:9" ht="17.5" customHeight="1" x14ac:dyDescent="0.3">
      <c r="A200" s="28">
        <v>3</v>
      </c>
      <c r="B200" s="22" t="s">
        <v>176</v>
      </c>
      <c r="C200" s="68">
        <f>(2.9*4.6+2.75*2.15+3.05*2.4+2.05*1.2+1.2*2.1+0.75*2.9+1.4*3.05+0.9*1.2+0.75*2.15)*10.764</f>
        <v>437.98715999999996</v>
      </c>
      <c r="D200" s="24">
        <v>0</v>
      </c>
      <c r="E200" s="24">
        <f t="shared" si="5"/>
        <v>635.08138199999996</v>
      </c>
      <c r="F200" s="22" t="s">
        <v>173</v>
      </c>
      <c r="G200" s="115"/>
      <c r="I200" s="42">
        <f t="shared" si="3"/>
        <v>22862.929752</v>
      </c>
    </row>
    <row r="201" spans="1:9" ht="17.5" customHeight="1" x14ac:dyDescent="0.3">
      <c r="A201" s="28">
        <v>4</v>
      </c>
      <c r="B201" s="22" t="s">
        <v>176</v>
      </c>
      <c r="C201" s="68">
        <f>(2.9*4.3+2.1*1.75+2.5*2.55+1.25*2.25+1.2*2.25+4.77+0.75*2.9+1.2*2.6+1*2.1)*10.764</f>
        <v>432.68588999999986</v>
      </c>
      <c r="D201" s="24">
        <v>0</v>
      </c>
      <c r="E201" s="24">
        <f t="shared" si="5"/>
        <v>627.39454049999972</v>
      </c>
      <c r="F201" s="22" t="s">
        <v>173</v>
      </c>
      <c r="G201" s="115"/>
      <c r="H201">
        <f t="shared" ref="H201" si="6">2.9*4.3+2.1*1.75+2.5*2.55+1.25*2.25+1.2*2.25+4.77+0.75*2.9+1.2*2.6+1*2.1</f>
        <v>40.197499999999991</v>
      </c>
      <c r="I201" s="42">
        <f t="shared" si="3"/>
        <v>22586.203457999989</v>
      </c>
    </row>
    <row r="202" spans="1:9" ht="17.5" customHeight="1" x14ac:dyDescent="0.3">
      <c r="A202" s="28">
        <v>5</v>
      </c>
      <c r="B202" s="22" t="s">
        <v>175</v>
      </c>
      <c r="C202" s="68">
        <f>(4.3*2.9+2.15*2.75+3.25*1.55+3.65*2.9+2.75*2.75+1.2*2.1+2.25*1.2+0.9*1.2+0.75*2.9+0.75*(2.75+2.9+2.15)+0.35*(2.4+1.4))*10.764</f>
        <v>615.94299000000001</v>
      </c>
      <c r="D202" s="24">
        <v>0</v>
      </c>
      <c r="E202" s="24">
        <f t="shared" si="5"/>
        <v>893.11733549999997</v>
      </c>
      <c r="F202" s="22" t="s">
        <v>173</v>
      </c>
      <c r="G202" s="115"/>
      <c r="I202" s="42">
        <f t="shared" si="3"/>
        <v>32152.224077999999</v>
      </c>
    </row>
    <row r="203" spans="1:9" ht="17.5" customHeight="1" x14ac:dyDescent="0.3">
      <c r="A203" s="28">
        <v>6</v>
      </c>
      <c r="B203" s="22" t="s">
        <v>175</v>
      </c>
      <c r="C203" s="68">
        <f>(4.3*2.9+2.15*2.75+3.25*1.55+2.3*2.6+2.9*2.75+2.25*1.2+1.2*2.1+0.75*(2.9+2.15)+1*2.75+1.55*2.9+2.5*0.35)*10.764</f>
        <v>586.66490999999996</v>
      </c>
      <c r="D203" s="24">
        <v>0</v>
      </c>
      <c r="E203" s="24">
        <f t="shared" si="5"/>
        <v>850.66411949999997</v>
      </c>
      <c r="F203" s="22" t="s">
        <v>173</v>
      </c>
      <c r="G203" s="116"/>
      <c r="I203" s="42">
        <f t="shared" si="3"/>
        <v>30623.908301999996</v>
      </c>
    </row>
    <row r="204" spans="1:9" ht="17.5" customHeight="1" x14ac:dyDescent="0.3">
      <c r="A204" s="100" t="s">
        <v>281</v>
      </c>
      <c r="B204" s="101"/>
      <c r="C204" s="101"/>
      <c r="D204" s="101"/>
      <c r="E204" s="101"/>
      <c r="F204" s="101"/>
      <c r="G204" s="102"/>
      <c r="I204" s="42">
        <f t="shared" ref="I204" si="7">3*E204*12</f>
        <v>0</v>
      </c>
    </row>
    <row r="205" spans="1:9" ht="17.5" customHeight="1" x14ac:dyDescent="0.3">
      <c r="A205" s="28">
        <v>1</v>
      </c>
      <c r="B205" s="117" t="s">
        <v>278</v>
      </c>
      <c r="C205" s="118"/>
      <c r="D205" s="118"/>
      <c r="E205" s="118"/>
      <c r="F205" s="119"/>
      <c r="G205" s="114" t="s">
        <v>179</v>
      </c>
      <c r="I205" s="42"/>
    </row>
    <row r="206" spans="1:9" ht="17.5" customHeight="1" x14ac:dyDescent="0.3">
      <c r="A206" s="28">
        <v>2</v>
      </c>
      <c r="B206" s="22" t="s">
        <v>176</v>
      </c>
      <c r="C206" s="68">
        <f>(2.9*4.35+2.5*2.15+3.05*2.55+2.05*1.2+1.2*2.1+0.9*1.2+1*(2.9+2.15)+1.25*3.05)*10.764</f>
        <v>437.98715999999996</v>
      </c>
      <c r="D206" s="68">
        <v>0</v>
      </c>
      <c r="E206" s="24">
        <f t="shared" ref="E206:E210" si="8">(C206+D206)*1.45</f>
        <v>635.08138199999996</v>
      </c>
      <c r="F206" s="22" t="s">
        <v>173</v>
      </c>
      <c r="G206" s="115"/>
      <c r="I206" s="42"/>
    </row>
    <row r="207" spans="1:9" ht="17.5" customHeight="1" x14ac:dyDescent="0.3">
      <c r="A207" s="28">
        <v>3</v>
      </c>
      <c r="B207" s="22" t="s">
        <v>212</v>
      </c>
      <c r="C207" s="68">
        <f>(2.9*4.35+2.5*2.15+3.05*2.55+2.05*1.2+1.2*2.1+0.9*1.2+1*(2.9+2.15)+1.25*3.05+1*2.1+2.8*2.55+1.2*2.6)*10.764</f>
        <v>571.03019999999992</v>
      </c>
      <c r="D207" s="68">
        <f>(2.1*3.65+1.25*2.4)*10.764</f>
        <v>114.79805999999998</v>
      </c>
      <c r="E207" s="24">
        <f t="shared" si="8"/>
        <v>994.45097699999985</v>
      </c>
      <c r="F207" s="22" t="s">
        <v>173</v>
      </c>
      <c r="G207" s="115"/>
      <c r="I207" s="42"/>
    </row>
    <row r="208" spans="1:9" ht="17.5" customHeight="1" x14ac:dyDescent="0.3">
      <c r="A208" s="28">
        <v>4</v>
      </c>
      <c r="B208" s="117" t="s">
        <v>276</v>
      </c>
      <c r="C208" s="118"/>
      <c r="D208" s="118"/>
      <c r="E208" s="118"/>
      <c r="F208" s="119"/>
      <c r="G208" s="115"/>
      <c r="I208" s="42"/>
    </row>
    <row r="209" spans="1:9" ht="17.5" customHeight="1" x14ac:dyDescent="0.3">
      <c r="A209" s="28">
        <v>5</v>
      </c>
      <c r="B209" s="22" t="s">
        <v>175</v>
      </c>
      <c r="C209" s="68">
        <f>(4.35*2.9+2.15*2.5+3.25*1.55+3.4*2.9+2.5*2.75+2.25*1.2+0.9*1.2+1.2*2.1+1*(2.9+2.15+2.75+2.9))*10.764</f>
        <v>610.99154999999996</v>
      </c>
      <c r="D209" s="69">
        <v>0</v>
      </c>
      <c r="E209" s="24">
        <f t="shared" si="8"/>
        <v>885.93774749999989</v>
      </c>
      <c r="F209" s="22" t="s">
        <v>173</v>
      </c>
      <c r="G209" s="115"/>
      <c r="I209" s="42"/>
    </row>
    <row r="210" spans="1:9" ht="17.5" customHeight="1" x14ac:dyDescent="0.3">
      <c r="A210" s="28">
        <v>6</v>
      </c>
      <c r="B210" s="22" t="s">
        <v>175</v>
      </c>
      <c r="C210" s="68">
        <f>(4.35*2.9+2.15*2.3+2.25*1.55+2.9*2.75+2.6*2.9+2.25*1.2+1.2*2.1+1*(2.9+2.15+2.75)+1.25*2.6)*10.764</f>
        <v>568.68903</v>
      </c>
      <c r="D210" s="69">
        <v>0</v>
      </c>
      <c r="E210" s="24">
        <f t="shared" si="8"/>
        <v>824.59909349999998</v>
      </c>
      <c r="F210" s="22" t="s">
        <v>173</v>
      </c>
      <c r="G210" s="116"/>
      <c r="I210" s="42"/>
    </row>
    <row r="211" spans="1:9" ht="17.5" customHeight="1" x14ac:dyDescent="0.3">
      <c r="A211" s="100" t="s">
        <v>282</v>
      </c>
      <c r="B211" s="101"/>
      <c r="C211" s="101"/>
      <c r="D211" s="101"/>
      <c r="E211" s="101"/>
      <c r="F211" s="101"/>
      <c r="G211" s="102"/>
      <c r="I211" s="42"/>
    </row>
    <row r="212" spans="1:9" ht="17.5" customHeight="1" x14ac:dyDescent="0.3">
      <c r="A212" s="28">
        <v>1</v>
      </c>
      <c r="B212" s="117" t="s">
        <v>283</v>
      </c>
      <c r="C212" s="118"/>
      <c r="D212" s="118"/>
      <c r="E212" s="118"/>
      <c r="F212" s="119"/>
      <c r="G212" s="114" t="s">
        <v>179</v>
      </c>
      <c r="I212" s="42"/>
    </row>
    <row r="213" spans="1:9" ht="17.5" customHeight="1" x14ac:dyDescent="0.3">
      <c r="A213" s="28">
        <v>2</v>
      </c>
      <c r="B213" s="22" t="s">
        <v>176</v>
      </c>
      <c r="C213" s="68">
        <f>(2.9*4.35+2.5*2.15+3.05*2.55+2.05*1.2+1.2*2.1+0.9*1.2+1*(2.9+2.15)+1.25*3.05)*10.764</f>
        <v>437.98715999999996</v>
      </c>
      <c r="D213" s="24">
        <v>0</v>
      </c>
      <c r="E213" s="24">
        <f t="shared" ref="E213:E217" si="9">(C213+D213)*1.45</f>
        <v>635.08138199999996</v>
      </c>
      <c r="F213" s="22" t="s">
        <v>173</v>
      </c>
      <c r="G213" s="115"/>
      <c r="I213" s="42"/>
    </row>
    <row r="214" spans="1:9" ht="17.5" customHeight="1" x14ac:dyDescent="0.3">
      <c r="A214" s="28">
        <v>3</v>
      </c>
      <c r="B214" s="22" t="s">
        <v>212</v>
      </c>
      <c r="C214" s="68">
        <f>(2.9*4.35+2.5*2.15+3.05*2.55+2.05*1.2+1.2*2.1+0.9*1.2+1*(2.9+2.15)+1.25*3.05+1*2.1+2.8*2.55+1.2*2.6)*10.764</f>
        <v>571.03019999999992</v>
      </c>
      <c r="D214" s="24">
        <v>0</v>
      </c>
      <c r="E214" s="24">
        <f t="shared" si="9"/>
        <v>827.99378999999988</v>
      </c>
      <c r="F214" s="22" t="s">
        <v>173</v>
      </c>
      <c r="G214" s="115"/>
      <c r="I214" s="42"/>
    </row>
    <row r="215" spans="1:9" ht="17.5" customHeight="1" x14ac:dyDescent="0.3">
      <c r="A215" s="28">
        <v>4</v>
      </c>
      <c r="B215" s="117" t="s">
        <v>276</v>
      </c>
      <c r="C215" s="118"/>
      <c r="D215" s="118"/>
      <c r="E215" s="118"/>
      <c r="F215" s="119"/>
      <c r="G215" s="115"/>
      <c r="I215" s="42"/>
    </row>
    <row r="216" spans="1:9" ht="17.5" customHeight="1" x14ac:dyDescent="0.3">
      <c r="A216" s="28">
        <v>5</v>
      </c>
      <c r="B216" s="22" t="s">
        <v>175</v>
      </c>
      <c r="C216" s="68">
        <f>(4.35*2.9+2.15*2.5+3.25*1.55+3.4*2.9+2.5*2.75+2.25*1.2+0.9*1.2+1.2*2.1+1*(2.9+2.15+2.75+2.9))*10.764</f>
        <v>610.99154999999996</v>
      </c>
      <c r="D216" s="24">
        <v>0</v>
      </c>
      <c r="E216" s="24">
        <f t="shared" si="9"/>
        <v>885.93774749999989</v>
      </c>
      <c r="F216" s="22" t="s">
        <v>173</v>
      </c>
      <c r="G216" s="115"/>
      <c r="I216" s="42"/>
    </row>
    <row r="217" spans="1:9" ht="17.5" customHeight="1" x14ac:dyDescent="0.3">
      <c r="A217" s="28">
        <v>6</v>
      </c>
      <c r="B217" s="22" t="s">
        <v>175</v>
      </c>
      <c r="C217" s="68">
        <f>(4.35*2.9+2.15*2.3+2.25*1.55+2.9*2.75+2.6*2.9+2.25*1.2+1.2*2.1+1*(2.9+2.15+2.75)+1.25*2.6)*10.764</f>
        <v>568.68903</v>
      </c>
      <c r="D217" s="24">
        <v>0</v>
      </c>
      <c r="E217" s="24">
        <f t="shared" si="9"/>
        <v>824.59909349999998</v>
      </c>
      <c r="F217" s="22" t="s">
        <v>173</v>
      </c>
      <c r="G217" s="116"/>
      <c r="I217" s="42"/>
    </row>
    <row r="218" spans="1:9" ht="17.5" customHeight="1" x14ac:dyDescent="0.3">
      <c r="A218" s="184" t="s">
        <v>180</v>
      </c>
      <c r="B218" s="185"/>
      <c r="C218" s="185"/>
      <c r="D218" s="185"/>
      <c r="E218" s="185"/>
      <c r="F218" s="185"/>
      <c r="G218" s="186"/>
      <c r="I218" s="42"/>
    </row>
    <row r="219" spans="1:9" ht="17.5" customHeight="1" x14ac:dyDescent="0.3">
      <c r="A219" s="100" t="s">
        <v>280</v>
      </c>
      <c r="B219" s="101"/>
      <c r="C219" s="101"/>
      <c r="D219" s="101"/>
      <c r="E219" s="101"/>
      <c r="F219" s="101"/>
      <c r="G219" s="102"/>
      <c r="I219" s="42"/>
    </row>
    <row r="220" spans="1:9" ht="17.5" customHeight="1" x14ac:dyDescent="0.3">
      <c r="A220" s="28">
        <v>1</v>
      </c>
      <c r="B220" s="22" t="s">
        <v>172</v>
      </c>
      <c r="C220" s="68">
        <f>(2.35*4.85)*10.764</f>
        <v>122.68268999999998</v>
      </c>
      <c r="D220" s="24">
        <v>0</v>
      </c>
      <c r="E220" s="24">
        <f t="shared" ref="E220:E229" si="10">(C220+D220)*1.6</f>
        <v>196.29230399999997</v>
      </c>
      <c r="F220" s="22" t="s">
        <v>173</v>
      </c>
      <c r="G220" s="114" t="str">
        <f>A219</f>
        <v>Ground Floor For Parking &amp; Commercial</v>
      </c>
      <c r="I220" s="42"/>
    </row>
    <row r="221" spans="1:9" ht="17.5" customHeight="1" x14ac:dyDescent="0.3">
      <c r="A221" s="28">
        <v>2</v>
      </c>
      <c r="B221" s="22" t="s">
        <v>172</v>
      </c>
      <c r="C221" s="68">
        <f>(2.1*4.85)*10.764</f>
        <v>109.63133999999999</v>
      </c>
      <c r="D221" s="24">
        <v>0</v>
      </c>
      <c r="E221" s="24">
        <f t="shared" si="10"/>
        <v>175.410144</v>
      </c>
      <c r="F221" s="22" t="s">
        <v>173</v>
      </c>
      <c r="G221" s="115"/>
      <c r="I221" s="42"/>
    </row>
    <row r="222" spans="1:9" ht="17.5" customHeight="1" x14ac:dyDescent="0.3">
      <c r="A222" s="28">
        <v>3</v>
      </c>
      <c r="B222" s="22" t="s">
        <v>172</v>
      </c>
      <c r="C222" s="68">
        <f>(2.9*4.85)*10.764</f>
        <v>151.39565999999996</v>
      </c>
      <c r="D222" s="24">
        <v>0</v>
      </c>
      <c r="E222" s="24">
        <f t="shared" si="10"/>
        <v>242.23305599999995</v>
      </c>
      <c r="F222" s="22" t="s">
        <v>173</v>
      </c>
      <c r="G222" s="115"/>
      <c r="I222" s="42"/>
    </row>
    <row r="223" spans="1:9" ht="17.5" customHeight="1" x14ac:dyDescent="0.3">
      <c r="A223" s="28">
        <v>4</v>
      </c>
      <c r="B223" s="22" t="s">
        <v>172</v>
      </c>
      <c r="C223" s="68">
        <f>(2.9*4.85)*10.764</f>
        <v>151.39565999999996</v>
      </c>
      <c r="D223" s="24">
        <v>0</v>
      </c>
      <c r="E223" s="24">
        <f t="shared" si="10"/>
        <v>242.23305599999995</v>
      </c>
      <c r="F223" s="22" t="s">
        <v>173</v>
      </c>
      <c r="G223" s="115"/>
      <c r="I223" s="42"/>
    </row>
    <row r="224" spans="1:9" ht="17.5" customHeight="1" x14ac:dyDescent="0.3">
      <c r="A224" s="28">
        <v>5</v>
      </c>
      <c r="B224" s="22" t="s">
        <v>172</v>
      </c>
      <c r="C224" s="68">
        <f>(2.4*4.85)*10.764</f>
        <v>125.29295999999998</v>
      </c>
      <c r="D224" s="24">
        <v>0</v>
      </c>
      <c r="E224" s="24">
        <f t="shared" si="10"/>
        <v>200.46873599999998</v>
      </c>
      <c r="F224" s="22" t="s">
        <v>173</v>
      </c>
      <c r="G224" s="115"/>
      <c r="I224" s="42"/>
    </row>
    <row r="225" spans="1:9" ht="17.5" customHeight="1" x14ac:dyDescent="0.3">
      <c r="A225" s="28">
        <v>6</v>
      </c>
      <c r="B225" s="22" t="s">
        <v>172</v>
      </c>
      <c r="C225" s="68">
        <f>(2.4*4.85)*10.764</f>
        <v>125.29295999999998</v>
      </c>
      <c r="D225" s="24">
        <v>0</v>
      </c>
      <c r="E225" s="24">
        <f t="shared" si="10"/>
        <v>200.46873599999998</v>
      </c>
      <c r="F225" s="22" t="s">
        <v>173</v>
      </c>
      <c r="G225" s="115"/>
      <c r="I225" s="42"/>
    </row>
    <row r="226" spans="1:9" ht="17.5" customHeight="1" x14ac:dyDescent="0.3">
      <c r="A226" s="28">
        <v>7</v>
      </c>
      <c r="B226" s="22" t="s">
        <v>172</v>
      </c>
      <c r="C226" s="68">
        <f>(2.9*4.85)*10.764</f>
        <v>151.39565999999996</v>
      </c>
      <c r="D226" s="24">
        <v>0</v>
      </c>
      <c r="E226" s="24">
        <f t="shared" si="10"/>
        <v>242.23305599999995</v>
      </c>
      <c r="F226" s="22" t="s">
        <v>173</v>
      </c>
      <c r="G226" s="115"/>
      <c r="I226" s="42"/>
    </row>
    <row r="227" spans="1:9" ht="17.5" customHeight="1" x14ac:dyDescent="0.3">
      <c r="A227" s="28">
        <v>8</v>
      </c>
      <c r="B227" s="22" t="s">
        <v>172</v>
      </c>
      <c r="C227" s="68">
        <f>(2.9*4.85)*10.764</f>
        <v>151.39565999999996</v>
      </c>
      <c r="D227" s="24">
        <v>0</v>
      </c>
      <c r="E227" s="24">
        <f t="shared" si="10"/>
        <v>242.23305599999995</v>
      </c>
      <c r="F227" s="22" t="s">
        <v>173</v>
      </c>
      <c r="G227" s="115"/>
      <c r="I227" s="42"/>
    </row>
    <row r="228" spans="1:9" ht="17.5" customHeight="1" x14ac:dyDescent="0.3">
      <c r="A228" s="28">
        <v>9</v>
      </c>
      <c r="B228" s="22" t="s">
        <v>172</v>
      </c>
      <c r="C228" s="68">
        <f>(2.1*4.85)*10.764</f>
        <v>109.63133999999999</v>
      </c>
      <c r="D228" s="24">
        <v>0</v>
      </c>
      <c r="E228" s="24">
        <f t="shared" si="10"/>
        <v>175.410144</v>
      </c>
      <c r="F228" s="22" t="s">
        <v>173</v>
      </c>
      <c r="G228" s="115"/>
      <c r="I228" s="42"/>
    </row>
    <row r="229" spans="1:9" ht="17.5" customHeight="1" x14ac:dyDescent="0.3">
      <c r="A229" s="92">
        <v>10</v>
      </c>
      <c r="B229" s="85" t="s">
        <v>172</v>
      </c>
      <c r="C229" s="86">
        <f>(2.8*4.85)*10.764</f>
        <v>146.17511999999996</v>
      </c>
      <c r="D229" s="84">
        <v>0</v>
      </c>
      <c r="E229" s="84">
        <f t="shared" si="10"/>
        <v>233.88019199999997</v>
      </c>
      <c r="F229" s="85" t="s">
        <v>173</v>
      </c>
      <c r="G229" s="115"/>
      <c r="I229" s="42"/>
    </row>
    <row r="230" spans="1:9" ht="17.5" customHeight="1" x14ac:dyDescent="0.3">
      <c r="A230" s="123" t="s">
        <v>181</v>
      </c>
      <c r="B230" s="123"/>
      <c r="C230" s="123"/>
      <c r="D230" s="123"/>
      <c r="E230" s="123"/>
      <c r="F230" s="123"/>
      <c r="G230" s="123"/>
      <c r="I230" s="42"/>
    </row>
    <row r="231" spans="1:9" ht="17.5" customHeight="1" x14ac:dyDescent="0.3">
      <c r="A231" s="91">
        <v>1</v>
      </c>
      <c r="B231" s="89" t="s">
        <v>176</v>
      </c>
      <c r="C231" s="68">
        <f>(4.55*2.9+2.45*2.1+3.85*2.75+1.2*2.1+1.2*2.1+0.9*2.1+0.75*(2.9+2.1)+1.1*2.85+3.85*0.35)*10.764</f>
        <v>474.5847599999999</v>
      </c>
      <c r="D231" s="88">
        <v>0</v>
      </c>
      <c r="E231" s="88">
        <f t="shared" ref="E231:E243" si="11">(C231+D231)*1.45</f>
        <v>688.14790199999982</v>
      </c>
      <c r="F231" s="89" t="s">
        <v>173</v>
      </c>
      <c r="G231" s="124" t="s">
        <v>182</v>
      </c>
      <c r="I231" s="42"/>
    </row>
    <row r="232" spans="1:9" ht="17.5" customHeight="1" x14ac:dyDescent="0.3">
      <c r="A232" s="91">
        <v>2</v>
      </c>
      <c r="B232" s="89" t="s">
        <v>175</v>
      </c>
      <c r="C232" s="68">
        <f>(4.55*2.9+2.6*2.1+2.85*2.75+2.5*2.6+1.2*2+1.2*2.05+0.9*2.1+0.75*(2.9+2.1)+1.2*2.75+1.45*2.95+0.35*2.5)*10.764</f>
        <v>559.1359799999999</v>
      </c>
      <c r="D232" s="88">
        <v>0</v>
      </c>
      <c r="E232" s="88">
        <f t="shared" si="11"/>
        <v>810.74717099999987</v>
      </c>
      <c r="F232" s="89" t="s">
        <v>173</v>
      </c>
      <c r="G232" s="124"/>
      <c r="I232" s="42"/>
    </row>
    <row r="233" spans="1:9" ht="17.5" customHeight="1" x14ac:dyDescent="0.3">
      <c r="A233" s="91">
        <v>3</v>
      </c>
      <c r="B233" s="89" t="s">
        <v>176</v>
      </c>
      <c r="C233" s="68">
        <f>(2.9*4.55+2.1*1.5+2.5*2.85+1.2*1.8+1.05*1.2+1.2*1.5+1.1*0.9+0.75*2.9+1*(2.1+2.5))*10.764</f>
        <v>392.40161999999998</v>
      </c>
      <c r="D233" s="88">
        <v>0</v>
      </c>
      <c r="E233" s="88">
        <f t="shared" si="11"/>
        <v>568.982349</v>
      </c>
      <c r="F233" s="89" t="s">
        <v>173</v>
      </c>
      <c r="G233" s="124"/>
      <c r="I233" s="42"/>
    </row>
    <row r="234" spans="1:9" ht="17.5" customHeight="1" x14ac:dyDescent="0.3">
      <c r="A234" s="91">
        <v>4</v>
      </c>
      <c r="B234" s="89" t="s">
        <v>177</v>
      </c>
      <c r="C234" s="68">
        <f>(2.9*4.55+2.4*1.5+1.2*1.8+1.1*1.2+1.2*1.65+0.75*2.9+1*2.4)*10.764</f>
        <v>288.79811999999998</v>
      </c>
      <c r="D234" s="88">
        <v>0</v>
      </c>
      <c r="E234" s="88">
        <f t="shared" si="11"/>
        <v>418.75727399999994</v>
      </c>
      <c r="F234" s="89" t="s">
        <v>173</v>
      </c>
      <c r="G234" s="124"/>
      <c r="I234" s="42"/>
    </row>
    <row r="235" spans="1:9" ht="17.5" customHeight="1" x14ac:dyDescent="0.3">
      <c r="A235" s="91">
        <v>5</v>
      </c>
      <c r="B235" s="89" t="s">
        <v>177</v>
      </c>
      <c r="C235" s="68">
        <f>(2.9*4.55+2.4*1.5+1.2*1.8+1.1*1.2+1.2*1.65+0.75*2.9+1*2.4)*10.764</f>
        <v>288.79811999999998</v>
      </c>
      <c r="D235" s="88">
        <v>0</v>
      </c>
      <c r="E235" s="88">
        <f t="shared" si="11"/>
        <v>418.75727399999994</v>
      </c>
      <c r="F235" s="89" t="s">
        <v>173</v>
      </c>
      <c r="G235" s="124"/>
      <c r="I235" s="42"/>
    </row>
    <row r="236" spans="1:9" ht="17.5" customHeight="1" x14ac:dyDescent="0.3">
      <c r="A236" s="91">
        <v>6</v>
      </c>
      <c r="B236" s="89" t="s">
        <v>176</v>
      </c>
      <c r="C236" s="68">
        <f>(2.9*4.55+2.1*1.5+2.75*2.65+0.35*2.75+1.2*1.8+1.05*1.2+1.2*1.5+1.1*0.9+0.75*2.9+1*(2.1+2.5))*10.764</f>
        <v>404.51111999999995</v>
      </c>
      <c r="D236" s="88">
        <v>0</v>
      </c>
      <c r="E236" s="88">
        <f t="shared" si="11"/>
        <v>586.54112399999985</v>
      </c>
      <c r="F236" s="89" t="s">
        <v>173</v>
      </c>
      <c r="G236" s="124"/>
      <c r="I236" s="42"/>
    </row>
    <row r="237" spans="1:9" ht="17.5" customHeight="1" x14ac:dyDescent="0.3">
      <c r="A237" s="123" t="s">
        <v>272</v>
      </c>
      <c r="B237" s="123"/>
      <c r="C237" s="123"/>
      <c r="D237" s="123"/>
      <c r="E237" s="123"/>
      <c r="F237" s="123"/>
      <c r="G237" s="123"/>
      <c r="I237" s="42"/>
    </row>
    <row r="238" spans="1:9" ht="17.5" customHeight="1" x14ac:dyDescent="0.3">
      <c r="A238" s="91">
        <v>1</v>
      </c>
      <c r="B238" s="89" t="s">
        <v>176</v>
      </c>
      <c r="C238" s="68">
        <f>(4.3*2.9+2.2*2.1+3.85*2.75+1.2*2.1+1.2*2.1+0.9*2.1+1*(2.9+2.1)+1.1*2.75)*10.764</f>
        <v>458.89623</v>
      </c>
      <c r="D238" s="88">
        <v>0</v>
      </c>
      <c r="E238" s="88">
        <f t="shared" si="11"/>
        <v>665.39953349999996</v>
      </c>
      <c r="F238" s="89" t="s">
        <v>173</v>
      </c>
      <c r="G238" s="124" t="s">
        <v>182</v>
      </c>
      <c r="I238" s="42"/>
    </row>
    <row r="239" spans="1:9" ht="17.5" customHeight="1" x14ac:dyDescent="0.3">
      <c r="A239" s="91">
        <v>2</v>
      </c>
      <c r="B239" s="89" t="s">
        <v>175</v>
      </c>
      <c r="C239" s="68">
        <f>(4.3*2.9+2.35*2.1+2.85*2.75+2.65*2.6+1.2*2+1.2*2.05+0.9*2.1+1*(2.9+2.1)+1.2*2.75+1.3*2.6)*10.764</f>
        <v>544.25474999999994</v>
      </c>
      <c r="D239" s="88">
        <v>0</v>
      </c>
      <c r="E239" s="88">
        <f t="shared" si="11"/>
        <v>789.16938749999986</v>
      </c>
      <c r="F239" s="89" t="s">
        <v>173</v>
      </c>
      <c r="G239" s="124"/>
      <c r="I239" s="42"/>
    </row>
    <row r="240" spans="1:9" ht="17.5" customHeight="1" x14ac:dyDescent="0.3">
      <c r="A240" s="91">
        <v>3</v>
      </c>
      <c r="B240" s="89" t="s">
        <v>176</v>
      </c>
      <c r="C240" s="68">
        <f>(2.9*4.55+2.4*3.35+2.5*2.85+1.2*1.8+1.05*1.2+1*2.9+1*2.5)*10.764</f>
        <v>400.20551999999998</v>
      </c>
      <c r="D240" s="88">
        <v>0</v>
      </c>
      <c r="E240" s="88">
        <f t="shared" si="11"/>
        <v>580.29800399999999</v>
      </c>
      <c r="F240" s="89" t="s">
        <v>173</v>
      </c>
      <c r="G240" s="124"/>
      <c r="I240" s="42"/>
    </row>
    <row r="241" spans="1:9" ht="17.5" customHeight="1" x14ac:dyDescent="0.3">
      <c r="A241" s="91">
        <v>4</v>
      </c>
      <c r="B241" s="89" t="s">
        <v>177</v>
      </c>
      <c r="C241" s="68">
        <f>(2.9*4.55+2.4*2.35+1.2*1.8+1.1*1.2+1.2*1.65+1*2.9)*10.764</f>
        <v>292.72697999999997</v>
      </c>
      <c r="D241" s="88">
        <v>0</v>
      </c>
      <c r="E241" s="88">
        <f t="shared" si="11"/>
        <v>424.45412099999993</v>
      </c>
      <c r="F241" s="89" t="s">
        <v>173</v>
      </c>
      <c r="G241" s="124"/>
      <c r="I241" s="42"/>
    </row>
    <row r="242" spans="1:9" ht="17.5" customHeight="1" x14ac:dyDescent="0.3">
      <c r="A242" s="91">
        <v>5</v>
      </c>
      <c r="B242" s="89" t="s">
        <v>177</v>
      </c>
      <c r="C242" s="68">
        <f>(2.9*4.55+2.4*2.35+1.2*1.8+1.1*1.2+1.2*1.65+1*2.9)*10.764</f>
        <v>292.72697999999997</v>
      </c>
      <c r="D242" s="88">
        <v>0</v>
      </c>
      <c r="E242" s="88">
        <f t="shared" si="11"/>
        <v>424.45412099999993</v>
      </c>
      <c r="F242" s="89" t="s">
        <v>173</v>
      </c>
      <c r="G242" s="124"/>
      <c r="I242" s="42"/>
    </row>
    <row r="243" spans="1:9" ht="17.5" customHeight="1" x14ac:dyDescent="0.3">
      <c r="A243" s="91">
        <v>6</v>
      </c>
      <c r="B243" s="89" t="s">
        <v>176</v>
      </c>
      <c r="C243" s="68">
        <f>(2.9*4.3+2.1*2.85+2.9*2.5+1.2*1.8+1.05*1.2+1.2*1.5+1.1*0.9+1*2.9)*10.764</f>
        <v>374.74865999999997</v>
      </c>
      <c r="D243" s="88">
        <v>0</v>
      </c>
      <c r="E243" s="88">
        <f t="shared" si="11"/>
        <v>543.38555699999995</v>
      </c>
      <c r="F243" s="89" t="s">
        <v>173</v>
      </c>
      <c r="G243" s="124"/>
      <c r="I243" s="42"/>
    </row>
    <row r="244" spans="1:9" ht="17.25" customHeight="1" x14ac:dyDescent="0.3">
      <c r="A244" s="150" t="s">
        <v>183</v>
      </c>
      <c r="B244" s="151"/>
      <c r="C244" s="151"/>
      <c r="D244" s="151"/>
      <c r="E244" s="151"/>
      <c r="F244" s="151"/>
      <c r="G244" s="152"/>
    </row>
    <row r="245" spans="1:9" ht="170.5" customHeight="1" x14ac:dyDescent="0.3">
      <c r="A245" s="145" t="s">
        <v>298</v>
      </c>
      <c r="B245" s="143"/>
      <c r="C245" s="143"/>
      <c r="D245" s="143"/>
      <c r="E245" s="143"/>
      <c r="F245" s="143"/>
      <c r="G245" s="144"/>
    </row>
    <row r="246" spans="1:9" ht="17.25" customHeight="1" x14ac:dyDescent="0.3">
      <c r="A246" s="132" t="s">
        <v>184</v>
      </c>
      <c r="B246" s="134"/>
      <c r="C246" s="134"/>
      <c r="D246" s="134"/>
      <c r="E246" s="134"/>
      <c r="F246" s="134"/>
      <c r="G246" s="133"/>
    </row>
    <row r="247" spans="1:9" ht="17.25" customHeight="1" x14ac:dyDescent="0.3">
      <c r="A247" s="132" t="s">
        <v>185</v>
      </c>
      <c r="B247" s="134"/>
      <c r="C247" s="134"/>
      <c r="D247" s="134"/>
      <c r="E247" s="134"/>
      <c r="F247" s="134"/>
      <c r="G247" s="133"/>
    </row>
    <row r="248" spans="1:9" ht="17.25" customHeight="1" x14ac:dyDescent="0.3">
      <c r="A248" s="132" t="s">
        <v>186</v>
      </c>
      <c r="B248" s="134"/>
      <c r="C248" s="134"/>
      <c r="D248" s="134"/>
      <c r="E248" s="134"/>
      <c r="F248" s="134"/>
      <c r="G248" s="133"/>
    </row>
    <row r="249" spans="1:9" ht="17.25" customHeight="1" x14ac:dyDescent="0.3">
      <c r="A249" s="132" t="s">
        <v>187</v>
      </c>
      <c r="B249" s="134"/>
      <c r="C249" s="134"/>
      <c r="D249" s="134"/>
      <c r="E249" s="134"/>
      <c r="F249" s="134"/>
      <c r="G249" s="133"/>
    </row>
    <row r="250" spans="1:9" ht="17.25" customHeight="1" x14ac:dyDescent="0.3">
      <c r="A250" s="132" t="s">
        <v>188</v>
      </c>
      <c r="B250" s="134"/>
      <c r="C250" s="134"/>
      <c r="D250" s="134"/>
      <c r="E250" s="134"/>
      <c r="F250" s="134"/>
      <c r="G250" s="133"/>
    </row>
    <row r="251" spans="1:9" ht="17.25" customHeight="1" x14ac:dyDescent="0.3">
      <c r="A251" s="132" t="s">
        <v>189</v>
      </c>
      <c r="B251" s="134"/>
      <c r="C251" s="134"/>
      <c r="D251" s="134"/>
      <c r="E251" s="134"/>
      <c r="F251" s="134"/>
      <c r="G251" s="133"/>
    </row>
    <row r="252" spans="1:9" ht="15.5" x14ac:dyDescent="0.3">
      <c r="A252" s="132" t="s">
        <v>190</v>
      </c>
      <c r="B252" s="134"/>
      <c r="C252" s="134"/>
      <c r="D252" s="134"/>
      <c r="E252" s="134"/>
      <c r="F252" s="134"/>
      <c r="G252" s="133"/>
    </row>
    <row r="253" spans="1:9" ht="15.75" customHeight="1" x14ac:dyDescent="0.3">
      <c r="A253" s="75" t="s">
        <v>191</v>
      </c>
      <c r="B253" s="188" t="s">
        <v>296</v>
      </c>
      <c r="C253" s="189"/>
      <c r="D253" s="190" t="s">
        <v>192</v>
      </c>
      <c r="E253" s="191"/>
      <c r="F253" s="192" t="s">
        <v>299</v>
      </c>
      <c r="G253" s="193"/>
    </row>
    <row r="254" spans="1:9" ht="52.5" customHeight="1" x14ac:dyDescent="0.3">
      <c r="A254" s="187" t="s">
        <v>193</v>
      </c>
      <c r="B254" s="187"/>
      <c r="C254" s="187"/>
      <c r="D254" s="187"/>
      <c r="E254" s="187"/>
      <c r="F254" s="187"/>
      <c r="G254" s="187"/>
    </row>
    <row r="255" spans="1:9" ht="15.5" x14ac:dyDescent="0.3">
      <c r="A255" s="19" t="s">
        <v>194</v>
      </c>
      <c r="B255" s="65"/>
    </row>
    <row r="310" spans="1:1" ht="15" x14ac:dyDescent="0.3">
      <c r="A310" s="19" t="s">
        <v>3</v>
      </c>
    </row>
  </sheetData>
  <mergeCells count="270">
    <mergeCell ref="A95:B95"/>
    <mergeCell ref="A96:B96"/>
    <mergeCell ref="A97:B97"/>
    <mergeCell ref="A98:B98"/>
    <mergeCell ref="A78:B78"/>
    <mergeCell ref="A79:B79"/>
    <mergeCell ref="A80:B80"/>
    <mergeCell ref="A81:B81"/>
    <mergeCell ref="A82:B82"/>
    <mergeCell ref="A99:B100"/>
    <mergeCell ref="C99:D100"/>
    <mergeCell ref="E99:F100"/>
    <mergeCell ref="G99:G100"/>
    <mergeCell ref="A85:B85"/>
    <mergeCell ref="C85:G85"/>
    <mergeCell ref="E86:F86"/>
    <mergeCell ref="A87:B87"/>
    <mergeCell ref="C87:G87"/>
    <mergeCell ref="A88:B88"/>
    <mergeCell ref="E88:F88"/>
    <mergeCell ref="A89:B89"/>
    <mergeCell ref="E89:F98"/>
    <mergeCell ref="G89:G98"/>
    <mergeCell ref="A90:B90"/>
    <mergeCell ref="A91:B91"/>
    <mergeCell ref="A92:B92"/>
    <mergeCell ref="A93:B93"/>
    <mergeCell ref="A94:B94"/>
    <mergeCell ref="A83:B84"/>
    <mergeCell ref="C83:D84"/>
    <mergeCell ref="E83:F84"/>
    <mergeCell ref="G83:G84"/>
    <mergeCell ref="A63:B63"/>
    <mergeCell ref="A64:B64"/>
    <mergeCell ref="A65:B65"/>
    <mergeCell ref="A66:B66"/>
    <mergeCell ref="A67:B67"/>
    <mergeCell ref="A69:B69"/>
    <mergeCell ref="C69:G69"/>
    <mergeCell ref="E70:F70"/>
    <mergeCell ref="A71:B71"/>
    <mergeCell ref="C71:G71"/>
    <mergeCell ref="A68:B68"/>
    <mergeCell ref="A72:B72"/>
    <mergeCell ref="E72:F72"/>
    <mergeCell ref="A73:B73"/>
    <mergeCell ref="E73:F82"/>
    <mergeCell ref="G73:G82"/>
    <mergeCell ref="A74:B74"/>
    <mergeCell ref="A75:B75"/>
    <mergeCell ref="A76:B76"/>
    <mergeCell ref="A77:B77"/>
    <mergeCell ref="G143:G160"/>
    <mergeCell ref="A254:G254"/>
    <mergeCell ref="A247:G247"/>
    <mergeCell ref="A248:G248"/>
    <mergeCell ref="A249:G249"/>
    <mergeCell ref="A250:G250"/>
    <mergeCell ref="A251:G251"/>
    <mergeCell ref="A252:G252"/>
    <mergeCell ref="B253:C253"/>
    <mergeCell ref="D253:E253"/>
    <mergeCell ref="F253:G253"/>
    <mergeCell ref="G198:G203"/>
    <mergeCell ref="G220:G229"/>
    <mergeCell ref="A230:G230"/>
    <mergeCell ref="G231:G236"/>
    <mergeCell ref="A244:G244"/>
    <mergeCell ref="A245:G245"/>
    <mergeCell ref="A246:G246"/>
    <mergeCell ref="A218:G218"/>
    <mergeCell ref="A219:G219"/>
    <mergeCell ref="A237:G237"/>
    <mergeCell ref="G238:G243"/>
    <mergeCell ref="A211:G211"/>
    <mergeCell ref="B212:F212"/>
    <mergeCell ref="C120:D120"/>
    <mergeCell ref="E120:G120"/>
    <mergeCell ref="C118:D118"/>
    <mergeCell ref="E118:G118"/>
    <mergeCell ref="A131:G131"/>
    <mergeCell ref="A132:G132"/>
    <mergeCell ref="A142:G142"/>
    <mergeCell ref="G133:G137"/>
    <mergeCell ref="A138:G138"/>
    <mergeCell ref="G139:G141"/>
    <mergeCell ref="A22:C22"/>
    <mergeCell ref="D22:G22"/>
    <mergeCell ref="A23:C23"/>
    <mergeCell ref="D23:G23"/>
    <mergeCell ref="A107:D107"/>
    <mergeCell ref="E107:G107"/>
    <mergeCell ref="A108:D108"/>
    <mergeCell ref="E108:G108"/>
    <mergeCell ref="A109:D109"/>
    <mergeCell ref="E109:G109"/>
    <mergeCell ref="B52:G52"/>
    <mergeCell ref="A55:B55"/>
    <mergeCell ref="C55:G55"/>
    <mergeCell ref="E56:F56"/>
    <mergeCell ref="A57:B57"/>
    <mergeCell ref="C57:G57"/>
    <mergeCell ref="A58:B58"/>
    <mergeCell ref="E58:F58"/>
    <mergeCell ref="A59:B59"/>
    <mergeCell ref="E59:F68"/>
    <mergeCell ref="G59:G68"/>
    <mergeCell ref="A60:B60"/>
    <mergeCell ref="A61:B61"/>
    <mergeCell ref="A62:B62"/>
    <mergeCell ref="A21:C21"/>
    <mergeCell ref="D21:G21"/>
    <mergeCell ref="B15:C15"/>
    <mergeCell ref="A13:C13"/>
    <mergeCell ref="D13:G13"/>
    <mergeCell ref="B14:G14"/>
    <mergeCell ref="D15:E15"/>
    <mergeCell ref="F15:G15"/>
    <mergeCell ref="A11:C11"/>
    <mergeCell ref="D11:G11"/>
    <mergeCell ref="D17:E17"/>
    <mergeCell ref="F17:G17"/>
    <mergeCell ref="A20:C20"/>
    <mergeCell ref="D20:G20"/>
    <mergeCell ref="B16:C16"/>
    <mergeCell ref="D16:E16"/>
    <mergeCell ref="F16:G16"/>
    <mergeCell ref="B17:C17"/>
    <mergeCell ref="B18:C18"/>
    <mergeCell ref="D18:E18"/>
    <mergeCell ref="F18:G18"/>
    <mergeCell ref="B19:C19"/>
    <mergeCell ref="D19:E19"/>
    <mergeCell ref="F19:G19"/>
    <mergeCell ref="A5:C5"/>
    <mergeCell ref="D5:G5"/>
    <mergeCell ref="A6:C6"/>
    <mergeCell ref="D6:G6"/>
    <mergeCell ref="A7:C7"/>
    <mergeCell ref="D7:G7"/>
    <mergeCell ref="A12:C12"/>
    <mergeCell ref="D12:G12"/>
    <mergeCell ref="A1:G1"/>
    <mergeCell ref="A2:G2"/>
    <mergeCell ref="A3:C3"/>
    <mergeCell ref="D3:G3"/>
    <mergeCell ref="A4:C4"/>
    <mergeCell ref="D4:G4"/>
    <mergeCell ref="A8:C8"/>
    <mergeCell ref="D8:G8"/>
    <mergeCell ref="A9:C9"/>
    <mergeCell ref="D9:G9"/>
    <mergeCell ref="A10:C10"/>
    <mergeCell ref="D10:G10"/>
    <mergeCell ref="E26:F26"/>
    <mergeCell ref="D24:G24"/>
    <mergeCell ref="A25:C25"/>
    <mergeCell ref="D25:G25"/>
    <mergeCell ref="C26:D26"/>
    <mergeCell ref="C27:D27"/>
    <mergeCell ref="E27:F27"/>
    <mergeCell ref="C28:D28"/>
    <mergeCell ref="E28:F28"/>
    <mergeCell ref="A24:C24"/>
    <mergeCell ref="A29:G29"/>
    <mergeCell ref="A33:G33"/>
    <mergeCell ref="A37:C37"/>
    <mergeCell ref="D37:G37"/>
    <mergeCell ref="A38:C38"/>
    <mergeCell ref="D38:G38"/>
    <mergeCell ref="A34:C34"/>
    <mergeCell ref="D34:G34"/>
    <mergeCell ref="A36:G36"/>
    <mergeCell ref="A30:G30"/>
    <mergeCell ref="A35:C35"/>
    <mergeCell ref="D35:G35"/>
    <mergeCell ref="A31:B31"/>
    <mergeCell ref="C31:G31"/>
    <mergeCell ref="A32:B32"/>
    <mergeCell ref="C32:G32"/>
    <mergeCell ref="A39:C39"/>
    <mergeCell ref="D39:G39"/>
    <mergeCell ref="A40:C40"/>
    <mergeCell ref="D40:G40"/>
    <mergeCell ref="A41:C41"/>
    <mergeCell ref="D41:G41"/>
    <mergeCell ref="A42:C42"/>
    <mergeCell ref="D42:G42"/>
    <mergeCell ref="F44:G44"/>
    <mergeCell ref="A43:G43"/>
    <mergeCell ref="B44:D44"/>
    <mergeCell ref="B45:D45"/>
    <mergeCell ref="F45:G45"/>
    <mergeCell ref="B46:D46"/>
    <mergeCell ref="B47:D47"/>
    <mergeCell ref="F47:G47"/>
    <mergeCell ref="A48:B48"/>
    <mergeCell ref="D48:E48"/>
    <mergeCell ref="F48:G48"/>
    <mergeCell ref="A49:G49"/>
    <mergeCell ref="F46:G46"/>
    <mergeCell ref="A50:B50"/>
    <mergeCell ref="D50:E50"/>
    <mergeCell ref="F50:G50"/>
    <mergeCell ref="A53:B53"/>
    <mergeCell ref="C53:G53"/>
    <mergeCell ref="A54:G54"/>
    <mergeCell ref="C117:D117"/>
    <mergeCell ref="E117:G117"/>
    <mergeCell ref="A101:G101"/>
    <mergeCell ref="A102:G102"/>
    <mergeCell ref="B103:G103"/>
    <mergeCell ref="A104:G104"/>
    <mergeCell ref="A105:D105"/>
    <mergeCell ref="E105:G105"/>
    <mergeCell ref="A106:D106"/>
    <mergeCell ref="E106:G106"/>
    <mergeCell ref="B51:G51"/>
    <mergeCell ref="A110:D110"/>
    <mergeCell ref="E110:G110"/>
    <mergeCell ref="A111:D111"/>
    <mergeCell ref="E111:G111"/>
    <mergeCell ref="A112:D112"/>
    <mergeCell ref="E112:G112"/>
    <mergeCell ref="A113:D113"/>
    <mergeCell ref="G212:G217"/>
    <mergeCell ref="B215:F215"/>
    <mergeCell ref="A161:G161"/>
    <mergeCell ref="G162:G167"/>
    <mergeCell ref="B163:F163"/>
    <mergeCell ref="A168:G168"/>
    <mergeCell ref="G169:G174"/>
    <mergeCell ref="A175:G175"/>
    <mergeCell ref="G176:G181"/>
    <mergeCell ref="B179:F179"/>
    <mergeCell ref="A182:G182"/>
    <mergeCell ref="A197:G197"/>
    <mergeCell ref="A190:G190"/>
    <mergeCell ref="G191:G196"/>
    <mergeCell ref="G183:G188"/>
    <mergeCell ref="B183:F184"/>
    <mergeCell ref="A189:G189"/>
    <mergeCell ref="A204:G204"/>
    <mergeCell ref="G205:G210"/>
    <mergeCell ref="B205:F205"/>
    <mergeCell ref="B208:F208"/>
    <mergeCell ref="J105:K105"/>
    <mergeCell ref="C126:D126"/>
    <mergeCell ref="E126:G126"/>
    <mergeCell ref="C127:D127"/>
    <mergeCell ref="E127:G127"/>
    <mergeCell ref="A128:G128"/>
    <mergeCell ref="A129:G129"/>
    <mergeCell ref="C121:D121"/>
    <mergeCell ref="E121:G121"/>
    <mergeCell ref="A122:G122"/>
    <mergeCell ref="C123:D123"/>
    <mergeCell ref="E123:G123"/>
    <mergeCell ref="C124:D124"/>
    <mergeCell ref="E124:G124"/>
    <mergeCell ref="C125:D125"/>
    <mergeCell ref="E125:G125"/>
    <mergeCell ref="E113:G113"/>
    <mergeCell ref="A114:G114"/>
    <mergeCell ref="C115:D115"/>
    <mergeCell ref="E115:G115"/>
    <mergeCell ref="C116:D116"/>
    <mergeCell ref="E116:G116"/>
    <mergeCell ref="E119:G119"/>
    <mergeCell ref="C119:D119"/>
  </mergeCells>
  <hyperlinks>
    <hyperlink ref="C32" r:id="rId1"/>
  </hyperlinks>
  <printOptions horizontalCentered="1"/>
  <pageMargins left="0.19685039370078741" right="0.19685039370078741" top="0.74803149606299213" bottom="0.55118110236220474" header="0.19685039370078741" footer="0.19685039370078741"/>
  <pageSetup paperSize="9" scale="93" fitToHeight="0" orientation="portrait" r:id="rId2"/>
  <headerFooter>
    <oddHeader>&amp;C&amp;G</oddHeader>
    <oddFooter>&amp;L&amp;"Times New Roman,Bold"&amp;12Ref No: &amp;F&amp;C&amp;G&amp;R&amp;"Times New Roman,Bold"&amp;11&amp;P</oddFooter>
  </headerFooter>
  <rowBreaks count="3" manualBreakCount="3">
    <brk id="68" max="16383" man="1"/>
    <brk id="254" max="16383" man="1"/>
    <brk id="30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2"/>
  <sheetViews>
    <sheetView topLeftCell="A25" workbookViewId="0">
      <selection activeCell="C41" sqref="C41"/>
    </sheetView>
  </sheetViews>
  <sheetFormatPr defaultRowHeight="13" x14ac:dyDescent="0.3"/>
  <cols>
    <col min="1" max="1" width="12.5" customWidth="1"/>
    <col min="2" max="2" width="11.296875" customWidth="1"/>
    <col min="3" max="3" width="37.19921875" customWidth="1"/>
  </cols>
  <sheetData>
    <row r="2" spans="1:2" ht="14.5" x14ac:dyDescent="0.35">
      <c r="A2" s="29">
        <v>44174</v>
      </c>
      <c r="B2" s="30" t="s">
        <v>195</v>
      </c>
    </row>
    <row r="29" spans="1:3" x14ac:dyDescent="0.3">
      <c r="A29" s="42" t="s">
        <v>214</v>
      </c>
      <c r="B29" s="42" t="s">
        <v>215</v>
      </c>
      <c r="C29" s="42" t="s">
        <v>216</v>
      </c>
    </row>
    <row r="30" spans="1:3" x14ac:dyDescent="0.3">
      <c r="C30" s="42" t="s">
        <v>217</v>
      </c>
    </row>
    <row r="31" spans="1:3" x14ac:dyDescent="0.3">
      <c r="C31" s="42" t="s">
        <v>218</v>
      </c>
    </row>
    <row r="32" spans="1:3" x14ac:dyDescent="0.3">
      <c r="C32" s="42" t="s">
        <v>219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
  <sheetViews>
    <sheetView topLeftCell="A4" workbookViewId="0">
      <selection activeCell="D26" sqref="D26"/>
    </sheetView>
  </sheetViews>
  <sheetFormatPr defaultRowHeight="14" x14ac:dyDescent="0.3"/>
  <cols>
    <col min="1" max="1" width="31" style="4" customWidth="1"/>
    <col min="2" max="2" width="13.69921875" style="4" customWidth="1"/>
    <col min="3" max="4" width="9.296875" style="4"/>
    <col min="5" max="5" width="11.796875" style="4" customWidth="1"/>
    <col min="6" max="6" width="12.5" style="4" customWidth="1"/>
    <col min="7" max="7" width="9.296875" style="4"/>
    <col min="8" max="8" width="12.19921875" style="4" customWidth="1"/>
    <col min="9" max="9" width="18" style="4" customWidth="1"/>
    <col min="10" max="258" width="9.296875" style="4"/>
    <col min="259" max="259" width="13.69921875" style="4" customWidth="1"/>
    <col min="260" max="260" width="9.296875" style="4"/>
    <col min="261" max="261" width="17.19921875" style="4" customWidth="1"/>
    <col min="262" max="262" width="12.5" style="4" customWidth="1"/>
    <col min="263" max="514" width="9.296875" style="4"/>
    <col min="515" max="515" width="13.69921875" style="4" customWidth="1"/>
    <col min="516" max="516" width="9.296875" style="4"/>
    <col min="517" max="517" width="17.19921875" style="4" customWidth="1"/>
    <col min="518" max="518" width="12.5" style="4" customWidth="1"/>
    <col min="519" max="770" width="9.296875" style="4"/>
    <col min="771" max="771" width="13.69921875" style="4" customWidth="1"/>
    <col min="772" max="772" width="9.296875" style="4"/>
    <col min="773" max="773" width="17.19921875" style="4" customWidth="1"/>
    <col min="774" max="774" width="12.5" style="4" customWidth="1"/>
    <col min="775" max="1026" width="9.296875" style="4"/>
    <col min="1027" max="1027" width="13.69921875" style="4" customWidth="1"/>
    <col min="1028" max="1028" width="9.296875" style="4"/>
    <col min="1029" max="1029" width="17.19921875" style="4" customWidth="1"/>
    <col min="1030" max="1030" width="12.5" style="4" customWidth="1"/>
    <col min="1031" max="1282" width="9.296875" style="4"/>
    <col min="1283" max="1283" width="13.69921875" style="4" customWidth="1"/>
    <col min="1284" max="1284" width="9.296875" style="4"/>
    <col min="1285" max="1285" width="17.19921875" style="4" customWidth="1"/>
    <col min="1286" max="1286" width="12.5" style="4" customWidth="1"/>
    <col min="1287" max="1538" width="9.296875" style="4"/>
    <col min="1539" max="1539" width="13.69921875" style="4" customWidth="1"/>
    <col min="1540" max="1540" width="9.296875" style="4"/>
    <col min="1541" max="1541" width="17.19921875" style="4" customWidth="1"/>
    <col min="1542" max="1542" width="12.5" style="4" customWidth="1"/>
    <col min="1543" max="1794" width="9.296875" style="4"/>
    <col min="1795" max="1795" width="13.69921875" style="4" customWidth="1"/>
    <col min="1796" max="1796" width="9.296875" style="4"/>
    <col min="1797" max="1797" width="17.19921875" style="4" customWidth="1"/>
    <col min="1798" max="1798" width="12.5" style="4" customWidth="1"/>
    <col min="1799" max="2050" width="9.296875" style="4"/>
    <col min="2051" max="2051" width="13.69921875" style="4" customWidth="1"/>
    <col min="2052" max="2052" width="9.296875" style="4"/>
    <col min="2053" max="2053" width="17.19921875" style="4" customWidth="1"/>
    <col min="2054" max="2054" width="12.5" style="4" customWidth="1"/>
    <col min="2055" max="2306" width="9.296875" style="4"/>
    <col min="2307" max="2307" width="13.69921875" style="4" customWidth="1"/>
    <col min="2308" max="2308" width="9.296875" style="4"/>
    <col min="2309" max="2309" width="17.19921875" style="4" customWidth="1"/>
    <col min="2310" max="2310" width="12.5" style="4" customWidth="1"/>
    <col min="2311" max="2562" width="9.296875" style="4"/>
    <col min="2563" max="2563" width="13.69921875" style="4" customWidth="1"/>
    <col min="2564" max="2564" width="9.296875" style="4"/>
    <col min="2565" max="2565" width="17.19921875" style="4" customWidth="1"/>
    <col min="2566" max="2566" width="12.5" style="4" customWidth="1"/>
    <col min="2567" max="2818" width="9.296875" style="4"/>
    <col min="2819" max="2819" width="13.69921875" style="4" customWidth="1"/>
    <col min="2820" max="2820" width="9.296875" style="4"/>
    <col min="2821" max="2821" width="17.19921875" style="4" customWidth="1"/>
    <col min="2822" max="2822" width="12.5" style="4" customWidth="1"/>
    <col min="2823" max="3074" width="9.296875" style="4"/>
    <col min="3075" max="3075" width="13.69921875" style="4" customWidth="1"/>
    <col min="3076" max="3076" width="9.296875" style="4"/>
    <col min="3077" max="3077" width="17.19921875" style="4" customWidth="1"/>
    <col min="3078" max="3078" width="12.5" style="4" customWidth="1"/>
    <col min="3079" max="3330" width="9.296875" style="4"/>
    <col min="3331" max="3331" width="13.69921875" style="4" customWidth="1"/>
    <col min="3332" max="3332" width="9.296875" style="4"/>
    <col min="3333" max="3333" width="17.19921875" style="4" customWidth="1"/>
    <col min="3334" max="3334" width="12.5" style="4" customWidth="1"/>
    <col min="3335" max="3586" width="9.296875" style="4"/>
    <col min="3587" max="3587" width="13.69921875" style="4" customWidth="1"/>
    <col min="3588" max="3588" width="9.296875" style="4"/>
    <col min="3589" max="3589" width="17.19921875" style="4" customWidth="1"/>
    <col min="3590" max="3590" width="12.5" style="4" customWidth="1"/>
    <col min="3591" max="3842" width="9.296875" style="4"/>
    <col min="3843" max="3843" width="13.69921875" style="4" customWidth="1"/>
    <col min="3844" max="3844" width="9.296875" style="4"/>
    <col min="3845" max="3845" width="17.19921875" style="4" customWidth="1"/>
    <col min="3846" max="3846" width="12.5" style="4" customWidth="1"/>
    <col min="3847" max="4098" width="9.296875" style="4"/>
    <col min="4099" max="4099" width="13.69921875" style="4" customWidth="1"/>
    <col min="4100" max="4100" width="9.296875" style="4"/>
    <col min="4101" max="4101" width="17.19921875" style="4" customWidth="1"/>
    <col min="4102" max="4102" width="12.5" style="4" customWidth="1"/>
    <col min="4103" max="4354" width="9.296875" style="4"/>
    <col min="4355" max="4355" width="13.69921875" style="4" customWidth="1"/>
    <col min="4356" max="4356" width="9.296875" style="4"/>
    <col min="4357" max="4357" width="17.19921875" style="4" customWidth="1"/>
    <col min="4358" max="4358" width="12.5" style="4" customWidth="1"/>
    <col min="4359" max="4610" width="9.296875" style="4"/>
    <col min="4611" max="4611" width="13.69921875" style="4" customWidth="1"/>
    <col min="4612" max="4612" width="9.296875" style="4"/>
    <col min="4613" max="4613" width="17.19921875" style="4" customWidth="1"/>
    <col min="4614" max="4614" width="12.5" style="4" customWidth="1"/>
    <col min="4615" max="4866" width="9.296875" style="4"/>
    <col min="4867" max="4867" width="13.69921875" style="4" customWidth="1"/>
    <col min="4868" max="4868" width="9.296875" style="4"/>
    <col min="4869" max="4869" width="17.19921875" style="4" customWidth="1"/>
    <col min="4870" max="4870" width="12.5" style="4" customWidth="1"/>
    <col min="4871" max="5122" width="9.296875" style="4"/>
    <col min="5123" max="5123" width="13.69921875" style="4" customWidth="1"/>
    <col min="5124" max="5124" width="9.296875" style="4"/>
    <col min="5125" max="5125" width="17.19921875" style="4" customWidth="1"/>
    <col min="5126" max="5126" width="12.5" style="4" customWidth="1"/>
    <col min="5127" max="5378" width="9.296875" style="4"/>
    <col min="5379" max="5379" width="13.69921875" style="4" customWidth="1"/>
    <col min="5380" max="5380" width="9.296875" style="4"/>
    <col min="5381" max="5381" width="17.19921875" style="4" customWidth="1"/>
    <col min="5382" max="5382" width="12.5" style="4" customWidth="1"/>
    <col min="5383" max="5634" width="9.296875" style="4"/>
    <col min="5635" max="5635" width="13.69921875" style="4" customWidth="1"/>
    <col min="5636" max="5636" width="9.296875" style="4"/>
    <col min="5637" max="5637" width="17.19921875" style="4" customWidth="1"/>
    <col min="5638" max="5638" width="12.5" style="4" customWidth="1"/>
    <col min="5639" max="5890" width="9.296875" style="4"/>
    <col min="5891" max="5891" width="13.69921875" style="4" customWidth="1"/>
    <col min="5892" max="5892" width="9.296875" style="4"/>
    <col min="5893" max="5893" width="17.19921875" style="4" customWidth="1"/>
    <col min="5894" max="5894" width="12.5" style="4" customWidth="1"/>
    <col min="5895" max="6146" width="9.296875" style="4"/>
    <col min="6147" max="6147" width="13.69921875" style="4" customWidth="1"/>
    <col min="6148" max="6148" width="9.296875" style="4"/>
    <col min="6149" max="6149" width="17.19921875" style="4" customWidth="1"/>
    <col min="6150" max="6150" width="12.5" style="4" customWidth="1"/>
    <col min="6151" max="6402" width="9.296875" style="4"/>
    <col min="6403" max="6403" width="13.69921875" style="4" customWidth="1"/>
    <col min="6404" max="6404" width="9.296875" style="4"/>
    <col min="6405" max="6405" width="17.19921875" style="4" customWidth="1"/>
    <col min="6406" max="6406" width="12.5" style="4" customWidth="1"/>
    <col min="6407" max="6658" width="9.296875" style="4"/>
    <col min="6659" max="6659" width="13.69921875" style="4" customWidth="1"/>
    <col min="6660" max="6660" width="9.296875" style="4"/>
    <col min="6661" max="6661" width="17.19921875" style="4" customWidth="1"/>
    <col min="6662" max="6662" width="12.5" style="4" customWidth="1"/>
    <col min="6663" max="6914" width="9.296875" style="4"/>
    <col min="6915" max="6915" width="13.69921875" style="4" customWidth="1"/>
    <col min="6916" max="6916" width="9.296875" style="4"/>
    <col min="6917" max="6917" width="17.19921875" style="4" customWidth="1"/>
    <col min="6918" max="6918" width="12.5" style="4" customWidth="1"/>
    <col min="6919" max="7170" width="9.296875" style="4"/>
    <col min="7171" max="7171" width="13.69921875" style="4" customWidth="1"/>
    <col min="7172" max="7172" width="9.296875" style="4"/>
    <col min="7173" max="7173" width="17.19921875" style="4" customWidth="1"/>
    <col min="7174" max="7174" width="12.5" style="4" customWidth="1"/>
    <col min="7175" max="7426" width="9.296875" style="4"/>
    <col min="7427" max="7427" width="13.69921875" style="4" customWidth="1"/>
    <col min="7428" max="7428" width="9.296875" style="4"/>
    <col min="7429" max="7429" width="17.19921875" style="4" customWidth="1"/>
    <col min="7430" max="7430" width="12.5" style="4" customWidth="1"/>
    <col min="7431" max="7682" width="9.296875" style="4"/>
    <col min="7683" max="7683" width="13.69921875" style="4" customWidth="1"/>
    <col min="7684" max="7684" width="9.296875" style="4"/>
    <col min="7685" max="7685" width="17.19921875" style="4" customWidth="1"/>
    <col min="7686" max="7686" width="12.5" style="4" customWidth="1"/>
    <col min="7687" max="7938" width="9.296875" style="4"/>
    <col min="7939" max="7939" width="13.69921875" style="4" customWidth="1"/>
    <col min="7940" max="7940" width="9.296875" style="4"/>
    <col min="7941" max="7941" width="17.19921875" style="4" customWidth="1"/>
    <col min="7942" max="7942" width="12.5" style="4" customWidth="1"/>
    <col min="7943" max="8194" width="9.296875" style="4"/>
    <col min="8195" max="8195" width="13.69921875" style="4" customWidth="1"/>
    <col min="8196" max="8196" width="9.296875" style="4"/>
    <col min="8197" max="8197" width="17.19921875" style="4" customWidth="1"/>
    <col min="8198" max="8198" width="12.5" style="4" customWidth="1"/>
    <col min="8199" max="8450" width="9.296875" style="4"/>
    <col min="8451" max="8451" width="13.69921875" style="4" customWidth="1"/>
    <col min="8452" max="8452" width="9.296875" style="4"/>
    <col min="8453" max="8453" width="17.19921875" style="4" customWidth="1"/>
    <col min="8454" max="8454" width="12.5" style="4" customWidth="1"/>
    <col min="8455" max="8706" width="9.296875" style="4"/>
    <col min="8707" max="8707" width="13.69921875" style="4" customWidth="1"/>
    <col min="8708" max="8708" width="9.296875" style="4"/>
    <col min="8709" max="8709" width="17.19921875" style="4" customWidth="1"/>
    <col min="8710" max="8710" width="12.5" style="4" customWidth="1"/>
    <col min="8711" max="8962" width="9.296875" style="4"/>
    <col min="8963" max="8963" width="13.69921875" style="4" customWidth="1"/>
    <col min="8964" max="8964" width="9.296875" style="4"/>
    <col min="8965" max="8965" width="17.19921875" style="4" customWidth="1"/>
    <col min="8966" max="8966" width="12.5" style="4" customWidth="1"/>
    <col min="8967" max="9218" width="9.296875" style="4"/>
    <col min="9219" max="9219" width="13.69921875" style="4" customWidth="1"/>
    <col min="9220" max="9220" width="9.296875" style="4"/>
    <col min="9221" max="9221" width="17.19921875" style="4" customWidth="1"/>
    <col min="9222" max="9222" width="12.5" style="4" customWidth="1"/>
    <col min="9223" max="9474" width="9.296875" style="4"/>
    <col min="9475" max="9475" width="13.69921875" style="4" customWidth="1"/>
    <col min="9476" max="9476" width="9.296875" style="4"/>
    <col min="9477" max="9477" width="17.19921875" style="4" customWidth="1"/>
    <col min="9478" max="9478" width="12.5" style="4" customWidth="1"/>
    <col min="9479" max="9730" width="9.296875" style="4"/>
    <col min="9731" max="9731" width="13.69921875" style="4" customWidth="1"/>
    <col min="9732" max="9732" width="9.296875" style="4"/>
    <col min="9733" max="9733" width="17.19921875" style="4" customWidth="1"/>
    <col min="9734" max="9734" width="12.5" style="4" customWidth="1"/>
    <col min="9735" max="9986" width="9.296875" style="4"/>
    <col min="9987" max="9987" width="13.69921875" style="4" customWidth="1"/>
    <col min="9988" max="9988" width="9.296875" style="4"/>
    <col min="9989" max="9989" width="17.19921875" style="4" customWidth="1"/>
    <col min="9990" max="9990" width="12.5" style="4" customWidth="1"/>
    <col min="9991" max="10242" width="9.296875" style="4"/>
    <col min="10243" max="10243" width="13.69921875" style="4" customWidth="1"/>
    <col min="10244" max="10244" width="9.296875" style="4"/>
    <col min="10245" max="10245" width="17.19921875" style="4" customWidth="1"/>
    <col min="10246" max="10246" width="12.5" style="4" customWidth="1"/>
    <col min="10247" max="10498" width="9.296875" style="4"/>
    <col min="10499" max="10499" width="13.69921875" style="4" customWidth="1"/>
    <col min="10500" max="10500" width="9.296875" style="4"/>
    <col min="10501" max="10501" width="17.19921875" style="4" customWidth="1"/>
    <col min="10502" max="10502" width="12.5" style="4" customWidth="1"/>
    <col min="10503" max="10754" width="9.296875" style="4"/>
    <col min="10755" max="10755" width="13.69921875" style="4" customWidth="1"/>
    <col min="10756" max="10756" width="9.296875" style="4"/>
    <col min="10757" max="10757" width="17.19921875" style="4" customWidth="1"/>
    <col min="10758" max="10758" width="12.5" style="4" customWidth="1"/>
    <col min="10759" max="11010" width="9.296875" style="4"/>
    <col min="11011" max="11011" width="13.69921875" style="4" customWidth="1"/>
    <col min="11012" max="11012" width="9.296875" style="4"/>
    <col min="11013" max="11013" width="17.19921875" style="4" customWidth="1"/>
    <col min="11014" max="11014" width="12.5" style="4" customWidth="1"/>
    <col min="11015" max="11266" width="9.296875" style="4"/>
    <col min="11267" max="11267" width="13.69921875" style="4" customWidth="1"/>
    <col min="11268" max="11268" width="9.296875" style="4"/>
    <col min="11269" max="11269" width="17.19921875" style="4" customWidth="1"/>
    <col min="11270" max="11270" width="12.5" style="4" customWidth="1"/>
    <col min="11271" max="11522" width="9.296875" style="4"/>
    <col min="11523" max="11523" width="13.69921875" style="4" customWidth="1"/>
    <col min="11524" max="11524" width="9.296875" style="4"/>
    <col min="11525" max="11525" width="17.19921875" style="4" customWidth="1"/>
    <col min="11526" max="11526" width="12.5" style="4" customWidth="1"/>
    <col min="11527" max="11778" width="9.296875" style="4"/>
    <col min="11779" max="11779" width="13.69921875" style="4" customWidth="1"/>
    <col min="11780" max="11780" width="9.296875" style="4"/>
    <col min="11781" max="11781" width="17.19921875" style="4" customWidth="1"/>
    <col min="11782" max="11782" width="12.5" style="4" customWidth="1"/>
    <col min="11783" max="12034" width="9.296875" style="4"/>
    <col min="12035" max="12035" width="13.69921875" style="4" customWidth="1"/>
    <col min="12036" max="12036" width="9.296875" style="4"/>
    <col min="12037" max="12037" width="17.19921875" style="4" customWidth="1"/>
    <col min="12038" max="12038" width="12.5" style="4" customWidth="1"/>
    <col min="12039" max="12290" width="9.296875" style="4"/>
    <col min="12291" max="12291" width="13.69921875" style="4" customWidth="1"/>
    <col min="12292" max="12292" width="9.296875" style="4"/>
    <col min="12293" max="12293" width="17.19921875" style="4" customWidth="1"/>
    <col min="12294" max="12294" width="12.5" style="4" customWidth="1"/>
    <col min="12295" max="12546" width="9.296875" style="4"/>
    <col min="12547" max="12547" width="13.69921875" style="4" customWidth="1"/>
    <col min="12548" max="12548" width="9.296875" style="4"/>
    <col min="12549" max="12549" width="17.19921875" style="4" customWidth="1"/>
    <col min="12550" max="12550" width="12.5" style="4" customWidth="1"/>
    <col min="12551" max="12802" width="9.296875" style="4"/>
    <col min="12803" max="12803" width="13.69921875" style="4" customWidth="1"/>
    <col min="12804" max="12804" width="9.296875" style="4"/>
    <col min="12805" max="12805" width="17.19921875" style="4" customWidth="1"/>
    <col min="12806" max="12806" width="12.5" style="4" customWidth="1"/>
    <col min="12807" max="13058" width="9.296875" style="4"/>
    <col min="13059" max="13059" width="13.69921875" style="4" customWidth="1"/>
    <col min="13060" max="13060" width="9.296875" style="4"/>
    <col min="13061" max="13061" width="17.19921875" style="4" customWidth="1"/>
    <col min="13062" max="13062" width="12.5" style="4" customWidth="1"/>
    <col min="13063" max="13314" width="9.296875" style="4"/>
    <col min="13315" max="13315" width="13.69921875" style="4" customWidth="1"/>
    <col min="13316" max="13316" width="9.296875" style="4"/>
    <col min="13317" max="13317" width="17.19921875" style="4" customWidth="1"/>
    <col min="13318" max="13318" width="12.5" style="4" customWidth="1"/>
    <col min="13319" max="13570" width="9.296875" style="4"/>
    <col min="13571" max="13571" width="13.69921875" style="4" customWidth="1"/>
    <col min="13572" max="13572" width="9.296875" style="4"/>
    <col min="13573" max="13573" width="17.19921875" style="4" customWidth="1"/>
    <col min="13574" max="13574" width="12.5" style="4" customWidth="1"/>
    <col min="13575" max="13826" width="9.296875" style="4"/>
    <col min="13827" max="13827" width="13.69921875" style="4" customWidth="1"/>
    <col min="13828" max="13828" width="9.296875" style="4"/>
    <col min="13829" max="13829" width="17.19921875" style="4" customWidth="1"/>
    <col min="13830" max="13830" width="12.5" style="4" customWidth="1"/>
    <col min="13831" max="14082" width="9.296875" style="4"/>
    <col min="14083" max="14083" width="13.69921875" style="4" customWidth="1"/>
    <col min="14084" max="14084" width="9.296875" style="4"/>
    <col min="14085" max="14085" width="17.19921875" style="4" customWidth="1"/>
    <col min="14086" max="14086" width="12.5" style="4" customWidth="1"/>
    <col min="14087" max="14338" width="9.296875" style="4"/>
    <col min="14339" max="14339" width="13.69921875" style="4" customWidth="1"/>
    <col min="14340" max="14340" width="9.296875" style="4"/>
    <col min="14341" max="14341" width="17.19921875" style="4" customWidth="1"/>
    <col min="14342" max="14342" width="12.5" style="4" customWidth="1"/>
    <col min="14343" max="14594" width="9.296875" style="4"/>
    <col min="14595" max="14595" width="13.69921875" style="4" customWidth="1"/>
    <col min="14596" max="14596" width="9.296875" style="4"/>
    <col min="14597" max="14597" width="17.19921875" style="4" customWidth="1"/>
    <col min="14598" max="14598" width="12.5" style="4" customWidth="1"/>
    <col min="14599" max="14850" width="9.296875" style="4"/>
    <col min="14851" max="14851" width="13.69921875" style="4" customWidth="1"/>
    <col min="14852" max="14852" width="9.296875" style="4"/>
    <col min="14853" max="14853" width="17.19921875" style="4" customWidth="1"/>
    <col min="14854" max="14854" width="12.5" style="4" customWidth="1"/>
    <col min="14855" max="15106" width="9.296875" style="4"/>
    <col min="15107" max="15107" width="13.69921875" style="4" customWidth="1"/>
    <col min="15108" max="15108" width="9.296875" style="4"/>
    <col min="15109" max="15109" width="17.19921875" style="4" customWidth="1"/>
    <col min="15110" max="15110" width="12.5" style="4" customWidth="1"/>
    <col min="15111" max="15362" width="9.296875" style="4"/>
    <col min="15363" max="15363" width="13.69921875" style="4" customWidth="1"/>
    <col min="15364" max="15364" width="9.296875" style="4"/>
    <col min="15365" max="15365" width="17.19921875" style="4" customWidth="1"/>
    <col min="15366" max="15366" width="12.5" style="4" customWidth="1"/>
    <col min="15367" max="15618" width="9.296875" style="4"/>
    <col min="15619" max="15619" width="13.69921875" style="4" customWidth="1"/>
    <col min="15620" max="15620" width="9.296875" style="4"/>
    <col min="15621" max="15621" width="17.19921875" style="4" customWidth="1"/>
    <col min="15622" max="15622" width="12.5" style="4" customWidth="1"/>
    <col min="15623" max="15874" width="9.296875" style="4"/>
    <col min="15875" max="15875" width="13.69921875" style="4" customWidth="1"/>
    <col min="15876" max="15876" width="9.296875" style="4"/>
    <col min="15877" max="15877" width="17.19921875" style="4" customWidth="1"/>
    <col min="15878" max="15878" width="12.5" style="4" customWidth="1"/>
    <col min="15879" max="16130" width="9.296875" style="4"/>
    <col min="16131" max="16131" width="13.69921875" style="4" customWidth="1"/>
    <col min="16132" max="16132" width="9.296875" style="4"/>
    <col min="16133" max="16133" width="17.19921875" style="4" customWidth="1"/>
    <col min="16134" max="16134" width="12.5" style="4" customWidth="1"/>
    <col min="16135" max="16384" width="9.296875" style="4"/>
  </cols>
  <sheetData>
    <row r="2" spans="1:13" x14ac:dyDescent="0.3">
      <c r="E2" s="5" t="s">
        <v>4</v>
      </c>
      <c r="F2" s="6" t="s">
        <v>5</v>
      </c>
      <c r="G2" s="6" t="s">
        <v>6</v>
      </c>
      <c r="H2" s="6" t="s">
        <v>7</v>
      </c>
      <c r="I2" s="6" t="s">
        <v>8</v>
      </c>
    </row>
    <row r="3" spans="1:13" x14ac:dyDescent="0.3">
      <c r="A3" s="4" t="s">
        <v>9</v>
      </c>
      <c r="B3" s="7" t="s">
        <v>10</v>
      </c>
      <c r="C3" s="7">
        <f>I3</f>
        <v>7</v>
      </c>
      <c r="D3" s="8"/>
      <c r="E3" s="6">
        <f>F3+G3+H3+I3</f>
        <v>8</v>
      </c>
      <c r="F3" s="9">
        <v>0</v>
      </c>
      <c r="G3" s="9">
        <v>0</v>
      </c>
      <c r="H3" s="9">
        <v>1</v>
      </c>
      <c r="I3" s="9">
        <v>7</v>
      </c>
    </row>
    <row r="4" spans="1:13" x14ac:dyDescent="0.3">
      <c r="A4" s="4" t="s">
        <v>11</v>
      </c>
      <c r="B4" s="10">
        <v>10</v>
      </c>
      <c r="C4" s="11">
        <v>0</v>
      </c>
      <c r="D4" s="12">
        <f>((100/B4)*C4)/100</f>
        <v>0</v>
      </c>
    </row>
    <row r="5" spans="1:13" x14ac:dyDescent="0.3">
      <c r="A5" s="4" t="s">
        <v>12</v>
      </c>
      <c r="B5" s="10">
        <f>E3</f>
        <v>8</v>
      </c>
      <c r="C5" s="11">
        <v>0</v>
      </c>
      <c r="D5" s="12">
        <f t="shared" ref="D5:D10" si="0">((100/B5)*C5)/100</f>
        <v>0</v>
      </c>
      <c r="F5" s="198" t="s">
        <v>13</v>
      </c>
      <c r="G5" s="198"/>
      <c r="H5" s="13" t="s">
        <v>14</v>
      </c>
    </row>
    <row r="6" spans="1:13" x14ac:dyDescent="0.3">
      <c r="A6" s="4" t="s">
        <v>15</v>
      </c>
      <c r="B6" s="10">
        <f>C3</f>
        <v>7</v>
      </c>
      <c r="C6" s="11">
        <v>0</v>
      </c>
      <c r="D6" s="12">
        <f t="shared" si="0"/>
        <v>0</v>
      </c>
      <c r="F6" s="197" t="s">
        <v>16</v>
      </c>
      <c r="G6" s="197"/>
      <c r="H6" s="10" t="s">
        <v>17</v>
      </c>
    </row>
    <row r="7" spans="1:13" x14ac:dyDescent="0.3">
      <c r="A7" s="4" t="s">
        <v>18</v>
      </c>
      <c r="B7" s="10">
        <f>C3</f>
        <v>7</v>
      </c>
      <c r="C7" s="11">
        <v>0</v>
      </c>
      <c r="D7" s="12">
        <f t="shared" si="0"/>
        <v>0</v>
      </c>
      <c r="F7" s="197" t="s">
        <v>19</v>
      </c>
      <c r="G7" s="197"/>
      <c r="H7" s="10" t="s">
        <v>20</v>
      </c>
    </row>
    <row r="8" spans="1:13" x14ac:dyDescent="0.3">
      <c r="A8" s="4" t="s">
        <v>21</v>
      </c>
      <c r="B8" s="10">
        <f>C3</f>
        <v>7</v>
      </c>
      <c r="C8" s="11">
        <v>0</v>
      </c>
      <c r="D8" s="12">
        <f t="shared" si="0"/>
        <v>0</v>
      </c>
      <c r="F8" s="197" t="s">
        <v>22</v>
      </c>
      <c r="G8" s="197"/>
      <c r="H8" s="10" t="s">
        <v>23</v>
      </c>
    </row>
    <row r="9" spans="1:13" x14ac:dyDescent="0.3">
      <c r="A9" s="14" t="s">
        <v>24</v>
      </c>
      <c r="B9" s="10">
        <f>C3</f>
        <v>7</v>
      </c>
      <c r="C9" s="11">
        <v>0</v>
      </c>
      <c r="D9" s="12">
        <f t="shared" si="0"/>
        <v>0</v>
      </c>
      <c r="F9" s="197" t="s">
        <v>25</v>
      </c>
      <c r="G9" s="197"/>
      <c r="H9" s="10" t="s">
        <v>26</v>
      </c>
    </row>
    <row r="10" spans="1:13" x14ac:dyDescent="0.3">
      <c r="A10" s="4" t="s">
        <v>27</v>
      </c>
      <c r="B10" s="10">
        <f>C3</f>
        <v>7</v>
      </c>
      <c r="C10" s="11">
        <v>0</v>
      </c>
      <c r="D10" s="12">
        <f t="shared" si="0"/>
        <v>0</v>
      </c>
      <c r="F10" s="197" t="s">
        <v>28</v>
      </c>
      <c r="G10" s="197"/>
      <c r="H10" s="10" t="s">
        <v>29</v>
      </c>
    </row>
    <row r="11" spans="1:13" x14ac:dyDescent="0.3">
      <c r="F11" s="197" t="s">
        <v>30</v>
      </c>
      <c r="G11" s="197"/>
      <c r="H11" s="10" t="s">
        <v>31</v>
      </c>
    </row>
    <row r="12" spans="1:13" hidden="1" x14ac:dyDescent="0.3">
      <c r="A12" s="6"/>
      <c r="B12" s="6" t="s">
        <v>32</v>
      </c>
      <c r="C12" s="6" t="s">
        <v>33</v>
      </c>
      <c r="G12" s="6" t="s">
        <v>11</v>
      </c>
      <c r="H12" s="6" t="s">
        <v>34</v>
      </c>
      <c r="I12" s="6" t="s">
        <v>35</v>
      </c>
      <c r="J12" s="6" t="s">
        <v>36</v>
      </c>
      <c r="K12" s="6" t="s">
        <v>21</v>
      </c>
      <c r="L12" s="6" t="s">
        <v>24</v>
      </c>
      <c r="M12" s="6" t="s">
        <v>27</v>
      </c>
    </row>
    <row r="13" spans="1:13" hidden="1" x14ac:dyDescent="0.3">
      <c r="A13" s="6" t="s">
        <v>37</v>
      </c>
      <c r="B13" s="6">
        <f>G13</f>
        <v>0</v>
      </c>
      <c r="C13" s="6">
        <f>G14</f>
        <v>20</v>
      </c>
      <c r="E13" s="199" t="s">
        <v>32</v>
      </c>
      <c r="F13" s="199"/>
      <c r="G13" s="15">
        <f>C4</f>
        <v>0</v>
      </c>
      <c r="H13" s="15">
        <f>40/B5*C5</f>
        <v>0</v>
      </c>
      <c r="I13" s="15">
        <f>15/B6*C6</f>
        <v>0</v>
      </c>
      <c r="J13" s="15">
        <f>10/B7*C7</f>
        <v>0</v>
      </c>
      <c r="K13" s="15">
        <f>10/B8*C8</f>
        <v>0</v>
      </c>
      <c r="L13" s="15">
        <f>5/B9*C9</f>
        <v>0</v>
      </c>
      <c r="M13" s="15">
        <f>5/B10*C10</f>
        <v>0</v>
      </c>
    </row>
    <row r="14" spans="1:13" hidden="1" x14ac:dyDescent="0.3">
      <c r="A14" s="6" t="s">
        <v>38</v>
      </c>
      <c r="B14" s="6">
        <f>H13</f>
        <v>0</v>
      </c>
      <c r="C14" s="6">
        <f>H14</f>
        <v>0</v>
      </c>
      <c r="E14" s="199" t="s">
        <v>39</v>
      </c>
      <c r="F14" s="199"/>
      <c r="G14" s="6">
        <f>G13+20</f>
        <v>20</v>
      </c>
      <c r="H14" s="6">
        <f>30/B5*C5</f>
        <v>0</v>
      </c>
      <c r="I14" s="6">
        <f>15/B6*C6</f>
        <v>0</v>
      </c>
      <c r="J14" s="6">
        <f>10/B7*C7</f>
        <v>0</v>
      </c>
      <c r="K14" s="6">
        <f>5/B8*C8</f>
        <v>0</v>
      </c>
      <c r="L14" s="6">
        <f>5/B9*C9</f>
        <v>0</v>
      </c>
      <c r="M14" s="6">
        <f>5/B10*C10</f>
        <v>0</v>
      </c>
    </row>
    <row r="15" spans="1:13" hidden="1" x14ac:dyDescent="0.3">
      <c r="A15" s="6" t="s">
        <v>35</v>
      </c>
      <c r="B15" s="6">
        <f>I13</f>
        <v>0</v>
      </c>
      <c r="C15" s="6">
        <f>I14</f>
        <v>0</v>
      </c>
    </row>
    <row r="16" spans="1:13" hidden="1" x14ac:dyDescent="0.3">
      <c r="A16" s="6" t="s">
        <v>36</v>
      </c>
      <c r="B16" s="6">
        <f>J13</f>
        <v>0</v>
      </c>
      <c r="C16" s="6">
        <f>J14</f>
        <v>0</v>
      </c>
    </row>
    <row r="17" spans="1:8" hidden="1" x14ac:dyDescent="0.3">
      <c r="A17" s="6" t="s">
        <v>21</v>
      </c>
      <c r="B17" s="6">
        <f>K13</f>
        <v>0</v>
      </c>
      <c r="C17" s="6">
        <f>K14</f>
        <v>0</v>
      </c>
    </row>
    <row r="18" spans="1:8" hidden="1" x14ac:dyDescent="0.3">
      <c r="A18" s="16" t="s">
        <v>24</v>
      </c>
      <c r="B18" s="6">
        <f>L13</f>
        <v>0</v>
      </c>
      <c r="C18" s="6">
        <f>L14</f>
        <v>0</v>
      </c>
    </row>
    <row r="19" spans="1:8" hidden="1" x14ac:dyDescent="0.3">
      <c r="A19" s="6" t="s">
        <v>27</v>
      </c>
      <c r="B19" s="6">
        <f>M13</f>
        <v>0</v>
      </c>
      <c r="C19" s="6">
        <f>M14</f>
        <v>0</v>
      </c>
    </row>
    <row r="20" spans="1:8" x14ac:dyDescent="0.3">
      <c r="A20" s="6" t="s">
        <v>40</v>
      </c>
      <c r="B20" s="17">
        <f>(B13+B14+B15+B16+B17+B18+B19)/100</f>
        <v>0</v>
      </c>
      <c r="C20" s="17">
        <f>(C13+C14+C15+C16+C17+C18+C19)/100</f>
        <v>0.2</v>
      </c>
      <c r="F20" s="197" t="s">
        <v>41</v>
      </c>
      <c r="G20" s="197"/>
      <c r="H20" s="10" t="s">
        <v>20</v>
      </c>
    </row>
    <row r="21" spans="1:8" x14ac:dyDescent="0.3">
      <c r="F21" s="197" t="s">
        <v>42</v>
      </c>
      <c r="G21" s="197"/>
      <c r="H21" s="10" t="s">
        <v>43</v>
      </c>
    </row>
    <row r="22" spans="1:8" x14ac:dyDescent="0.3">
      <c r="A22" s="4" t="s">
        <v>44</v>
      </c>
      <c r="B22" s="18">
        <v>0.01</v>
      </c>
      <c r="C22" s="18">
        <v>0.02</v>
      </c>
      <c r="F22" s="197" t="s">
        <v>45</v>
      </c>
      <c r="G22" s="197"/>
      <c r="H22" s="10" t="s">
        <v>46</v>
      </c>
    </row>
    <row r="23" spans="1:8" x14ac:dyDescent="0.3">
      <c r="A23" s="4" t="s">
        <v>47</v>
      </c>
      <c r="B23" s="18">
        <v>0.01</v>
      </c>
      <c r="C23" s="18">
        <v>0.03</v>
      </c>
    </row>
    <row r="24" spans="1:8" x14ac:dyDescent="0.3">
      <c r="A24" s="4" t="s">
        <v>48</v>
      </c>
      <c r="B24" s="18">
        <v>0.03</v>
      </c>
      <c r="C24" s="18">
        <v>0.08</v>
      </c>
    </row>
    <row r="25" spans="1:8" x14ac:dyDescent="0.3">
      <c r="A25" s="4" t="s">
        <v>49</v>
      </c>
      <c r="B25" s="18">
        <v>0.05</v>
      </c>
      <c r="C25" s="18">
        <v>0.15</v>
      </c>
    </row>
    <row r="26" spans="1:8" x14ac:dyDescent="0.3">
      <c r="A26" s="4" t="s">
        <v>50</v>
      </c>
      <c r="B26" s="18">
        <v>7.0000000000000007E-2</v>
      </c>
      <c r="C26" s="18">
        <v>0.2</v>
      </c>
    </row>
    <row r="27" spans="1:8" x14ac:dyDescent="0.3">
      <c r="A27" s="4" t="s">
        <v>51</v>
      </c>
      <c r="B27" s="18">
        <v>0.1</v>
      </c>
      <c r="C27" s="18">
        <v>0.3</v>
      </c>
    </row>
  </sheetData>
  <mergeCells count="12">
    <mergeCell ref="F22:G22"/>
    <mergeCell ref="F5:G5"/>
    <mergeCell ref="F6:G6"/>
    <mergeCell ref="F7:G7"/>
    <mergeCell ref="F8:G8"/>
    <mergeCell ref="F9:G9"/>
    <mergeCell ref="F10:G10"/>
    <mergeCell ref="F11:G11"/>
    <mergeCell ref="E13:F13"/>
    <mergeCell ref="E14:F14"/>
    <mergeCell ref="F20:G20"/>
    <mergeCell ref="F21:G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
  <sheetViews>
    <sheetView workbookViewId="0">
      <selection activeCell="C8" sqref="C8"/>
    </sheetView>
  </sheetViews>
  <sheetFormatPr defaultRowHeight="14" x14ac:dyDescent="0.3"/>
  <cols>
    <col min="1" max="1" width="31" style="4" customWidth="1"/>
    <col min="2" max="2" width="13.69921875" style="4" customWidth="1"/>
    <col min="3" max="4" width="9.296875" style="4"/>
    <col min="5" max="5" width="11.796875" style="4" customWidth="1"/>
    <col min="6" max="6" width="12.5" style="4" customWidth="1"/>
    <col min="7" max="7" width="9.296875" style="4"/>
    <col min="8" max="8" width="12.19921875" style="4" customWidth="1"/>
    <col min="9" max="9" width="18" style="4" customWidth="1"/>
    <col min="10" max="258" width="9.296875" style="4"/>
    <col min="259" max="259" width="13.69921875" style="4" customWidth="1"/>
    <col min="260" max="260" width="9.296875" style="4"/>
    <col min="261" max="261" width="17.19921875" style="4" customWidth="1"/>
    <col min="262" max="262" width="12.5" style="4" customWidth="1"/>
    <col min="263" max="514" width="9.296875" style="4"/>
    <col min="515" max="515" width="13.69921875" style="4" customWidth="1"/>
    <col min="516" max="516" width="9.296875" style="4"/>
    <col min="517" max="517" width="17.19921875" style="4" customWidth="1"/>
    <col min="518" max="518" width="12.5" style="4" customWidth="1"/>
    <col min="519" max="770" width="9.296875" style="4"/>
    <col min="771" max="771" width="13.69921875" style="4" customWidth="1"/>
    <col min="772" max="772" width="9.296875" style="4"/>
    <col min="773" max="773" width="17.19921875" style="4" customWidth="1"/>
    <col min="774" max="774" width="12.5" style="4" customWidth="1"/>
    <col min="775" max="1026" width="9.296875" style="4"/>
    <col min="1027" max="1027" width="13.69921875" style="4" customWidth="1"/>
    <col min="1028" max="1028" width="9.296875" style="4"/>
    <col min="1029" max="1029" width="17.19921875" style="4" customWidth="1"/>
    <col min="1030" max="1030" width="12.5" style="4" customWidth="1"/>
    <col min="1031" max="1282" width="9.296875" style="4"/>
    <col min="1283" max="1283" width="13.69921875" style="4" customWidth="1"/>
    <col min="1284" max="1284" width="9.296875" style="4"/>
    <col min="1285" max="1285" width="17.19921875" style="4" customWidth="1"/>
    <col min="1286" max="1286" width="12.5" style="4" customWidth="1"/>
    <col min="1287" max="1538" width="9.296875" style="4"/>
    <col min="1539" max="1539" width="13.69921875" style="4" customWidth="1"/>
    <col min="1540" max="1540" width="9.296875" style="4"/>
    <col min="1541" max="1541" width="17.19921875" style="4" customWidth="1"/>
    <col min="1542" max="1542" width="12.5" style="4" customWidth="1"/>
    <col min="1543" max="1794" width="9.296875" style="4"/>
    <col min="1795" max="1795" width="13.69921875" style="4" customWidth="1"/>
    <col min="1796" max="1796" width="9.296875" style="4"/>
    <col min="1797" max="1797" width="17.19921875" style="4" customWidth="1"/>
    <col min="1798" max="1798" width="12.5" style="4" customWidth="1"/>
    <col min="1799" max="2050" width="9.296875" style="4"/>
    <col min="2051" max="2051" width="13.69921875" style="4" customWidth="1"/>
    <col min="2052" max="2052" width="9.296875" style="4"/>
    <col min="2053" max="2053" width="17.19921875" style="4" customWidth="1"/>
    <col min="2054" max="2054" width="12.5" style="4" customWidth="1"/>
    <col min="2055" max="2306" width="9.296875" style="4"/>
    <col min="2307" max="2307" width="13.69921875" style="4" customWidth="1"/>
    <col min="2308" max="2308" width="9.296875" style="4"/>
    <col min="2309" max="2309" width="17.19921875" style="4" customWidth="1"/>
    <col min="2310" max="2310" width="12.5" style="4" customWidth="1"/>
    <col min="2311" max="2562" width="9.296875" style="4"/>
    <col min="2563" max="2563" width="13.69921875" style="4" customWidth="1"/>
    <col min="2564" max="2564" width="9.296875" style="4"/>
    <col min="2565" max="2565" width="17.19921875" style="4" customWidth="1"/>
    <col min="2566" max="2566" width="12.5" style="4" customWidth="1"/>
    <col min="2567" max="2818" width="9.296875" style="4"/>
    <col min="2819" max="2819" width="13.69921875" style="4" customWidth="1"/>
    <col min="2820" max="2820" width="9.296875" style="4"/>
    <col min="2821" max="2821" width="17.19921875" style="4" customWidth="1"/>
    <col min="2822" max="2822" width="12.5" style="4" customWidth="1"/>
    <col min="2823" max="3074" width="9.296875" style="4"/>
    <col min="3075" max="3075" width="13.69921875" style="4" customWidth="1"/>
    <col min="3076" max="3076" width="9.296875" style="4"/>
    <col min="3077" max="3077" width="17.19921875" style="4" customWidth="1"/>
    <col min="3078" max="3078" width="12.5" style="4" customWidth="1"/>
    <col min="3079" max="3330" width="9.296875" style="4"/>
    <col min="3331" max="3331" width="13.69921875" style="4" customWidth="1"/>
    <col min="3332" max="3332" width="9.296875" style="4"/>
    <col min="3333" max="3333" width="17.19921875" style="4" customWidth="1"/>
    <col min="3334" max="3334" width="12.5" style="4" customWidth="1"/>
    <col min="3335" max="3586" width="9.296875" style="4"/>
    <col min="3587" max="3587" width="13.69921875" style="4" customWidth="1"/>
    <col min="3588" max="3588" width="9.296875" style="4"/>
    <col min="3589" max="3589" width="17.19921875" style="4" customWidth="1"/>
    <col min="3590" max="3590" width="12.5" style="4" customWidth="1"/>
    <col min="3591" max="3842" width="9.296875" style="4"/>
    <col min="3843" max="3843" width="13.69921875" style="4" customWidth="1"/>
    <col min="3844" max="3844" width="9.296875" style="4"/>
    <col min="3845" max="3845" width="17.19921875" style="4" customWidth="1"/>
    <col min="3846" max="3846" width="12.5" style="4" customWidth="1"/>
    <col min="3847" max="4098" width="9.296875" style="4"/>
    <col min="4099" max="4099" width="13.69921875" style="4" customWidth="1"/>
    <col min="4100" max="4100" width="9.296875" style="4"/>
    <col min="4101" max="4101" width="17.19921875" style="4" customWidth="1"/>
    <col min="4102" max="4102" width="12.5" style="4" customWidth="1"/>
    <col min="4103" max="4354" width="9.296875" style="4"/>
    <col min="4355" max="4355" width="13.69921875" style="4" customWidth="1"/>
    <col min="4356" max="4356" width="9.296875" style="4"/>
    <col min="4357" max="4357" width="17.19921875" style="4" customWidth="1"/>
    <col min="4358" max="4358" width="12.5" style="4" customWidth="1"/>
    <col min="4359" max="4610" width="9.296875" style="4"/>
    <col min="4611" max="4611" width="13.69921875" style="4" customWidth="1"/>
    <col min="4612" max="4612" width="9.296875" style="4"/>
    <col min="4613" max="4613" width="17.19921875" style="4" customWidth="1"/>
    <col min="4614" max="4614" width="12.5" style="4" customWidth="1"/>
    <col min="4615" max="4866" width="9.296875" style="4"/>
    <col min="4867" max="4867" width="13.69921875" style="4" customWidth="1"/>
    <col min="4868" max="4868" width="9.296875" style="4"/>
    <col min="4869" max="4869" width="17.19921875" style="4" customWidth="1"/>
    <col min="4870" max="4870" width="12.5" style="4" customWidth="1"/>
    <col min="4871" max="5122" width="9.296875" style="4"/>
    <col min="5123" max="5123" width="13.69921875" style="4" customWidth="1"/>
    <col min="5124" max="5124" width="9.296875" style="4"/>
    <col min="5125" max="5125" width="17.19921875" style="4" customWidth="1"/>
    <col min="5126" max="5126" width="12.5" style="4" customWidth="1"/>
    <col min="5127" max="5378" width="9.296875" style="4"/>
    <col min="5379" max="5379" width="13.69921875" style="4" customWidth="1"/>
    <col min="5380" max="5380" width="9.296875" style="4"/>
    <col min="5381" max="5381" width="17.19921875" style="4" customWidth="1"/>
    <col min="5382" max="5382" width="12.5" style="4" customWidth="1"/>
    <col min="5383" max="5634" width="9.296875" style="4"/>
    <col min="5635" max="5635" width="13.69921875" style="4" customWidth="1"/>
    <col min="5636" max="5636" width="9.296875" style="4"/>
    <col min="5637" max="5637" width="17.19921875" style="4" customWidth="1"/>
    <col min="5638" max="5638" width="12.5" style="4" customWidth="1"/>
    <col min="5639" max="5890" width="9.296875" style="4"/>
    <col min="5891" max="5891" width="13.69921875" style="4" customWidth="1"/>
    <col min="5892" max="5892" width="9.296875" style="4"/>
    <col min="5893" max="5893" width="17.19921875" style="4" customWidth="1"/>
    <col min="5894" max="5894" width="12.5" style="4" customWidth="1"/>
    <col min="5895" max="6146" width="9.296875" style="4"/>
    <col min="6147" max="6147" width="13.69921875" style="4" customWidth="1"/>
    <col min="6148" max="6148" width="9.296875" style="4"/>
    <col min="6149" max="6149" width="17.19921875" style="4" customWidth="1"/>
    <col min="6150" max="6150" width="12.5" style="4" customWidth="1"/>
    <col min="6151" max="6402" width="9.296875" style="4"/>
    <col min="6403" max="6403" width="13.69921875" style="4" customWidth="1"/>
    <col min="6404" max="6404" width="9.296875" style="4"/>
    <col min="6405" max="6405" width="17.19921875" style="4" customWidth="1"/>
    <col min="6406" max="6406" width="12.5" style="4" customWidth="1"/>
    <col min="6407" max="6658" width="9.296875" style="4"/>
    <col min="6659" max="6659" width="13.69921875" style="4" customWidth="1"/>
    <col min="6660" max="6660" width="9.296875" style="4"/>
    <col min="6661" max="6661" width="17.19921875" style="4" customWidth="1"/>
    <col min="6662" max="6662" width="12.5" style="4" customWidth="1"/>
    <col min="6663" max="6914" width="9.296875" style="4"/>
    <col min="6915" max="6915" width="13.69921875" style="4" customWidth="1"/>
    <col min="6916" max="6916" width="9.296875" style="4"/>
    <col min="6917" max="6917" width="17.19921875" style="4" customWidth="1"/>
    <col min="6918" max="6918" width="12.5" style="4" customWidth="1"/>
    <col min="6919" max="7170" width="9.296875" style="4"/>
    <col min="7171" max="7171" width="13.69921875" style="4" customWidth="1"/>
    <col min="7172" max="7172" width="9.296875" style="4"/>
    <col min="7173" max="7173" width="17.19921875" style="4" customWidth="1"/>
    <col min="7174" max="7174" width="12.5" style="4" customWidth="1"/>
    <col min="7175" max="7426" width="9.296875" style="4"/>
    <col min="7427" max="7427" width="13.69921875" style="4" customWidth="1"/>
    <col min="7428" max="7428" width="9.296875" style="4"/>
    <col min="7429" max="7429" width="17.19921875" style="4" customWidth="1"/>
    <col min="7430" max="7430" width="12.5" style="4" customWidth="1"/>
    <col min="7431" max="7682" width="9.296875" style="4"/>
    <col min="7683" max="7683" width="13.69921875" style="4" customWidth="1"/>
    <col min="7684" max="7684" width="9.296875" style="4"/>
    <col min="7685" max="7685" width="17.19921875" style="4" customWidth="1"/>
    <col min="7686" max="7686" width="12.5" style="4" customWidth="1"/>
    <col min="7687" max="7938" width="9.296875" style="4"/>
    <col min="7939" max="7939" width="13.69921875" style="4" customWidth="1"/>
    <col min="7940" max="7940" width="9.296875" style="4"/>
    <col min="7941" max="7941" width="17.19921875" style="4" customWidth="1"/>
    <col min="7942" max="7942" width="12.5" style="4" customWidth="1"/>
    <col min="7943" max="8194" width="9.296875" style="4"/>
    <col min="8195" max="8195" width="13.69921875" style="4" customWidth="1"/>
    <col min="8196" max="8196" width="9.296875" style="4"/>
    <col min="8197" max="8197" width="17.19921875" style="4" customWidth="1"/>
    <col min="8198" max="8198" width="12.5" style="4" customWidth="1"/>
    <col min="8199" max="8450" width="9.296875" style="4"/>
    <col min="8451" max="8451" width="13.69921875" style="4" customWidth="1"/>
    <col min="8452" max="8452" width="9.296875" style="4"/>
    <col min="8453" max="8453" width="17.19921875" style="4" customWidth="1"/>
    <col min="8454" max="8454" width="12.5" style="4" customWidth="1"/>
    <col min="8455" max="8706" width="9.296875" style="4"/>
    <col min="8707" max="8707" width="13.69921875" style="4" customWidth="1"/>
    <col min="8708" max="8708" width="9.296875" style="4"/>
    <col min="8709" max="8709" width="17.19921875" style="4" customWidth="1"/>
    <col min="8710" max="8710" width="12.5" style="4" customWidth="1"/>
    <col min="8711" max="8962" width="9.296875" style="4"/>
    <col min="8963" max="8963" width="13.69921875" style="4" customWidth="1"/>
    <col min="8964" max="8964" width="9.296875" style="4"/>
    <col min="8965" max="8965" width="17.19921875" style="4" customWidth="1"/>
    <col min="8966" max="8966" width="12.5" style="4" customWidth="1"/>
    <col min="8967" max="9218" width="9.296875" style="4"/>
    <col min="9219" max="9219" width="13.69921875" style="4" customWidth="1"/>
    <col min="9220" max="9220" width="9.296875" style="4"/>
    <col min="9221" max="9221" width="17.19921875" style="4" customWidth="1"/>
    <col min="9222" max="9222" width="12.5" style="4" customWidth="1"/>
    <col min="9223" max="9474" width="9.296875" style="4"/>
    <col min="9475" max="9475" width="13.69921875" style="4" customWidth="1"/>
    <col min="9476" max="9476" width="9.296875" style="4"/>
    <col min="9477" max="9477" width="17.19921875" style="4" customWidth="1"/>
    <col min="9478" max="9478" width="12.5" style="4" customWidth="1"/>
    <col min="9479" max="9730" width="9.296875" style="4"/>
    <col min="9731" max="9731" width="13.69921875" style="4" customWidth="1"/>
    <col min="9732" max="9732" width="9.296875" style="4"/>
    <col min="9733" max="9733" width="17.19921875" style="4" customWidth="1"/>
    <col min="9734" max="9734" width="12.5" style="4" customWidth="1"/>
    <col min="9735" max="9986" width="9.296875" style="4"/>
    <col min="9987" max="9987" width="13.69921875" style="4" customWidth="1"/>
    <col min="9988" max="9988" width="9.296875" style="4"/>
    <col min="9989" max="9989" width="17.19921875" style="4" customWidth="1"/>
    <col min="9990" max="9990" width="12.5" style="4" customWidth="1"/>
    <col min="9991" max="10242" width="9.296875" style="4"/>
    <col min="10243" max="10243" width="13.69921875" style="4" customWidth="1"/>
    <col min="10244" max="10244" width="9.296875" style="4"/>
    <col min="10245" max="10245" width="17.19921875" style="4" customWidth="1"/>
    <col min="10246" max="10246" width="12.5" style="4" customWidth="1"/>
    <col min="10247" max="10498" width="9.296875" style="4"/>
    <col min="10499" max="10499" width="13.69921875" style="4" customWidth="1"/>
    <col min="10500" max="10500" width="9.296875" style="4"/>
    <col min="10501" max="10501" width="17.19921875" style="4" customWidth="1"/>
    <col min="10502" max="10502" width="12.5" style="4" customWidth="1"/>
    <col min="10503" max="10754" width="9.296875" style="4"/>
    <col min="10755" max="10755" width="13.69921875" style="4" customWidth="1"/>
    <col min="10756" max="10756" width="9.296875" style="4"/>
    <col min="10757" max="10757" width="17.19921875" style="4" customWidth="1"/>
    <col min="10758" max="10758" width="12.5" style="4" customWidth="1"/>
    <col min="10759" max="11010" width="9.296875" style="4"/>
    <col min="11011" max="11011" width="13.69921875" style="4" customWidth="1"/>
    <col min="11012" max="11012" width="9.296875" style="4"/>
    <col min="11013" max="11013" width="17.19921875" style="4" customWidth="1"/>
    <col min="11014" max="11014" width="12.5" style="4" customWidth="1"/>
    <col min="11015" max="11266" width="9.296875" style="4"/>
    <col min="11267" max="11267" width="13.69921875" style="4" customWidth="1"/>
    <col min="11268" max="11268" width="9.296875" style="4"/>
    <col min="11269" max="11269" width="17.19921875" style="4" customWidth="1"/>
    <col min="11270" max="11270" width="12.5" style="4" customWidth="1"/>
    <col min="11271" max="11522" width="9.296875" style="4"/>
    <col min="11523" max="11523" width="13.69921875" style="4" customWidth="1"/>
    <col min="11524" max="11524" width="9.296875" style="4"/>
    <col min="11525" max="11525" width="17.19921875" style="4" customWidth="1"/>
    <col min="11526" max="11526" width="12.5" style="4" customWidth="1"/>
    <col min="11527" max="11778" width="9.296875" style="4"/>
    <col min="11779" max="11779" width="13.69921875" style="4" customWidth="1"/>
    <col min="11780" max="11780" width="9.296875" style="4"/>
    <col min="11781" max="11781" width="17.19921875" style="4" customWidth="1"/>
    <col min="11782" max="11782" width="12.5" style="4" customWidth="1"/>
    <col min="11783" max="12034" width="9.296875" style="4"/>
    <col min="12035" max="12035" width="13.69921875" style="4" customWidth="1"/>
    <col min="12036" max="12036" width="9.296875" style="4"/>
    <col min="12037" max="12037" width="17.19921875" style="4" customWidth="1"/>
    <col min="12038" max="12038" width="12.5" style="4" customWidth="1"/>
    <col min="12039" max="12290" width="9.296875" style="4"/>
    <col min="12291" max="12291" width="13.69921875" style="4" customWidth="1"/>
    <col min="12292" max="12292" width="9.296875" style="4"/>
    <col min="12293" max="12293" width="17.19921875" style="4" customWidth="1"/>
    <col min="12294" max="12294" width="12.5" style="4" customWidth="1"/>
    <col min="12295" max="12546" width="9.296875" style="4"/>
    <col min="12547" max="12547" width="13.69921875" style="4" customWidth="1"/>
    <col min="12548" max="12548" width="9.296875" style="4"/>
    <col min="12549" max="12549" width="17.19921875" style="4" customWidth="1"/>
    <col min="12550" max="12550" width="12.5" style="4" customWidth="1"/>
    <col min="12551" max="12802" width="9.296875" style="4"/>
    <col min="12803" max="12803" width="13.69921875" style="4" customWidth="1"/>
    <col min="12804" max="12804" width="9.296875" style="4"/>
    <col min="12805" max="12805" width="17.19921875" style="4" customWidth="1"/>
    <col min="12806" max="12806" width="12.5" style="4" customWidth="1"/>
    <col min="12807" max="13058" width="9.296875" style="4"/>
    <col min="13059" max="13059" width="13.69921875" style="4" customWidth="1"/>
    <col min="13060" max="13060" width="9.296875" style="4"/>
    <col min="13061" max="13061" width="17.19921875" style="4" customWidth="1"/>
    <col min="13062" max="13062" width="12.5" style="4" customWidth="1"/>
    <col min="13063" max="13314" width="9.296875" style="4"/>
    <col min="13315" max="13315" width="13.69921875" style="4" customWidth="1"/>
    <col min="13316" max="13316" width="9.296875" style="4"/>
    <col min="13317" max="13317" width="17.19921875" style="4" customWidth="1"/>
    <col min="13318" max="13318" width="12.5" style="4" customWidth="1"/>
    <col min="13319" max="13570" width="9.296875" style="4"/>
    <col min="13571" max="13571" width="13.69921875" style="4" customWidth="1"/>
    <col min="13572" max="13572" width="9.296875" style="4"/>
    <col min="13573" max="13573" width="17.19921875" style="4" customWidth="1"/>
    <col min="13574" max="13574" width="12.5" style="4" customWidth="1"/>
    <col min="13575" max="13826" width="9.296875" style="4"/>
    <col min="13827" max="13827" width="13.69921875" style="4" customWidth="1"/>
    <col min="13828" max="13828" width="9.296875" style="4"/>
    <col min="13829" max="13829" width="17.19921875" style="4" customWidth="1"/>
    <col min="13830" max="13830" width="12.5" style="4" customWidth="1"/>
    <col min="13831" max="14082" width="9.296875" style="4"/>
    <col min="14083" max="14083" width="13.69921875" style="4" customWidth="1"/>
    <col min="14084" max="14084" width="9.296875" style="4"/>
    <col min="14085" max="14085" width="17.19921875" style="4" customWidth="1"/>
    <col min="14086" max="14086" width="12.5" style="4" customWidth="1"/>
    <col min="14087" max="14338" width="9.296875" style="4"/>
    <col min="14339" max="14339" width="13.69921875" style="4" customWidth="1"/>
    <col min="14340" max="14340" width="9.296875" style="4"/>
    <col min="14341" max="14341" width="17.19921875" style="4" customWidth="1"/>
    <col min="14342" max="14342" width="12.5" style="4" customWidth="1"/>
    <col min="14343" max="14594" width="9.296875" style="4"/>
    <col min="14595" max="14595" width="13.69921875" style="4" customWidth="1"/>
    <col min="14596" max="14596" width="9.296875" style="4"/>
    <col min="14597" max="14597" width="17.19921875" style="4" customWidth="1"/>
    <col min="14598" max="14598" width="12.5" style="4" customWidth="1"/>
    <col min="14599" max="14850" width="9.296875" style="4"/>
    <col min="14851" max="14851" width="13.69921875" style="4" customWidth="1"/>
    <col min="14852" max="14852" width="9.296875" style="4"/>
    <col min="14853" max="14853" width="17.19921875" style="4" customWidth="1"/>
    <col min="14854" max="14854" width="12.5" style="4" customWidth="1"/>
    <col min="14855" max="15106" width="9.296875" style="4"/>
    <col min="15107" max="15107" width="13.69921875" style="4" customWidth="1"/>
    <col min="15108" max="15108" width="9.296875" style="4"/>
    <col min="15109" max="15109" width="17.19921875" style="4" customWidth="1"/>
    <col min="15110" max="15110" width="12.5" style="4" customWidth="1"/>
    <col min="15111" max="15362" width="9.296875" style="4"/>
    <col min="15363" max="15363" width="13.69921875" style="4" customWidth="1"/>
    <col min="15364" max="15364" width="9.296875" style="4"/>
    <col min="15365" max="15365" width="17.19921875" style="4" customWidth="1"/>
    <col min="15366" max="15366" width="12.5" style="4" customWidth="1"/>
    <col min="15367" max="15618" width="9.296875" style="4"/>
    <col min="15619" max="15619" width="13.69921875" style="4" customWidth="1"/>
    <col min="15620" max="15620" width="9.296875" style="4"/>
    <col min="15621" max="15621" width="17.19921875" style="4" customWidth="1"/>
    <col min="15622" max="15622" width="12.5" style="4" customWidth="1"/>
    <col min="15623" max="15874" width="9.296875" style="4"/>
    <col min="15875" max="15875" width="13.69921875" style="4" customWidth="1"/>
    <col min="15876" max="15876" width="9.296875" style="4"/>
    <col min="15877" max="15877" width="17.19921875" style="4" customWidth="1"/>
    <col min="15878" max="15878" width="12.5" style="4" customWidth="1"/>
    <col min="15879" max="16130" width="9.296875" style="4"/>
    <col min="16131" max="16131" width="13.69921875" style="4" customWidth="1"/>
    <col min="16132" max="16132" width="9.296875" style="4"/>
    <col min="16133" max="16133" width="17.19921875" style="4" customWidth="1"/>
    <col min="16134" max="16134" width="12.5" style="4" customWidth="1"/>
    <col min="16135" max="16384" width="9.296875" style="4"/>
  </cols>
  <sheetData>
    <row r="2" spans="1:13" x14ac:dyDescent="0.3">
      <c r="E2" s="5" t="s">
        <v>4</v>
      </c>
      <c r="F2" s="6" t="s">
        <v>5</v>
      </c>
      <c r="G2" s="6" t="s">
        <v>6</v>
      </c>
      <c r="H2" s="6" t="s">
        <v>7</v>
      </c>
      <c r="I2" s="6" t="s">
        <v>8</v>
      </c>
    </row>
    <row r="3" spans="1:13" x14ac:dyDescent="0.3">
      <c r="A3" s="4" t="s">
        <v>9</v>
      </c>
      <c r="B3" s="7" t="s">
        <v>10</v>
      </c>
      <c r="C3" s="7">
        <f>I3</f>
        <v>7</v>
      </c>
      <c r="D3" s="8"/>
      <c r="E3" s="6">
        <f>F3+G3+H3+I3</f>
        <v>8</v>
      </c>
      <c r="F3" s="9">
        <v>0</v>
      </c>
      <c r="G3" s="9">
        <v>0</v>
      </c>
      <c r="H3" s="9">
        <v>1</v>
      </c>
      <c r="I3" s="9">
        <v>7</v>
      </c>
    </row>
    <row r="4" spans="1:13" x14ac:dyDescent="0.3">
      <c r="A4" s="4" t="s">
        <v>11</v>
      </c>
      <c r="B4" s="10">
        <v>10</v>
      </c>
      <c r="C4" s="11">
        <v>10</v>
      </c>
      <c r="D4" s="12">
        <f>((100/B4)*C4)/100</f>
        <v>1</v>
      </c>
    </row>
    <row r="5" spans="1:13" x14ac:dyDescent="0.3">
      <c r="A5" s="4" t="s">
        <v>12</v>
      </c>
      <c r="B5" s="10">
        <f>E3</f>
        <v>8</v>
      </c>
      <c r="C5" s="11">
        <v>8</v>
      </c>
      <c r="D5" s="12">
        <f t="shared" ref="D5:D10" si="0">((100/B5)*C5)/100</f>
        <v>1</v>
      </c>
      <c r="F5" s="198" t="s">
        <v>13</v>
      </c>
      <c r="G5" s="198"/>
      <c r="H5" s="13" t="s">
        <v>14</v>
      </c>
    </row>
    <row r="6" spans="1:13" x14ac:dyDescent="0.3">
      <c r="A6" s="4" t="s">
        <v>15</v>
      </c>
      <c r="B6" s="10">
        <f>C3</f>
        <v>7</v>
      </c>
      <c r="C6" s="11">
        <v>7</v>
      </c>
      <c r="D6" s="12">
        <f t="shared" si="0"/>
        <v>1</v>
      </c>
      <c r="F6" s="197" t="s">
        <v>16</v>
      </c>
      <c r="G6" s="197"/>
      <c r="H6" s="10" t="s">
        <v>17</v>
      </c>
    </row>
    <row r="7" spans="1:13" x14ac:dyDescent="0.3">
      <c r="A7" s="4" t="s">
        <v>18</v>
      </c>
      <c r="B7" s="10">
        <f>C3</f>
        <v>7</v>
      </c>
      <c r="C7" s="11">
        <v>4</v>
      </c>
      <c r="D7" s="12">
        <f t="shared" si="0"/>
        <v>0.57142857142857151</v>
      </c>
      <c r="F7" s="197" t="s">
        <v>19</v>
      </c>
      <c r="G7" s="197"/>
      <c r="H7" s="10" t="s">
        <v>20</v>
      </c>
    </row>
    <row r="8" spans="1:13" x14ac:dyDescent="0.3">
      <c r="A8" s="4" t="s">
        <v>21</v>
      </c>
      <c r="B8" s="10">
        <f>C3</f>
        <v>7</v>
      </c>
      <c r="C8" s="11">
        <v>0</v>
      </c>
      <c r="D8" s="12">
        <f t="shared" si="0"/>
        <v>0</v>
      </c>
      <c r="F8" s="197" t="s">
        <v>22</v>
      </c>
      <c r="G8" s="197"/>
      <c r="H8" s="10" t="s">
        <v>23</v>
      </c>
    </row>
    <row r="9" spans="1:13" x14ac:dyDescent="0.3">
      <c r="A9" s="14" t="s">
        <v>24</v>
      </c>
      <c r="B9" s="10">
        <f>C3</f>
        <v>7</v>
      </c>
      <c r="C9" s="11">
        <v>0</v>
      </c>
      <c r="D9" s="12">
        <f t="shared" si="0"/>
        <v>0</v>
      </c>
      <c r="F9" s="197" t="s">
        <v>25</v>
      </c>
      <c r="G9" s="197"/>
      <c r="H9" s="10" t="s">
        <v>26</v>
      </c>
    </row>
    <row r="10" spans="1:13" x14ac:dyDescent="0.3">
      <c r="A10" s="4" t="s">
        <v>27</v>
      </c>
      <c r="B10" s="10">
        <f>C3</f>
        <v>7</v>
      </c>
      <c r="C10" s="11">
        <v>0</v>
      </c>
      <c r="D10" s="12">
        <f t="shared" si="0"/>
        <v>0</v>
      </c>
      <c r="F10" s="197" t="s">
        <v>28</v>
      </c>
      <c r="G10" s="197"/>
      <c r="H10" s="10" t="s">
        <v>29</v>
      </c>
    </row>
    <row r="11" spans="1:13" x14ac:dyDescent="0.3">
      <c r="F11" s="197" t="s">
        <v>30</v>
      </c>
      <c r="G11" s="197"/>
      <c r="H11" s="10" t="s">
        <v>31</v>
      </c>
    </row>
    <row r="12" spans="1:13" hidden="1" x14ac:dyDescent="0.3">
      <c r="A12" s="6"/>
      <c r="B12" s="6" t="s">
        <v>32</v>
      </c>
      <c r="C12" s="6" t="s">
        <v>33</v>
      </c>
      <c r="G12" s="6" t="s">
        <v>11</v>
      </c>
      <c r="H12" s="6" t="s">
        <v>34</v>
      </c>
      <c r="I12" s="6" t="s">
        <v>35</v>
      </c>
      <c r="J12" s="6" t="s">
        <v>36</v>
      </c>
      <c r="K12" s="6" t="s">
        <v>21</v>
      </c>
      <c r="L12" s="6" t="s">
        <v>24</v>
      </c>
      <c r="M12" s="6" t="s">
        <v>27</v>
      </c>
    </row>
    <row r="13" spans="1:13" hidden="1" x14ac:dyDescent="0.3">
      <c r="A13" s="6" t="s">
        <v>37</v>
      </c>
      <c r="B13" s="6">
        <f>G13</f>
        <v>10</v>
      </c>
      <c r="C13" s="6">
        <f>G14</f>
        <v>30</v>
      </c>
      <c r="E13" s="199" t="s">
        <v>32</v>
      </c>
      <c r="F13" s="199"/>
      <c r="G13" s="15">
        <f>C4</f>
        <v>10</v>
      </c>
      <c r="H13" s="15">
        <f>40/B5*C5</f>
        <v>40</v>
      </c>
      <c r="I13" s="15">
        <f>15/B6*C6</f>
        <v>15</v>
      </c>
      <c r="J13" s="15">
        <f>10/B7*C7</f>
        <v>5.7142857142857144</v>
      </c>
      <c r="K13" s="15">
        <f>10/B8*C8</f>
        <v>0</v>
      </c>
      <c r="L13" s="15">
        <f>5/B9*C9</f>
        <v>0</v>
      </c>
      <c r="M13" s="15">
        <f>5/B10*C10</f>
        <v>0</v>
      </c>
    </row>
    <row r="14" spans="1:13" hidden="1" x14ac:dyDescent="0.3">
      <c r="A14" s="6" t="s">
        <v>38</v>
      </c>
      <c r="B14" s="6">
        <f>H13</f>
        <v>40</v>
      </c>
      <c r="C14" s="6">
        <f>H14</f>
        <v>30</v>
      </c>
      <c r="E14" s="199" t="s">
        <v>39</v>
      </c>
      <c r="F14" s="199"/>
      <c r="G14" s="6">
        <f>G13+20</f>
        <v>30</v>
      </c>
      <c r="H14" s="6">
        <f>30/B5*C5</f>
        <v>30</v>
      </c>
      <c r="I14" s="6">
        <f>15/B6*C6</f>
        <v>15</v>
      </c>
      <c r="J14" s="6">
        <f>10/B7*C7</f>
        <v>5.7142857142857144</v>
      </c>
      <c r="K14" s="6">
        <f>5/B8*C8</f>
        <v>0</v>
      </c>
      <c r="L14" s="6">
        <f>5/B9*C9</f>
        <v>0</v>
      </c>
      <c r="M14" s="6">
        <f>5/B10*C10</f>
        <v>0</v>
      </c>
    </row>
    <row r="15" spans="1:13" hidden="1" x14ac:dyDescent="0.3">
      <c r="A15" s="6" t="s">
        <v>35</v>
      </c>
      <c r="B15" s="6">
        <f>I13</f>
        <v>15</v>
      </c>
      <c r="C15" s="6">
        <f>I14</f>
        <v>15</v>
      </c>
    </row>
    <row r="16" spans="1:13" hidden="1" x14ac:dyDescent="0.3">
      <c r="A16" s="6" t="s">
        <v>36</v>
      </c>
      <c r="B16" s="6">
        <f>J13</f>
        <v>5.7142857142857144</v>
      </c>
      <c r="C16" s="6">
        <f>J14</f>
        <v>5.7142857142857144</v>
      </c>
    </row>
    <row r="17" spans="1:8" hidden="1" x14ac:dyDescent="0.3">
      <c r="A17" s="6" t="s">
        <v>21</v>
      </c>
      <c r="B17" s="6">
        <f>K13</f>
        <v>0</v>
      </c>
      <c r="C17" s="6">
        <f>K14</f>
        <v>0</v>
      </c>
    </row>
    <row r="18" spans="1:8" hidden="1" x14ac:dyDescent="0.3">
      <c r="A18" s="16" t="s">
        <v>24</v>
      </c>
      <c r="B18" s="6">
        <f>L13</f>
        <v>0</v>
      </c>
      <c r="C18" s="6">
        <f>L14</f>
        <v>0</v>
      </c>
    </row>
    <row r="19" spans="1:8" hidden="1" x14ac:dyDescent="0.3">
      <c r="A19" s="6" t="s">
        <v>27</v>
      </c>
      <c r="B19" s="6">
        <f>M13</f>
        <v>0</v>
      </c>
      <c r="C19" s="6">
        <f>M14</f>
        <v>0</v>
      </c>
    </row>
    <row r="20" spans="1:8" x14ac:dyDescent="0.3">
      <c r="A20" s="6" t="s">
        <v>40</v>
      </c>
      <c r="B20" s="17">
        <f>(B13+B14+B15+B16+B17+B18+B19)/100</f>
        <v>0.70714285714285707</v>
      </c>
      <c r="C20" s="17">
        <f>(C13+C14+C15+C16+C17+C18+C19)/100</f>
        <v>0.80714285714285705</v>
      </c>
      <c r="F20" s="197" t="s">
        <v>41</v>
      </c>
      <c r="G20" s="197"/>
      <c r="H20" s="10" t="s">
        <v>20</v>
      </c>
    </row>
    <row r="21" spans="1:8" x14ac:dyDescent="0.3">
      <c r="F21" s="197" t="s">
        <v>42</v>
      </c>
      <c r="G21" s="197"/>
      <c r="H21" s="10" t="s">
        <v>43</v>
      </c>
    </row>
    <row r="22" spans="1:8" x14ac:dyDescent="0.3">
      <c r="A22" s="4" t="s">
        <v>44</v>
      </c>
      <c r="B22" s="18">
        <v>0.01</v>
      </c>
      <c r="C22" s="18">
        <v>0.02</v>
      </c>
      <c r="F22" s="197" t="s">
        <v>45</v>
      </c>
      <c r="G22" s="197"/>
      <c r="H22" s="10" t="s">
        <v>46</v>
      </c>
    </row>
    <row r="23" spans="1:8" x14ac:dyDescent="0.3">
      <c r="A23" s="4" t="s">
        <v>47</v>
      </c>
      <c r="B23" s="18">
        <v>0.01</v>
      </c>
      <c r="C23" s="18">
        <v>0.03</v>
      </c>
    </row>
    <row r="24" spans="1:8" x14ac:dyDescent="0.3">
      <c r="A24" s="4" t="s">
        <v>48</v>
      </c>
      <c r="B24" s="18">
        <v>0.03</v>
      </c>
      <c r="C24" s="18">
        <v>0.08</v>
      </c>
    </row>
    <row r="25" spans="1:8" x14ac:dyDescent="0.3">
      <c r="A25" s="4" t="s">
        <v>49</v>
      </c>
      <c r="B25" s="18">
        <v>0.05</v>
      </c>
      <c r="C25" s="18">
        <v>0.15</v>
      </c>
    </row>
    <row r="26" spans="1:8" x14ac:dyDescent="0.3">
      <c r="A26" s="4" t="s">
        <v>50</v>
      </c>
      <c r="B26" s="18">
        <v>7.0000000000000007E-2</v>
      </c>
      <c r="C26" s="18">
        <v>0.2</v>
      </c>
    </row>
    <row r="27" spans="1:8" x14ac:dyDescent="0.3">
      <c r="A27" s="4" t="s">
        <v>51</v>
      </c>
      <c r="B27" s="18">
        <v>0.1</v>
      </c>
      <c r="C27" s="18">
        <v>0.3</v>
      </c>
    </row>
  </sheetData>
  <mergeCells count="12">
    <mergeCell ref="F22:G22"/>
    <mergeCell ref="F5:G5"/>
    <mergeCell ref="F6:G6"/>
    <mergeCell ref="F7:G7"/>
    <mergeCell ref="F8:G8"/>
    <mergeCell ref="F9:G9"/>
    <mergeCell ref="F10:G10"/>
    <mergeCell ref="F11:G11"/>
    <mergeCell ref="E13:F13"/>
    <mergeCell ref="E14:F14"/>
    <mergeCell ref="F20:G20"/>
    <mergeCell ref="F21:G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
  <sheetViews>
    <sheetView workbookViewId="0">
      <selection activeCell="C3" sqref="C3"/>
    </sheetView>
  </sheetViews>
  <sheetFormatPr defaultRowHeight="14" x14ac:dyDescent="0.3"/>
  <cols>
    <col min="1" max="1" width="31" style="4" customWidth="1"/>
    <col min="2" max="2" width="13.69921875" style="4" customWidth="1"/>
    <col min="3" max="4" width="9.296875" style="4"/>
    <col min="5" max="5" width="11.796875" style="4" customWidth="1"/>
    <col min="6" max="6" width="12.5" style="4" customWidth="1"/>
    <col min="7" max="7" width="9.296875" style="4"/>
    <col min="8" max="8" width="12.19921875" style="4" customWidth="1"/>
    <col min="9" max="9" width="18" style="4" customWidth="1"/>
    <col min="10" max="258" width="9.296875" style="4"/>
    <col min="259" max="259" width="13.69921875" style="4" customWidth="1"/>
    <col min="260" max="260" width="9.296875" style="4"/>
    <col min="261" max="261" width="17.19921875" style="4" customWidth="1"/>
    <col min="262" max="262" width="12.5" style="4" customWidth="1"/>
    <col min="263" max="514" width="9.296875" style="4"/>
    <col min="515" max="515" width="13.69921875" style="4" customWidth="1"/>
    <col min="516" max="516" width="9.296875" style="4"/>
    <col min="517" max="517" width="17.19921875" style="4" customWidth="1"/>
    <col min="518" max="518" width="12.5" style="4" customWidth="1"/>
    <col min="519" max="770" width="9.296875" style="4"/>
    <col min="771" max="771" width="13.69921875" style="4" customWidth="1"/>
    <col min="772" max="772" width="9.296875" style="4"/>
    <col min="773" max="773" width="17.19921875" style="4" customWidth="1"/>
    <col min="774" max="774" width="12.5" style="4" customWidth="1"/>
    <col min="775" max="1026" width="9.296875" style="4"/>
    <col min="1027" max="1027" width="13.69921875" style="4" customWidth="1"/>
    <col min="1028" max="1028" width="9.296875" style="4"/>
    <col min="1029" max="1029" width="17.19921875" style="4" customWidth="1"/>
    <col min="1030" max="1030" width="12.5" style="4" customWidth="1"/>
    <col min="1031" max="1282" width="9.296875" style="4"/>
    <col min="1283" max="1283" width="13.69921875" style="4" customWidth="1"/>
    <col min="1284" max="1284" width="9.296875" style="4"/>
    <col min="1285" max="1285" width="17.19921875" style="4" customWidth="1"/>
    <col min="1286" max="1286" width="12.5" style="4" customWidth="1"/>
    <col min="1287" max="1538" width="9.296875" style="4"/>
    <col min="1539" max="1539" width="13.69921875" style="4" customWidth="1"/>
    <col min="1540" max="1540" width="9.296875" style="4"/>
    <col min="1541" max="1541" width="17.19921875" style="4" customWidth="1"/>
    <col min="1542" max="1542" width="12.5" style="4" customWidth="1"/>
    <col min="1543" max="1794" width="9.296875" style="4"/>
    <col min="1795" max="1795" width="13.69921875" style="4" customWidth="1"/>
    <col min="1796" max="1796" width="9.296875" style="4"/>
    <col min="1797" max="1797" width="17.19921875" style="4" customWidth="1"/>
    <col min="1798" max="1798" width="12.5" style="4" customWidth="1"/>
    <col min="1799" max="2050" width="9.296875" style="4"/>
    <col min="2051" max="2051" width="13.69921875" style="4" customWidth="1"/>
    <col min="2052" max="2052" width="9.296875" style="4"/>
    <col min="2053" max="2053" width="17.19921875" style="4" customWidth="1"/>
    <col min="2054" max="2054" width="12.5" style="4" customWidth="1"/>
    <col min="2055" max="2306" width="9.296875" style="4"/>
    <col min="2307" max="2307" width="13.69921875" style="4" customWidth="1"/>
    <col min="2308" max="2308" width="9.296875" style="4"/>
    <col min="2309" max="2309" width="17.19921875" style="4" customWidth="1"/>
    <col min="2310" max="2310" width="12.5" style="4" customWidth="1"/>
    <col min="2311" max="2562" width="9.296875" style="4"/>
    <col min="2563" max="2563" width="13.69921875" style="4" customWidth="1"/>
    <col min="2564" max="2564" width="9.296875" style="4"/>
    <col min="2565" max="2565" width="17.19921875" style="4" customWidth="1"/>
    <col min="2566" max="2566" width="12.5" style="4" customWidth="1"/>
    <col min="2567" max="2818" width="9.296875" style="4"/>
    <col min="2819" max="2819" width="13.69921875" style="4" customWidth="1"/>
    <col min="2820" max="2820" width="9.296875" style="4"/>
    <col min="2821" max="2821" width="17.19921875" style="4" customWidth="1"/>
    <col min="2822" max="2822" width="12.5" style="4" customWidth="1"/>
    <col min="2823" max="3074" width="9.296875" style="4"/>
    <col min="3075" max="3075" width="13.69921875" style="4" customWidth="1"/>
    <col min="3076" max="3076" width="9.296875" style="4"/>
    <col min="3077" max="3077" width="17.19921875" style="4" customWidth="1"/>
    <col min="3078" max="3078" width="12.5" style="4" customWidth="1"/>
    <col min="3079" max="3330" width="9.296875" style="4"/>
    <col min="3331" max="3331" width="13.69921875" style="4" customWidth="1"/>
    <col min="3332" max="3332" width="9.296875" style="4"/>
    <col min="3333" max="3333" width="17.19921875" style="4" customWidth="1"/>
    <col min="3334" max="3334" width="12.5" style="4" customWidth="1"/>
    <col min="3335" max="3586" width="9.296875" style="4"/>
    <col min="3587" max="3587" width="13.69921875" style="4" customWidth="1"/>
    <col min="3588" max="3588" width="9.296875" style="4"/>
    <col min="3589" max="3589" width="17.19921875" style="4" customWidth="1"/>
    <col min="3590" max="3590" width="12.5" style="4" customWidth="1"/>
    <col min="3591" max="3842" width="9.296875" style="4"/>
    <col min="3843" max="3843" width="13.69921875" style="4" customWidth="1"/>
    <col min="3844" max="3844" width="9.296875" style="4"/>
    <col min="3845" max="3845" width="17.19921875" style="4" customWidth="1"/>
    <col min="3846" max="3846" width="12.5" style="4" customWidth="1"/>
    <col min="3847" max="4098" width="9.296875" style="4"/>
    <col min="4099" max="4099" width="13.69921875" style="4" customWidth="1"/>
    <col min="4100" max="4100" width="9.296875" style="4"/>
    <col min="4101" max="4101" width="17.19921875" style="4" customWidth="1"/>
    <col min="4102" max="4102" width="12.5" style="4" customWidth="1"/>
    <col min="4103" max="4354" width="9.296875" style="4"/>
    <col min="4355" max="4355" width="13.69921875" style="4" customWidth="1"/>
    <col min="4356" max="4356" width="9.296875" style="4"/>
    <col min="4357" max="4357" width="17.19921875" style="4" customWidth="1"/>
    <col min="4358" max="4358" width="12.5" style="4" customWidth="1"/>
    <col min="4359" max="4610" width="9.296875" style="4"/>
    <col min="4611" max="4611" width="13.69921875" style="4" customWidth="1"/>
    <col min="4612" max="4612" width="9.296875" style="4"/>
    <col min="4613" max="4613" width="17.19921875" style="4" customWidth="1"/>
    <col min="4614" max="4614" width="12.5" style="4" customWidth="1"/>
    <col min="4615" max="4866" width="9.296875" style="4"/>
    <col min="4867" max="4867" width="13.69921875" style="4" customWidth="1"/>
    <col min="4868" max="4868" width="9.296875" style="4"/>
    <col min="4869" max="4869" width="17.19921875" style="4" customWidth="1"/>
    <col min="4870" max="4870" width="12.5" style="4" customWidth="1"/>
    <col min="4871" max="5122" width="9.296875" style="4"/>
    <col min="5123" max="5123" width="13.69921875" style="4" customWidth="1"/>
    <col min="5124" max="5124" width="9.296875" style="4"/>
    <col min="5125" max="5125" width="17.19921875" style="4" customWidth="1"/>
    <col min="5126" max="5126" width="12.5" style="4" customWidth="1"/>
    <col min="5127" max="5378" width="9.296875" style="4"/>
    <col min="5379" max="5379" width="13.69921875" style="4" customWidth="1"/>
    <col min="5380" max="5380" width="9.296875" style="4"/>
    <col min="5381" max="5381" width="17.19921875" style="4" customWidth="1"/>
    <col min="5382" max="5382" width="12.5" style="4" customWidth="1"/>
    <col min="5383" max="5634" width="9.296875" style="4"/>
    <col min="5635" max="5635" width="13.69921875" style="4" customWidth="1"/>
    <col min="5636" max="5636" width="9.296875" style="4"/>
    <col min="5637" max="5637" width="17.19921875" style="4" customWidth="1"/>
    <col min="5638" max="5638" width="12.5" style="4" customWidth="1"/>
    <col min="5639" max="5890" width="9.296875" style="4"/>
    <col min="5891" max="5891" width="13.69921875" style="4" customWidth="1"/>
    <col min="5892" max="5892" width="9.296875" style="4"/>
    <col min="5893" max="5893" width="17.19921875" style="4" customWidth="1"/>
    <col min="5894" max="5894" width="12.5" style="4" customWidth="1"/>
    <col min="5895" max="6146" width="9.296875" style="4"/>
    <col min="6147" max="6147" width="13.69921875" style="4" customWidth="1"/>
    <col min="6148" max="6148" width="9.296875" style="4"/>
    <col min="6149" max="6149" width="17.19921875" style="4" customWidth="1"/>
    <col min="6150" max="6150" width="12.5" style="4" customWidth="1"/>
    <col min="6151" max="6402" width="9.296875" style="4"/>
    <col min="6403" max="6403" width="13.69921875" style="4" customWidth="1"/>
    <col min="6404" max="6404" width="9.296875" style="4"/>
    <col min="6405" max="6405" width="17.19921875" style="4" customWidth="1"/>
    <col min="6406" max="6406" width="12.5" style="4" customWidth="1"/>
    <col min="6407" max="6658" width="9.296875" style="4"/>
    <col min="6659" max="6659" width="13.69921875" style="4" customWidth="1"/>
    <col min="6660" max="6660" width="9.296875" style="4"/>
    <col min="6661" max="6661" width="17.19921875" style="4" customWidth="1"/>
    <col min="6662" max="6662" width="12.5" style="4" customWidth="1"/>
    <col min="6663" max="6914" width="9.296875" style="4"/>
    <col min="6915" max="6915" width="13.69921875" style="4" customWidth="1"/>
    <col min="6916" max="6916" width="9.296875" style="4"/>
    <col min="6917" max="6917" width="17.19921875" style="4" customWidth="1"/>
    <col min="6918" max="6918" width="12.5" style="4" customWidth="1"/>
    <col min="6919" max="7170" width="9.296875" style="4"/>
    <col min="7171" max="7171" width="13.69921875" style="4" customWidth="1"/>
    <col min="7172" max="7172" width="9.296875" style="4"/>
    <col min="7173" max="7173" width="17.19921875" style="4" customWidth="1"/>
    <col min="7174" max="7174" width="12.5" style="4" customWidth="1"/>
    <col min="7175" max="7426" width="9.296875" style="4"/>
    <col min="7427" max="7427" width="13.69921875" style="4" customWidth="1"/>
    <col min="7428" max="7428" width="9.296875" style="4"/>
    <col min="7429" max="7429" width="17.19921875" style="4" customWidth="1"/>
    <col min="7430" max="7430" width="12.5" style="4" customWidth="1"/>
    <col min="7431" max="7682" width="9.296875" style="4"/>
    <col min="7683" max="7683" width="13.69921875" style="4" customWidth="1"/>
    <col min="7684" max="7684" width="9.296875" style="4"/>
    <col min="7685" max="7685" width="17.19921875" style="4" customWidth="1"/>
    <col min="7686" max="7686" width="12.5" style="4" customWidth="1"/>
    <col min="7687" max="7938" width="9.296875" style="4"/>
    <col min="7939" max="7939" width="13.69921875" style="4" customWidth="1"/>
    <col min="7940" max="7940" width="9.296875" style="4"/>
    <col min="7941" max="7941" width="17.19921875" style="4" customWidth="1"/>
    <col min="7942" max="7942" width="12.5" style="4" customWidth="1"/>
    <col min="7943" max="8194" width="9.296875" style="4"/>
    <col min="8195" max="8195" width="13.69921875" style="4" customWidth="1"/>
    <col min="8196" max="8196" width="9.296875" style="4"/>
    <col min="8197" max="8197" width="17.19921875" style="4" customWidth="1"/>
    <col min="8198" max="8198" width="12.5" style="4" customWidth="1"/>
    <col min="8199" max="8450" width="9.296875" style="4"/>
    <col min="8451" max="8451" width="13.69921875" style="4" customWidth="1"/>
    <col min="8452" max="8452" width="9.296875" style="4"/>
    <col min="8453" max="8453" width="17.19921875" style="4" customWidth="1"/>
    <col min="8454" max="8454" width="12.5" style="4" customWidth="1"/>
    <col min="8455" max="8706" width="9.296875" style="4"/>
    <col min="8707" max="8707" width="13.69921875" style="4" customWidth="1"/>
    <col min="8708" max="8708" width="9.296875" style="4"/>
    <col min="8709" max="8709" width="17.19921875" style="4" customWidth="1"/>
    <col min="8710" max="8710" width="12.5" style="4" customWidth="1"/>
    <col min="8711" max="8962" width="9.296875" style="4"/>
    <col min="8963" max="8963" width="13.69921875" style="4" customWidth="1"/>
    <col min="8964" max="8964" width="9.296875" style="4"/>
    <col min="8965" max="8965" width="17.19921875" style="4" customWidth="1"/>
    <col min="8966" max="8966" width="12.5" style="4" customWidth="1"/>
    <col min="8967" max="9218" width="9.296875" style="4"/>
    <col min="9219" max="9219" width="13.69921875" style="4" customWidth="1"/>
    <col min="9220" max="9220" width="9.296875" style="4"/>
    <col min="9221" max="9221" width="17.19921875" style="4" customWidth="1"/>
    <col min="9222" max="9222" width="12.5" style="4" customWidth="1"/>
    <col min="9223" max="9474" width="9.296875" style="4"/>
    <col min="9475" max="9475" width="13.69921875" style="4" customWidth="1"/>
    <col min="9476" max="9476" width="9.296875" style="4"/>
    <col min="9477" max="9477" width="17.19921875" style="4" customWidth="1"/>
    <col min="9478" max="9478" width="12.5" style="4" customWidth="1"/>
    <col min="9479" max="9730" width="9.296875" style="4"/>
    <col min="9731" max="9731" width="13.69921875" style="4" customWidth="1"/>
    <col min="9732" max="9732" width="9.296875" style="4"/>
    <col min="9733" max="9733" width="17.19921875" style="4" customWidth="1"/>
    <col min="9734" max="9734" width="12.5" style="4" customWidth="1"/>
    <col min="9735" max="9986" width="9.296875" style="4"/>
    <col min="9987" max="9987" width="13.69921875" style="4" customWidth="1"/>
    <col min="9988" max="9988" width="9.296875" style="4"/>
    <col min="9989" max="9989" width="17.19921875" style="4" customWidth="1"/>
    <col min="9990" max="9990" width="12.5" style="4" customWidth="1"/>
    <col min="9991" max="10242" width="9.296875" style="4"/>
    <col min="10243" max="10243" width="13.69921875" style="4" customWidth="1"/>
    <col min="10244" max="10244" width="9.296875" style="4"/>
    <col min="10245" max="10245" width="17.19921875" style="4" customWidth="1"/>
    <col min="10246" max="10246" width="12.5" style="4" customWidth="1"/>
    <col min="10247" max="10498" width="9.296875" style="4"/>
    <col min="10499" max="10499" width="13.69921875" style="4" customWidth="1"/>
    <col min="10500" max="10500" width="9.296875" style="4"/>
    <col min="10501" max="10501" width="17.19921875" style="4" customWidth="1"/>
    <col min="10502" max="10502" width="12.5" style="4" customWidth="1"/>
    <col min="10503" max="10754" width="9.296875" style="4"/>
    <col min="10755" max="10755" width="13.69921875" style="4" customWidth="1"/>
    <col min="10756" max="10756" width="9.296875" style="4"/>
    <col min="10757" max="10757" width="17.19921875" style="4" customWidth="1"/>
    <col min="10758" max="10758" width="12.5" style="4" customWidth="1"/>
    <col min="10759" max="11010" width="9.296875" style="4"/>
    <col min="11011" max="11011" width="13.69921875" style="4" customWidth="1"/>
    <col min="11012" max="11012" width="9.296875" style="4"/>
    <col min="11013" max="11013" width="17.19921875" style="4" customWidth="1"/>
    <col min="11014" max="11014" width="12.5" style="4" customWidth="1"/>
    <col min="11015" max="11266" width="9.296875" style="4"/>
    <col min="11267" max="11267" width="13.69921875" style="4" customWidth="1"/>
    <col min="11268" max="11268" width="9.296875" style="4"/>
    <col min="11269" max="11269" width="17.19921875" style="4" customWidth="1"/>
    <col min="11270" max="11270" width="12.5" style="4" customWidth="1"/>
    <col min="11271" max="11522" width="9.296875" style="4"/>
    <col min="11523" max="11523" width="13.69921875" style="4" customWidth="1"/>
    <col min="11524" max="11524" width="9.296875" style="4"/>
    <col min="11525" max="11525" width="17.19921875" style="4" customWidth="1"/>
    <col min="11526" max="11526" width="12.5" style="4" customWidth="1"/>
    <col min="11527" max="11778" width="9.296875" style="4"/>
    <col min="11779" max="11779" width="13.69921875" style="4" customWidth="1"/>
    <col min="11780" max="11780" width="9.296875" style="4"/>
    <col min="11781" max="11781" width="17.19921875" style="4" customWidth="1"/>
    <col min="11782" max="11782" width="12.5" style="4" customWidth="1"/>
    <col min="11783" max="12034" width="9.296875" style="4"/>
    <col min="12035" max="12035" width="13.69921875" style="4" customWidth="1"/>
    <col min="12036" max="12036" width="9.296875" style="4"/>
    <col min="12037" max="12037" width="17.19921875" style="4" customWidth="1"/>
    <col min="12038" max="12038" width="12.5" style="4" customWidth="1"/>
    <col min="12039" max="12290" width="9.296875" style="4"/>
    <col min="12291" max="12291" width="13.69921875" style="4" customWidth="1"/>
    <col min="12292" max="12292" width="9.296875" style="4"/>
    <col min="12293" max="12293" width="17.19921875" style="4" customWidth="1"/>
    <col min="12294" max="12294" width="12.5" style="4" customWidth="1"/>
    <col min="12295" max="12546" width="9.296875" style="4"/>
    <col min="12547" max="12547" width="13.69921875" style="4" customWidth="1"/>
    <col min="12548" max="12548" width="9.296875" style="4"/>
    <col min="12549" max="12549" width="17.19921875" style="4" customWidth="1"/>
    <col min="12550" max="12550" width="12.5" style="4" customWidth="1"/>
    <col min="12551" max="12802" width="9.296875" style="4"/>
    <col min="12803" max="12803" width="13.69921875" style="4" customWidth="1"/>
    <col min="12804" max="12804" width="9.296875" style="4"/>
    <col min="12805" max="12805" width="17.19921875" style="4" customWidth="1"/>
    <col min="12806" max="12806" width="12.5" style="4" customWidth="1"/>
    <col min="12807" max="13058" width="9.296875" style="4"/>
    <col min="13059" max="13059" width="13.69921875" style="4" customWidth="1"/>
    <col min="13060" max="13060" width="9.296875" style="4"/>
    <col min="13061" max="13061" width="17.19921875" style="4" customWidth="1"/>
    <col min="13062" max="13062" width="12.5" style="4" customWidth="1"/>
    <col min="13063" max="13314" width="9.296875" style="4"/>
    <col min="13315" max="13315" width="13.69921875" style="4" customWidth="1"/>
    <col min="13316" max="13316" width="9.296875" style="4"/>
    <col min="13317" max="13317" width="17.19921875" style="4" customWidth="1"/>
    <col min="13318" max="13318" width="12.5" style="4" customWidth="1"/>
    <col min="13319" max="13570" width="9.296875" style="4"/>
    <col min="13571" max="13571" width="13.69921875" style="4" customWidth="1"/>
    <col min="13572" max="13572" width="9.296875" style="4"/>
    <col min="13573" max="13573" width="17.19921875" style="4" customWidth="1"/>
    <col min="13574" max="13574" width="12.5" style="4" customWidth="1"/>
    <col min="13575" max="13826" width="9.296875" style="4"/>
    <col min="13827" max="13827" width="13.69921875" style="4" customWidth="1"/>
    <col min="13828" max="13828" width="9.296875" style="4"/>
    <col min="13829" max="13829" width="17.19921875" style="4" customWidth="1"/>
    <col min="13830" max="13830" width="12.5" style="4" customWidth="1"/>
    <col min="13831" max="14082" width="9.296875" style="4"/>
    <col min="14083" max="14083" width="13.69921875" style="4" customWidth="1"/>
    <col min="14084" max="14084" width="9.296875" style="4"/>
    <col min="14085" max="14085" width="17.19921875" style="4" customWidth="1"/>
    <col min="14086" max="14086" width="12.5" style="4" customWidth="1"/>
    <col min="14087" max="14338" width="9.296875" style="4"/>
    <col min="14339" max="14339" width="13.69921875" style="4" customWidth="1"/>
    <col min="14340" max="14340" width="9.296875" style="4"/>
    <col min="14341" max="14341" width="17.19921875" style="4" customWidth="1"/>
    <col min="14342" max="14342" width="12.5" style="4" customWidth="1"/>
    <col min="14343" max="14594" width="9.296875" style="4"/>
    <col min="14595" max="14595" width="13.69921875" style="4" customWidth="1"/>
    <col min="14596" max="14596" width="9.296875" style="4"/>
    <col min="14597" max="14597" width="17.19921875" style="4" customWidth="1"/>
    <col min="14598" max="14598" width="12.5" style="4" customWidth="1"/>
    <col min="14599" max="14850" width="9.296875" style="4"/>
    <col min="14851" max="14851" width="13.69921875" style="4" customWidth="1"/>
    <col min="14852" max="14852" width="9.296875" style="4"/>
    <col min="14853" max="14853" width="17.19921875" style="4" customWidth="1"/>
    <col min="14854" max="14854" width="12.5" style="4" customWidth="1"/>
    <col min="14855" max="15106" width="9.296875" style="4"/>
    <col min="15107" max="15107" width="13.69921875" style="4" customWidth="1"/>
    <col min="15108" max="15108" width="9.296875" style="4"/>
    <col min="15109" max="15109" width="17.19921875" style="4" customWidth="1"/>
    <col min="15110" max="15110" width="12.5" style="4" customWidth="1"/>
    <col min="15111" max="15362" width="9.296875" style="4"/>
    <col min="15363" max="15363" width="13.69921875" style="4" customWidth="1"/>
    <col min="15364" max="15364" width="9.296875" style="4"/>
    <col min="15365" max="15365" width="17.19921875" style="4" customWidth="1"/>
    <col min="15366" max="15366" width="12.5" style="4" customWidth="1"/>
    <col min="15367" max="15618" width="9.296875" style="4"/>
    <col min="15619" max="15619" width="13.69921875" style="4" customWidth="1"/>
    <col min="15620" max="15620" width="9.296875" style="4"/>
    <col min="15621" max="15621" width="17.19921875" style="4" customWidth="1"/>
    <col min="15622" max="15622" width="12.5" style="4" customWidth="1"/>
    <col min="15623" max="15874" width="9.296875" style="4"/>
    <col min="15875" max="15875" width="13.69921875" style="4" customWidth="1"/>
    <col min="15876" max="15876" width="9.296875" style="4"/>
    <col min="15877" max="15877" width="17.19921875" style="4" customWidth="1"/>
    <col min="15878" max="15878" width="12.5" style="4" customWidth="1"/>
    <col min="15879" max="16130" width="9.296875" style="4"/>
    <col min="16131" max="16131" width="13.69921875" style="4" customWidth="1"/>
    <col min="16132" max="16132" width="9.296875" style="4"/>
    <col min="16133" max="16133" width="17.19921875" style="4" customWidth="1"/>
    <col min="16134" max="16134" width="12.5" style="4" customWidth="1"/>
    <col min="16135" max="16384" width="9.296875" style="4"/>
  </cols>
  <sheetData>
    <row r="2" spans="1:13" x14ac:dyDescent="0.3">
      <c r="E2" s="5" t="s">
        <v>4</v>
      </c>
      <c r="F2" s="6" t="s">
        <v>5</v>
      </c>
      <c r="G2" s="6" t="s">
        <v>6</v>
      </c>
      <c r="H2" s="6" t="s">
        <v>7</v>
      </c>
      <c r="I2" s="6" t="s">
        <v>8</v>
      </c>
    </row>
    <row r="3" spans="1:13" x14ac:dyDescent="0.3">
      <c r="A3" s="4" t="s">
        <v>9</v>
      </c>
      <c r="B3" s="7" t="s">
        <v>10</v>
      </c>
      <c r="C3" s="7">
        <v>5</v>
      </c>
      <c r="D3" s="8"/>
      <c r="E3" s="6">
        <f>F3+G3+H3+I3</f>
        <v>5</v>
      </c>
      <c r="F3" s="9">
        <v>0</v>
      </c>
      <c r="G3" s="9">
        <v>0</v>
      </c>
      <c r="H3" s="9">
        <v>1</v>
      </c>
      <c r="I3" s="9">
        <v>4</v>
      </c>
    </row>
    <row r="4" spans="1:13" x14ac:dyDescent="0.3">
      <c r="A4" s="4" t="s">
        <v>11</v>
      </c>
      <c r="B4" s="10">
        <v>10</v>
      </c>
      <c r="C4" s="11">
        <v>10</v>
      </c>
      <c r="D4" s="12">
        <f>((100/B4)*C4)/100</f>
        <v>1</v>
      </c>
    </row>
    <row r="5" spans="1:13" x14ac:dyDescent="0.3">
      <c r="A5" s="4" t="s">
        <v>12</v>
      </c>
      <c r="B5" s="10">
        <f>E3</f>
        <v>5</v>
      </c>
      <c r="C5" s="11">
        <v>5</v>
      </c>
      <c r="D5" s="12">
        <f t="shared" ref="D5:D10" si="0">((100/B5)*C5)/100</f>
        <v>1</v>
      </c>
      <c r="F5" s="198" t="s">
        <v>13</v>
      </c>
      <c r="G5" s="198"/>
      <c r="H5" s="13" t="s">
        <v>14</v>
      </c>
    </row>
    <row r="6" spans="1:13" x14ac:dyDescent="0.3">
      <c r="A6" s="4" t="s">
        <v>15</v>
      </c>
      <c r="B6" s="10">
        <f>C3</f>
        <v>5</v>
      </c>
      <c r="C6" s="11">
        <v>3</v>
      </c>
      <c r="D6" s="12">
        <f t="shared" si="0"/>
        <v>0.6</v>
      </c>
      <c r="F6" s="197" t="s">
        <v>16</v>
      </c>
      <c r="G6" s="197"/>
      <c r="H6" s="10" t="s">
        <v>17</v>
      </c>
    </row>
    <row r="7" spans="1:13" x14ac:dyDescent="0.3">
      <c r="A7" s="4" t="s">
        <v>18</v>
      </c>
      <c r="B7" s="10">
        <f>C3</f>
        <v>5</v>
      </c>
      <c r="C7" s="11">
        <v>0</v>
      </c>
      <c r="D7" s="12">
        <f t="shared" si="0"/>
        <v>0</v>
      </c>
      <c r="F7" s="197" t="s">
        <v>19</v>
      </c>
      <c r="G7" s="197"/>
      <c r="H7" s="10" t="s">
        <v>20</v>
      </c>
    </row>
    <row r="8" spans="1:13" x14ac:dyDescent="0.3">
      <c r="A8" s="4" t="s">
        <v>21</v>
      </c>
      <c r="B8" s="10">
        <f>C3</f>
        <v>5</v>
      </c>
      <c r="C8" s="11">
        <v>0</v>
      </c>
      <c r="D8" s="12">
        <f t="shared" si="0"/>
        <v>0</v>
      </c>
      <c r="F8" s="197" t="s">
        <v>22</v>
      </c>
      <c r="G8" s="197"/>
      <c r="H8" s="10" t="s">
        <v>23</v>
      </c>
    </row>
    <row r="9" spans="1:13" x14ac:dyDescent="0.3">
      <c r="A9" s="14" t="s">
        <v>24</v>
      </c>
      <c r="B9" s="10">
        <f>C3</f>
        <v>5</v>
      </c>
      <c r="C9" s="11">
        <v>0</v>
      </c>
      <c r="D9" s="12">
        <f t="shared" si="0"/>
        <v>0</v>
      </c>
      <c r="F9" s="197" t="s">
        <v>25</v>
      </c>
      <c r="G9" s="197"/>
      <c r="H9" s="10" t="s">
        <v>26</v>
      </c>
    </row>
    <row r="10" spans="1:13" x14ac:dyDescent="0.3">
      <c r="A10" s="4" t="s">
        <v>27</v>
      </c>
      <c r="B10" s="10">
        <f>C3</f>
        <v>5</v>
      </c>
      <c r="C10" s="11">
        <v>0</v>
      </c>
      <c r="D10" s="12">
        <f t="shared" si="0"/>
        <v>0</v>
      </c>
      <c r="F10" s="197" t="s">
        <v>28</v>
      </c>
      <c r="G10" s="197"/>
      <c r="H10" s="10" t="s">
        <v>29</v>
      </c>
    </row>
    <row r="11" spans="1:13" x14ac:dyDescent="0.3">
      <c r="F11" s="197" t="s">
        <v>30</v>
      </c>
      <c r="G11" s="197"/>
      <c r="H11" s="10" t="s">
        <v>31</v>
      </c>
    </row>
    <row r="12" spans="1:13" hidden="1" x14ac:dyDescent="0.3">
      <c r="A12" s="6"/>
      <c r="B12" s="6" t="s">
        <v>32</v>
      </c>
      <c r="C12" s="6" t="s">
        <v>33</v>
      </c>
      <c r="G12" s="6" t="s">
        <v>11</v>
      </c>
      <c r="H12" s="6" t="s">
        <v>34</v>
      </c>
      <c r="I12" s="6" t="s">
        <v>35</v>
      </c>
      <c r="J12" s="6" t="s">
        <v>36</v>
      </c>
      <c r="K12" s="6" t="s">
        <v>21</v>
      </c>
      <c r="L12" s="6" t="s">
        <v>24</v>
      </c>
      <c r="M12" s="6" t="s">
        <v>27</v>
      </c>
    </row>
    <row r="13" spans="1:13" hidden="1" x14ac:dyDescent="0.3">
      <c r="A13" s="6" t="s">
        <v>37</v>
      </c>
      <c r="B13" s="6">
        <f>G13</f>
        <v>10</v>
      </c>
      <c r="C13" s="6">
        <f>G14</f>
        <v>30</v>
      </c>
      <c r="E13" s="199" t="s">
        <v>32</v>
      </c>
      <c r="F13" s="199"/>
      <c r="G13" s="15">
        <f>C4</f>
        <v>10</v>
      </c>
      <c r="H13" s="15">
        <f>40/B5*C5</f>
        <v>40</v>
      </c>
      <c r="I13" s="15">
        <f>15/B6*C6</f>
        <v>9</v>
      </c>
      <c r="J13" s="15">
        <f>10/B7*C7</f>
        <v>0</v>
      </c>
      <c r="K13" s="15">
        <f>10/B8*C8</f>
        <v>0</v>
      </c>
      <c r="L13" s="15">
        <f>5/B9*C9</f>
        <v>0</v>
      </c>
      <c r="M13" s="15">
        <f>5/B10*C10</f>
        <v>0</v>
      </c>
    </row>
    <row r="14" spans="1:13" hidden="1" x14ac:dyDescent="0.3">
      <c r="A14" s="6" t="s">
        <v>38</v>
      </c>
      <c r="B14" s="6">
        <f>H13</f>
        <v>40</v>
      </c>
      <c r="C14" s="6">
        <f>H14</f>
        <v>30</v>
      </c>
      <c r="E14" s="199" t="s">
        <v>39</v>
      </c>
      <c r="F14" s="199"/>
      <c r="G14" s="6">
        <f>G13+20</f>
        <v>30</v>
      </c>
      <c r="H14" s="6">
        <f>30/B5*C5</f>
        <v>30</v>
      </c>
      <c r="I14" s="6">
        <f>15/B6*C6</f>
        <v>9</v>
      </c>
      <c r="J14" s="6">
        <f>10/B7*C7</f>
        <v>0</v>
      </c>
      <c r="K14" s="6">
        <f>5/B8*C8</f>
        <v>0</v>
      </c>
      <c r="L14" s="6">
        <f>5/B9*C9</f>
        <v>0</v>
      </c>
      <c r="M14" s="6">
        <f>5/B10*C10</f>
        <v>0</v>
      </c>
    </row>
    <row r="15" spans="1:13" hidden="1" x14ac:dyDescent="0.3">
      <c r="A15" s="6" t="s">
        <v>35</v>
      </c>
      <c r="B15" s="6">
        <f>I13</f>
        <v>9</v>
      </c>
      <c r="C15" s="6">
        <f>I14</f>
        <v>9</v>
      </c>
    </row>
    <row r="16" spans="1:13" hidden="1" x14ac:dyDescent="0.3">
      <c r="A16" s="6" t="s">
        <v>36</v>
      </c>
      <c r="B16" s="6">
        <f>J13</f>
        <v>0</v>
      </c>
      <c r="C16" s="6">
        <f>J14</f>
        <v>0</v>
      </c>
    </row>
    <row r="17" spans="1:8" hidden="1" x14ac:dyDescent="0.3">
      <c r="A17" s="6" t="s">
        <v>21</v>
      </c>
      <c r="B17" s="6">
        <f>K13</f>
        <v>0</v>
      </c>
      <c r="C17" s="6">
        <f>K14</f>
        <v>0</v>
      </c>
    </row>
    <row r="18" spans="1:8" hidden="1" x14ac:dyDescent="0.3">
      <c r="A18" s="16" t="s">
        <v>24</v>
      </c>
      <c r="B18" s="6">
        <f>L13</f>
        <v>0</v>
      </c>
      <c r="C18" s="6">
        <f>L14</f>
        <v>0</v>
      </c>
    </row>
    <row r="19" spans="1:8" hidden="1" x14ac:dyDescent="0.3">
      <c r="A19" s="6" t="s">
        <v>27</v>
      </c>
      <c r="B19" s="6">
        <f>M13</f>
        <v>0</v>
      </c>
      <c r="C19" s="6">
        <f>M14</f>
        <v>0</v>
      </c>
    </row>
    <row r="20" spans="1:8" x14ac:dyDescent="0.3">
      <c r="A20" s="6" t="s">
        <v>40</v>
      </c>
      <c r="B20" s="17">
        <f>(B13+B14+B15+B16+B17+B18+B19)/100</f>
        <v>0.59</v>
      </c>
      <c r="C20" s="17">
        <f>(C13+C14+C15+C16+C17+C18+C19)/100</f>
        <v>0.69</v>
      </c>
      <c r="F20" s="197" t="s">
        <v>41</v>
      </c>
      <c r="G20" s="197"/>
      <c r="H20" s="10" t="s">
        <v>20</v>
      </c>
    </row>
    <row r="21" spans="1:8" x14ac:dyDescent="0.3">
      <c r="F21" s="197" t="s">
        <v>42</v>
      </c>
      <c r="G21" s="197"/>
      <c r="H21" s="10" t="s">
        <v>43</v>
      </c>
    </row>
    <row r="22" spans="1:8" x14ac:dyDescent="0.3">
      <c r="A22" s="4" t="s">
        <v>44</v>
      </c>
      <c r="B22" s="18">
        <v>0.01</v>
      </c>
      <c r="C22" s="18">
        <v>0.02</v>
      </c>
      <c r="F22" s="197" t="s">
        <v>45</v>
      </c>
      <c r="G22" s="197"/>
      <c r="H22" s="10" t="s">
        <v>46</v>
      </c>
    </row>
    <row r="23" spans="1:8" x14ac:dyDescent="0.3">
      <c r="A23" s="4" t="s">
        <v>47</v>
      </c>
      <c r="B23" s="18">
        <v>0.01</v>
      </c>
      <c r="C23" s="18">
        <v>0.03</v>
      </c>
    </row>
    <row r="24" spans="1:8" x14ac:dyDescent="0.3">
      <c r="A24" s="4" t="s">
        <v>48</v>
      </c>
      <c r="B24" s="18">
        <v>0.03</v>
      </c>
      <c r="C24" s="18">
        <v>0.08</v>
      </c>
    </row>
    <row r="25" spans="1:8" x14ac:dyDescent="0.3">
      <c r="A25" s="4" t="s">
        <v>49</v>
      </c>
      <c r="B25" s="18">
        <v>0.05</v>
      </c>
      <c r="C25" s="18">
        <v>0.15</v>
      </c>
    </row>
    <row r="26" spans="1:8" x14ac:dyDescent="0.3">
      <c r="A26" s="4" t="s">
        <v>50</v>
      </c>
      <c r="B26" s="18">
        <v>7.0000000000000007E-2</v>
      </c>
      <c r="C26" s="18">
        <v>0.2</v>
      </c>
    </row>
    <row r="27" spans="1:8" x14ac:dyDescent="0.3">
      <c r="A27" s="4" t="s">
        <v>51</v>
      </c>
      <c r="B27" s="18">
        <v>0.1</v>
      </c>
      <c r="C27" s="18">
        <v>0.3</v>
      </c>
    </row>
  </sheetData>
  <mergeCells count="12">
    <mergeCell ref="F22:G22"/>
    <mergeCell ref="F5:G5"/>
    <mergeCell ref="F6:G6"/>
    <mergeCell ref="F7:G7"/>
    <mergeCell ref="F8:G8"/>
    <mergeCell ref="F9:G9"/>
    <mergeCell ref="F10:G10"/>
    <mergeCell ref="F11:G11"/>
    <mergeCell ref="E13:F13"/>
    <mergeCell ref="E14:F14"/>
    <mergeCell ref="F20:G20"/>
    <mergeCell ref="F21:G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L18" sqref="L18"/>
    </sheetView>
  </sheetViews>
  <sheetFormatPr defaultColWidth="8.69921875" defaultRowHeight="14.5" x14ac:dyDescent="0.35"/>
  <cols>
    <col min="1" max="1" width="10.5" style="30" bestFit="1" customWidth="1"/>
    <col min="2" max="2" width="22.19921875" style="30" customWidth="1"/>
    <col min="3" max="3" width="37" style="30" customWidth="1"/>
    <col min="4" max="5" width="11.5" style="30" customWidth="1"/>
    <col min="6" max="6" width="14" style="30" customWidth="1"/>
    <col min="7" max="7" width="20" style="30" customWidth="1"/>
    <col min="8" max="8" width="16.5" style="30" customWidth="1"/>
    <col min="9" max="16384" width="8.69921875" style="30"/>
  </cols>
  <sheetData>
    <row r="1" spans="1:9" x14ac:dyDescent="0.35">
      <c r="A1" s="29">
        <v>44174</v>
      </c>
      <c r="B1" s="30" t="s">
        <v>195</v>
      </c>
    </row>
    <row r="2" spans="1:9" x14ac:dyDescent="0.35">
      <c r="A2" s="31"/>
      <c r="B2" s="31"/>
      <c r="C2" s="31"/>
      <c r="D2" s="31"/>
      <c r="E2" s="31"/>
      <c r="F2" s="31"/>
      <c r="G2" s="31"/>
      <c r="H2" s="31"/>
    </row>
    <row r="3" spans="1:9" x14ac:dyDescent="0.35">
      <c r="A3" s="31"/>
      <c r="B3" s="200" t="s">
        <v>196</v>
      </c>
      <c r="C3" s="200"/>
      <c r="D3" s="200"/>
      <c r="E3" s="200"/>
      <c r="F3" s="200"/>
      <c r="G3" s="200"/>
      <c r="H3" s="200"/>
    </row>
    <row r="4" spans="1:9" x14ac:dyDescent="0.35">
      <c r="A4" s="31"/>
      <c r="B4" s="32" t="s">
        <v>197</v>
      </c>
      <c r="C4" s="32" t="s">
        <v>198</v>
      </c>
      <c r="D4" s="32" t="s">
        <v>199</v>
      </c>
      <c r="E4" s="32" t="s">
        <v>200</v>
      </c>
      <c r="F4" s="32" t="s">
        <v>201</v>
      </c>
      <c r="G4" s="32" t="s">
        <v>202</v>
      </c>
      <c r="H4" s="32" t="s">
        <v>203</v>
      </c>
    </row>
    <row r="5" spans="1:9" x14ac:dyDescent="0.35">
      <c r="A5" s="31"/>
      <c r="B5" s="33" t="s">
        <v>205</v>
      </c>
      <c r="C5" s="34" t="s">
        <v>208</v>
      </c>
      <c r="D5" s="33" t="s">
        <v>210</v>
      </c>
      <c r="E5" s="33">
        <v>285</v>
      </c>
      <c r="F5" s="35">
        <f>E5*1.45</f>
        <v>413.25</v>
      </c>
      <c r="G5" s="35">
        <f>H5/F5</f>
        <v>3552.3290986085904</v>
      </c>
      <c r="H5" s="36">
        <v>1468000</v>
      </c>
    </row>
    <row r="6" spans="1:9" x14ac:dyDescent="0.35">
      <c r="A6" s="31"/>
      <c r="B6" s="33" t="s">
        <v>205</v>
      </c>
      <c r="C6" s="34" t="s">
        <v>208</v>
      </c>
      <c r="D6" s="33" t="s">
        <v>211</v>
      </c>
      <c r="E6" s="33">
        <v>411</v>
      </c>
      <c r="F6" s="35">
        <f t="shared" ref="F6:F10" si="0">E6*1.45</f>
        <v>595.94999999999993</v>
      </c>
      <c r="G6" s="35">
        <f t="shared" ref="G6:G10" si="1">H6/F6</f>
        <v>3567.4133736051685</v>
      </c>
      <c r="H6" s="36">
        <v>2126000</v>
      </c>
    </row>
    <row r="7" spans="1:9" x14ac:dyDescent="0.35">
      <c r="A7" s="31"/>
      <c r="B7" s="33" t="s">
        <v>205</v>
      </c>
      <c r="C7" s="34" t="s">
        <v>208</v>
      </c>
      <c r="D7" s="33" t="s">
        <v>212</v>
      </c>
      <c r="E7" s="33">
        <v>551</v>
      </c>
      <c r="F7" s="35">
        <f t="shared" si="0"/>
        <v>798.94999999999993</v>
      </c>
      <c r="G7" s="35">
        <f t="shared" si="1"/>
        <v>3545.9039989986859</v>
      </c>
      <c r="H7" s="36">
        <v>2833000</v>
      </c>
    </row>
    <row r="8" spans="1:9" x14ac:dyDescent="0.35">
      <c r="A8" s="31"/>
      <c r="B8" s="33" t="s">
        <v>204</v>
      </c>
      <c r="C8" s="34" t="s">
        <v>208</v>
      </c>
      <c r="D8" s="33" t="s">
        <v>210</v>
      </c>
      <c r="E8" s="33">
        <v>249</v>
      </c>
      <c r="F8" s="35">
        <f t="shared" si="0"/>
        <v>361.05</v>
      </c>
      <c r="G8" s="35">
        <f t="shared" si="1"/>
        <v>3669.8518210774132</v>
      </c>
      <c r="H8" s="36">
        <v>1325000</v>
      </c>
    </row>
    <row r="9" spans="1:9" x14ac:dyDescent="0.35">
      <c r="A9" s="31"/>
      <c r="B9" s="33" t="s">
        <v>204</v>
      </c>
      <c r="C9" s="34" t="s">
        <v>208</v>
      </c>
      <c r="D9" s="33" t="s">
        <v>211</v>
      </c>
      <c r="E9" s="33">
        <v>344</v>
      </c>
      <c r="F9" s="35">
        <f t="shared" si="0"/>
        <v>498.8</v>
      </c>
      <c r="G9" s="35">
        <f t="shared" si="1"/>
        <v>3668.8051323175619</v>
      </c>
      <c r="H9" s="36">
        <v>1830000</v>
      </c>
    </row>
    <row r="10" spans="1:9" x14ac:dyDescent="0.35">
      <c r="A10" s="31"/>
      <c r="B10" s="33" t="s">
        <v>204</v>
      </c>
      <c r="C10" s="34" t="s">
        <v>208</v>
      </c>
      <c r="D10" s="33" t="s">
        <v>212</v>
      </c>
      <c r="E10" s="33">
        <v>540</v>
      </c>
      <c r="F10" s="35">
        <f t="shared" si="0"/>
        <v>783</v>
      </c>
      <c r="G10" s="35">
        <f t="shared" si="1"/>
        <v>3669.2209450830142</v>
      </c>
      <c r="H10" s="36">
        <v>2873000</v>
      </c>
    </row>
    <row r="11" spans="1:9" x14ac:dyDescent="0.35">
      <c r="A11" s="31"/>
      <c r="B11" s="37" t="s">
        <v>206</v>
      </c>
      <c r="C11" s="33"/>
      <c r="D11" s="33"/>
      <c r="E11" s="33"/>
      <c r="F11" s="33"/>
      <c r="G11" s="38">
        <f>AVERAGE(G5:G10)</f>
        <v>3612.2540616150714</v>
      </c>
      <c r="H11" s="33"/>
    </row>
    <row r="12" spans="1:9" x14ac:dyDescent="0.35">
      <c r="B12" s="37" t="s">
        <v>207</v>
      </c>
      <c r="C12" s="33"/>
      <c r="D12" s="33"/>
      <c r="E12" s="33"/>
      <c r="F12" s="39"/>
      <c r="G12" s="37">
        <v>3600</v>
      </c>
      <c r="H12" s="37"/>
      <c r="I12" s="40"/>
    </row>
  </sheetData>
  <mergeCells count="1">
    <mergeCell ref="B3:H3"/>
  </mergeCells>
  <phoneticPr fontId="19"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Note</vt:lpstr>
      <vt:lpstr>A%</vt:lpstr>
      <vt:lpstr>B% (2)</vt:lpstr>
      <vt:lpstr>C% (3)</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VSJCV - AXIS - APF New - June 19 - 04223</dc:title>
  <dc:creator>VSJ-01</dc:creator>
  <cp:lastModifiedBy>Hp Elitebook 840 G6</cp:lastModifiedBy>
  <cp:lastPrinted>2025-09-01T06:15:00Z</cp:lastPrinted>
  <dcterms:created xsi:type="dcterms:W3CDTF">2020-07-13T07:05:04Z</dcterms:created>
  <dcterms:modified xsi:type="dcterms:W3CDTF">2025-09-01T06:17:57Z</dcterms:modified>
</cp:coreProperties>
</file>