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03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M136" i="1" l="1"/>
  <c r="J97" i="1"/>
  <c r="L135" i="1"/>
  <c r="L138" i="1"/>
  <c r="L136" i="1"/>
  <c r="L137" i="1"/>
  <c r="L139" i="1"/>
  <c r="L140" i="1"/>
  <c r="L141" i="1"/>
  <c r="L142" i="1"/>
  <c r="D142" i="1" l="1"/>
  <c r="D141" i="1"/>
  <c r="J141" i="1" s="1"/>
  <c r="D139" i="1"/>
  <c r="J139" i="1" s="1"/>
  <c r="D138" i="1"/>
  <c r="K135" i="1" s="1"/>
  <c r="E136" i="1"/>
  <c r="E135" i="1"/>
  <c r="D136" i="1"/>
  <c r="D135" i="1"/>
  <c r="J135" i="1" s="1"/>
  <c r="D130" i="1"/>
  <c r="F130" i="1" s="1"/>
  <c r="D129" i="1"/>
  <c r="F129" i="1" s="1"/>
  <c r="D128" i="1"/>
  <c r="F128" i="1" s="1"/>
  <c r="D127" i="1"/>
  <c r="F127" i="1" s="1"/>
  <c r="D126" i="1"/>
  <c r="D125" i="1"/>
  <c r="D122" i="1"/>
  <c r="D121" i="1"/>
  <c r="D120" i="1"/>
  <c r="D119" i="1"/>
  <c r="D117" i="1"/>
  <c r="D116" i="1"/>
  <c r="D115" i="1"/>
  <c r="F115" i="1" s="1"/>
  <c r="D114" i="1"/>
  <c r="D113" i="1"/>
  <c r="D112" i="1"/>
  <c r="D111" i="1"/>
  <c r="I112" i="1"/>
  <c r="I141" i="1"/>
  <c r="I135" i="1"/>
  <c r="I125" i="1"/>
  <c r="I126" i="1"/>
  <c r="F126" i="1"/>
  <c r="F125" i="1"/>
  <c r="A139" i="1"/>
  <c r="G138" i="1"/>
  <c r="A126" i="1"/>
  <c r="A127" i="1" s="1"/>
  <c r="A128" i="1" s="1"/>
  <c r="A129" i="1" s="1"/>
  <c r="A130" i="1" s="1"/>
  <c r="G125" i="1"/>
  <c r="C102" i="1" l="1"/>
  <c r="C103" i="1" s="1"/>
  <c r="C98" i="1"/>
  <c r="J138" i="1"/>
  <c r="J136" i="1"/>
  <c r="E102" i="1"/>
  <c r="E103" i="1" s="1"/>
  <c r="C97" i="1"/>
  <c r="E97" i="1"/>
  <c r="E98" i="1"/>
  <c r="F122" i="1"/>
  <c r="F120" i="1"/>
  <c r="F121" i="1"/>
  <c r="A120" i="1"/>
  <c r="A121" i="1" s="1"/>
  <c r="A122" i="1" s="1"/>
  <c r="G119" i="1"/>
  <c r="F119" i="1"/>
  <c r="I114" i="1"/>
  <c r="I111" i="1"/>
  <c r="I117" i="1"/>
  <c r="F117" i="1"/>
  <c r="F116" i="1"/>
  <c r="C99" i="1" l="1"/>
  <c r="G98" i="1"/>
  <c r="E99" i="1"/>
  <c r="D59" i="1"/>
  <c r="E29" i="1"/>
  <c r="B146" i="1"/>
  <c r="C65" i="1"/>
  <c r="B66" i="1" s="1"/>
  <c r="E24" i="1"/>
  <c r="E26" i="1" l="1"/>
  <c r="C14" i="1"/>
  <c r="E104" i="1" l="1"/>
  <c r="C104" i="1"/>
  <c r="E42" i="1" l="1"/>
  <c r="E43" i="1" s="1"/>
  <c r="A136" i="1" l="1"/>
  <c r="G135" i="1"/>
  <c r="F94" i="1" l="1"/>
  <c r="F112" i="1" l="1"/>
  <c r="F113" i="1"/>
  <c r="F114" i="1"/>
  <c r="F111" i="1"/>
  <c r="G97" i="1" s="1"/>
  <c r="G99" i="1" s="1"/>
  <c r="G102" i="1" l="1"/>
  <c r="G103" i="1" s="1"/>
  <c r="G104" i="1" s="1"/>
  <c r="B14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7" i="1"/>
  <c r="G141" i="1"/>
  <c r="A142" i="1"/>
  <c r="A112" i="1"/>
  <c r="A113" i="1" s="1"/>
  <c r="A114" i="1" s="1"/>
  <c r="A115" i="1" s="1"/>
  <c r="A116" i="1" s="1"/>
  <c r="A117" i="1" s="1"/>
  <c r="G111" i="1"/>
  <c r="D54" i="1"/>
  <c r="C49" i="1"/>
  <c r="C50" i="1" s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<sst xmlns="http://schemas.openxmlformats.org/spreadsheetml/2006/main" count="299" uniqueCount="236">
  <si>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</si>
  <si>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</si>
  <si>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</si>
  <si>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</si>
  <si>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</si>
  <si>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</si>
  <si>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</si>
  <si>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</si>
  <si>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</si>
  <si>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</si>
  <si>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</si>
  <si>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</si>
  <si>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</si>
  <si>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</si>
  <si>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</si>
  <si>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</si>
  <si>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</si>
  <si>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</si>
  <si>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</si>
  <si>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</si>
  <si>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</si>
  <si>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</si>
  <si>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</si>
  <si>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</si>
  <si>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</si>
  <si>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</si>
  <si>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</si>
  <si>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</si>
  <si>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</si>
  <si>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</si>
  <si>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</si>
  <si>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</si>
  <si>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</si>
  <si>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</si>
  <si>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</si>
  <si>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</si>
  <si>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</si>
  <si>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</si>
  <si>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</si>
  <si>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</si>
  <si>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</si>
  <si>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</si>
  <si>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</si>
  <si>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</si>
  <si>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</si>
  <si>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</si>
  <si>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</si>
  <si>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</si>
  <si>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</si>
  <si>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</si>
  <si>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</si>
  <si>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</si>
  <si>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</si>
  <si>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</si>
  <si>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</si>
  <si>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</si>
  <si>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</si>
  <si>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</si>
  <si>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</si>
  <si>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</si>
  <si>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</si>
  <si>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</si>
  <si>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</si>
  <si>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</si>
  <si>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</si>
  <si>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</si>
  <si>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</si>
  <si>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</si>
  <si>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</si>
  <si>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</si>
  <si>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</si>
  <si>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</si>
  <si>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</si>
  <si>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</si>
  <si>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</si>
  <si>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</si>
  <si>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</si>
  <si>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</si>
  <si>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</si>
  <si>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</si>
  <si>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</si>
  <si>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</si>
  <si>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</si>
  <si>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</si>
  <si>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</si>
  <si>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</si>
  <si>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</si>
  <si>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</si>
  <si>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</si>
  <si>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</si>
  <si>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</si>
  <si>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</si>
  <si>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</si>
  <si>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</si>
  <si>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</si>
  <si>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</si>
  <si>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</si>
  <si>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</si>
  <si>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</si>
  <si>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</si>
  <si>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</si>
  <si>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</si>
  <si>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</si>
  <si>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</si>
  <si>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</si>
  <si>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</si>
  <si>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</si>
  <si>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</si>
  <si>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</si>
  <si>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</si>
  <si>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</si>
  <si>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</si>
  <si>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</si>
  <si>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</si>
  <si>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</si>
  <si>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</si>
  <si>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</si>
  <si>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</si>
  <si>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</si>
  <si>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</si>
  <si>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</si>
  <si>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</si>
  <si>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</si>
  <si>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</si>
  <si>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</si>
  <si>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</si>
  <si>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</si>
  <si>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</si>
  <si>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</si>
  <si>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</si>
  <si>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</si>
  <si>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</si>
  <si>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</si>
  <si>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</si>
  <si>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</si>
  <si>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</si>
  <si>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</si>
  <si>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</si>
  <si>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</si>
  <si>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</si>
  <si>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</si>
  <si>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</si>
  <si>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</si>
  <si>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</si>
  <si>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</si>
  <si>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</si>
  <si>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</si>
  <si>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</si>
  <si>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</si>
  <si>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</si>
  <si>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</si>
  <si>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</si>
  <si>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</si>
  <si>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</si>
  <si>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</si>
  <si>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</si>
  <si>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</si>
  <si>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</si>
  <si>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</si>
  <si>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</si>
  <si>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</si>
  <si>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</si>
  <si>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</si>
  <si>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</si>
  <si>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</si>
  <si>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</si>
  <si>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</si>
  <si>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</si>
  <si>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</si>
  <si>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</si>
  <si>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</si>
  <si>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</si>
  <si>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</si>
  <si>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</si>
  <si>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Name of the builder</t>
  </si>
  <si>
    <t>Raj Paradise</t>
  </si>
  <si>
    <t>Mr.Pravin Vaidabde - 9920490707</t>
  </si>
  <si>
    <t>P51700034254</t>
  </si>
  <si>
    <t>Thane</t>
  </si>
  <si>
    <t>Kalyan</t>
  </si>
  <si>
    <t>Gandhare</t>
  </si>
  <si>
    <t>19.258708, 73.137787</t>
  </si>
  <si>
    <t>https://goo.gl/maps/Fo7JNeteHwrF1xZK8?coh=178572&amp;entry=tt</t>
  </si>
  <si>
    <t>Internal Road</t>
  </si>
  <si>
    <t>Mid Town Heritage</t>
  </si>
  <si>
    <t>Aadinath Palace</t>
  </si>
  <si>
    <t>Vrindavan Paradise</t>
  </si>
  <si>
    <t>Om Heritage</t>
  </si>
  <si>
    <t>Khadakpada</t>
  </si>
  <si>
    <t>Kalyan (West)</t>
  </si>
  <si>
    <t>Kalyan Dombivli Municipal Corporation (KDMC)</t>
  </si>
  <si>
    <t>KDMC/TPD/BP/KD/2012-13/249/123</t>
  </si>
  <si>
    <t>As per Rera wing B will be meditation center.</t>
  </si>
  <si>
    <t>02 Building</t>
  </si>
  <si>
    <t>Building A = G + 1st to 14th Floor</t>
  </si>
  <si>
    <t>As per RERA - 31/12/2025</t>
  </si>
  <si>
    <t xml:space="preserve">Ground Floor For Entrance Lobby, Meter Room &amp; Commercial </t>
  </si>
  <si>
    <t>Shop</t>
  </si>
  <si>
    <t>Building A</t>
  </si>
  <si>
    <t xml:space="preserve">1st Floor For Commercial </t>
  </si>
  <si>
    <t>Office</t>
  </si>
  <si>
    <t>Shop Duplex With 1st Floor</t>
  </si>
  <si>
    <t>-</t>
  </si>
  <si>
    <t>Office Duplex With Ground Floor</t>
  </si>
  <si>
    <t>3rd Floor For Residential</t>
  </si>
  <si>
    <t>4th to 7th &amp; 9th to 12th Floor</t>
  </si>
  <si>
    <t>3BHK</t>
  </si>
  <si>
    <t>8th &amp; 13th Floor (Part Refuge Area)</t>
  </si>
  <si>
    <t>14th Floor For Club House &amp; Society Office</t>
  </si>
  <si>
    <t>We considered Gross carpet area = Net carpet + Enclose balcony + Balcony + A.P Area.</t>
  </si>
  <si>
    <t>Commercial Area Details : Building A</t>
  </si>
  <si>
    <t>Residential Area Details : Building A</t>
  </si>
  <si>
    <t>Flats</t>
  </si>
  <si>
    <t>Fire Protection And Fire Safety Requirements, Water Conservation, Rain water Harvesting, Street Lighting, Garden, Club House etc.</t>
  </si>
  <si>
    <t>Flats - 22, Shops - 07, Offices - 10</t>
  </si>
  <si>
    <t>Builder Saleable area Loading :</t>
  </si>
  <si>
    <t>Approved Plans, CC, Builder Saleable Area, Cost Sheet</t>
  </si>
  <si>
    <t>Mangalmurti Infra</t>
  </si>
  <si>
    <t>Mr. Ashish Arvind Kapote</t>
  </si>
  <si>
    <t>23, H.No.4(P), New S.No.23, H.No.4/2, Plot - A</t>
  </si>
  <si>
    <t>Old Survey No</t>
  </si>
  <si>
    <t>Construction work is in process at the time of Visit.</t>
  </si>
  <si>
    <t>Cost Sheet</t>
  </si>
  <si>
    <t>Tulsi Ariana</t>
  </si>
  <si>
    <t>Vedant Palacia</t>
  </si>
  <si>
    <t xml:space="preserve">Office </t>
  </si>
  <si>
    <t>3.7 KM from Kalyan Railway Station Railway Station</t>
  </si>
  <si>
    <t>Pawan Atharva Phase I</t>
  </si>
  <si>
    <t>50,45</t>
  </si>
  <si>
    <t>2.5L</t>
  </si>
  <si>
    <t>Recommended rate of the Office for 1st Floor Per Sq. Ft.</t>
  </si>
  <si>
    <t>Recommended rate of the Shop for Ground floor Per Sq. Ft.</t>
  </si>
  <si>
    <t>Recommended rate of the Shop for Ground floor (Duplex) Per Sq. Ft.</t>
  </si>
  <si>
    <t>Recommended rate of the Office for 2nd Floor Per Sq. Ft.</t>
  </si>
  <si>
    <t>Pooja Kawale</t>
  </si>
  <si>
    <t>Prem Yerunkar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</si>
</sst>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27272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5" fillId="0" borderId="19" xfId="0" applyFont="1" applyBorder="1"/>
    <xf numFmtId="0" fontId="25" fillId="0" borderId="3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167" fontId="7" fillId="0" borderId="0" xfId="9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7" fillId="0" borderId="0" xfId="0" applyFont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0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138482</xdr:colOff>
      <xdr:row>263</xdr:row>
      <xdr:rowOff>160240</xdr:rowOff>
    </xdr:from>
    <xdr:to>
      <xdr:col>7</xdr:col>
      <xdr:colOff>15596</xdr:colOff>
      <xdr:row>280</xdr:row>
      <xdr:rowOff>14535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0482" y="58271399"/>
          <a:ext cx="480413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168841</xdr:colOff>
      <xdr:row>220</xdr:row>
      <xdr:rowOff>170468</xdr:rowOff>
    </xdr:from>
    <xdr:to>
      <xdr:col>5</xdr:col>
      <xdr:colOff>562919</xdr:colOff>
      <xdr:row>235</xdr:row>
      <xdr:rowOff>63081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7477" y="48488195"/>
          <a:ext cx="296582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381000</xdr:colOff>
      <xdr:row>211</xdr:row>
      <xdr:rowOff>8659</xdr:rowOff>
    </xdr:from>
    <xdr:to>
      <xdr:col>6</xdr:col>
      <xdr:colOff>368078</xdr:colOff>
      <xdr:row>220</xdr:row>
      <xdr:rowOff>16228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" y="46533954"/>
          <a:ext cx="4134783" cy="18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13623</xdr:colOff>
      <xdr:row>229</xdr:row>
      <xdr:rowOff>38625</xdr:rowOff>
    </xdr:from>
    <xdr:to>
      <xdr:col>3</xdr:col>
      <xdr:colOff>403282</xdr:colOff>
      <xdr:row>230</xdr:row>
      <xdr:rowOff>12751</xdr:rowOff>
    </xdr:to>
    <xdr:sp macro="" textlink="">
      <xdr:nvSpPr>
        <xdr:cNvPr id="12" name="Rectangle 11"/>
        <xdr:cNvSpPr/>
      </xdr:nvSpPr>
      <xdr:spPr>
        <a:xfrm rot="1229893">
          <a:off x="2420850" y="50148784"/>
          <a:ext cx="389659" cy="17328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762001</xdr:colOff>
      <xdr:row>271</xdr:row>
      <xdr:rowOff>164523</xdr:rowOff>
    </xdr:from>
    <xdr:to>
      <xdr:col>4</xdr:col>
      <xdr:colOff>303069</xdr:colOff>
      <xdr:row>273</xdr:row>
      <xdr:rowOff>51955</xdr:rowOff>
    </xdr:to>
    <xdr:sp macro="" textlink="">
      <xdr:nvSpPr>
        <xdr:cNvPr id="13" name="Rectangle 12"/>
        <xdr:cNvSpPr/>
      </xdr:nvSpPr>
      <xdr:spPr>
        <a:xfrm rot="1541092">
          <a:off x="3169228" y="59868955"/>
          <a:ext cx="484909" cy="2857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181841</xdr:colOff>
      <xdr:row>213</xdr:row>
      <xdr:rowOff>147204</xdr:rowOff>
    </xdr:from>
    <xdr:to>
      <xdr:col>5</xdr:col>
      <xdr:colOff>216478</xdr:colOff>
      <xdr:row>217</xdr:row>
      <xdr:rowOff>129886</xdr:rowOff>
    </xdr:to>
    <xdr:sp macro="" textlink="">
      <xdr:nvSpPr>
        <xdr:cNvPr id="14" name="Rectangle 13"/>
        <xdr:cNvSpPr/>
      </xdr:nvSpPr>
      <xdr:spPr>
        <a:xfrm>
          <a:off x="2589068" y="47070818"/>
          <a:ext cx="1757796" cy="7793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60614</xdr:colOff>
      <xdr:row>217</xdr:row>
      <xdr:rowOff>112568</xdr:rowOff>
    </xdr:from>
    <xdr:to>
      <xdr:col>5</xdr:col>
      <xdr:colOff>129887</xdr:colOff>
      <xdr:row>218</xdr:row>
      <xdr:rowOff>155864</xdr:rowOff>
    </xdr:to>
    <xdr:sp macro="" textlink="">
      <xdr:nvSpPr>
        <xdr:cNvPr id="15" name="TextBox 14"/>
        <xdr:cNvSpPr txBox="1"/>
      </xdr:nvSpPr>
      <xdr:spPr>
        <a:xfrm>
          <a:off x="3411682" y="47832818"/>
          <a:ext cx="848591" cy="242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A</a:t>
          </a:r>
        </a:p>
      </xdr:txBody>
    </xdr:sp>
    <xdr:clientData/>
  </xdr:twoCellAnchor>
  <xdr:twoCellAnchor editAs="oneCell">
    <xdr:from>
      <xdr:col>1</xdr:col>
      <xdr:colOff>285749</xdr:colOff>
      <xdr:row>247</xdr:row>
      <xdr:rowOff>17319</xdr:rowOff>
    </xdr:from>
    <xdr:to>
      <xdr:col>6</xdr:col>
      <xdr:colOff>682260</xdr:colOff>
      <xdr:row>263</xdr:row>
      <xdr:rowOff>67750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49" y="54941933"/>
          <a:ext cx="4544216" cy="32369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848592</xdr:colOff>
      <xdr:row>97</xdr:row>
      <xdr:rowOff>181842</xdr:rowOff>
    </xdr:from>
    <xdr:to>
      <xdr:col>13</xdr:col>
      <xdr:colOff>89016</xdr:colOff>
      <xdr:row>101</xdr:row>
      <xdr:rowOff>71006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68887" y="21950797"/>
          <a:ext cx="3855720" cy="6858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167</xdr:row>
      <xdr:rowOff>101600</xdr:rowOff>
    </xdr:from>
    <xdr:to>
      <xdr:col>7</xdr:col>
      <xdr:colOff>462090</xdr:colOff>
      <xdr:row>208</xdr:row>
      <xdr:rowOff>57150</xdr:rowOff>
    </xdr:to>
    <xdr:grpSp>
      <xdr:nvGrpSpPr>
        <xdr:cNvPr id="25" name="Group 24"/>
        <xdr:cNvGrpSpPr/>
      </xdr:nvGrpSpPr>
      <xdr:grpSpPr>
        <a:xfrm>
          <a:off x="342900" y="35750500"/>
          <a:ext cx="6094540" cy="8020050"/>
          <a:chOff x="342900" y="35750500"/>
          <a:chExt cx="6094540" cy="8020050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35750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068" y="3984739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5424" y="42144298"/>
            <a:ext cx="1625063" cy="16262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5780" y="398459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5424" y="398459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5068" y="42144298"/>
            <a:ext cx="1618313" cy="16262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0533" y="357505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5780" y="42144298"/>
            <a:ext cx="1625063" cy="162625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o7JNeteHwrF1xZK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4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20.26953125" style="18" customWidth="1"/>
    <col min="10" max="10" width="11.453125" style="18" customWidth="1"/>
    <col min="11" max="11" width="10.54296875" style="18" bestFit="1" customWidth="1"/>
    <col min="12" max="12" width="15.17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34" t="s">
        <v>168</v>
      </c>
      <c r="B1" s="134"/>
      <c r="C1" s="134"/>
      <c r="D1" s="134"/>
      <c r="E1" s="134"/>
      <c r="F1" s="134"/>
      <c r="G1" s="134"/>
      <c r="H1" s="134"/>
    </row>
    <row r="2" spans="1:8" ht="16.5" customHeight="1" x14ac:dyDescent="0.35">
      <c r="A2" s="109" t="s">
        <v>0</v>
      </c>
      <c r="B2" s="109"/>
      <c r="C2" s="109"/>
      <c r="D2" s="109"/>
      <c r="E2" s="109"/>
      <c r="F2" s="109"/>
      <c r="G2" s="109"/>
      <c r="H2" s="109"/>
    </row>
    <row r="3" spans="1:8" x14ac:dyDescent="0.35">
      <c r="A3" s="89" t="s">
        <v>1</v>
      </c>
      <c r="B3" s="89"/>
      <c r="C3" s="89"/>
      <c r="D3" s="89"/>
      <c r="E3" s="89" t="str">
        <f ca="1">TEXT(TODAY(),"DD/MM/YYYY")</f>
        <v>03/09/2025</v>
      </c>
      <c r="F3" s="89"/>
      <c r="G3" s="89"/>
      <c r="H3" s="89"/>
    </row>
    <row r="4" spans="1:8" x14ac:dyDescent="0.35">
      <c r="A4" s="89" t="s">
        <v>2</v>
      </c>
      <c r="B4" s="89"/>
      <c r="C4" s="89"/>
      <c r="D4" s="89"/>
      <c r="E4" s="89" t="s">
        <v>173</v>
      </c>
      <c r="F4" s="89"/>
      <c r="G4" s="89"/>
      <c r="H4" s="89"/>
    </row>
    <row r="5" spans="1:8" x14ac:dyDescent="0.35">
      <c r="A5" s="89" t="s">
        <v>3</v>
      </c>
      <c r="B5" s="89"/>
      <c r="C5" s="89"/>
      <c r="D5" s="89"/>
      <c r="E5" s="138">
        <v>45903</v>
      </c>
      <c r="F5" s="89"/>
      <c r="G5" s="89"/>
      <c r="H5" s="89"/>
    </row>
    <row r="6" spans="1:8" ht="16.5" customHeight="1" x14ac:dyDescent="0.35">
      <c r="A6" s="89" t="s">
        <v>174</v>
      </c>
      <c r="B6" s="89"/>
      <c r="C6" s="89"/>
      <c r="D6" s="89"/>
      <c r="E6" s="89" t="s">
        <v>218</v>
      </c>
      <c r="F6" s="89"/>
      <c r="G6" s="89"/>
      <c r="H6" s="89"/>
    </row>
    <row r="7" spans="1:8" x14ac:dyDescent="0.35">
      <c r="A7" s="89" t="s">
        <v>4</v>
      </c>
      <c r="B7" s="89"/>
      <c r="C7" s="89"/>
      <c r="D7" s="89"/>
      <c r="E7" s="89" t="s">
        <v>217</v>
      </c>
      <c r="F7" s="89"/>
      <c r="G7" s="89"/>
      <c r="H7" s="89"/>
    </row>
    <row r="8" spans="1:8" x14ac:dyDescent="0.35">
      <c r="A8" s="89" t="s">
        <v>5</v>
      </c>
      <c r="B8" s="89"/>
      <c r="C8" s="89"/>
      <c r="D8" s="89"/>
      <c r="E8" s="135" t="s">
        <v>175</v>
      </c>
      <c r="F8" s="136"/>
      <c r="G8" s="136"/>
      <c r="H8" s="137"/>
    </row>
    <row r="9" spans="1:8" x14ac:dyDescent="0.35">
      <c r="A9" s="89" t="s">
        <v>171</v>
      </c>
      <c r="B9" s="89"/>
      <c r="C9" s="89"/>
      <c r="D9" s="89"/>
      <c r="E9" s="89" t="s">
        <v>176</v>
      </c>
      <c r="F9" s="89"/>
      <c r="G9" s="89"/>
      <c r="H9" s="89"/>
    </row>
    <row r="10" spans="1:8" x14ac:dyDescent="0.35">
      <c r="A10" s="89" t="s">
        <v>172</v>
      </c>
      <c r="B10" s="89"/>
      <c r="C10" s="89"/>
      <c r="D10" s="89"/>
      <c r="E10" s="89">
        <v>8999691416</v>
      </c>
      <c r="F10" s="89"/>
      <c r="G10" s="89"/>
      <c r="H10" s="89"/>
    </row>
    <row r="11" spans="1:8" x14ac:dyDescent="0.35">
      <c r="A11" s="89" t="s">
        <v>6</v>
      </c>
      <c r="B11" s="89"/>
      <c r="C11" s="89"/>
      <c r="D11" s="89"/>
      <c r="E11" s="89" t="s">
        <v>198</v>
      </c>
      <c r="F11" s="89"/>
      <c r="G11" s="89"/>
      <c r="H11" s="89"/>
    </row>
    <row r="12" spans="1:8" ht="32.25" customHeight="1" x14ac:dyDescent="0.35">
      <c r="A12" s="77" t="s">
        <v>7</v>
      </c>
      <c r="B12" s="77"/>
      <c r="C12" s="77"/>
      <c r="D12" s="77"/>
      <c r="E12" s="88" t="s">
        <v>216</v>
      </c>
      <c r="F12" s="88"/>
      <c r="G12" s="88"/>
      <c r="H12" s="88"/>
    </row>
    <row r="13" spans="1:8" x14ac:dyDescent="0.35">
      <c r="A13" s="77" t="s">
        <v>8</v>
      </c>
      <c r="B13" s="77"/>
      <c r="C13" s="77"/>
      <c r="D13" s="77"/>
      <c r="E13" s="88" t="s">
        <v>177</v>
      </c>
      <c r="F13" s="89"/>
      <c r="G13" s="89"/>
      <c r="H13" s="89"/>
    </row>
    <row r="14" spans="1:8" ht="48.75" customHeight="1" x14ac:dyDescent="0.35">
      <c r="A14" s="88" t="s">
        <v>9</v>
      </c>
      <c r="B14" s="88"/>
      <c r="C14" s="8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Raj Paradise, Old Survey No.23, H.No.4(P), New S.No.23, H.No.4/2, Plot - A, near Mid Town Heritage, Internal Road, Khadakpada, Gandhare, Kalyan (West), Kalyan, Thane - 421301.</v>
      </c>
      <c r="D14" s="88"/>
      <c r="E14" s="88"/>
      <c r="F14" s="88"/>
      <c r="G14" s="88"/>
      <c r="H14" s="88"/>
    </row>
    <row r="15" spans="1:8" x14ac:dyDescent="0.35">
      <c r="A15" s="88" t="s">
        <v>220</v>
      </c>
      <c r="B15" s="88"/>
      <c r="C15" s="88" t="s">
        <v>219</v>
      </c>
      <c r="D15" s="88"/>
      <c r="E15" s="88"/>
      <c r="F15" s="88"/>
      <c r="G15" s="88"/>
      <c r="H15" s="88"/>
    </row>
    <row r="16" spans="1:8" ht="15.75" customHeight="1" x14ac:dyDescent="0.35">
      <c r="A16" s="88" t="s">
        <v>166</v>
      </c>
      <c r="B16" s="88"/>
      <c r="C16" s="88" t="s">
        <v>188</v>
      </c>
      <c r="D16" s="88"/>
      <c r="E16" s="88"/>
      <c r="F16" s="88"/>
      <c r="G16" s="88"/>
      <c r="H16" s="88"/>
    </row>
    <row r="17" spans="1:8" ht="15.75" customHeight="1" x14ac:dyDescent="0.35">
      <c r="A17" s="88" t="s">
        <v>10</v>
      </c>
      <c r="B17" s="88"/>
      <c r="C17" s="89" t="s">
        <v>183</v>
      </c>
      <c r="D17" s="89"/>
      <c r="E17" s="88" t="s">
        <v>73</v>
      </c>
      <c r="F17" s="88"/>
      <c r="G17" s="88" t="s">
        <v>180</v>
      </c>
      <c r="H17" s="88"/>
    </row>
    <row r="18" spans="1:8" x14ac:dyDescent="0.35">
      <c r="A18" s="89" t="s">
        <v>12</v>
      </c>
      <c r="B18" s="89"/>
      <c r="C18" s="88" t="s">
        <v>189</v>
      </c>
      <c r="D18" s="88"/>
      <c r="E18" s="88" t="s">
        <v>11</v>
      </c>
      <c r="F18" s="88"/>
      <c r="G18" s="139" t="s">
        <v>178</v>
      </c>
      <c r="H18" s="139"/>
    </row>
    <row r="19" spans="1:8" x14ac:dyDescent="0.35">
      <c r="A19" s="89" t="s">
        <v>74</v>
      </c>
      <c r="B19" s="89"/>
      <c r="C19" s="88" t="s">
        <v>179</v>
      </c>
      <c r="D19" s="88"/>
      <c r="E19" s="88" t="s">
        <v>13</v>
      </c>
      <c r="F19" s="88"/>
      <c r="G19" s="88">
        <v>421301</v>
      </c>
      <c r="H19" s="88"/>
    </row>
    <row r="20" spans="1:8" ht="51" customHeight="1" x14ac:dyDescent="0.35">
      <c r="A20" s="89" t="s">
        <v>125</v>
      </c>
      <c r="B20" s="89"/>
      <c r="C20" s="88" t="s">
        <v>184</v>
      </c>
      <c r="D20" s="88"/>
      <c r="E20" s="88" t="s">
        <v>14</v>
      </c>
      <c r="F20" s="88"/>
      <c r="G20" s="88" t="s">
        <v>226</v>
      </c>
      <c r="H20" s="88"/>
    </row>
    <row r="21" spans="1:8" ht="15" customHeight="1" x14ac:dyDescent="0.35">
      <c r="A21" s="87" t="s">
        <v>76</v>
      </c>
      <c r="B21" s="87"/>
      <c r="C21" s="87"/>
      <c r="D21" s="87"/>
      <c r="E21" s="89" t="s">
        <v>15</v>
      </c>
      <c r="F21" s="89"/>
      <c r="G21" s="89"/>
      <c r="H21" s="89"/>
    </row>
    <row r="22" spans="1:8" ht="18.75" customHeight="1" x14ac:dyDescent="0.35">
      <c r="A22" s="87"/>
      <c r="B22" s="87"/>
      <c r="C22" s="87"/>
      <c r="D22" s="87"/>
      <c r="E22" s="89"/>
      <c r="F22" s="89"/>
      <c r="G22" s="89"/>
      <c r="H22" s="89"/>
    </row>
    <row r="23" spans="1:8" ht="15" customHeight="1" x14ac:dyDescent="0.35">
      <c r="A23" s="87" t="s">
        <v>16</v>
      </c>
      <c r="B23" s="87"/>
      <c r="C23" s="87"/>
      <c r="D23" s="87"/>
      <c r="E23" s="88" t="s">
        <v>17</v>
      </c>
      <c r="F23" s="88"/>
      <c r="G23" s="88"/>
      <c r="H23" s="88"/>
    </row>
    <row r="24" spans="1:8" ht="15" customHeight="1" x14ac:dyDescent="0.35">
      <c r="A24" s="77" t="s">
        <v>18</v>
      </c>
      <c r="B24" s="77"/>
      <c r="C24" s="77"/>
      <c r="D24" s="77"/>
      <c r="E24" s="140" t="str">
        <f>IF(AND(G18="Mumbai"),"Upper Class","Middle Class")</f>
        <v>Middle Class</v>
      </c>
      <c r="F24" s="140"/>
      <c r="G24" s="140"/>
      <c r="H24" s="140"/>
    </row>
    <row r="25" spans="1:8" x14ac:dyDescent="0.35">
      <c r="A25" s="77" t="s">
        <v>19</v>
      </c>
      <c r="B25" s="77"/>
      <c r="C25" s="77"/>
      <c r="D25" s="77"/>
      <c r="E25" s="88" t="s">
        <v>20</v>
      </c>
      <c r="F25" s="88"/>
      <c r="G25" s="88"/>
      <c r="H25" s="88"/>
    </row>
    <row r="26" spans="1:8" ht="15.75" customHeight="1" x14ac:dyDescent="0.35">
      <c r="A26" s="77" t="s">
        <v>21</v>
      </c>
      <c r="B26" s="77"/>
      <c r="C26" s="77"/>
      <c r="D26" s="77"/>
      <c r="E26" s="140" t="str">
        <f>IF(AND(G18="Mumbai"),"Developed","Developing")</f>
        <v>Developing</v>
      </c>
      <c r="F26" s="140"/>
      <c r="G26" s="140"/>
      <c r="H26" s="140"/>
    </row>
    <row r="27" spans="1:8" x14ac:dyDescent="0.35">
      <c r="A27" s="77" t="s">
        <v>22</v>
      </c>
      <c r="B27" s="77"/>
      <c r="C27" s="77"/>
      <c r="D27" s="77"/>
      <c r="E27" s="88" t="s">
        <v>23</v>
      </c>
      <c r="F27" s="88"/>
      <c r="G27" s="88"/>
      <c r="H27" s="88"/>
    </row>
    <row r="28" spans="1:8" ht="15.75" customHeight="1" x14ac:dyDescent="0.35">
      <c r="A28" s="77" t="s">
        <v>81</v>
      </c>
      <c r="B28" s="77"/>
      <c r="C28" s="77"/>
      <c r="D28" s="77"/>
      <c r="E28" s="88" t="s">
        <v>82</v>
      </c>
      <c r="F28" s="88"/>
      <c r="G28" s="88"/>
      <c r="H28" s="88"/>
    </row>
    <row r="29" spans="1:8" ht="15" customHeight="1" x14ac:dyDescent="0.35">
      <c r="A29" s="77" t="s">
        <v>32</v>
      </c>
      <c r="B29" s="77"/>
      <c r="C29" s="77"/>
      <c r="D29" s="77"/>
      <c r="E29" s="14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40"/>
      <c r="G29" s="140"/>
      <c r="H29" s="140"/>
    </row>
    <row r="30" spans="1:8" ht="15.75" customHeight="1" x14ac:dyDescent="0.35">
      <c r="A30" s="77" t="s">
        <v>93</v>
      </c>
      <c r="B30" s="77"/>
      <c r="C30" s="77"/>
      <c r="D30" s="77"/>
      <c r="E30" s="88" t="s">
        <v>33</v>
      </c>
      <c r="F30" s="88"/>
      <c r="G30" s="88"/>
      <c r="H30" s="88"/>
    </row>
    <row r="31" spans="1:8" s="19" customFormat="1" x14ac:dyDescent="0.35">
      <c r="A31" s="144" t="s">
        <v>94</v>
      </c>
      <c r="B31" s="144"/>
      <c r="C31" s="143" t="s">
        <v>28</v>
      </c>
      <c r="D31" s="143"/>
      <c r="E31" s="143"/>
      <c r="F31" s="143" t="s">
        <v>30</v>
      </c>
      <c r="G31" s="143"/>
      <c r="H31" s="143"/>
    </row>
    <row r="32" spans="1:8" s="19" customFormat="1" x14ac:dyDescent="0.35">
      <c r="A32" s="141" t="s">
        <v>24</v>
      </c>
      <c r="B32" s="141" t="s">
        <v>29</v>
      </c>
      <c r="C32" s="142" t="s">
        <v>29</v>
      </c>
      <c r="D32" s="142"/>
      <c r="E32" s="142"/>
      <c r="F32" s="142" t="s">
        <v>185</v>
      </c>
      <c r="G32" s="142"/>
      <c r="H32" s="142"/>
    </row>
    <row r="33" spans="1:8" x14ac:dyDescent="0.35">
      <c r="A33" s="141" t="s">
        <v>25</v>
      </c>
      <c r="B33" s="141" t="s">
        <v>29</v>
      </c>
      <c r="C33" s="142" t="s">
        <v>29</v>
      </c>
      <c r="D33" s="142"/>
      <c r="E33" s="142"/>
      <c r="F33" s="142" t="s">
        <v>186</v>
      </c>
      <c r="G33" s="142"/>
      <c r="H33" s="142"/>
    </row>
    <row r="34" spans="1:8" s="19" customFormat="1" x14ac:dyDescent="0.35">
      <c r="A34" s="141" t="s">
        <v>27</v>
      </c>
      <c r="B34" s="141" t="s">
        <v>29</v>
      </c>
      <c r="C34" s="142" t="s">
        <v>29</v>
      </c>
      <c r="D34" s="142"/>
      <c r="E34" s="142"/>
      <c r="F34" s="142" t="s">
        <v>183</v>
      </c>
      <c r="G34" s="142"/>
      <c r="H34" s="142"/>
    </row>
    <row r="35" spans="1:8" x14ac:dyDescent="0.35">
      <c r="A35" s="141" t="s">
        <v>26</v>
      </c>
      <c r="B35" s="141" t="s">
        <v>29</v>
      </c>
      <c r="C35" s="142" t="s">
        <v>29</v>
      </c>
      <c r="D35" s="142"/>
      <c r="E35" s="142"/>
      <c r="F35" s="142" t="s">
        <v>187</v>
      </c>
      <c r="G35" s="142"/>
      <c r="H35" s="142"/>
    </row>
    <row r="36" spans="1:8" x14ac:dyDescent="0.35">
      <c r="A36" s="77" t="s">
        <v>31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5">
      <c r="A37" s="77" t="s">
        <v>169</v>
      </c>
      <c r="B37" s="77"/>
      <c r="C37" s="133" t="s">
        <v>181</v>
      </c>
      <c r="D37" s="133"/>
      <c r="E37" s="133"/>
      <c r="F37" s="133"/>
      <c r="G37" s="133"/>
      <c r="H37" s="133"/>
    </row>
    <row r="38" spans="1:8" x14ac:dyDescent="0.35">
      <c r="A38" s="77" t="s">
        <v>165</v>
      </c>
      <c r="B38" s="77"/>
      <c r="C38" s="150" t="s">
        <v>182</v>
      </c>
      <c r="D38" s="88"/>
      <c r="E38" s="88"/>
      <c r="F38" s="88"/>
      <c r="G38" s="88"/>
      <c r="H38" s="88"/>
    </row>
    <row r="39" spans="1:8" x14ac:dyDescent="0.35">
      <c r="A39" s="133" t="s">
        <v>34</v>
      </c>
      <c r="B39" s="133"/>
      <c r="C39" s="133"/>
      <c r="D39" s="133"/>
      <c r="E39" s="133"/>
      <c r="F39" s="133"/>
      <c r="G39" s="133"/>
      <c r="H39" s="133"/>
    </row>
    <row r="40" spans="1:8" x14ac:dyDescent="0.35">
      <c r="A40" s="77" t="s">
        <v>35</v>
      </c>
      <c r="B40" s="77"/>
      <c r="C40" s="77"/>
      <c r="D40" s="77"/>
      <c r="E40" s="145">
        <v>1500</v>
      </c>
      <c r="F40" s="145"/>
      <c r="G40" s="145"/>
      <c r="H40" s="145"/>
    </row>
    <row r="41" spans="1:8" x14ac:dyDescent="0.35">
      <c r="A41" s="77" t="s">
        <v>36</v>
      </c>
      <c r="B41" s="77"/>
      <c r="C41" s="77"/>
      <c r="D41" s="77"/>
      <c r="E41" s="76">
        <v>1.1000000000000001</v>
      </c>
      <c r="F41" s="76"/>
      <c r="G41" s="76"/>
      <c r="H41" s="76"/>
    </row>
    <row r="42" spans="1:8" x14ac:dyDescent="0.35">
      <c r="A42" s="77" t="s">
        <v>37</v>
      </c>
      <c r="B42" s="77"/>
      <c r="C42" s="77"/>
      <c r="D42" s="77"/>
      <c r="E42" s="76">
        <f>E44/E40-E41</f>
        <v>1.5962266666666665</v>
      </c>
      <c r="F42" s="76"/>
      <c r="G42" s="76"/>
      <c r="H42" s="76"/>
    </row>
    <row r="43" spans="1:8" x14ac:dyDescent="0.35">
      <c r="A43" s="77" t="s">
        <v>38</v>
      </c>
      <c r="B43" s="77"/>
      <c r="C43" s="77"/>
      <c r="D43" s="77"/>
      <c r="E43" s="76">
        <f>E41+E42</f>
        <v>2.6962266666666665</v>
      </c>
      <c r="F43" s="76"/>
      <c r="G43" s="76"/>
      <c r="H43" s="76"/>
    </row>
    <row r="44" spans="1:8" x14ac:dyDescent="0.35">
      <c r="A44" s="77" t="s">
        <v>92</v>
      </c>
      <c r="B44" s="77"/>
      <c r="C44" s="77"/>
      <c r="D44" s="77"/>
      <c r="E44" s="147">
        <v>4044.34</v>
      </c>
      <c r="F44" s="147"/>
      <c r="G44" s="147"/>
      <c r="H44" s="147"/>
    </row>
    <row r="45" spans="1:8" x14ac:dyDescent="0.35">
      <c r="A45" s="89" t="s">
        <v>39</v>
      </c>
      <c r="B45" s="89"/>
      <c r="C45" s="89"/>
      <c r="D45" s="89"/>
      <c r="E45" s="89" t="s">
        <v>193</v>
      </c>
      <c r="F45" s="89"/>
      <c r="G45" s="89"/>
      <c r="H45" s="89"/>
    </row>
    <row r="46" spans="1:8" x14ac:dyDescent="0.35">
      <c r="A46" s="133" t="s">
        <v>40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5">
      <c r="A47" s="84" t="s">
        <v>154</v>
      </c>
      <c r="B47" s="85"/>
      <c r="C47" s="135" t="s">
        <v>190</v>
      </c>
      <c r="D47" s="136"/>
      <c r="E47" s="136"/>
      <c r="F47" s="136"/>
      <c r="G47" s="136"/>
      <c r="H47" s="137"/>
    </row>
    <row r="48" spans="1:8" ht="15.75" customHeight="1" x14ac:dyDescent="0.35">
      <c r="A48" s="84" t="s">
        <v>41</v>
      </c>
      <c r="B48" s="85"/>
      <c r="C48" s="84" t="s">
        <v>191</v>
      </c>
      <c r="D48" s="92"/>
      <c r="E48" s="85"/>
      <c r="F48" s="16" t="s">
        <v>42</v>
      </c>
      <c r="G48" s="103">
        <v>44721</v>
      </c>
      <c r="H48" s="85"/>
    </row>
    <row r="49" spans="1:14" x14ac:dyDescent="0.35">
      <c r="A49" s="84" t="s">
        <v>43</v>
      </c>
      <c r="B49" s="85"/>
      <c r="C49" s="84" t="str">
        <f>C48</f>
        <v>KDMC/TPD/BP/KD/2012-13/249/123</v>
      </c>
      <c r="D49" s="92"/>
      <c r="E49" s="85"/>
      <c r="F49" s="16" t="s">
        <v>42</v>
      </c>
      <c r="G49" s="103">
        <v>44721</v>
      </c>
      <c r="H49" s="85"/>
    </row>
    <row r="50" spans="1:14" s="20" customFormat="1" ht="15.75" customHeight="1" x14ac:dyDescent="0.35">
      <c r="A50" s="152" t="s">
        <v>158</v>
      </c>
      <c r="B50" s="153"/>
      <c r="C50" s="84" t="str">
        <f>C49</f>
        <v>KDMC/TPD/BP/KD/2012-13/249/123</v>
      </c>
      <c r="D50" s="92"/>
      <c r="E50" s="85"/>
      <c r="F50" s="16" t="s">
        <v>42</v>
      </c>
      <c r="G50" s="103">
        <v>44721</v>
      </c>
      <c r="H50" s="85"/>
    </row>
    <row r="51" spans="1:14" s="20" customFormat="1" x14ac:dyDescent="0.35">
      <c r="A51" s="154"/>
      <c r="B51" s="155"/>
      <c r="C51" s="84" t="s">
        <v>194</v>
      </c>
      <c r="D51" s="92"/>
      <c r="E51" s="92"/>
      <c r="F51" s="92"/>
      <c r="G51" s="92"/>
      <c r="H51" s="85"/>
    </row>
    <row r="52" spans="1:14" ht="33" customHeight="1" x14ac:dyDescent="0.35">
      <c r="A52" s="81" t="s">
        <v>44</v>
      </c>
      <c r="B52" s="83"/>
      <c r="C52" s="81" t="s">
        <v>106</v>
      </c>
      <c r="D52" s="82"/>
      <c r="E52" s="83"/>
      <c r="F52" s="41" t="s">
        <v>42</v>
      </c>
      <c r="G52" s="90" t="s">
        <v>29</v>
      </c>
      <c r="H52" s="91"/>
    </row>
    <row r="53" spans="1:14" x14ac:dyDescent="0.35">
      <c r="A53" s="86" t="s">
        <v>46</v>
      </c>
      <c r="B53" s="86"/>
      <c r="C53" s="86"/>
      <c r="D53" s="86"/>
      <c r="E53" s="86"/>
      <c r="F53" s="86"/>
      <c r="G53" s="86"/>
      <c r="H53" s="86"/>
    </row>
    <row r="54" spans="1:14" x14ac:dyDescent="0.35">
      <c r="A54" s="87" t="s">
        <v>91</v>
      </c>
      <c r="B54" s="87"/>
      <c r="C54" s="87"/>
      <c r="D54" s="77">
        <f>E44</f>
        <v>4044.34</v>
      </c>
      <c r="E54" s="77"/>
      <c r="F54" s="77"/>
      <c r="G54" s="77"/>
      <c r="H54" s="77"/>
    </row>
    <row r="55" spans="1:14" x14ac:dyDescent="0.35">
      <c r="A55" s="88" t="s">
        <v>47</v>
      </c>
      <c r="B55" s="89"/>
      <c r="C55" s="89"/>
      <c r="D55" s="89" t="s">
        <v>214</v>
      </c>
      <c r="E55" s="89"/>
      <c r="F55" s="89"/>
      <c r="G55" s="89"/>
      <c r="H55" s="89"/>
      <c r="I55" s="21"/>
    </row>
    <row r="56" spans="1:14" x14ac:dyDescent="0.35">
      <c r="A56" s="104" t="s">
        <v>48</v>
      </c>
      <c r="B56" s="105"/>
      <c r="C56" s="149"/>
      <c r="D56" s="118" t="s">
        <v>194</v>
      </c>
      <c r="E56" s="148"/>
      <c r="F56" s="148"/>
      <c r="G56" s="148"/>
      <c r="H56" s="148"/>
    </row>
    <row r="57" spans="1:14" ht="15.75" customHeight="1" x14ac:dyDescent="0.35">
      <c r="A57" s="104" t="s">
        <v>89</v>
      </c>
      <c r="B57" s="105"/>
      <c r="C57" s="105"/>
      <c r="D57" s="106" t="s">
        <v>194</v>
      </c>
      <c r="E57" s="107"/>
      <c r="F57" s="107"/>
      <c r="G57" s="107"/>
      <c r="H57" s="108"/>
    </row>
    <row r="58" spans="1:14" ht="15.75" customHeight="1" x14ac:dyDescent="0.35">
      <c r="A58" s="77" t="s">
        <v>45</v>
      </c>
      <c r="B58" s="77"/>
      <c r="C58" s="77"/>
      <c r="D58" s="146" t="s">
        <v>195</v>
      </c>
      <c r="E58" s="146"/>
      <c r="F58" s="146"/>
      <c r="G58" s="146"/>
      <c r="H58" s="146"/>
      <c r="J58" s="22"/>
      <c r="K58" s="21"/>
      <c r="N58" s="21"/>
    </row>
    <row r="59" spans="1:14" ht="15.75" customHeight="1" x14ac:dyDescent="0.35">
      <c r="A59" s="77" t="s">
        <v>87</v>
      </c>
      <c r="B59" s="77"/>
      <c r="C59" s="77"/>
      <c r="D59" s="94" t="str">
        <f>(IF(G52="NA","60 Years After Completion",IF(G52&lt;&gt;"NA",""&amp;60-ROUNDDOWN((E3-G52)/360,0)&amp;" Years"," ")))</f>
        <v>60 Years After Completion</v>
      </c>
      <c r="E59" s="94"/>
      <c r="F59" s="94"/>
      <c r="G59" s="94"/>
      <c r="H59" s="94"/>
      <c r="N59" s="21"/>
    </row>
    <row r="60" spans="1:14" ht="15.75" customHeight="1" x14ac:dyDescent="0.35">
      <c r="A60" s="77" t="s">
        <v>88</v>
      </c>
      <c r="B60" s="77"/>
      <c r="C60" s="77"/>
      <c r="D60" s="87" t="s">
        <v>23</v>
      </c>
      <c r="E60" s="87"/>
      <c r="F60" s="87"/>
      <c r="G60" s="87"/>
      <c r="H60" s="87"/>
      <c r="J60" s="23"/>
      <c r="K60" s="23"/>
    </row>
    <row r="61" spans="1:14" ht="35" customHeight="1" x14ac:dyDescent="0.35">
      <c r="A61" s="77" t="s">
        <v>75</v>
      </c>
      <c r="B61" s="77"/>
      <c r="C61" s="77"/>
      <c r="D61" s="88" t="s">
        <v>213</v>
      </c>
      <c r="E61" s="87"/>
      <c r="F61" s="87"/>
      <c r="G61" s="87"/>
      <c r="H61" s="87"/>
    </row>
    <row r="62" spans="1:14" x14ac:dyDescent="0.35">
      <c r="A62" s="87" t="s">
        <v>151</v>
      </c>
      <c r="B62" s="87"/>
      <c r="C62" s="87"/>
      <c r="D62" s="87" t="s">
        <v>29</v>
      </c>
      <c r="E62" s="87"/>
      <c r="F62" s="87"/>
      <c r="G62" s="87"/>
      <c r="H62" s="87"/>
      <c r="I62" s="24"/>
      <c r="J62" s="24"/>
      <c r="K62" s="24"/>
      <c r="L62" s="24"/>
      <c r="M62" s="24"/>
      <c r="N62" s="24"/>
    </row>
    <row r="63" spans="1:14" ht="15.75" customHeight="1" x14ac:dyDescent="0.35">
      <c r="A63" s="160" t="s">
        <v>86</v>
      </c>
      <c r="B63" s="160"/>
      <c r="C63" s="160"/>
      <c r="D63" s="118" t="str">
        <f ca="1">(IF(G69&gt;95%,"Nothing",IF(G69&gt;0%,"Cement, Aggregate, Steel, etc",IF(G69=0%,"Work not yet Started"))))</f>
        <v>Cement, Aggregate, Steel, etc</v>
      </c>
      <c r="E63" s="118"/>
      <c r="F63" s="118"/>
      <c r="G63" s="118"/>
      <c r="H63" s="118"/>
      <c r="J63" s="23"/>
    </row>
    <row r="64" spans="1:14" ht="33.75" customHeight="1" thickBot="1" x14ac:dyDescent="0.4">
      <c r="A64" s="87" t="s">
        <v>119</v>
      </c>
      <c r="B64" s="87"/>
      <c r="C64" s="87"/>
      <c r="D64" s="88" t="str">
        <f ca="1">(IF(D63="Nothing","Yes",IF(D63="Cement, Aggregate, Steel, etc","Under Construction",IF(D63="Work not yet Started","Work not yet Started"))))</f>
        <v>Under Construction</v>
      </c>
      <c r="E64" s="88"/>
      <c r="F64" s="88" t="str">
        <f ca="1">(IF(D63="Nothing","Yes",IF(D63="Cement, Aggregate, Steel, etc","Under Construction",IF(D63="Work not yet Started","Work not yet Started"))))</f>
        <v>Under Construction</v>
      </c>
      <c r="G64" s="88"/>
      <c r="H64" s="88"/>
    </row>
    <row r="65" spans="1:10" ht="15.75" customHeight="1" x14ac:dyDescent="0.35">
      <c r="A65" s="164" t="s">
        <v>143</v>
      </c>
      <c r="B65" s="164"/>
      <c r="C65" s="164" t="str">
        <f>D57</f>
        <v>Building A = G + 1st to 14th Floor</v>
      </c>
      <c r="D65" s="164"/>
      <c r="E65" s="164"/>
      <c r="F65" s="164"/>
      <c r="G65" s="164"/>
      <c r="H65" s="164"/>
      <c r="I65" s="162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12 Floor, External Plaster upto 8 Floor, Flooring upto 3 Floor, Painting upto 2 Floor Completed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12 Floor, External Plaster upto 8 Floor, Flooring upto 3 Floor, Painting upto 2 Floor</v>
      </c>
    </row>
    <row r="66" spans="1:10" x14ac:dyDescent="0.35">
      <c r="A66" s="53" t="s">
        <v>145</v>
      </c>
      <c r="B66" s="53">
        <f>IF(AND(ISNUMBER(SEARCH("1B",C65))),1,IF(AND(ISNUMBER(SEARCH("2B",C65))),2,IF(AND(ISNUMBER(SEARCH("3B",C65))),3,IF(AND(ISNUMBER(SEARCH("4B",C65))),4,IF(ISNUMBER(SEARCH("5B",C65)),5,0)))))</f>
        <v>0</v>
      </c>
      <c r="C66" s="53" t="s">
        <v>72</v>
      </c>
      <c r="D66" s="53">
        <v>1</v>
      </c>
      <c r="E66" s="53" t="s">
        <v>71</v>
      </c>
      <c r="F66" s="53">
        <v>0</v>
      </c>
      <c r="G66" s="54" t="s">
        <v>80</v>
      </c>
      <c r="H66" s="53">
        <f ca="1">--TRIM(RIGHT(SUBSTITUTE(LEFT(C65,_xlfn.AGGREGATE(16,6,FIND({0,1,2,3,4,5,6,7,8,9},C65,ROW(INDIRECT("1:"&amp;LEN(C65)))),1))," ",REPT(" ",LEN(C65))),LEN(C65)))</f>
        <v>14</v>
      </c>
      <c r="I66" s="16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3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9" customHeight="1" x14ac:dyDescent="0.35">
      <c r="A67" s="156" t="s">
        <v>90</v>
      </c>
      <c r="B67" s="156"/>
      <c r="C67" s="159" t="str">
        <f ca="1">I65</f>
        <v>Excavation, Plinth, RCC Slab, Brickwork Completed, Internal Plaster upto 12 Floor, External Plaster upto 8 Floor, Flooring upto 3 Floor, Painting upto 2 Floor Completed</v>
      </c>
      <c r="D67" s="159"/>
      <c r="E67" s="159"/>
      <c r="F67" s="159"/>
      <c r="G67" s="159"/>
      <c r="H67" s="159"/>
      <c r="I67" s="163" t="str">
        <f ca="1">IF(I66&lt;&gt;""," Completed","")</f>
        <v xml:space="preserve"> Completed</v>
      </c>
      <c r="J67" s="43" t="str">
        <f ca="1">IF(J65&lt;&gt;"","Completed","")</f>
        <v>Completed</v>
      </c>
    </row>
    <row r="68" spans="1:10" ht="15.75" customHeight="1" x14ac:dyDescent="0.35">
      <c r="A68" s="99" t="s">
        <v>49</v>
      </c>
      <c r="B68" s="99"/>
      <c r="C68" s="59" t="s">
        <v>142</v>
      </c>
      <c r="D68" s="59" t="s">
        <v>83</v>
      </c>
      <c r="E68" s="99" t="s">
        <v>85</v>
      </c>
      <c r="F68" s="99"/>
      <c r="G68" s="99" t="s">
        <v>84</v>
      </c>
      <c r="H68" s="99"/>
      <c r="I68" s="14" t="s">
        <v>144</v>
      </c>
      <c r="J68" s="25">
        <f ca="1">H66*25%</f>
        <v>3.5</v>
      </c>
    </row>
    <row r="69" spans="1:10" x14ac:dyDescent="0.35">
      <c r="A69" s="99" t="s">
        <v>131</v>
      </c>
      <c r="B69" s="99"/>
      <c r="C69" s="59">
        <f ca="1">J70</f>
        <v>14</v>
      </c>
      <c r="D69" s="17">
        <f ca="1">((100/H66)*C69)/100</f>
        <v>1</v>
      </c>
      <c r="E69" s="165">
        <f ca="1">(((C70/H66*10)+(40/(D66+F66+H66)*C71)+(7.5/(H66)*C72)+(7.5/(H66)*C73)+(10/H66*C74)+(10/H66*C75)+(5/H66*C76)+(5/H66*C77)+(5/H66*C78))/100)</f>
        <v>0.72499999999999987</v>
      </c>
      <c r="F69" s="165"/>
      <c r="G69" s="165">
        <f ca="1">((((C69/H66)*20)+((C70/H66)*25)+(30/(H66+F66+D66)*C71)+(5/H66*C72)+(5/H66*C73)+(5/H66*C74)+(5/H66*C75)+(0/H66*C76)+(0/H66*C77)+(5/H66*C78))/100)</f>
        <v>0.88214285714285723</v>
      </c>
      <c r="H69" s="165"/>
      <c r="I69" s="14" t="s">
        <v>101</v>
      </c>
      <c r="J69" s="26">
        <f ca="1">H66*50%</f>
        <v>7</v>
      </c>
    </row>
    <row r="70" spans="1:10" x14ac:dyDescent="0.35">
      <c r="A70" s="99" t="s">
        <v>50</v>
      </c>
      <c r="B70" s="99"/>
      <c r="C70" s="59">
        <f ca="1">J78</f>
        <v>14</v>
      </c>
      <c r="D70" s="17">
        <f ca="1">((100/H66)*C70)/100</f>
        <v>1</v>
      </c>
      <c r="E70" s="165"/>
      <c r="F70" s="165"/>
      <c r="G70" s="165"/>
      <c r="H70" s="165"/>
      <c r="I70" s="14" t="s">
        <v>102</v>
      </c>
      <c r="J70" s="26">
        <f ca="1">H66</f>
        <v>14</v>
      </c>
    </row>
    <row r="71" spans="1:10" ht="15.75" customHeight="1" x14ac:dyDescent="0.35">
      <c r="A71" s="99" t="s">
        <v>132</v>
      </c>
      <c r="B71" s="99"/>
      <c r="C71" s="59">
        <v>15</v>
      </c>
      <c r="D71" s="17">
        <f ca="1">((100/(D66+F66+H66))*C71)/100</f>
        <v>1</v>
      </c>
      <c r="E71" s="165"/>
      <c r="F71" s="165"/>
      <c r="G71" s="165"/>
      <c r="H71" s="165"/>
      <c r="I71" s="14" t="s">
        <v>103</v>
      </c>
      <c r="J71" s="27">
        <f ca="1">(IF(B66&gt;1,(H66/(B66+2)),H66/4))</f>
        <v>3.5</v>
      </c>
    </row>
    <row r="72" spans="1:10" ht="15.75" customHeight="1" x14ac:dyDescent="0.35">
      <c r="A72" s="99" t="s">
        <v>139</v>
      </c>
      <c r="B72" s="99" t="s">
        <v>133</v>
      </c>
      <c r="C72" s="59">
        <v>14</v>
      </c>
      <c r="D72" s="17">
        <f ca="1">((100/H66)*C72)/100</f>
        <v>1</v>
      </c>
      <c r="E72" s="165"/>
      <c r="F72" s="165"/>
      <c r="G72" s="165"/>
      <c r="H72" s="165"/>
      <c r="I72" s="14" t="s">
        <v>104</v>
      </c>
      <c r="J72" s="27">
        <f ca="1">(IF(B66&gt;1,(H66/(B66+2)+J71),H66/4+J71))</f>
        <v>7</v>
      </c>
    </row>
    <row r="73" spans="1:10" ht="15.75" customHeight="1" x14ac:dyDescent="0.35">
      <c r="A73" s="99" t="s">
        <v>140</v>
      </c>
      <c r="B73" s="99" t="s">
        <v>133</v>
      </c>
      <c r="C73" s="59">
        <v>12</v>
      </c>
      <c r="D73" s="17">
        <f ca="1">((100/H66)*C73)/100</f>
        <v>0.85714285714285721</v>
      </c>
      <c r="E73" s="165"/>
      <c r="F73" s="165"/>
      <c r="G73" s="165"/>
      <c r="H73" s="165"/>
      <c r="I73" s="14" t="s">
        <v>149</v>
      </c>
      <c r="J73" s="27">
        <f>(IF(B66&gt;1,(H66/(B66+2)+J72),0))</f>
        <v>0</v>
      </c>
    </row>
    <row r="74" spans="1:10" ht="15" customHeight="1" x14ac:dyDescent="0.35">
      <c r="A74" s="99" t="s">
        <v>138</v>
      </c>
      <c r="B74" s="99" t="s">
        <v>135</v>
      </c>
      <c r="C74" s="59">
        <v>8</v>
      </c>
      <c r="D74" s="17">
        <f ca="1">((100/(H66))*C74)/100</f>
        <v>0.57142857142857151</v>
      </c>
      <c r="E74" s="165"/>
      <c r="F74" s="165"/>
      <c r="G74" s="165"/>
      <c r="H74" s="165"/>
      <c r="I74" s="14" t="s">
        <v>146</v>
      </c>
      <c r="J74" s="27">
        <f>(IF(B66&gt;2,(H66/(B66+2)+J73),0))</f>
        <v>0</v>
      </c>
    </row>
    <row r="75" spans="1:10" ht="15.75" customHeight="1" x14ac:dyDescent="0.35">
      <c r="A75" s="99" t="s">
        <v>134</v>
      </c>
      <c r="B75" s="99" t="s">
        <v>134</v>
      </c>
      <c r="C75" s="59">
        <v>3</v>
      </c>
      <c r="D75" s="17">
        <f ca="1">((100/H66)*C75)/100</f>
        <v>0.2142857142857143</v>
      </c>
      <c r="E75" s="165"/>
      <c r="F75" s="165"/>
      <c r="G75" s="165"/>
      <c r="H75" s="165"/>
      <c r="I75" s="14" t="s">
        <v>147</v>
      </c>
      <c r="J75" s="28">
        <f>(IF(B66&gt;3,(H66/(B66+2)+J74),0))</f>
        <v>0</v>
      </c>
    </row>
    <row r="76" spans="1:10" ht="15.75" customHeight="1" x14ac:dyDescent="0.35">
      <c r="A76" s="99" t="s">
        <v>141</v>
      </c>
      <c r="B76" s="99"/>
      <c r="C76" s="59">
        <v>2</v>
      </c>
      <c r="D76" s="17">
        <f ca="1">((100/H66)*C76)/100</f>
        <v>0.14285714285714288</v>
      </c>
      <c r="E76" s="165"/>
      <c r="F76" s="165"/>
      <c r="G76" s="165"/>
      <c r="H76" s="165"/>
      <c r="I76" s="14" t="s">
        <v>148</v>
      </c>
      <c r="J76" s="27">
        <f>(IF(B66&gt;4,(H66/(B66+2)+J75),0))</f>
        <v>0</v>
      </c>
    </row>
    <row r="77" spans="1:10" ht="15.75" customHeight="1" x14ac:dyDescent="0.35">
      <c r="A77" s="99" t="s">
        <v>136</v>
      </c>
      <c r="B77" s="99" t="s">
        <v>136</v>
      </c>
      <c r="C77" s="59">
        <v>0</v>
      </c>
      <c r="D77" s="17">
        <f ca="1">((100/(H66))*C77)/100</f>
        <v>0</v>
      </c>
      <c r="E77" s="165"/>
      <c r="F77" s="165"/>
      <c r="G77" s="165"/>
      <c r="H77" s="165"/>
      <c r="I77" s="14" t="s">
        <v>150</v>
      </c>
      <c r="J77" s="27">
        <f ca="1">(IF(B66=1,(H66/(B66+3)+J72),IF(B66=0,(H66/4+J72),IF(B66&gt;1,0))))</f>
        <v>10.5</v>
      </c>
    </row>
    <row r="78" spans="1:10" ht="16" thickBot="1" x14ac:dyDescent="0.4">
      <c r="A78" s="99" t="s">
        <v>137</v>
      </c>
      <c r="B78" s="99"/>
      <c r="C78" s="59">
        <v>0</v>
      </c>
      <c r="D78" s="17">
        <f ca="1">((100/(H66))*C78)/100</f>
        <v>0</v>
      </c>
      <c r="E78" s="165"/>
      <c r="F78" s="165"/>
      <c r="G78" s="165"/>
      <c r="H78" s="165"/>
      <c r="I78" s="15" t="s">
        <v>105</v>
      </c>
      <c r="J78" s="29">
        <f ca="1">(IF(B66&gt;1.5,(H66/(B66+2)+J72+MAX(0,J73-J72)+MAX(0,J74-J73)+MAX(0,J75-J74)+MAX(0,J76-J75)+MAX(0,J77-J76)),IF(B66=1,(H66/(B66+3)+J77),IF(B66=0,H66/4+J77))))</f>
        <v>14</v>
      </c>
    </row>
    <row r="79" spans="1:10" x14ac:dyDescent="0.35">
      <c r="A79" s="157" t="s">
        <v>160</v>
      </c>
      <c r="B79" s="157"/>
      <c r="C79" s="157"/>
      <c r="D79" s="157"/>
      <c r="E79" s="157"/>
      <c r="F79" s="119" t="s">
        <v>163</v>
      </c>
      <c r="G79" s="119"/>
      <c r="H79" s="119"/>
    </row>
    <row r="80" spans="1:10" x14ac:dyDescent="0.35">
      <c r="A80" s="77" t="s">
        <v>162</v>
      </c>
      <c r="B80" s="77"/>
      <c r="C80" s="77"/>
      <c r="D80" s="77"/>
      <c r="E80" s="77"/>
      <c r="F80" s="100">
        <v>7100</v>
      </c>
      <c r="G80" s="100"/>
      <c r="H80" s="100"/>
    </row>
    <row r="81" spans="1:9" x14ac:dyDescent="0.35">
      <c r="A81" s="77" t="s">
        <v>231</v>
      </c>
      <c r="B81" s="77"/>
      <c r="C81" s="77"/>
      <c r="D81" s="77"/>
      <c r="E81" s="77"/>
      <c r="F81" s="93">
        <v>20000</v>
      </c>
      <c r="G81" s="93"/>
      <c r="H81" s="93"/>
    </row>
    <row r="82" spans="1:9" ht="15" customHeight="1" x14ac:dyDescent="0.35">
      <c r="A82" s="87" t="s">
        <v>232</v>
      </c>
      <c r="B82" s="87"/>
      <c r="C82" s="87"/>
      <c r="D82" s="87"/>
      <c r="E82" s="87"/>
      <c r="F82" s="93">
        <v>17500</v>
      </c>
      <c r="G82" s="93"/>
      <c r="H82" s="93"/>
    </row>
    <row r="83" spans="1:9" x14ac:dyDescent="0.35">
      <c r="A83" s="77" t="s">
        <v>230</v>
      </c>
      <c r="B83" s="77"/>
      <c r="C83" s="77"/>
      <c r="D83" s="77"/>
      <c r="E83" s="77"/>
      <c r="F83" s="93">
        <v>14000</v>
      </c>
      <c r="G83" s="93"/>
      <c r="H83" s="93"/>
    </row>
    <row r="84" spans="1:9" s="30" customFormat="1" hidden="1" x14ac:dyDescent="0.3">
      <c r="A84" s="77" t="s">
        <v>161</v>
      </c>
      <c r="B84" s="77"/>
      <c r="C84" s="77"/>
      <c r="D84" s="77"/>
      <c r="E84" s="77"/>
      <c r="F84" s="93"/>
      <c r="G84" s="93"/>
      <c r="H84" s="93"/>
    </row>
    <row r="85" spans="1:9" s="30" customFormat="1" hidden="1" x14ac:dyDescent="0.3">
      <c r="A85" s="77" t="s">
        <v>95</v>
      </c>
      <c r="B85" s="77"/>
      <c r="C85" s="77"/>
      <c r="D85" s="77"/>
      <c r="E85" s="77"/>
      <c r="F85" s="93"/>
      <c r="G85" s="93"/>
      <c r="H85" s="93"/>
    </row>
    <row r="86" spans="1:9" s="30" customFormat="1" hidden="1" x14ac:dyDescent="0.3">
      <c r="A86" s="77" t="s">
        <v>96</v>
      </c>
      <c r="B86" s="77"/>
      <c r="C86" s="77"/>
      <c r="D86" s="77"/>
      <c r="E86" s="77"/>
      <c r="F86" s="93"/>
      <c r="G86" s="93"/>
      <c r="H86" s="93"/>
    </row>
    <row r="87" spans="1:9" s="30" customFormat="1" hidden="1" x14ac:dyDescent="0.3">
      <c r="A87" s="77" t="s">
        <v>164</v>
      </c>
      <c r="B87" s="77"/>
      <c r="C87" s="77"/>
      <c r="D87" s="77"/>
      <c r="E87" s="77"/>
      <c r="F87" s="93"/>
      <c r="G87" s="93"/>
      <c r="H87" s="93"/>
    </row>
    <row r="88" spans="1:9" s="30" customFormat="1" hidden="1" x14ac:dyDescent="0.3">
      <c r="A88" s="77" t="s">
        <v>97</v>
      </c>
      <c r="B88" s="77"/>
      <c r="C88" s="77"/>
      <c r="D88" s="77"/>
      <c r="E88" s="77"/>
      <c r="F88" s="93"/>
      <c r="G88" s="93"/>
      <c r="H88" s="93"/>
    </row>
    <row r="89" spans="1:9" s="30" customFormat="1" hidden="1" x14ac:dyDescent="0.3">
      <c r="A89" s="77" t="s">
        <v>98</v>
      </c>
      <c r="B89" s="77"/>
      <c r="C89" s="77"/>
      <c r="D89" s="77"/>
      <c r="E89" s="77"/>
      <c r="F89" s="93"/>
      <c r="G89" s="93"/>
      <c r="H89" s="93"/>
    </row>
    <row r="90" spans="1:9" s="30" customFormat="1" hidden="1" x14ac:dyDescent="0.3">
      <c r="A90" s="77" t="s">
        <v>99</v>
      </c>
      <c r="B90" s="77"/>
      <c r="C90" s="77"/>
      <c r="D90" s="77"/>
      <c r="E90" s="77"/>
      <c r="F90" s="93"/>
      <c r="G90" s="93"/>
      <c r="H90" s="93"/>
    </row>
    <row r="91" spans="1:9" s="30" customFormat="1" hidden="1" x14ac:dyDescent="0.3">
      <c r="A91" s="77" t="s">
        <v>100</v>
      </c>
      <c r="B91" s="77"/>
      <c r="C91" s="77"/>
      <c r="D91" s="77"/>
      <c r="E91" s="77"/>
      <c r="F91" s="93"/>
      <c r="G91" s="93"/>
      <c r="H91" s="93"/>
    </row>
    <row r="92" spans="1:9" x14ac:dyDescent="0.35">
      <c r="A92" s="77" t="s">
        <v>233</v>
      </c>
      <c r="B92" s="77"/>
      <c r="C92" s="77"/>
      <c r="D92" s="77"/>
      <c r="E92" s="77"/>
      <c r="F92" s="93">
        <v>13000</v>
      </c>
      <c r="G92" s="93"/>
      <c r="H92" s="93"/>
    </row>
    <row r="93" spans="1:9" x14ac:dyDescent="0.35">
      <c r="A93" s="77" t="s">
        <v>51</v>
      </c>
      <c r="B93" s="77"/>
      <c r="C93" s="77"/>
      <c r="D93" s="77"/>
      <c r="E93" s="77"/>
      <c r="F93" s="93">
        <v>400000</v>
      </c>
      <c r="G93" s="93"/>
      <c r="H93" s="93"/>
    </row>
    <row r="94" spans="1:9" s="31" customFormat="1" x14ac:dyDescent="0.35">
      <c r="A94" s="133" t="s">
        <v>52</v>
      </c>
      <c r="B94" s="133"/>
      <c r="C94" s="133"/>
      <c r="D94" s="133"/>
      <c r="E94" s="133"/>
      <c r="F94" s="93">
        <f>F80*0.8</f>
        <v>5680</v>
      </c>
      <c r="G94" s="93"/>
      <c r="H94" s="93"/>
    </row>
    <row r="95" spans="1:9" s="32" customFormat="1" ht="15.75" customHeight="1" x14ac:dyDescent="0.35">
      <c r="A95" s="78" t="s">
        <v>210</v>
      </c>
      <c r="B95" s="78"/>
      <c r="C95" s="78"/>
      <c r="D95" s="78"/>
      <c r="E95" s="78"/>
      <c r="F95" s="78"/>
      <c r="G95" s="78"/>
      <c r="H95" s="78"/>
    </row>
    <row r="96" spans="1:9" s="32" customFormat="1" ht="15.75" customHeight="1" x14ac:dyDescent="0.35">
      <c r="A96" s="96" t="s">
        <v>53</v>
      </c>
      <c r="B96" s="96"/>
      <c r="C96" s="80" t="s">
        <v>78</v>
      </c>
      <c r="D96" s="80"/>
      <c r="E96" s="116" t="s">
        <v>54</v>
      </c>
      <c r="F96" s="116"/>
      <c r="G96" s="96" t="s">
        <v>55</v>
      </c>
      <c r="H96" s="96"/>
      <c r="I96" s="56" t="s">
        <v>222</v>
      </c>
    </row>
    <row r="97" spans="1:14" s="32" customFormat="1" x14ac:dyDescent="0.35">
      <c r="A97" s="117" t="s">
        <v>197</v>
      </c>
      <c r="B97" s="117"/>
      <c r="C97" s="110">
        <f>COUNT(D111:D117)</f>
        <v>7</v>
      </c>
      <c r="D97" s="111"/>
      <c r="E97" s="101">
        <f>SUM(D111:D117)</f>
        <v>3489.1236899999999</v>
      </c>
      <c r="F97" s="102"/>
      <c r="G97" s="101">
        <f>SUM(F111:F117)</f>
        <v>5582.5979039999993</v>
      </c>
      <c r="H97" s="102"/>
      <c r="I97" s="32">
        <v>7500</v>
      </c>
      <c r="J97" s="57">
        <f>8500/1.6</f>
        <v>5312.5</v>
      </c>
    </row>
    <row r="98" spans="1:14" s="32" customFormat="1" x14ac:dyDescent="0.35">
      <c r="A98" s="117" t="s">
        <v>200</v>
      </c>
      <c r="B98" s="117"/>
      <c r="C98" s="110">
        <f>COUNT(D119:D122)+COUNT(D125:D130)</f>
        <v>10</v>
      </c>
      <c r="D98" s="111"/>
      <c r="E98" s="101">
        <f>SUM(D119:D122)+SUM(D125:D130)</f>
        <v>3802.8404700000001</v>
      </c>
      <c r="F98" s="102"/>
      <c r="G98" s="101">
        <f>SUM(F119:F122)+SUM(F125:F130)</f>
        <v>6084.5447519999998</v>
      </c>
      <c r="H98" s="102"/>
    </row>
    <row r="99" spans="1:14" s="32" customFormat="1" x14ac:dyDescent="0.35">
      <c r="A99" s="78" t="s">
        <v>153</v>
      </c>
      <c r="B99" s="78"/>
      <c r="C99" s="79">
        <f>SUM(C97:C98)</f>
        <v>17</v>
      </c>
      <c r="D99" s="80"/>
      <c r="E99" s="79">
        <f t="shared" ref="E99" si="0">SUM(E97:E98)</f>
        <v>7291.9641599999995</v>
      </c>
      <c r="F99" s="80"/>
      <c r="G99" s="79">
        <f t="shared" ref="G99" si="1">SUM(G97:G98)</f>
        <v>11667.142656</v>
      </c>
      <c r="H99" s="80"/>
      <c r="I99" t="s">
        <v>223</v>
      </c>
      <c r="J99" s="32">
        <v>7500</v>
      </c>
    </row>
    <row r="100" spans="1:14" s="32" customFormat="1" x14ac:dyDescent="0.35">
      <c r="A100" s="78" t="s">
        <v>211</v>
      </c>
      <c r="B100" s="78"/>
      <c r="C100" s="78"/>
      <c r="D100" s="78"/>
      <c r="E100" s="78"/>
      <c r="F100" s="78"/>
      <c r="G100" s="78"/>
      <c r="H100" s="78"/>
    </row>
    <row r="101" spans="1:14" s="32" customFormat="1" ht="15.75" customHeight="1" x14ac:dyDescent="0.35">
      <c r="A101" s="96" t="s">
        <v>53</v>
      </c>
      <c r="B101" s="96"/>
      <c r="C101" s="80" t="s">
        <v>78</v>
      </c>
      <c r="D101" s="80"/>
      <c r="E101" s="116" t="s">
        <v>54</v>
      </c>
      <c r="F101" s="116"/>
      <c r="G101" s="96" t="s">
        <v>55</v>
      </c>
      <c r="H101" s="96"/>
    </row>
    <row r="102" spans="1:14" s="32" customFormat="1" x14ac:dyDescent="0.35">
      <c r="A102" s="117" t="s">
        <v>212</v>
      </c>
      <c r="B102" s="117"/>
      <c r="C102" s="110">
        <f>COUNT(D135:D136)+COUNT(D138:D139)*8+COUNT(D141:D142)*2</f>
        <v>22</v>
      </c>
      <c r="D102" s="110"/>
      <c r="E102" s="101">
        <f>SUM(D135:D136)+SUM(D138:D139)*8+SUM(D141:D142)*2</f>
        <v>30683.212559999993</v>
      </c>
      <c r="F102" s="101"/>
      <c r="G102" s="101">
        <f>SUM(F135:F136)+SUM(F138:F139)*8+SUM(F141:F142)*2</f>
        <v>49720</v>
      </c>
      <c r="H102" s="101"/>
    </row>
    <row r="103" spans="1:14" s="32" customFormat="1" ht="16" thickBot="1" x14ac:dyDescent="0.35">
      <c r="A103" s="158" t="s">
        <v>153</v>
      </c>
      <c r="B103" s="158"/>
      <c r="C103" s="114">
        <f>SUM(C102)</f>
        <v>22</v>
      </c>
      <c r="D103" s="115"/>
      <c r="E103" s="114">
        <f t="shared" ref="E103" si="2">SUM(E102)</f>
        <v>30683.212559999993</v>
      </c>
      <c r="F103" s="115"/>
      <c r="G103" s="114">
        <f t="shared" ref="G103" si="3">SUM(G102)</f>
        <v>49720</v>
      </c>
      <c r="H103" s="115"/>
      <c r="I103" s="58" t="s">
        <v>224</v>
      </c>
      <c r="J103" s="32">
        <v>7300</v>
      </c>
    </row>
    <row r="104" spans="1:14" s="32" customFormat="1" ht="16" thickBot="1" x14ac:dyDescent="0.4">
      <c r="A104" s="120" t="s">
        <v>170</v>
      </c>
      <c r="B104" s="121"/>
      <c r="C104" s="122">
        <f>C99+C103</f>
        <v>39</v>
      </c>
      <c r="D104" s="122"/>
      <c r="E104" s="123">
        <f>E99+E103</f>
        <v>37975.176719999989</v>
      </c>
      <c r="F104" s="123"/>
      <c r="G104" s="124">
        <f>G99+G103</f>
        <v>61387.142655999996</v>
      </c>
      <c r="H104" s="125"/>
      <c r="I104" t="s">
        <v>227</v>
      </c>
      <c r="J104" s="32">
        <v>7100</v>
      </c>
      <c r="K104" s="32" t="s">
        <v>228</v>
      </c>
      <c r="L104" s="32" t="s">
        <v>229</v>
      </c>
    </row>
    <row r="105" spans="1:14" s="31" customFormat="1" x14ac:dyDescent="0.35">
      <c r="A105" s="119" t="s">
        <v>56</v>
      </c>
      <c r="B105" s="119"/>
      <c r="C105" s="119"/>
      <c r="D105" s="119"/>
      <c r="E105" s="119"/>
      <c r="F105" s="119"/>
      <c r="G105" s="119"/>
      <c r="H105" s="119"/>
    </row>
    <row r="106" spans="1:14" x14ac:dyDescent="0.35">
      <c r="A106" s="109" t="s">
        <v>57</v>
      </c>
      <c r="B106" s="109"/>
      <c r="C106" s="109"/>
      <c r="D106" s="109"/>
      <c r="E106" s="109"/>
      <c r="F106" s="109"/>
      <c r="G106" s="109"/>
      <c r="H106" s="109"/>
    </row>
    <row r="107" spans="1:14" ht="47.25" customHeight="1" x14ac:dyDescent="0.35">
      <c r="A107" s="112" t="s">
        <v>122</v>
      </c>
      <c r="B107" s="112" t="s">
        <v>121</v>
      </c>
      <c r="C107" s="112" t="s">
        <v>58</v>
      </c>
      <c r="D107" s="112" t="s">
        <v>59</v>
      </c>
      <c r="E107" s="126" t="s">
        <v>159</v>
      </c>
      <c r="F107" s="40" t="s">
        <v>152</v>
      </c>
      <c r="G107" s="97" t="s">
        <v>61</v>
      </c>
      <c r="H107" s="98"/>
    </row>
    <row r="108" spans="1:14" s="34" customFormat="1" x14ac:dyDescent="0.35">
      <c r="A108" s="113"/>
      <c r="B108" s="113"/>
      <c r="C108" s="113"/>
      <c r="D108" s="113"/>
      <c r="E108" s="127"/>
      <c r="F108" s="13">
        <v>0.6</v>
      </c>
      <c r="G108" s="128"/>
      <c r="H108" s="129"/>
    </row>
    <row r="109" spans="1:14" s="48" customFormat="1" x14ac:dyDescent="0.35">
      <c r="A109" s="130" t="s">
        <v>198</v>
      </c>
      <c r="B109" s="130"/>
      <c r="C109" s="130"/>
      <c r="D109" s="130"/>
      <c r="E109" s="130"/>
      <c r="F109" s="130"/>
      <c r="G109" s="130"/>
      <c r="H109" s="130"/>
      <c r="J109" s="33"/>
    </row>
    <row r="110" spans="1:14" s="34" customFormat="1" x14ac:dyDescent="0.35">
      <c r="A110" s="130" t="s">
        <v>196</v>
      </c>
      <c r="B110" s="130"/>
      <c r="C110" s="130"/>
      <c r="D110" s="130"/>
      <c r="E110" s="130"/>
      <c r="F110" s="130"/>
      <c r="G110" s="130"/>
      <c r="H110" s="130"/>
      <c r="J110" s="33"/>
    </row>
    <row r="111" spans="1:14" s="34" customFormat="1" ht="15.75" customHeight="1" x14ac:dyDescent="0.35">
      <c r="A111" s="75">
        <v>1</v>
      </c>
      <c r="B111" s="75"/>
      <c r="C111" s="61" t="s">
        <v>197</v>
      </c>
      <c r="D111" s="50">
        <f>(26.1)*(10.764)</f>
        <v>280.94040000000001</v>
      </c>
      <c r="E111" s="61">
        <v>0</v>
      </c>
      <c r="F111" s="61">
        <f>(D111+E111)*(($F$108)+1)</f>
        <v>449.50464000000005</v>
      </c>
      <c r="G111" s="75" t="str">
        <f>A110</f>
        <v xml:space="preserve">Ground Floor For Entrance Lobby, Meter Room &amp; Commercial </v>
      </c>
      <c r="H111" s="75"/>
      <c r="I111" s="49">
        <f>4.5*5.7</f>
        <v>25.650000000000002</v>
      </c>
      <c r="L111" s="62"/>
      <c r="M111" s="62"/>
      <c r="N111" s="33"/>
    </row>
    <row r="112" spans="1:14" s="34" customFormat="1" ht="15.75" customHeight="1" x14ac:dyDescent="0.35">
      <c r="A112" s="75">
        <f t="shared" ref="A112:A117" si="4">A111+1</f>
        <v>2</v>
      </c>
      <c r="B112" s="75"/>
      <c r="C112" s="61" t="s">
        <v>197</v>
      </c>
      <c r="D112" s="50">
        <f>(34.11)*(10.764)</f>
        <v>367.16003999999998</v>
      </c>
      <c r="E112" s="61">
        <v>0</v>
      </c>
      <c r="F112" s="61">
        <f t="shared" ref="F112:F114" si="5">(D112+E112)*(($F$108)+1)</f>
        <v>587.45606399999997</v>
      </c>
      <c r="G112" s="75"/>
      <c r="H112" s="75"/>
      <c r="I112" s="50">
        <f>10.764</f>
        <v>10.763999999999999</v>
      </c>
      <c r="L112" s="62"/>
      <c r="M112" s="62"/>
      <c r="N112" s="33"/>
    </row>
    <row r="113" spans="1:14" s="34" customFormat="1" ht="15.75" customHeight="1" x14ac:dyDescent="0.35">
      <c r="A113" s="75">
        <f t="shared" si="4"/>
        <v>3</v>
      </c>
      <c r="B113" s="75"/>
      <c r="C113" s="61" t="s">
        <v>197</v>
      </c>
      <c r="D113" s="50">
        <f>(20.58)*(10.764)</f>
        <v>221.52311999999998</v>
      </c>
      <c r="E113" s="61">
        <v>0</v>
      </c>
      <c r="F113" s="61">
        <f t="shared" si="5"/>
        <v>354.43699199999998</v>
      </c>
      <c r="G113" s="75"/>
      <c r="H113" s="75"/>
      <c r="I113" s="33"/>
      <c r="L113" s="62"/>
      <c r="M113" s="62"/>
      <c r="N113" s="33"/>
    </row>
    <row r="114" spans="1:14" s="34" customFormat="1" ht="15.75" customHeight="1" x14ac:dyDescent="0.35">
      <c r="A114" s="75">
        <f t="shared" si="4"/>
        <v>4</v>
      </c>
      <c r="B114" s="75"/>
      <c r="C114" s="61" t="s">
        <v>197</v>
      </c>
      <c r="D114" s="50">
        <f>(29.16)*(10.764)</f>
        <v>313.87824000000001</v>
      </c>
      <c r="E114" s="61">
        <v>0</v>
      </c>
      <c r="F114" s="61">
        <f t="shared" si="5"/>
        <v>502.20518400000003</v>
      </c>
      <c r="G114" s="75"/>
      <c r="H114" s="75"/>
      <c r="I114" s="33">
        <f>4.35*6.6</f>
        <v>28.709999999999997</v>
      </c>
      <c r="L114" s="62"/>
      <c r="M114" s="62"/>
      <c r="N114" s="33"/>
    </row>
    <row r="115" spans="1:14" s="48" customFormat="1" ht="15.75" customHeight="1" x14ac:dyDescent="0.35">
      <c r="A115" s="75">
        <f t="shared" si="4"/>
        <v>5</v>
      </c>
      <c r="B115" s="75"/>
      <c r="C115" s="61" t="s">
        <v>197</v>
      </c>
      <c r="D115" s="50">
        <f>(29.06)*(10.764)</f>
        <v>312.80183999999997</v>
      </c>
      <c r="E115" s="61">
        <v>0</v>
      </c>
      <c r="F115" s="61">
        <f>(D115+E115)*(($F$108)+1)</f>
        <v>500.48294399999997</v>
      </c>
      <c r="G115" s="75"/>
      <c r="H115" s="75"/>
      <c r="I115" s="33"/>
      <c r="L115" s="62"/>
      <c r="M115" s="62"/>
      <c r="N115" s="33"/>
    </row>
    <row r="116" spans="1:14" s="48" customFormat="1" ht="50.25" customHeight="1" x14ac:dyDescent="0.35">
      <c r="A116" s="75">
        <f t="shared" si="4"/>
        <v>6</v>
      </c>
      <c r="B116" s="75"/>
      <c r="C116" s="61" t="s">
        <v>201</v>
      </c>
      <c r="D116" s="50">
        <f>(41.57+95.12+0.75*11.05)*(10.764)</f>
        <v>1560.5378099999998</v>
      </c>
      <c r="E116" s="61">
        <v>0</v>
      </c>
      <c r="F116" s="61">
        <f t="shared" ref="F116:F117" si="6">(D116+E116)*(($F$108)+1)</f>
        <v>2496.8604959999998</v>
      </c>
      <c r="G116" s="75"/>
      <c r="H116" s="75"/>
      <c r="I116" s="33"/>
      <c r="L116" s="62"/>
      <c r="M116" s="62"/>
      <c r="N116" s="33"/>
    </row>
    <row r="117" spans="1:14" s="48" customFormat="1" ht="15.75" customHeight="1" x14ac:dyDescent="0.35">
      <c r="A117" s="75">
        <f t="shared" si="4"/>
        <v>7</v>
      </c>
      <c r="B117" s="75"/>
      <c r="C117" s="61" t="s">
        <v>197</v>
      </c>
      <c r="D117" s="50">
        <f>(40.16)*(10.764)</f>
        <v>432.28223999999994</v>
      </c>
      <c r="E117" s="61">
        <v>0</v>
      </c>
      <c r="F117" s="61">
        <f t="shared" si="6"/>
        <v>691.65158399999996</v>
      </c>
      <c r="G117" s="75"/>
      <c r="H117" s="75"/>
      <c r="I117" s="33">
        <f>4.5*6.95+3.75*2.1</f>
        <v>39.150000000000006</v>
      </c>
      <c r="L117" s="62"/>
      <c r="M117" s="62"/>
      <c r="N117" s="33"/>
    </row>
    <row r="118" spans="1:14" s="48" customFormat="1" x14ac:dyDescent="0.35">
      <c r="A118" s="71" t="s">
        <v>199</v>
      </c>
      <c r="B118" s="72"/>
      <c r="C118" s="72"/>
      <c r="D118" s="72"/>
      <c r="E118" s="72"/>
      <c r="F118" s="72"/>
      <c r="G118" s="72"/>
      <c r="H118" s="73"/>
      <c r="J118" s="33"/>
    </row>
    <row r="119" spans="1:14" s="48" customFormat="1" ht="15.75" customHeight="1" x14ac:dyDescent="0.35">
      <c r="A119" s="67">
        <v>1</v>
      </c>
      <c r="B119" s="68"/>
      <c r="C119" s="44" t="s">
        <v>200</v>
      </c>
      <c r="D119" s="50">
        <f>(25.83+0.75*4.5)*(10.764)</f>
        <v>314.36261999999994</v>
      </c>
      <c r="E119" s="44">
        <v>0</v>
      </c>
      <c r="F119" s="44">
        <f>(D119+E119)*(($F$108)+1)</f>
        <v>502.98019199999993</v>
      </c>
      <c r="G119" s="63" t="str">
        <f>A118</f>
        <v xml:space="preserve">1st Floor For Commercial </v>
      </c>
      <c r="H119" s="64"/>
      <c r="I119" s="49"/>
      <c r="L119" s="62"/>
      <c r="M119" s="62"/>
      <c r="N119" s="33"/>
    </row>
    <row r="120" spans="1:14" s="48" customFormat="1" ht="15.75" customHeight="1" x14ac:dyDescent="0.35">
      <c r="A120" s="67">
        <f t="shared" ref="A120:A122" si="7">A119+1</f>
        <v>2</v>
      </c>
      <c r="B120" s="68"/>
      <c r="C120" s="44" t="s">
        <v>200</v>
      </c>
      <c r="D120" s="50">
        <f>(16.02+0.75*3.2)*(10.764)</f>
        <v>198.27288000000001</v>
      </c>
      <c r="E120" s="44">
        <v>0</v>
      </c>
      <c r="F120" s="44">
        <f t="shared" ref="F120:F122" si="8">(D120+E120)*(($F$108)+1)</f>
        <v>317.23660800000005</v>
      </c>
      <c r="G120" s="65"/>
      <c r="H120" s="66"/>
      <c r="I120" s="33"/>
      <c r="L120" s="62"/>
      <c r="M120" s="62"/>
      <c r="N120" s="33"/>
    </row>
    <row r="121" spans="1:14" s="48" customFormat="1" ht="15.75" customHeight="1" x14ac:dyDescent="0.35">
      <c r="A121" s="67">
        <f t="shared" si="7"/>
        <v>3</v>
      </c>
      <c r="B121" s="68"/>
      <c r="C121" s="44" t="s">
        <v>200</v>
      </c>
      <c r="D121" s="50">
        <f>(37.55+0.75*7.55)*(10.764)</f>
        <v>465.13934999999998</v>
      </c>
      <c r="E121" s="44">
        <v>0</v>
      </c>
      <c r="F121" s="44">
        <f t="shared" si="8"/>
        <v>744.22296000000006</v>
      </c>
      <c r="G121" s="65"/>
      <c r="H121" s="66"/>
      <c r="I121" s="33"/>
      <c r="L121" s="62"/>
      <c r="M121" s="62"/>
      <c r="N121" s="33"/>
    </row>
    <row r="122" spans="1:14" s="48" customFormat="1" ht="15.75" customHeight="1" x14ac:dyDescent="0.35">
      <c r="A122" s="67">
        <f t="shared" si="7"/>
        <v>4</v>
      </c>
      <c r="B122" s="68"/>
      <c r="C122" s="44" t="s">
        <v>200</v>
      </c>
      <c r="D122" s="50">
        <f>(28.79+0.75*4.35)*(10.764)</f>
        <v>345.01310999999998</v>
      </c>
      <c r="E122" s="44">
        <v>0</v>
      </c>
      <c r="F122" s="44">
        <f t="shared" si="8"/>
        <v>552.02097600000002</v>
      </c>
      <c r="G122" s="65"/>
      <c r="H122" s="66"/>
      <c r="I122" s="33"/>
      <c r="L122" s="62"/>
      <c r="M122" s="62"/>
      <c r="N122" s="33"/>
    </row>
    <row r="123" spans="1:14" s="48" customFormat="1" ht="15.75" customHeight="1" x14ac:dyDescent="0.35">
      <c r="A123" s="67" t="s">
        <v>202</v>
      </c>
      <c r="B123" s="68"/>
      <c r="C123" s="67" t="s">
        <v>203</v>
      </c>
      <c r="D123" s="74"/>
      <c r="E123" s="74"/>
      <c r="F123" s="68"/>
      <c r="G123" s="65"/>
      <c r="H123" s="66"/>
      <c r="I123" s="33"/>
      <c r="L123" s="62"/>
      <c r="M123" s="62"/>
      <c r="N123" s="33"/>
    </row>
    <row r="124" spans="1:14" s="48" customFormat="1" x14ac:dyDescent="0.35">
      <c r="A124" s="71" t="s">
        <v>120</v>
      </c>
      <c r="B124" s="72"/>
      <c r="C124" s="72"/>
      <c r="D124" s="72"/>
      <c r="E124" s="72"/>
      <c r="F124" s="72"/>
      <c r="G124" s="72"/>
      <c r="H124" s="73"/>
      <c r="J124" s="33"/>
    </row>
    <row r="125" spans="1:14" s="48" customFormat="1" ht="15.75" customHeight="1" x14ac:dyDescent="0.35">
      <c r="A125" s="67">
        <v>1</v>
      </c>
      <c r="B125" s="68"/>
      <c r="C125" s="44" t="s">
        <v>200</v>
      </c>
      <c r="D125" s="50">
        <f>(43.68+0.75*7.85)*(10.764)</f>
        <v>533.54456999999991</v>
      </c>
      <c r="E125" s="44">
        <v>0</v>
      </c>
      <c r="F125" s="44">
        <f>(D125+E125)*(($F$108)+1)</f>
        <v>853.67131199999994</v>
      </c>
      <c r="G125" s="63" t="str">
        <f>A124</f>
        <v>2nd Floor</v>
      </c>
      <c r="H125" s="64"/>
      <c r="I125" s="49">
        <f>7.85*4.95+0.8*6.4</f>
        <v>43.977500000000006</v>
      </c>
      <c r="L125" s="62"/>
      <c r="M125" s="62"/>
      <c r="N125" s="33"/>
    </row>
    <row r="126" spans="1:14" s="48" customFormat="1" ht="15.75" customHeight="1" x14ac:dyDescent="0.35">
      <c r="A126" s="67">
        <f t="shared" ref="A126:A130" si="9">A125+1</f>
        <v>2</v>
      </c>
      <c r="B126" s="68"/>
      <c r="C126" s="44" t="s">
        <v>200</v>
      </c>
      <c r="D126" s="50">
        <f>(37.55+0.75*7.55)*(10.764)</f>
        <v>465.13934999999998</v>
      </c>
      <c r="E126" s="44">
        <v>0</v>
      </c>
      <c r="F126" s="44">
        <f t="shared" ref="F126:F129" si="10">(D126+E126)*(($F$108)+1)</f>
        <v>744.22296000000006</v>
      </c>
      <c r="G126" s="65"/>
      <c r="H126" s="66"/>
      <c r="I126" s="49">
        <f>7.55*4.95</f>
        <v>37.372500000000002</v>
      </c>
      <c r="L126" s="62"/>
      <c r="M126" s="62"/>
      <c r="N126" s="33"/>
    </row>
    <row r="127" spans="1:14" s="48" customFormat="1" ht="15.75" customHeight="1" x14ac:dyDescent="0.35">
      <c r="A127" s="67">
        <f t="shared" si="9"/>
        <v>3</v>
      </c>
      <c r="B127" s="68"/>
      <c r="C127" s="44" t="s">
        <v>200</v>
      </c>
      <c r="D127" s="50">
        <f>(21.71+0.75*4.35)*(10.764)</f>
        <v>268.80399</v>
      </c>
      <c r="E127" s="44">
        <v>0</v>
      </c>
      <c r="F127" s="44">
        <f t="shared" si="10"/>
        <v>430.08638400000001</v>
      </c>
      <c r="G127" s="65"/>
      <c r="H127" s="66"/>
      <c r="I127" s="33"/>
      <c r="L127" s="62"/>
      <c r="M127" s="62"/>
      <c r="N127" s="33"/>
    </row>
    <row r="128" spans="1:14" s="48" customFormat="1" ht="15.75" customHeight="1" x14ac:dyDescent="0.35">
      <c r="A128" s="67">
        <f t="shared" si="9"/>
        <v>4</v>
      </c>
      <c r="B128" s="68"/>
      <c r="C128" s="44" t="s">
        <v>200</v>
      </c>
      <c r="D128" s="50">
        <f>(31.86+0.75*6.4)*(10.764)</f>
        <v>394.60823999999997</v>
      </c>
      <c r="E128" s="44">
        <v>0</v>
      </c>
      <c r="F128" s="44">
        <f t="shared" si="10"/>
        <v>631.37318400000004</v>
      </c>
      <c r="G128" s="65"/>
      <c r="H128" s="66"/>
      <c r="I128" s="33"/>
      <c r="L128" s="62"/>
      <c r="M128" s="62"/>
      <c r="N128" s="33"/>
    </row>
    <row r="129" spans="1:14" s="48" customFormat="1" x14ac:dyDescent="0.35">
      <c r="A129" s="67">
        <f t="shared" si="9"/>
        <v>5</v>
      </c>
      <c r="B129" s="68"/>
      <c r="C129" s="44" t="s">
        <v>225</v>
      </c>
      <c r="D129" s="50">
        <f>(53.06+0.75*(4.5+4.5))*(10.764)</f>
        <v>643.79484000000002</v>
      </c>
      <c r="E129" s="44">
        <v>0</v>
      </c>
      <c r="F129" s="44">
        <f t="shared" si="10"/>
        <v>1030.0717440000001</v>
      </c>
      <c r="G129" s="65"/>
      <c r="H129" s="66"/>
      <c r="I129" s="33">
        <f>(11.75*4.5)*10.764</f>
        <v>569.14649999999995</v>
      </c>
      <c r="L129" s="62"/>
      <c r="M129" s="62"/>
      <c r="N129" s="33"/>
    </row>
    <row r="130" spans="1:14" s="48" customFormat="1" x14ac:dyDescent="0.35">
      <c r="A130" s="67">
        <f t="shared" si="9"/>
        <v>6</v>
      </c>
      <c r="B130" s="68"/>
      <c r="C130" s="44" t="s">
        <v>225</v>
      </c>
      <c r="D130" s="50">
        <f>(13.78+0.75*3.2)*(10.764)</f>
        <v>174.16152</v>
      </c>
      <c r="E130" s="44">
        <v>0</v>
      </c>
      <c r="F130" s="44">
        <f t="shared" ref="F130" si="11">(D130+E130)*(($F$108)+1)</f>
        <v>278.658432</v>
      </c>
      <c r="G130" s="69"/>
      <c r="H130" s="70"/>
      <c r="I130" s="33"/>
      <c r="L130" s="62"/>
      <c r="M130" s="62"/>
      <c r="N130" s="33"/>
    </row>
    <row r="131" spans="1:14" s="34" customFormat="1" x14ac:dyDescent="0.35">
      <c r="A131" s="67"/>
      <c r="B131" s="74"/>
      <c r="C131" s="74"/>
      <c r="D131" s="74"/>
      <c r="E131" s="74"/>
      <c r="F131" s="74"/>
      <c r="G131" s="74"/>
      <c r="H131" s="68"/>
      <c r="I131" s="33"/>
      <c r="N131" s="33"/>
    </row>
    <row r="132" spans="1:14" ht="47.25" customHeight="1" x14ac:dyDescent="0.35">
      <c r="A132" s="47" t="s">
        <v>123</v>
      </c>
      <c r="B132" s="47" t="s">
        <v>124</v>
      </c>
      <c r="C132" s="45" t="s">
        <v>58</v>
      </c>
      <c r="D132" s="45" t="s">
        <v>59</v>
      </c>
      <c r="E132" s="46" t="s">
        <v>60</v>
      </c>
      <c r="F132" s="40" t="s">
        <v>215</v>
      </c>
      <c r="G132" s="97" t="s">
        <v>61</v>
      </c>
      <c r="H132" s="98"/>
      <c r="I132" s="33"/>
    </row>
    <row r="133" spans="1:14" s="48" customFormat="1" x14ac:dyDescent="0.35">
      <c r="A133" s="71" t="s">
        <v>198</v>
      </c>
      <c r="B133" s="72"/>
      <c r="C133" s="72"/>
      <c r="D133" s="72"/>
      <c r="E133" s="72"/>
      <c r="F133" s="72"/>
      <c r="G133" s="72"/>
      <c r="H133" s="73"/>
      <c r="J133" s="33"/>
    </row>
    <row r="134" spans="1:14" s="34" customFormat="1" x14ac:dyDescent="0.35">
      <c r="A134" s="71" t="s">
        <v>204</v>
      </c>
      <c r="B134" s="72"/>
      <c r="C134" s="72"/>
      <c r="D134" s="72"/>
      <c r="E134" s="72"/>
      <c r="F134" s="72"/>
      <c r="G134" s="72"/>
      <c r="H134" s="73"/>
      <c r="J134" s="33"/>
    </row>
    <row r="135" spans="1:14" s="34" customFormat="1" ht="15.75" customHeight="1" x14ac:dyDescent="0.35">
      <c r="A135" s="67">
        <v>1</v>
      </c>
      <c r="B135" s="68"/>
      <c r="C135" s="39" t="s">
        <v>206</v>
      </c>
      <c r="D135" s="50">
        <f>(115.32+1.5*4.35+0.75*(3.05+3.2+4.05))*(10.764)</f>
        <v>1394.6914799999997</v>
      </c>
      <c r="E135" s="50">
        <f>(4.8*1.85+0.5*(1.28*0.8))*(10.764)</f>
        <v>101.095488</v>
      </c>
      <c r="F135" s="39">
        <v>2260</v>
      </c>
      <c r="G135" s="63" t="str">
        <f>A134</f>
        <v>3rd Floor For Residential</v>
      </c>
      <c r="H135" s="64"/>
      <c r="I135" s="49">
        <f>4.35*4.5+3.2*1.7+3.05*3.65+3.2*3.65+4.05*4.7+2.5*1.35+3*3.55+1.6*2.4+1.45*2.4+1.6*2.4+1.45*1.28+1.2*6.4+1.92*0.8+1.92*0.8+2.1*1.44+0.4*4.7+1.5*3.55</f>
        <v>114.88449999999999</v>
      </c>
      <c r="J135" s="34">
        <f>2260/D135</f>
        <v>1.6204300609909803</v>
      </c>
      <c r="K135" s="34">
        <f>2260/D138</f>
        <v>1.6204300609909803</v>
      </c>
      <c r="L135" s="55">
        <f>7500*F135</f>
        <v>16950000</v>
      </c>
      <c r="M135" s="51"/>
      <c r="N135" s="33"/>
    </row>
    <row r="136" spans="1:14" s="34" customFormat="1" ht="15.75" customHeight="1" x14ac:dyDescent="0.35">
      <c r="A136" s="67">
        <f t="shared" ref="A136" si="12">A135+1</f>
        <v>2</v>
      </c>
      <c r="B136" s="68"/>
      <c r="C136" s="44" t="s">
        <v>206</v>
      </c>
      <c r="D136" s="50">
        <f>(115.32+1.5*4.35+0.75*(3.05+3.2+4.05))*(10.764)</f>
        <v>1394.6914799999997</v>
      </c>
      <c r="E136" s="50">
        <f>(4.8*2.72+0.5*(1.6*1.6))*(10.764)</f>
        <v>154.31270400000002</v>
      </c>
      <c r="F136" s="44">
        <v>2260</v>
      </c>
      <c r="G136" s="65"/>
      <c r="H136" s="66"/>
      <c r="I136" s="33"/>
      <c r="J136" s="48">
        <f>2260/D136</f>
        <v>1.6204300609909803</v>
      </c>
      <c r="L136" s="55">
        <f t="shared" ref="L136:L142" si="13">7500*F136</f>
        <v>16950000</v>
      </c>
      <c r="M136" s="51">
        <f>1395*1.6</f>
        <v>2232</v>
      </c>
      <c r="N136" s="33"/>
    </row>
    <row r="137" spans="1:14" s="48" customFormat="1" x14ac:dyDescent="0.35">
      <c r="A137" s="71" t="s">
        <v>205</v>
      </c>
      <c r="B137" s="72"/>
      <c r="C137" s="72"/>
      <c r="D137" s="72"/>
      <c r="E137" s="72"/>
      <c r="F137" s="72"/>
      <c r="G137" s="72"/>
      <c r="H137" s="73"/>
      <c r="K137" s="52"/>
      <c r="L137" s="55">
        <f t="shared" si="13"/>
        <v>0</v>
      </c>
      <c r="M137" s="51"/>
    </row>
    <row r="138" spans="1:14" s="48" customFormat="1" ht="15.75" customHeight="1" x14ac:dyDescent="0.35">
      <c r="A138" s="67">
        <v>1</v>
      </c>
      <c r="B138" s="68"/>
      <c r="C138" s="44" t="s">
        <v>206</v>
      </c>
      <c r="D138" s="50">
        <f>(115.32+1.5*4.35+0.75*(3.05+3.2+4.05))*(10.764)</f>
        <v>1394.6914799999997</v>
      </c>
      <c r="E138" s="44">
        <v>0</v>
      </c>
      <c r="F138" s="44">
        <v>2260</v>
      </c>
      <c r="G138" s="63" t="str">
        <f>A137</f>
        <v>4th to 7th &amp; 9th to 12th Floor</v>
      </c>
      <c r="H138" s="64"/>
      <c r="I138" s="33"/>
      <c r="J138" s="48">
        <f t="shared" ref="J138:J141" si="14">2260/D138</f>
        <v>1.6204300609909803</v>
      </c>
      <c r="K138" s="52"/>
      <c r="L138" s="55">
        <f>7500*F138</f>
        <v>16950000</v>
      </c>
      <c r="M138" s="51"/>
      <c r="N138" s="33"/>
    </row>
    <row r="139" spans="1:14" s="48" customFormat="1" ht="15.75" customHeight="1" x14ac:dyDescent="0.35">
      <c r="A139" s="67">
        <f t="shared" ref="A139" si="15">A138+1</f>
        <v>2</v>
      </c>
      <c r="B139" s="68"/>
      <c r="C139" s="44" t="s">
        <v>206</v>
      </c>
      <c r="D139" s="50">
        <f>(115.32+1.5*4.35+0.75*(3.05+3.2+4.05))*(10.764)</f>
        <v>1394.6914799999997</v>
      </c>
      <c r="E139" s="44">
        <v>0</v>
      </c>
      <c r="F139" s="44">
        <v>2260</v>
      </c>
      <c r="G139" s="65"/>
      <c r="H139" s="66"/>
      <c r="I139" s="33"/>
      <c r="J139" s="48">
        <f t="shared" si="14"/>
        <v>1.6204300609909803</v>
      </c>
      <c r="K139" s="52"/>
      <c r="L139" s="55">
        <f t="shared" si="13"/>
        <v>16950000</v>
      </c>
      <c r="M139" s="51"/>
      <c r="N139" s="33"/>
    </row>
    <row r="140" spans="1:14" s="34" customFormat="1" x14ac:dyDescent="0.35">
      <c r="A140" s="130" t="s">
        <v>207</v>
      </c>
      <c r="B140" s="130"/>
      <c r="C140" s="130"/>
      <c r="D140" s="130"/>
      <c r="E140" s="130"/>
      <c r="F140" s="130"/>
      <c r="G140" s="130"/>
      <c r="H140" s="130"/>
      <c r="I140" s="33"/>
      <c r="J140" s="48"/>
      <c r="K140" s="52"/>
      <c r="L140" s="55">
        <f t="shared" si="13"/>
        <v>0</v>
      </c>
      <c r="M140" s="51"/>
    </row>
    <row r="141" spans="1:14" s="34" customFormat="1" x14ac:dyDescent="0.35">
      <c r="A141" s="75">
        <v>1</v>
      </c>
      <c r="B141" s="75"/>
      <c r="C141" s="44" t="s">
        <v>206</v>
      </c>
      <c r="D141" s="50">
        <f>(115.32+1.5*4.35+0.75*(3.05+3.2+4.05))*(10.764)</f>
        <v>1394.6914799999997</v>
      </c>
      <c r="E141" s="39">
        <v>0</v>
      </c>
      <c r="F141" s="44">
        <v>2260</v>
      </c>
      <c r="G141" s="63" t="str">
        <f>A140</f>
        <v>8th &amp; 13th Floor (Part Refuge Area)</v>
      </c>
      <c r="H141" s="64"/>
      <c r="I141" s="49">
        <f>4.35*4.5+3.05*3.65+3.2*3.65+4.05*4.7+2.5*1.35+3*3.55+1.6*2.4+1.45*2.4+3.2*1.7+1.76*1.28+6.72*1.2+0.48*4.7+1.44*1.44+1.92*0.96+1.92*0.96+1.6*2.4+1.5*3.55</f>
        <v>115.70529999999998</v>
      </c>
      <c r="J141" s="48">
        <f t="shared" si="14"/>
        <v>1.6204300609909803</v>
      </c>
      <c r="K141" s="52"/>
      <c r="L141" s="55">
        <f t="shared" si="13"/>
        <v>16950000</v>
      </c>
      <c r="M141" s="51"/>
      <c r="N141" s="33"/>
    </row>
    <row r="142" spans="1:14" s="34" customFormat="1" x14ac:dyDescent="0.35">
      <c r="A142" s="75">
        <f>A141+1</f>
        <v>2</v>
      </c>
      <c r="B142" s="75"/>
      <c r="C142" s="44" t="s">
        <v>206</v>
      </c>
      <c r="D142" s="50">
        <f>(115.32+1.5*4.35+0.75*(3.05+3.2+4.05))*(10.764)</f>
        <v>1394.6914799999997</v>
      </c>
      <c r="E142" s="39">
        <v>0</v>
      </c>
      <c r="F142" s="44">
        <v>2260</v>
      </c>
      <c r="G142" s="65"/>
      <c r="H142" s="66"/>
      <c r="I142" s="33"/>
      <c r="K142" s="52"/>
      <c r="L142" s="55">
        <f t="shared" si="13"/>
        <v>16950000</v>
      </c>
      <c r="M142" s="51"/>
      <c r="N142" s="33"/>
    </row>
    <row r="143" spans="1:14" s="48" customFormat="1" x14ac:dyDescent="0.35">
      <c r="A143" s="130" t="s">
        <v>208</v>
      </c>
      <c r="B143" s="130"/>
      <c r="C143" s="130"/>
      <c r="D143" s="130"/>
      <c r="E143" s="130"/>
      <c r="F143" s="130"/>
      <c r="G143" s="130"/>
      <c r="H143" s="130"/>
      <c r="I143" s="33"/>
      <c r="L143" s="62"/>
      <c r="M143" s="62"/>
    </row>
    <row r="144" spans="1:14" s="32" customFormat="1" x14ac:dyDescent="0.35">
      <c r="A144" s="151" t="s">
        <v>69</v>
      </c>
      <c r="B144" s="151"/>
      <c r="C144" s="151"/>
      <c r="D144" s="151"/>
      <c r="E144" s="151"/>
      <c r="F144" s="151"/>
      <c r="G144" s="151"/>
      <c r="H144" s="151"/>
    </row>
    <row r="145" spans="1:8" s="32" customFormat="1" x14ac:dyDescent="0.35">
      <c r="A145" s="60" t="s">
        <v>156</v>
      </c>
      <c r="B145" s="166" t="s">
        <v>221</v>
      </c>
      <c r="C145" s="166"/>
      <c r="D145" s="166"/>
      <c r="E145" s="166"/>
      <c r="F145" s="166"/>
      <c r="G145" s="166"/>
      <c r="H145" s="166"/>
    </row>
    <row r="146" spans="1:8" s="32" customFormat="1" x14ac:dyDescent="0.35">
      <c r="A146" s="60" t="s">
        <v>156</v>
      </c>
      <c r="B146" s="166" t="str">
        <f>(IF(F132="Saleable area Loading :","We have considered Saleable area of Flats as per our Calculation.","We considered Saleable area of Flat as per Builder area Sheet."))</f>
        <v>We considered Saleable area of Flat as per Builder area Sheet.</v>
      </c>
      <c r="C146" s="166"/>
      <c r="D146" s="166"/>
      <c r="E146" s="166"/>
      <c r="F146" s="166"/>
      <c r="G146" s="166"/>
      <c r="H146" s="166"/>
    </row>
    <row r="147" spans="1:8" s="32" customFormat="1" x14ac:dyDescent="0.35">
      <c r="A147" s="60" t="s">
        <v>156</v>
      </c>
      <c r="B147" s="166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7" s="166"/>
      <c r="D147" s="166"/>
      <c r="E147" s="166"/>
      <c r="F147" s="166"/>
      <c r="G147" s="166"/>
      <c r="H147" s="166"/>
    </row>
    <row r="148" spans="1:8" s="32" customFormat="1" x14ac:dyDescent="0.35">
      <c r="A148" s="60" t="s">
        <v>156</v>
      </c>
      <c r="B148" s="167" t="s">
        <v>126</v>
      </c>
      <c r="C148" s="167"/>
      <c r="D148" s="167"/>
      <c r="E148" s="167"/>
      <c r="F148" s="167"/>
      <c r="G148" s="167"/>
      <c r="H148" s="167"/>
    </row>
    <row r="149" spans="1:8" s="32" customFormat="1" x14ac:dyDescent="0.35">
      <c r="A149" s="60" t="s">
        <v>156</v>
      </c>
      <c r="B149" s="167" t="s">
        <v>209</v>
      </c>
      <c r="C149" s="167"/>
      <c r="D149" s="167"/>
      <c r="E149" s="167"/>
      <c r="F149" s="167"/>
      <c r="G149" s="167"/>
      <c r="H149" s="167"/>
    </row>
    <row r="150" spans="1:8" s="32" customFormat="1" x14ac:dyDescent="0.35">
      <c r="A150" s="60" t="s">
        <v>156</v>
      </c>
      <c r="B150" s="167" t="s">
        <v>155</v>
      </c>
      <c r="C150" s="167"/>
      <c r="D150" s="167"/>
      <c r="E150" s="167"/>
      <c r="F150" s="167"/>
      <c r="G150" s="167"/>
      <c r="H150" s="167"/>
    </row>
    <row r="151" spans="1:8" s="32" customFormat="1" x14ac:dyDescent="0.35">
      <c r="A151" s="60" t="s">
        <v>156</v>
      </c>
      <c r="B151" s="167" t="s">
        <v>127</v>
      </c>
      <c r="C151" s="167"/>
      <c r="D151" s="167"/>
      <c r="E151" s="167"/>
      <c r="F151" s="167"/>
      <c r="G151" s="167"/>
      <c r="H151" s="167"/>
    </row>
    <row r="152" spans="1:8" s="32" customFormat="1" ht="34.5" customHeight="1" x14ac:dyDescent="0.35">
      <c r="A152" s="60" t="s">
        <v>156</v>
      </c>
      <c r="B152" s="167" t="s">
        <v>157</v>
      </c>
      <c r="C152" s="167"/>
      <c r="D152" s="167"/>
      <c r="E152" s="167"/>
      <c r="F152" s="167"/>
      <c r="G152" s="167"/>
      <c r="H152" s="167"/>
    </row>
    <row r="153" spans="1:8" s="32" customFormat="1" x14ac:dyDescent="0.35">
      <c r="A153" s="60" t="s">
        <v>156</v>
      </c>
      <c r="B153" s="167" t="s">
        <v>128</v>
      </c>
      <c r="C153" s="167"/>
      <c r="D153" s="167"/>
      <c r="E153" s="167"/>
      <c r="F153" s="167"/>
      <c r="G153" s="167"/>
      <c r="H153" s="167"/>
    </row>
    <row r="154" spans="1:8" s="32" customFormat="1" x14ac:dyDescent="0.35">
      <c r="A154" s="60" t="s">
        <v>156</v>
      </c>
      <c r="B154" s="166" t="s">
        <v>192</v>
      </c>
      <c r="C154" s="166"/>
      <c r="D154" s="166"/>
      <c r="E154" s="166"/>
      <c r="F154" s="166"/>
      <c r="G154" s="166"/>
      <c r="H154" s="166"/>
    </row>
    <row r="155" spans="1:8" x14ac:dyDescent="0.35">
      <c r="A155" s="86" t="s">
        <v>62</v>
      </c>
      <c r="B155" s="86"/>
      <c r="C155" s="86"/>
      <c r="D155" s="86"/>
      <c r="E155" s="86"/>
      <c r="F155" s="86"/>
      <c r="G155" s="86"/>
      <c r="H155" s="86"/>
    </row>
    <row r="156" spans="1:8" x14ac:dyDescent="0.35">
      <c r="A156" s="77" t="s">
        <v>63</v>
      </c>
      <c r="B156" s="77"/>
      <c r="C156" s="77"/>
      <c r="D156" s="77"/>
      <c r="E156" s="77"/>
      <c r="F156" s="77"/>
      <c r="G156" s="77"/>
      <c r="H156" s="77"/>
    </row>
    <row r="157" spans="1:8" ht="15.75" customHeight="1" x14ac:dyDescent="0.35">
      <c r="A157" s="95" t="s">
        <v>64</v>
      </c>
      <c r="B157" s="95"/>
      <c r="C157" s="95"/>
      <c r="D157" s="95"/>
      <c r="E157" s="95"/>
      <c r="F157" s="95"/>
      <c r="G157" s="95"/>
      <c r="H157" s="95"/>
    </row>
    <row r="158" spans="1:8" x14ac:dyDescent="0.35">
      <c r="A158" s="77" t="s">
        <v>65</v>
      </c>
      <c r="B158" s="77"/>
      <c r="C158" s="77"/>
      <c r="D158" s="77"/>
      <c r="E158" s="77"/>
      <c r="F158" s="77"/>
      <c r="G158" s="77"/>
      <c r="H158" s="77"/>
    </row>
    <row r="159" spans="1:8" x14ac:dyDescent="0.35">
      <c r="A159" s="77" t="s">
        <v>66</v>
      </c>
      <c r="B159" s="77"/>
      <c r="C159" s="77"/>
      <c r="D159" s="77"/>
      <c r="E159" s="77"/>
      <c r="F159" s="77"/>
      <c r="G159" s="77"/>
      <c r="H159" s="77"/>
    </row>
    <row r="160" spans="1:8" x14ac:dyDescent="0.35">
      <c r="A160" s="77" t="s">
        <v>129</v>
      </c>
      <c r="B160" s="77"/>
      <c r="C160" s="77"/>
      <c r="D160" s="77"/>
      <c r="E160" s="77"/>
      <c r="F160" s="77"/>
      <c r="G160" s="77"/>
      <c r="H160" s="77"/>
    </row>
    <row r="161" spans="1:8" x14ac:dyDescent="0.35">
      <c r="A161" s="87" t="s">
        <v>130</v>
      </c>
      <c r="B161" s="87"/>
      <c r="C161" s="87"/>
      <c r="D161" s="87"/>
      <c r="E161" s="87"/>
      <c r="F161" s="87"/>
      <c r="G161" s="87"/>
      <c r="H161" s="87"/>
    </row>
    <row r="162" spans="1:8" x14ac:dyDescent="0.35">
      <c r="A162" s="132" t="s">
        <v>77</v>
      </c>
      <c r="B162" s="132"/>
      <c r="C162" s="132" t="s">
        <v>235</v>
      </c>
      <c r="D162" s="132"/>
      <c r="E162" s="132" t="s">
        <v>107</v>
      </c>
      <c r="F162" s="132"/>
      <c r="G162" s="132" t="s">
        <v>234</v>
      </c>
      <c r="H162" s="132"/>
    </row>
    <row r="163" spans="1:8" x14ac:dyDescent="0.35">
      <c r="A163" s="131" t="s">
        <v>79</v>
      </c>
      <c r="B163" s="131"/>
      <c r="C163" s="131"/>
      <c r="D163" s="131"/>
      <c r="E163" s="131"/>
      <c r="F163" s="131"/>
      <c r="G163" s="131"/>
      <c r="H163" s="131"/>
    </row>
    <row r="164" spans="1:8" x14ac:dyDescent="0.35">
      <c r="A164" s="131"/>
      <c r="B164" s="131"/>
      <c r="C164" s="131"/>
      <c r="D164" s="131"/>
      <c r="E164" s="131"/>
      <c r="F164" s="131"/>
      <c r="G164" s="131"/>
      <c r="H164" s="131"/>
    </row>
    <row r="165" spans="1:8" x14ac:dyDescent="0.35">
      <c r="A165" s="131"/>
      <c r="B165" s="131"/>
      <c r="C165" s="131"/>
      <c r="D165" s="131"/>
      <c r="E165" s="131"/>
      <c r="F165" s="131"/>
      <c r="G165" s="131"/>
      <c r="H165" s="131"/>
    </row>
    <row r="166" spans="1:8" x14ac:dyDescent="0.35">
      <c r="A166" s="131"/>
      <c r="B166" s="131"/>
      <c r="C166" s="131"/>
      <c r="D166" s="131"/>
      <c r="E166" s="131"/>
      <c r="F166" s="131"/>
      <c r="G166" s="131"/>
      <c r="H166" s="131"/>
    </row>
    <row r="167" spans="1:8" x14ac:dyDescent="0.35">
      <c r="A167" s="35" t="s">
        <v>67</v>
      </c>
      <c r="B167" s="36"/>
      <c r="C167" s="36"/>
      <c r="D167" s="35" t="str">
        <f>E8</f>
        <v>Raj Paradise</v>
      </c>
      <c r="F167" s="36"/>
      <c r="G167" s="36"/>
      <c r="H167" s="36"/>
    </row>
    <row r="168" spans="1:8" x14ac:dyDescent="0.35">
      <c r="A168" s="36"/>
      <c r="B168" s="36"/>
      <c r="C168" s="36"/>
      <c r="D168" s="36"/>
      <c r="E168" s="36"/>
      <c r="F168" s="36"/>
      <c r="G168" s="36"/>
      <c r="H168" s="36"/>
    </row>
    <row r="169" spans="1:8" x14ac:dyDescent="0.35">
      <c r="A169" s="36"/>
      <c r="B169" s="36"/>
      <c r="C169" s="36"/>
      <c r="D169" s="36"/>
      <c r="E169" s="36"/>
      <c r="F169" s="36"/>
      <c r="G169" s="36"/>
      <c r="H169" s="36"/>
    </row>
    <row r="170" spans="1:8" ht="15" customHeight="1" x14ac:dyDescent="0.35"/>
    <row r="210" spans="1:1" x14ac:dyDescent="0.35">
      <c r="A210" s="38" t="s">
        <v>167</v>
      </c>
    </row>
    <row r="246" spans="1:1" x14ac:dyDescent="0.35">
      <c r="A246" s="38" t="s">
        <v>68</v>
      </c>
    </row>
  </sheetData>
  <mergeCells count="313">
    <mergeCell ref="A61:C61"/>
    <mergeCell ref="D61:H61"/>
    <mergeCell ref="A83:E83"/>
    <mergeCell ref="A79:E79"/>
    <mergeCell ref="F84:H84"/>
    <mergeCell ref="A85:E85"/>
    <mergeCell ref="A103:B103"/>
    <mergeCell ref="C67:H67"/>
    <mergeCell ref="A70:B70"/>
    <mergeCell ref="A72:B72"/>
    <mergeCell ref="E68:F68"/>
    <mergeCell ref="A91:E91"/>
    <mergeCell ref="C98:D98"/>
    <mergeCell ref="D62:H62"/>
    <mergeCell ref="A63:C63"/>
    <mergeCell ref="D63:H63"/>
    <mergeCell ref="A69:B69"/>
    <mergeCell ref="G68:H68"/>
    <mergeCell ref="E69:F78"/>
    <mergeCell ref="G69:H78"/>
    <mergeCell ref="A77:B77"/>
    <mergeCell ref="A78:B78"/>
    <mergeCell ref="A76:B76"/>
    <mergeCell ref="A64:C64"/>
    <mergeCell ref="A38:B38"/>
    <mergeCell ref="C38:H38"/>
    <mergeCell ref="E103:F103"/>
    <mergeCell ref="A136:B136"/>
    <mergeCell ref="B148:H148"/>
    <mergeCell ref="B149:H149"/>
    <mergeCell ref="A144:H144"/>
    <mergeCell ref="C107:C108"/>
    <mergeCell ref="A135:B135"/>
    <mergeCell ref="A114:B114"/>
    <mergeCell ref="A113:B113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A47:B47"/>
    <mergeCell ref="C47:H47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37:B37"/>
    <mergeCell ref="C37:H37"/>
    <mergeCell ref="A44:D44"/>
    <mergeCell ref="A43:D43"/>
    <mergeCell ref="F35:H35"/>
    <mergeCell ref="A45:D45"/>
    <mergeCell ref="A46:H46"/>
    <mergeCell ref="D56:H56"/>
    <mergeCell ref="A56:C56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63:H166"/>
    <mergeCell ref="A162:B162"/>
    <mergeCell ref="E162:F162"/>
    <mergeCell ref="C162:D162"/>
    <mergeCell ref="G162:H162"/>
    <mergeCell ref="A95:H95"/>
    <mergeCell ref="A93:E93"/>
    <mergeCell ref="F93:H93"/>
    <mergeCell ref="A94:E94"/>
    <mergeCell ref="F94:H94"/>
    <mergeCell ref="A140:H140"/>
    <mergeCell ref="A102:B102"/>
    <mergeCell ref="A97:B97"/>
    <mergeCell ref="A158:H158"/>
    <mergeCell ref="A100:H100"/>
    <mergeCell ref="A161:H161"/>
    <mergeCell ref="A159:H159"/>
    <mergeCell ref="A155:H155"/>
    <mergeCell ref="C101:D101"/>
    <mergeCell ref="G101:H101"/>
    <mergeCell ref="C102:D102"/>
    <mergeCell ref="B152:H152"/>
    <mergeCell ref="B150:H150"/>
    <mergeCell ref="D107:D108"/>
    <mergeCell ref="F79:H79"/>
    <mergeCell ref="F85:H85"/>
    <mergeCell ref="A82:E82"/>
    <mergeCell ref="F82:H82"/>
    <mergeCell ref="A110:H110"/>
    <mergeCell ref="A156:H156"/>
    <mergeCell ref="E101:F101"/>
    <mergeCell ref="B153:H153"/>
    <mergeCell ref="B151:H151"/>
    <mergeCell ref="B147:H147"/>
    <mergeCell ref="A105:H105"/>
    <mergeCell ref="B145:H145"/>
    <mergeCell ref="B146:H146"/>
    <mergeCell ref="A104:B104"/>
    <mergeCell ref="C104:D104"/>
    <mergeCell ref="E104:F104"/>
    <mergeCell ref="G104:H104"/>
    <mergeCell ref="A124:H124"/>
    <mergeCell ref="A126:B126"/>
    <mergeCell ref="A111:B111"/>
    <mergeCell ref="A112:B112"/>
    <mergeCell ref="G103:H103"/>
    <mergeCell ref="E102:F102"/>
    <mergeCell ref="G102:H102"/>
    <mergeCell ref="A84:E84"/>
    <mergeCell ref="A89:E89"/>
    <mergeCell ref="F83:H83"/>
    <mergeCell ref="A88:E88"/>
    <mergeCell ref="A86:E86"/>
    <mergeCell ref="F86:H86"/>
    <mergeCell ref="A87:E87"/>
    <mergeCell ref="F87:H87"/>
    <mergeCell ref="A80:E80"/>
    <mergeCell ref="A106:H106"/>
    <mergeCell ref="G96:H96"/>
    <mergeCell ref="A90:E90"/>
    <mergeCell ref="C97:D97"/>
    <mergeCell ref="E97:F97"/>
    <mergeCell ref="B107:B108"/>
    <mergeCell ref="A107:A108"/>
    <mergeCell ref="C103:D103"/>
    <mergeCell ref="F90:H90"/>
    <mergeCell ref="E96:F96"/>
    <mergeCell ref="A96:B96"/>
    <mergeCell ref="A98:B98"/>
    <mergeCell ref="A92:E92"/>
    <mergeCell ref="F92:H92"/>
    <mergeCell ref="E107:E108"/>
    <mergeCell ref="G107:H108"/>
    <mergeCell ref="A160:H160"/>
    <mergeCell ref="A157:H157"/>
    <mergeCell ref="A141:B141"/>
    <mergeCell ref="A101:B101"/>
    <mergeCell ref="G132:H132"/>
    <mergeCell ref="A74:B74"/>
    <mergeCell ref="F80:H80"/>
    <mergeCell ref="G97:H97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B154:H154"/>
    <mergeCell ref="A115:B115"/>
    <mergeCell ref="A134:H134"/>
    <mergeCell ref="A109:H109"/>
    <mergeCell ref="E98:F98"/>
    <mergeCell ref="G98:H98"/>
    <mergeCell ref="E41:H41"/>
    <mergeCell ref="A41:D41"/>
    <mergeCell ref="A99:B99"/>
    <mergeCell ref="C99:D99"/>
    <mergeCell ref="E99:F99"/>
    <mergeCell ref="G99:H99"/>
    <mergeCell ref="C52:E52"/>
    <mergeCell ref="A49:B49"/>
    <mergeCell ref="A53:H53"/>
    <mergeCell ref="A54:C54"/>
    <mergeCell ref="A55:C55"/>
    <mergeCell ref="D55:H55"/>
    <mergeCell ref="G52:H52"/>
    <mergeCell ref="C51:H51"/>
    <mergeCell ref="F88:H88"/>
    <mergeCell ref="A59:C59"/>
    <mergeCell ref="D59:H59"/>
    <mergeCell ref="C96:D96"/>
    <mergeCell ref="F91:H91"/>
    <mergeCell ref="F89:H89"/>
    <mergeCell ref="D64:H64"/>
    <mergeCell ref="A62:C62"/>
    <mergeCell ref="F81:H81"/>
    <mergeCell ref="A81:E81"/>
    <mergeCell ref="L143:M143"/>
    <mergeCell ref="A130:B130"/>
    <mergeCell ref="L130:M130"/>
    <mergeCell ref="G125:H130"/>
    <mergeCell ref="A133:H133"/>
    <mergeCell ref="G135:H136"/>
    <mergeCell ref="A137:H137"/>
    <mergeCell ref="A138:B138"/>
    <mergeCell ref="G138:H139"/>
    <mergeCell ref="A139:B139"/>
    <mergeCell ref="A125:B125"/>
    <mergeCell ref="L125:M125"/>
    <mergeCell ref="A129:B129"/>
    <mergeCell ref="L129:M129"/>
    <mergeCell ref="A131:H131"/>
    <mergeCell ref="A142:B142"/>
    <mergeCell ref="L126:M126"/>
    <mergeCell ref="A127:B127"/>
    <mergeCell ref="L127:M127"/>
    <mergeCell ref="A128:B128"/>
    <mergeCell ref="L128:M128"/>
    <mergeCell ref="A143:H143"/>
    <mergeCell ref="L111:M111"/>
    <mergeCell ref="G141:H142"/>
    <mergeCell ref="L115:M115"/>
    <mergeCell ref="A116:B116"/>
    <mergeCell ref="L116:M116"/>
    <mergeCell ref="A117:B117"/>
    <mergeCell ref="L117:M117"/>
    <mergeCell ref="G111:H117"/>
    <mergeCell ref="A118:H118"/>
    <mergeCell ref="A119:B119"/>
    <mergeCell ref="G119:H123"/>
    <mergeCell ref="L119:M119"/>
    <mergeCell ref="A120:B120"/>
    <mergeCell ref="L120:M120"/>
    <mergeCell ref="A121:B121"/>
    <mergeCell ref="L121:M121"/>
    <mergeCell ref="A122:B122"/>
    <mergeCell ref="L122:M122"/>
    <mergeCell ref="A123:B123"/>
    <mergeCell ref="L123:M123"/>
    <mergeCell ref="L114:M114"/>
    <mergeCell ref="L113:M113"/>
    <mergeCell ref="L112:M112"/>
    <mergeCell ref="C123:F123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66" max="16383" man="1"/>
    <brk id="209" max="16383" man="1"/>
    <brk id="2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1" t="s">
        <v>108</v>
      </c>
      <c r="C3" s="161"/>
      <c r="D3" s="161"/>
      <c r="E3" s="161"/>
      <c r="F3" s="161"/>
      <c r="G3" s="161"/>
      <c r="H3" s="161"/>
    </row>
    <row r="4" spans="1:9" x14ac:dyDescent="0.3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2025-09-03T12:37:39Z</cp:lastPrinted>
  <dcterms:created xsi:type="dcterms:W3CDTF">2019-07-16T09:29:46Z</dcterms:created>
  <dcterms:modified xsi:type="dcterms:W3CDTF">2025-09-03T12:39:10Z</dcterms:modified>
</cp:coreProperties>
</file>