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02-09-2025\"/>
    </mc:Choice>
  </mc:AlternateContent>
  <bookViews>
    <workbookView xWindow="0" yWindow="0" windowWidth="19200" windowHeight="6640" tabRatio="770"/>
  </bookViews>
  <sheets>
    <sheet name="Sheet1" sheetId="1" r:id="rId1"/>
    <sheet name="Note" sheetId="19" r:id="rId2"/>
    <sheet name="T1" sheetId="14" r:id="rId3"/>
    <sheet name="T5" sheetId="16" r:id="rId4"/>
    <sheet name="T6" sheetId="17" r:id="rId5"/>
    <sheet name="T7" sheetId="18" r:id="rId6"/>
  </sheets>
  <definedNames>
    <definedName name="_xlnm.Print_Area" localSheetId="0">Sheet1!$A$1:$J$249</definedName>
  </definedNames>
  <calcPr calcId="162913"/>
</workbook>
</file>

<file path=xl/calcChain.xml><?xml version="1.0" encoding="utf-8"?>
<calcChain xmlns="http://schemas.openxmlformats.org/spreadsheetml/2006/main">
  <c r="C77" i="1" l="1"/>
  <c r="C61" i="1"/>
  <c r="F3" i="1" l="1"/>
  <c r="L86" i="1"/>
  <c r="L85" i="1"/>
  <c r="L84" i="1"/>
  <c r="L83" i="1"/>
  <c r="L72" i="1"/>
  <c r="L71" i="1"/>
  <c r="L70" i="1"/>
  <c r="L69" i="1"/>
  <c r="I76" i="1"/>
  <c r="I60" i="1"/>
  <c r="D81" i="1" l="1"/>
  <c r="L79" i="1"/>
  <c r="D88" i="1"/>
  <c r="D86" i="1"/>
  <c r="D84" i="1"/>
  <c r="D82" i="1"/>
  <c r="L80" i="1"/>
  <c r="C79" i="1" s="1"/>
  <c r="D79" i="1" s="1"/>
  <c r="L78" i="1"/>
  <c r="L81" i="1"/>
  <c r="L82" i="1" s="1"/>
  <c r="L87" i="1" s="1"/>
  <c r="L88" i="1" s="1"/>
  <c r="C80" i="1" s="1"/>
  <c r="D87" i="1"/>
  <c r="D85" i="1"/>
  <c r="D83" i="1"/>
  <c r="C67" i="1"/>
  <c r="D67" i="1" s="1"/>
  <c r="L65" i="1"/>
  <c r="D74" i="1"/>
  <c r="D72" i="1"/>
  <c r="D70" i="1"/>
  <c r="D68" i="1"/>
  <c r="L66" i="1"/>
  <c r="C65" i="1" s="1"/>
  <c r="D65" i="1" s="1"/>
  <c r="L64" i="1"/>
  <c r="L67" i="1"/>
  <c r="L68" i="1" s="1"/>
  <c r="L73" i="1" s="1"/>
  <c r="L74" i="1" s="1"/>
  <c r="C66" i="1" s="1"/>
  <c r="D73" i="1"/>
  <c r="D71" i="1"/>
  <c r="D69" i="1"/>
  <c r="F79" i="1" l="1"/>
  <c r="K75" i="1" s="1"/>
  <c r="D80" i="1"/>
  <c r="H79" i="1"/>
  <c r="F65" i="1"/>
  <c r="K59" i="1" s="1"/>
  <c r="D66" i="1"/>
  <c r="H65" i="1"/>
  <c r="C8" i="16" l="1"/>
  <c r="C9" i="16" s="1"/>
  <c r="I67" i="14"/>
  <c r="G15" i="18"/>
  <c r="G16" i="18" s="1"/>
  <c r="C15" i="18" s="1"/>
  <c r="B7" i="18"/>
  <c r="D7" i="18" s="1"/>
  <c r="F92" i="1" s="1"/>
  <c r="D6" i="18"/>
  <c r="F91" i="1" s="1"/>
  <c r="C5" i="18"/>
  <c r="B9" i="18" s="1"/>
  <c r="G15" i="17"/>
  <c r="G16" i="17" s="1"/>
  <c r="C15" i="17" s="1"/>
  <c r="B7" i="17"/>
  <c r="H16" i="17" s="1"/>
  <c r="C16" i="17" s="1"/>
  <c r="D6" i="17"/>
  <c r="C5" i="17"/>
  <c r="B10" i="17" s="1"/>
  <c r="G15" i="16"/>
  <c r="B15" i="16" s="1"/>
  <c r="B7" i="16"/>
  <c r="D7" i="16" s="1"/>
  <c r="D6" i="16"/>
  <c r="C5" i="16"/>
  <c r="B10" i="16" s="1"/>
  <c r="H48" i="1"/>
  <c r="H49" i="1" s="1"/>
  <c r="C48" i="1"/>
  <c r="H44" i="1"/>
  <c r="H45" i="1" s="1"/>
  <c r="D53" i="1" s="1"/>
  <c r="C44" i="1"/>
  <c r="F7" i="1"/>
  <c r="D126" i="1"/>
  <c r="G15" i="14"/>
  <c r="B15" i="14" s="1"/>
  <c r="B7" i="14"/>
  <c r="H16" i="14" s="1"/>
  <c r="C16" i="14" s="1"/>
  <c r="D6" i="14"/>
  <c r="C5" i="14"/>
  <c r="B11" i="14" s="1"/>
  <c r="D55" i="1"/>
  <c r="G113" i="1"/>
  <c r="B9" i="16"/>
  <c r="G16" i="14" l="1"/>
  <c r="C15" i="14" s="1"/>
  <c r="H15" i="14"/>
  <c r="B16" i="14" s="1"/>
  <c r="B8" i="18"/>
  <c r="I16" i="18" s="1"/>
  <c r="C17" i="18" s="1"/>
  <c r="H15" i="16"/>
  <c r="B16" i="16" s="1"/>
  <c r="B12" i="14"/>
  <c r="D12" i="14" s="1"/>
  <c r="B8" i="14"/>
  <c r="D8" i="14" s="1"/>
  <c r="H16" i="16"/>
  <c r="C16" i="16" s="1"/>
  <c r="B12" i="18"/>
  <c r="D12" i="18" s="1"/>
  <c r="F97" i="1" s="1"/>
  <c r="H15" i="18"/>
  <c r="B16" i="18" s="1"/>
  <c r="B12" i="16"/>
  <c r="B11" i="18"/>
  <c r="L16" i="18" s="1"/>
  <c r="C20" i="18" s="1"/>
  <c r="B8" i="16"/>
  <c r="B10" i="14"/>
  <c r="M16" i="14"/>
  <c r="C21" i="14" s="1"/>
  <c r="B10" i="18"/>
  <c r="D10" i="18" s="1"/>
  <c r="F95" i="1" s="1"/>
  <c r="G16" i="16"/>
  <c r="C15" i="16" s="1"/>
  <c r="B15" i="18"/>
  <c r="B9" i="14"/>
  <c r="D11" i="14"/>
  <c r="L15" i="14"/>
  <c r="B20" i="14" s="1"/>
  <c r="L16" i="14"/>
  <c r="C20" i="14" s="1"/>
  <c r="J15" i="18"/>
  <c r="B18" i="18" s="1"/>
  <c r="J16" i="18"/>
  <c r="C18" i="18" s="1"/>
  <c r="D9" i="18"/>
  <c r="F94" i="1" s="1"/>
  <c r="D9" i="16"/>
  <c r="J16" i="16"/>
  <c r="C18" i="16" s="1"/>
  <c r="J15" i="16"/>
  <c r="B18" i="16" s="1"/>
  <c r="D10" i="16"/>
  <c r="K15" i="16"/>
  <c r="B19" i="16" s="1"/>
  <c r="K16" i="16"/>
  <c r="C19" i="16" s="1"/>
  <c r="D10" i="17"/>
  <c r="K15" i="17"/>
  <c r="B19" i="17" s="1"/>
  <c r="K16" i="17"/>
  <c r="C19" i="17" s="1"/>
  <c r="B11" i="17"/>
  <c r="B15" i="17"/>
  <c r="M15" i="14"/>
  <c r="B21" i="14" s="1"/>
  <c r="H15" i="17"/>
  <c r="B16" i="17" s="1"/>
  <c r="D7" i="17"/>
  <c r="H16" i="18"/>
  <c r="C16" i="18" s="1"/>
  <c r="B11" i="16"/>
  <c r="B12" i="17"/>
  <c r="B8" i="17"/>
  <c r="B9" i="17"/>
  <c r="D7" i="14"/>
  <c r="I15" i="18" l="1"/>
  <c r="B17" i="18" s="1"/>
  <c r="D8" i="18"/>
  <c r="F93" i="1" s="1"/>
  <c r="M15" i="18"/>
  <c r="B21" i="18" s="1"/>
  <c r="I16" i="14"/>
  <c r="C17" i="14" s="1"/>
  <c r="I15" i="14"/>
  <c r="B17" i="14" s="1"/>
  <c r="M16" i="18"/>
  <c r="C21" i="18" s="1"/>
  <c r="K15" i="18"/>
  <c r="B19" i="18" s="1"/>
  <c r="K16" i="18"/>
  <c r="C19" i="18" s="1"/>
  <c r="D10" i="14"/>
  <c r="K15" i="14"/>
  <c r="B19" i="14" s="1"/>
  <c r="K16" i="14"/>
  <c r="C19" i="14" s="1"/>
  <c r="I15" i="16"/>
  <c r="B17" i="16" s="1"/>
  <c r="D8" i="16"/>
  <c r="I16" i="16"/>
  <c r="C17" i="16" s="1"/>
  <c r="D11" i="18"/>
  <c r="F96" i="1" s="1"/>
  <c r="L15" i="18"/>
  <c r="B20" i="18" s="1"/>
  <c r="J15" i="14"/>
  <c r="B18" i="14" s="1"/>
  <c r="J16" i="14"/>
  <c r="C18" i="14" s="1"/>
  <c r="D9" i="14"/>
  <c r="M15" i="16"/>
  <c r="B21" i="16" s="1"/>
  <c r="D12" i="16"/>
  <c r="M16" i="16"/>
  <c r="C21" i="16" s="1"/>
  <c r="I16" i="17"/>
  <c r="C17" i="17" s="1"/>
  <c r="D8" i="17"/>
  <c r="I15" i="17"/>
  <c r="B17" i="17" s="1"/>
  <c r="D11" i="16"/>
  <c r="L15" i="16"/>
  <c r="B20" i="16" s="1"/>
  <c r="L16" i="16"/>
  <c r="C20" i="16" s="1"/>
  <c r="J16" i="17"/>
  <c r="C18" i="17" s="1"/>
  <c r="J15" i="17"/>
  <c r="B18" i="17" s="1"/>
  <c r="D9" i="17"/>
  <c r="M16" i="17"/>
  <c r="C21" i="17" s="1"/>
  <c r="D12" i="17"/>
  <c r="M15" i="17"/>
  <c r="B21" i="17" s="1"/>
  <c r="D11" i="17"/>
  <c r="L16" i="17"/>
  <c r="C20" i="17" s="1"/>
  <c r="L15" i="17"/>
  <c r="B20" i="17" s="1"/>
  <c r="C22" i="18" l="1"/>
  <c r="I98" i="1" s="1"/>
  <c r="B22" i="16"/>
  <c r="B22" i="17"/>
  <c r="B22" i="14"/>
  <c r="B22" i="18"/>
  <c r="C22" i="17"/>
  <c r="C22" i="14"/>
  <c r="C22" i="16"/>
</calcChain>
</file>

<file path=xl/sharedStrings.xml><?xml version="1.0" encoding="utf-8"?>
<sst xmlns="http://schemas.openxmlformats.org/spreadsheetml/2006/main" count="482" uniqueCount="218">
  <si>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</si>
  <si>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</si>
  <si>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</si>
  <si>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</si>
  <si>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</si>
  <si>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</si>
  <si>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</si>
  <si>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</si>
  <si>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</si>
  <si>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</si>
  <si>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</si>
  <si>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</si>
  <si>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</si>
  <si>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</si>
  <si>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</si>
  <si>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</si>
  <si>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</si>
  <si>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</si>
  <si>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</si>
  <si>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</si>
  <si>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</si>
  <si>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</si>
  <si>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</si>
  <si>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</si>
  <si>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</si>
  <si>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</si>
  <si>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</si>
  <si>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</si>
  <si>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</si>
  <si>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</si>
  <si>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% Progress</t>
  </si>
  <si>
    <t xml:space="preserve">% Disbursement </t>
  </si>
  <si>
    <t>Type of Work</t>
  </si>
  <si>
    <t>% Complition</t>
  </si>
  <si>
    <t>Plinth</t>
  </si>
  <si>
    <t>RCC</t>
  </si>
  <si>
    <t>Brick</t>
  </si>
  <si>
    <t>Plaster</t>
  </si>
  <si>
    <t>3) The information furnished above is true and correct to my/our knowledge.</t>
  </si>
  <si>
    <t xml:space="preserve">Latitude &amp; Longitude </t>
  </si>
  <si>
    <t>Latitude</t>
  </si>
  <si>
    <t>Longitude</t>
  </si>
  <si>
    <t>Flooring</t>
  </si>
  <si>
    <t>Painting &amp; Wooden Work</t>
  </si>
  <si>
    <t>Finishing</t>
  </si>
  <si>
    <t xml:space="preserve">Valuation Report </t>
  </si>
  <si>
    <t>Yes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</si>
  <si>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</si>
  <si>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</si>
  <si>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</si>
  <si>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</si>
  <si>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</si>
  <si>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</si>
  <si>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</si>
  <si>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</si>
  <si>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</si>
  <si>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</si>
  <si>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No of floors at site : See Construction details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</si>
  <si>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</si>
  <si>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</si>
  <si>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</si>
  <si>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</si>
  <si>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</si>
  <si>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</si>
  <si>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</si>
  <si>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</si>
  <si>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</si>
  <si>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</si>
  <si>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</si>
  <si>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</si>
  <si>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</si>
  <si>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</si>
  <si>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</si>
  <si>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</si>
  <si>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</si>
  <si>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</si>
  <si>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</si>
  <si>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</si>
  <si>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 xml:space="preserve">Recommended rate of Parking </t>
  </si>
  <si>
    <t>Approved area of the building in Sq.Mt</t>
  </si>
  <si>
    <t>Recommended rate of the flat Per Sq. Ft. ( on Saleble area)</t>
  </si>
  <si>
    <t xml:space="preserve">O. Certificate No.: </t>
  </si>
  <si>
    <t>Contect Details ( Name &amp; Contect No.)</t>
  </si>
  <si>
    <t>Axis Sanpada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</si>
  <si>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</si>
  <si>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</si>
  <si>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</si>
  <si>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</si>
  <si>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</si>
  <si>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</si>
  <si>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</si>
  <si>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</si>
  <si>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</si>
  <si>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</si>
  <si>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</si>
  <si>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</si>
  <si>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</si>
  <si>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</si>
  <si>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</si>
  <si>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</si>
  <si>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</si>
  <si>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</si>
  <si>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</si>
  <si>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</si>
  <si>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</si>
  <si>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</si>
  <si>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</si>
  <si>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</si>
  <si>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</si>
  <si>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</si>
  <si>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</si>
  <si>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</si>
  <si>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</si>
  <si>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</si>
  <si>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</si>
  <si>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</si>
  <si>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</si>
  <si>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</si>
  <si>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</si>
  <si>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</si>
  <si>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</si>
  <si>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</si>
  <si>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</si>
  <si>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</si>
  <si>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</si>
  <si>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</si>
  <si>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</si>
  <si>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</si>
  <si>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</si>
  <si>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</si>
  <si>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PHOTOGRAPHS OF PROPERTY :</t>
  </si>
  <si>
    <t>Electric/Water Charges</t>
  </si>
  <si>
    <t>Society Formation Charges</t>
  </si>
  <si>
    <t>Middle class</t>
  </si>
  <si>
    <t>Developing</t>
  </si>
  <si>
    <t>M/s.Joyville Shapoorji Housing Private Limited</t>
  </si>
  <si>
    <t>RERA Name &amp; No.</t>
  </si>
  <si>
    <t>Name &amp; No. of the Buildings</t>
  </si>
  <si>
    <t>Refer Other Data</t>
  </si>
  <si>
    <t>Joyville, S. No.296, 297, 298, 299, 303, 304, 324, 390-B of Village Bolinj, Tal - Vasai, Dist - Palghar - 401303.</t>
  </si>
  <si>
    <t>S No</t>
  </si>
  <si>
    <t>296, 297, 298, 299, 303, 304, 324, 390-B</t>
  </si>
  <si>
    <t>Virar (West)</t>
  </si>
  <si>
    <t>About 3Km Distance From Virar Railway Station</t>
  </si>
  <si>
    <t>Vasai</t>
  </si>
  <si>
    <t>Viva City Road</t>
  </si>
  <si>
    <t>Viva City &amp; 
Christ The King Church, Bolinj</t>
  </si>
  <si>
    <t>Building</t>
  </si>
  <si>
    <t>Building U/C</t>
  </si>
  <si>
    <t>-</t>
  </si>
  <si>
    <t>VVCMC/AMEND/VP-059/097/2017-18</t>
  </si>
  <si>
    <t>17/10/2017.</t>
  </si>
  <si>
    <t>VVCMC/AMEND/VP-059/097/2017-18                                                                                  
Valid Up to: CC is granted for stilt + 3 Podium + 1st to 19th upper Floor</t>
  </si>
  <si>
    <t>Corups Fund Charges</t>
  </si>
  <si>
    <t>Advance Maintenance Charges</t>
  </si>
  <si>
    <t>5000/-</t>
  </si>
  <si>
    <t>Club House, Development Charges</t>
  </si>
  <si>
    <t xml:space="preserve"> Legal Charges</t>
  </si>
  <si>
    <t>10000/-</t>
  </si>
  <si>
    <t>Share Application Money Charges</t>
  </si>
  <si>
    <t xml:space="preserve">Layout Approval No.    </t>
  </si>
  <si>
    <t>(Bldg T5 Palm Meadows-1)</t>
  </si>
  <si>
    <t>02/02/2019.</t>
  </si>
  <si>
    <t>VVCMC/AMEND/BP/VP-0659/209/2018-19</t>
  </si>
  <si>
    <t xml:space="preserve">Joyville Phase 1 - Pinnacle, Summit
Joyville Virar Phase 2 - Crest
Joyville Virar Phase 5 - Palm Meadows -1 </t>
  </si>
  <si>
    <t>Joyville Virar Phase 1 - P51900000444
Joyville Virar Phase 2 - P99000013612
Joyville Virar Phase 5 - P99000019531</t>
  </si>
  <si>
    <t>04 Buildings</t>
  </si>
  <si>
    <t>Authorized Signatory
Name &amp; Seal of the agency</t>
  </si>
  <si>
    <t>Bldg T7 -  Stilt + 22nd upper Floor</t>
  </si>
  <si>
    <t>Pratiksha</t>
  </si>
  <si>
    <t>Stage of construction Bldg T7 Summit:  All work completed. Please provide OC.</t>
  </si>
  <si>
    <t>VVCMC/TP/RDP/VP-0059/209/2018-19                                                                                  
Valid Up to: stilt + 23rd upper Floor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</si>
  <si>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</si>
  <si>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</si>
  <si>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</si>
  <si>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</si>
  <si>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</si>
  <si>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</si>
  <si>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</si>
  <si>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</si>
  <si>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</si>
  <si>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</si>
  <si>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</si>
  <si>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</si>
  <si>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</si>
  <si>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</si>
  <si>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</si>
  <si>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</si>
  <si>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</si>
  <si>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</si>
  <si>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</si>
  <si>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</si>
  <si>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</si>
  <si>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</si>
  <si>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</si>
  <si>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</si>
  <si>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Bldg T5 ( Palm Meadows-1) - Stilt + 1st to 23rd Floor</t>
  </si>
  <si>
    <t>Joyville (Bldg T3 Crest, T6 Pinnacle, T7 Summit, T5 Palm Meadows -1)</t>
  </si>
  <si>
    <t xml:space="preserve">Bldg T3 -  Stilt + 3 Podium + 19th Floor
Bldg T5 -  Stilt + 23rd upper Floor
Bldg T6 -  Ground + 22nd upper Floor
Bldg T7 -  Stilt + 22nd upper Floor
</t>
  </si>
  <si>
    <t>(Bldg T3 Crest, T6 Pinnacle &amp; T7 Summit)</t>
  </si>
  <si>
    <t>25000/-</t>
  </si>
  <si>
    <t>30000/-</t>
  </si>
  <si>
    <t>1000/-</t>
  </si>
  <si>
    <t>70000/-</t>
  </si>
  <si>
    <t>59000/-</t>
  </si>
  <si>
    <t>6000 to 7000 sanket + 4 lac parking</t>
  </si>
  <si>
    <t>Location Link</t>
  </si>
  <si>
    <t>https://goo.gl/maps/K7NJRVHzR5AW4ABB7</t>
  </si>
  <si>
    <t>Completed</t>
  </si>
  <si>
    <t>Wheather the construction is as per approved Building plan : Yes</t>
  </si>
  <si>
    <t>Material laying at Site: : Nothing</t>
  </si>
  <si>
    <t>VVCMC/TP/OC/VP-0059/152/2020-21
Approved upto : Bldg T6 &amp; T7 = Gr/Stilt + 22nd upper Floor</t>
  </si>
  <si>
    <t>VVCMC/TP/OC/VP-0059/114/2021-22
Approved upto : Bldg T3 = Stilt + 3 Podium + 19th Floor</t>
  </si>
  <si>
    <t>VVCMC/TP/OC/VP-0059/265/2022-23
Approved upto : Bldg T5 = Stilt + 23rd upper Floor</t>
  </si>
  <si>
    <t>Bldg T3(Crest) =  Stilt + 3 Podium + 19th Floor
Bldg T6 (Pinnacle) &amp; T7 (Summit) =  Ground + 1st to 22nd Floor
Bldg T5 ( Palm Meadows-1) - Stilt + 1st to 23rd Floor</t>
  </si>
  <si>
    <t xml:space="preserve">Office No. 1031, Wing J, Akshar Business Park, Plot No. 03 Sector 25, Near APMC Market, Vashi, 
Navi Mumbai, Maharashtra 400703 TEL: 022-46090378/79/80
E mail : vsjcapf@gmail.com. Web site : www.vsjadon.com
</t>
  </si>
  <si>
    <t>Projected life of the structure: 56 Years</t>
  </si>
  <si>
    <t>Remarks:  
1. Bldg T3 Crest, T6 Pinnacle,  Bldg T7 Summit - All work Completed. OC Received.
    Bldg T5 Palm Meadows-1 - All work Completed. OC Received.
2. We have given rate verify by market inquire.
3. Car parking is subjected to authentic documentation.
4. On site, we meet Mr. Manoj :7058869643.
5. We have updated OC from Rera (On 13/10/2023).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</si>
</sst>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9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2" xfId="0" applyFont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10" fillId="0" borderId="0" xfId="0" applyFont="1"/>
    <xf numFmtId="0" fontId="11" fillId="0" borderId="2" xfId="0" applyFont="1" applyBorder="1"/>
    <xf numFmtId="0" fontId="11" fillId="0" borderId="0" xfId="0" applyFont="1"/>
    <xf numFmtId="0" fontId="11" fillId="3" borderId="2" xfId="0" applyFont="1" applyFill="1" applyBorder="1"/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9" fontId="11" fillId="0" borderId="0" xfId="4" applyFont="1" applyBorder="1"/>
    <xf numFmtId="0" fontId="12" fillId="0" borderId="2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4" xfId="0" applyFont="1" applyBorder="1"/>
    <xf numFmtId="0" fontId="11" fillId="0" borderId="2" xfId="0" applyFont="1" applyBorder="1" applyAlignment="1">
      <alignment wrapText="1"/>
    </xf>
    <xf numFmtId="9" fontId="11" fillId="0" borderId="2" xfId="4" applyFont="1" applyBorder="1"/>
    <xf numFmtId="9" fontId="11" fillId="0" borderId="0" xfId="0" applyNumberFormat="1" applyFont="1"/>
    <xf numFmtId="0" fontId="13" fillId="0" borderId="0" xfId="0" applyFont="1"/>
    <xf numFmtId="0" fontId="4" fillId="0" borderId="0" xfId="1" applyFont="1"/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14" fontId="1" fillId="0" borderId="0" xfId="2" applyNumberFormat="1"/>
    <xf numFmtId="0" fontId="1" fillId="0" borderId="0" xfId="2"/>
    <xf numFmtId="0" fontId="14" fillId="0" borderId="14" xfId="3" applyFont="1" applyBorder="1" applyProtection="1">
      <protection hidden="1"/>
    </xf>
    <xf numFmtId="0" fontId="14" fillId="0" borderId="15" xfId="3" applyFont="1" applyBorder="1" applyProtection="1">
      <protection hidden="1"/>
    </xf>
    <xf numFmtId="0" fontId="14" fillId="0" borderId="0" xfId="3" applyFont="1" applyProtection="1">
      <protection hidden="1"/>
    </xf>
    <xf numFmtId="0" fontId="14" fillId="0" borderId="16" xfId="3" applyFont="1" applyBorder="1" applyProtection="1">
      <protection hidden="1"/>
    </xf>
    <xf numFmtId="0" fontId="11" fillId="0" borderId="0" xfId="0" applyFont="1" applyProtection="1">
      <protection hidden="1"/>
    </xf>
    <xf numFmtId="0" fontId="14" fillId="0" borderId="16" xfId="3" applyFont="1" applyBorder="1"/>
    <xf numFmtId="0" fontId="11" fillId="0" borderId="16" xfId="0" applyFont="1" applyBorder="1" applyProtection="1">
      <protection hidden="1"/>
    </xf>
    <xf numFmtId="1" fontId="0" fillId="0" borderId="16" xfId="0" applyNumberFormat="1" applyBorder="1"/>
    <xf numFmtId="1" fontId="0" fillId="0" borderId="16" xfId="0" applyNumberFormat="1" applyBorder="1" applyAlignment="1">
      <alignment horizontal="right"/>
    </xf>
    <xf numFmtId="0" fontId="11" fillId="0" borderId="17" xfId="0" applyFont="1" applyBorder="1" applyProtection="1">
      <protection hidden="1"/>
    </xf>
    <xf numFmtId="1" fontId="0" fillId="0" borderId="18" xfId="0" applyNumberFormat="1" applyBorder="1"/>
    <xf numFmtId="0" fontId="15" fillId="0" borderId="2" xfId="3" applyFont="1" applyBorder="1" applyAlignment="1" applyProtection="1">
      <alignment horizontal="center" wrapText="1"/>
      <protection locked="0"/>
    </xf>
    <xf numFmtId="1" fontId="15" fillId="0" borderId="2" xfId="3" applyNumberFormat="1" applyFont="1" applyBorder="1" applyAlignment="1" applyProtection="1">
      <alignment horizontal="center" wrapText="1"/>
      <protection locked="0"/>
    </xf>
    <xf numFmtId="0" fontId="15" fillId="0" borderId="2" xfId="3" applyFont="1" applyBorder="1" applyAlignment="1" applyProtection="1">
      <alignment horizontal="center" vertical="top"/>
      <protection locked="0"/>
    </xf>
    <xf numFmtId="0" fontId="15" fillId="0" borderId="2" xfId="3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top"/>
    </xf>
    <xf numFmtId="0" fontId="14" fillId="0" borderId="0" xfId="3" applyFont="1" applyAlignment="1" applyProtection="1">
      <alignment vertical="center"/>
      <protection hidden="1"/>
    </xf>
    <xf numFmtId="0" fontId="14" fillId="0" borderId="16" xfId="3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0" fontId="15" fillId="0" borderId="19" xfId="3" applyFont="1" applyBorder="1" applyAlignment="1" applyProtection="1">
      <alignment horizontal="center" vertical="top" wrapText="1"/>
      <protection locked="0"/>
    </xf>
    <xf numFmtId="0" fontId="15" fillId="0" borderId="23" xfId="3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vertical="top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3" fillId="3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16" fillId="0" borderId="25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27" xfId="3" applyFont="1" applyBorder="1" applyAlignment="1" applyProtection="1">
      <alignment horizontal="center" vertical="center"/>
      <protection locked="0"/>
    </xf>
    <xf numFmtId="0" fontId="16" fillId="0" borderId="28" xfId="3" applyFont="1" applyBorder="1" applyAlignment="1" applyProtection="1">
      <alignment horizontal="center" vertical="center"/>
      <protection locked="0"/>
    </xf>
    <xf numFmtId="9" fontId="16" fillId="0" borderId="7" xfId="3" applyNumberFormat="1" applyFont="1" applyBorder="1" applyAlignment="1" applyProtection="1">
      <alignment horizontal="center" vertical="center" wrapText="1"/>
      <protection locked="0"/>
    </xf>
    <xf numFmtId="0" fontId="16" fillId="0" borderId="8" xfId="3" applyFont="1" applyBorder="1" applyAlignment="1" applyProtection="1">
      <alignment horizontal="center" vertical="center" wrapText="1"/>
      <protection locked="0"/>
    </xf>
    <xf numFmtId="0" fontId="16" fillId="0" borderId="9" xfId="3" applyFont="1" applyBorder="1" applyAlignment="1" applyProtection="1">
      <alignment horizontal="center" vertical="center" wrapText="1"/>
      <protection locked="0"/>
    </xf>
    <xf numFmtId="0" fontId="16" fillId="0" borderId="29" xfId="3" applyFont="1" applyBorder="1" applyAlignment="1" applyProtection="1">
      <alignment horizontal="center" vertical="center" wrapText="1"/>
      <protection locked="0"/>
    </xf>
    <xf numFmtId="0" fontId="16" fillId="0" borderId="17" xfId="3" applyFont="1" applyBorder="1" applyAlignment="1" applyProtection="1">
      <alignment horizontal="center" vertical="center" wrapText="1"/>
      <protection locked="0"/>
    </xf>
    <xf numFmtId="0" fontId="16" fillId="0" borderId="28" xfId="3" applyFont="1" applyBorder="1" applyAlignment="1" applyProtection="1">
      <alignment horizontal="center" vertical="center" wrapText="1"/>
      <protection locked="0"/>
    </xf>
    <xf numFmtId="0" fontId="16" fillId="0" borderId="7" xfId="3" applyFont="1" applyBorder="1" applyAlignment="1" applyProtection="1">
      <alignment horizontal="center" vertical="center" wrapText="1"/>
      <protection locked="0"/>
    </xf>
    <xf numFmtId="0" fontId="16" fillId="0" borderId="26" xfId="3" applyFont="1" applyBorder="1" applyAlignment="1" applyProtection="1">
      <alignment horizontal="center" vertical="center" wrapText="1"/>
      <protection locked="0"/>
    </xf>
    <xf numFmtId="0" fontId="16" fillId="0" borderId="18" xfId="3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9" fontId="15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9" fontId="13" fillId="0" borderId="2" xfId="4" applyFont="1" applyFill="1" applyBorder="1" applyAlignment="1">
      <alignment horizontal="center" vertical="top" wrapText="1"/>
    </xf>
    <xf numFmtId="9" fontId="13" fillId="2" borderId="2" xfId="4" applyFont="1" applyFill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0" xfId="3" applyFont="1" applyAlignment="1">
      <alignment horizontal="center" vertical="top" wrapText="1"/>
    </xf>
    <xf numFmtId="0" fontId="8" fillId="0" borderId="10" xfId="3" applyFont="1" applyBorder="1" applyAlignment="1">
      <alignment horizontal="center" vertical="top" wrapText="1"/>
    </xf>
    <xf numFmtId="0" fontId="8" fillId="0" borderId="11" xfId="3" applyFont="1" applyBorder="1" applyAlignment="1">
      <alignment horizontal="center" vertical="top" wrapText="1"/>
    </xf>
    <xf numFmtId="0" fontId="8" fillId="0" borderId="12" xfId="3" applyFont="1" applyBorder="1" applyAlignment="1">
      <alignment horizontal="center" vertical="top" wrapText="1"/>
    </xf>
    <xf numFmtId="0" fontId="8" fillId="0" borderId="13" xfId="3" applyFont="1" applyBorder="1" applyAlignment="1">
      <alignment horizontal="center" vertical="top" wrapText="1"/>
    </xf>
    <xf numFmtId="0" fontId="15" fillId="0" borderId="19" xfId="3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9" fontId="13" fillId="0" borderId="2" xfId="4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5" fillId="0" borderId="2" xfId="3" applyFont="1" applyBorder="1" applyAlignment="1" applyProtection="1">
      <alignment horizontal="center" vertical="top" wrapText="1"/>
      <protection locked="0"/>
    </xf>
    <xf numFmtId="0" fontId="15" fillId="0" borderId="2" xfId="3" applyFont="1" applyBorder="1" applyAlignment="1" applyProtection="1">
      <alignment horizontal="center" vertical="top"/>
      <protection locked="0"/>
    </xf>
    <xf numFmtId="9" fontId="13" fillId="0" borderId="2" xfId="4" applyFont="1" applyFill="1" applyBorder="1" applyAlignment="1">
      <alignment horizontal="center"/>
    </xf>
    <xf numFmtId="9" fontId="13" fillId="2" borderId="2" xfId="4" applyFont="1" applyFill="1" applyBorder="1" applyAlignment="1">
      <alignment horizontal="center"/>
    </xf>
    <xf numFmtId="0" fontId="16" fillId="0" borderId="20" xfId="3" applyFont="1" applyBorder="1" applyAlignment="1" applyProtection="1">
      <alignment horizontal="center" vertical="top" wrapText="1"/>
      <protection locked="0"/>
    </xf>
    <xf numFmtId="0" fontId="16" fillId="0" borderId="21" xfId="3" applyFont="1" applyBorder="1" applyAlignment="1" applyProtection="1">
      <alignment horizontal="center" vertical="top" wrapText="1"/>
      <protection locked="0"/>
    </xf>
    <xf numFmtId="0" fontId="16" fillId="0" borderId="21" xfId="3" applyFont="1" applyBorder="1" applyAlignment="1" applyProtection="1">
      <alignment horizontal="left" vertical="top" wrapText="1"/>
      <protection locked="0"/>
    </xf>
    <xf numFmtId="0" fontId="16" fillId="0" borderId="22" xfId="3" applyFont="1" applyBorder="1" applyAlignment="1" applyProtection="1">
      <alignment horizontal="left" vertical="top" wrapText="1"/>
      <protection locked="0"/>
    </xf>
    <xf numFmtId="0" fontId="15" fillId="0" borderId="24" xfId="3" applyFont="1" applyBorder="1" applyAlignment="1" applyProtection="1">
      <alignment horizontal="center" vertical="top"/>
      <protection locked="0"/>
    </xf>
    <xf numFmtId="0" fontId="16" fillId="0" borderId="23" xfId="3" applyFont="1" applyBorder="1" applyAlignment="1" applyProtection="1">
      <alignment horizontal="left" vertical="top"/>
      <protection locked="0"/>
    </xf>
    <xf numFmtId="0" fontId="16" fillId="0" borderId="2" xfId="3" applyFont="1" applyBorder="1" applyAlignment="1" applyProtection="1">
      <alignment horizontal="left" vertical="top"/>
      <protection locked="0"/>
    </xf>
    <xf numFmtId="0" fontId="16" fillId="0" borderId="2" xfId="3" applyFont="1" applyBorder="1" applyAlignment="1" applyProtection="1">
      <alignment horizontal="left" vertical="top" wrapText="1"/>
      <protection locked="0"/>
    </xf>
    <xf numFmtId="0" fontId="16" fillId="0" borderId="24" xfId="3" applyFont="1" applyBorder="1" applyAlignment="1" applyProtection="1">
      <alignment horizontal="left" vertical="top" wrapText="1"/>
      <protection locked="0"/>
    </xf>
    <xf numFmtId="0" fontId="16" fillId="0" borderId="2" xfId="3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8" fillId="0" borderId="1" xfId="5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</cellXfs>
  <cellStyles count="6">
    <cellStyle name="Excel Built-in Normal" xfId="1"/>
    <cellStyle name="Excel Built-in Normal 2" xfId="2"/>
    <cellStyle name="Hyperlink" xfId="5" builtinId="8"/>
    <cellStyle name="Normal" xfId="0" builtinId="0"/>
    <cellStyle name="Normal 3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468594</xdr:colOff>
      <xdr:row>193</xdr:row>
      <xdr:rowOff>119904</xdr:rowOff>
    </xdr:from>
    <xdr:to>
      <xdr:col>6</xdr:col>
      <xdr:colOff>652930</xdr:colOff>
      <xdr:row>208</xdr:row>
      <xdr:rowOff>62842</xdr:rowOff>
    </xdr:to>
    <xdr:pic>
      <xdr:nvPicPr>
        <xdr:cNvPr id="2004" name="Picture 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6123" y="36393345"/>
          <a:ext cx="4178113" cy="280043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461123</xdr:colOff>
      <xdr:row>177</xdr:row>
      <xdr:rowOff>156882</xdr:rowOff>
    </xdr:from>
    <xdr:to>
      <xdr:col>7</xdr:col>
      <xdr:colOff>141</xdr:colOff>
      <xdr:row>192</xdr:row>
      <xdr:rowOff>99821</xdr:rowOff>
    </xdr:to>
    <xdr:pic>
      <xdr:nvPicPr>
        <xdr:cNvPr id="2005" name="Picture 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652" y="32788411"/>
          <a:ext cx="4178113" cy="280043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527236</xdr:colOff>
      <xdr:row>214</xdr:row>
      <xdr:rowOff>72277</xdr:rowOff>
    </xdr:from>
    <xdr:to>
      <xdr:col>7</xdr:col>
      <xdr:colOff>119366</xdr:colOff>
      <xdr:row>248</xdr:row>
      <xdr:rowOff>75278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236" y="39696277"/>
          <a:ext cx="4507030" cy="64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207066</xdr:colOff>
      <xdr:row>126</xdr:row>
      <xdr:rowOff>99392</xdr:rowOff>
    </xdr:from>
    <xdr:to>
      <xdr:col>12</xdr:col>
      <xdr:colOff>330506</xdr:colOff>
      <xdr:row>128</xdr:row>
      <xdr:rowOff>87724</xdr:rowOff>
    </xdr:to>
    <xdr:sp macro="" textlink="">
      <xdr:nvSpPr>
        <xdr:cNvPr id="31" name="Rectangle 30"/>
        <xdr:cNvSpPr/>
      </xdr:nvSpPr>
      <xdr:spPr>
        <a:xfrm>
          <a:off x="6427305" y="22793740"/>
          <a:ext cx="97654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/>
            <a:t>Pinnacle</a:t>
          </a:r>
        </a:p>
      </xdr:txBody>
    </xdr:sp>
    <xdr:clientData/>
  </xdr:twoCellAnchor>
  <xdr:twoCellAnchor>
    <xdr:from>
      <xdr:col>15</xdr:col>
      <xdr:colOff>603520</xdr:colOff>
      <xdr:row>126</xdr:row>
      <xdr:rowOff>99392</xdr:rowOff>
    </xdr:from>
    <xdr:to>
      <xdr:col>17</xdr:col>
      <xdr:colOff>288521</xdr:colOff>
      <xdr:row>128</xdr:row>
      <xdr:rowOff>87724</xdr:rowOff>
    </xdr:to>
    <xdr:sp macro="" textlink="">
      <xdr:nvSpPr>
        <xdr:cNvPr id="32" name="Rectangle 31"/>
        <xdr:cNvSpPr/>
      </xdr:nvSpPr>
      <xdr:spPr>
        <a:xfrm>
          <a:off x="9515607" y="22793740"/>
          <a:ext cx="91082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/>
            <a:t>Summit</a:t>
          </a:r>
        </a:p>
      </xdr:txBody>
    </xdr:sp>
    <xdr:clientData/>
  </xdr:twoCellAnchor>
  <xdr:twoCellAnchor>
    <xdr:from>
      <xdr:col>19</xdr:col>
      <xdr:colOff>143302</xdr:colOff>
      <xdr:row>126</xdr:row>
      <xdr:rowOff>99392</xdr:rowOff>
    </xdr:from>
    <xdr:to>
      <xdr:col>20</xdr:col>
      <xdr:colOff>305794</xdr:colOff>
      <xdr:row>128</xdr:row>
      <xdr:rowOff>87724</xdr:rowOff>
    </xdr:to>
    <xdr:sp macro="" textlink="">
      <xdr:nvSpPr>
        <xdr:cNvPr id="33" name="Rectangle 32"/>
        <xdr:cNvSpPr/>
      </xdr:nvSpPr>
      <xdr:spPr>
        <a:xfrm>
          <a:off x="11507041" y="22793740"/>
          <a:ext cx="775405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/>
            <a:t>Creast</a:t>
          </a:r>
        </a:p>
      </xdr:txBody>
    </xdr:sp>
    <xdr:clientData/>
  </xdr:twoCellAnchor>
  <xdr:twoCellAnchor>
    <xdr:from>
      <xdr:col>11</xdr:col>
      <xdr:colOff>275775</xdr:colOff>
      <xdr:row>141</xdr:row>
      <xdr:rowOff>178810</xdr:rowOff>
    </xdr:from>
    <xdr:to>
      <xdr:col>13</xdr:col>
      <xdr:colOff>42785</xdr:colOff>
      <xdr:row>143</xdr:row>
      <xdr:rowOff>167142</xdr:rowOff>
    </xdr:to>
    <xdr:sp macro="" textlink="">
      <xdr:nvSpPr>
        <xdr:cNvPr id="34" name="Rectangle 33"/>
        <xdr:cNvSpPr/>
      </xdr:nvSpPr>
      <xdr:spPr>
        <a:xfrm>
          <a:off x="6736210" y="25730658"/>
          <a:ext cx="99283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/>
            <a:t>Medows</a:t>
          </a:r>
        </a:p>
      </xdr:txBody>
    </xdr:sp>
    <xdr:clientData/>
  </xdr:twoCellAnchor>
  <xdr:twoCellAnchor>
    <xdr:from>
      <xdr:col>0</xdr:col>
      <xdr:colOff>400050</xdr:colOff>
      <xdr:row>126</xdr:row>
      <xdr:rowOff>88900</xdr:rowOff>
    </xdr:from>
    <xdr:to>
      <xdr:col>9</xdr:col>
      <xdr:colOff>438505</xdr:colOff>
      <xdr:row>171</xdr:row>
      <xdr:rowOff>40446</xdr:rowOff>
    </xdr:to>
    <xdr:grpSp>
      <xdr:nvGrpSpPr>
        <xdr:cNvPr id="3" name="Group 2"/>
        <xdr:cNvGrpSpPr/>
      </xdr:nvGrpSpPr>
      <xdr:grpSpPr>
        <a:xfrm>
          <a:off x="400050" y="21920200"/>
          <a:ext cx="6483705" cy="7952546"/>
          <a:chOff x="400050" y="21920200"/>
          <a:chExt cx="6483705" cy="7952546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2745" y="277127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24816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21920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3892" y="24816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6971" y="21920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6971" y="2481647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3892" y="21920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</xdr:row>
      <xdr:rowOff>0</xdr:rowOff>
    </xdr:from>
    <xdr:to>
      <xdr:col>11</xdr:col>
      <xdr:colOff>19050</xdr:colOff>
      <xdr:row>20</xdr:row>
      <xdr:rowOff>123825</xdr:rowOff>
    </xdr:to>
    <xdr:pic>
      <xdr:nvPicPr>
        <xdr:cNvPr id="6203" name="Picture 1">
          <a:extLst>
            <a:ext uri="{FF2B5EF4-FFF2-40B4-BE49-F238E27FC236}">
              <a16:creationId xmlns:a16="http://schemas.microsoft.com/office/drawing/2014/main" id="{00000000-0008-0000-0100-00003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90500"/>
          <a:ext cx="2695575" cy="3743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28575</xdr:rowOff>
    </xdr:from>
    <xdr:to>
      <xdr:col>6</xdr:col>
      <xdr:colOff>257175</xdr:colOff>
      <xdr:row>20</xdr:row>
      <xdr:rowOff>171450</xdr:rowOff>
    </xdr:to>
    <xdr:pic>
      <xdr:nvPicPr>
        <xdr:cNvPr id="6204" name="Picture 2">
          <a:extLst>
            <a:ext uri="{FF2B5EF4-FFF2-40B4-BE49-F238E27FC236}">
              <a16:creationId xmlns:a16="http://schemas.microsoft.com/office/drawing/2014/main" id="{00000000-0008-0000-0100-00003C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19075"/>
          <a:ext cx="2695575" cy="3762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7NJRVHzR5AW4ABB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7"/>
  <sheetViews>
    <sheetView tabSelected="1" view="pageBreakPreview" zoomScaleNormal="100" zoomScaleSheetLayoutView="100" zoomScalePageLayoutView="84" workbookViewId="0">
      <selection activeCell="F8" sqref="F8:J8"/>
    </sheetView>
  </sheetViews>
  <sheetFormatPr defaultColWidth="9.1796875" defaultRowHeight="14" x14ac:dyDescent="0.3"/>
  <cols>
    <col min="1" max="1" width="8.7265625" style="19" customWidth="1"/>
    <col min="2" max="2" width="14.7265625" style="19" customWidth="1"/>
    <col min="3" max="3" width="14.453125" style="19" customWidth="1"/>
    <col min="4" max="4" width="7.26953125" style="19" customWidth="1"/>
    <col min="5" max="5" width="8.1796875" style="19" customWidth="1"/>
    <col min="6" max="6" width="10.54296875" style="19" customWidth="1"/>
    <col min="7" max="8" width="9.81640625" style="19" customWidth="1"/>
    <col min="9" max="9" width="8.7265625" style="19" customWidth="1"/>
    <col min="10" max="10" width="12.1796875" style="19" customWidth="1"/>
    <col min="11" max="11" width="3.54296875" style="19" customWidth="1"/>
    <col min="12" max="16384" width="9.1796875" style="19"/>
  </cols>
  <sheetData>
    <row r="1" spans="1:10" ht="43.9" customHeight="1" x14ac:dyDescent="0.3">
      <c r="A1" s="75" t="s">
        <v>215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x14ac:dyDescent="0.3">
      <c r="A2" s="109" t="s">
        <v>45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50" t="s">
        <v>0</v>
      </c>
      <c r="B3" s="50"/>
      <c r="C3" s="50"/>
      <c r="D3" s="50"/>
      <c r="E3" s="50"/>
      <c r="F3" s="57" t="str">
        <f ca="1">TEXT(TODAY(),"DD/MM/YYYY")</f>
        <v>02/09/2025</v>
      </c>
      <c r="G3" s="57"/>
      <c r="H3" s="57"/>
      <c r="I3" s="57"/>
      <c r="J3" s="57"/>
    </row>
    <row r="4" spans="1:10" x14ac:dyDescent="0.3">
      <c r="A4" s="50" t="s">
        <v>1</v>
      </c>
      <c r="B4" s="50"/>
      <c r="C4" s="50"/>
      <c r="D4" s="50"/>
      <c r="E4" s="50"/>
      <c r="F4" s="50" t="s">
        <v>83</v>
      </c>
      <c r="G4" s="50"/>
      <c r="H4" s="50"/>
      <c r="I4" s="50"/>
      <c r="J4" s="50"/>
    </row>
    <row r="5" spans="1:10" x14ac:dyDescent="0.3">
      <c r="A5" s="50" t="s">
        <v>2</v>
      </c>
      <c r="B5" s="50"/>
      <c r="C5" s="50"/>
      <c r="D5" s="50"/>
      <c r="E5" s="50"/>
      <c r="F5" s="57">
        <v>45901</v>
      </c>
      <c r="G5" s="57"/>
      <c r="H5" s="57"/>
      <c r="I5" s="57"/>
      <c r="J5" s="57"/>
    </row>
    <row r="6" spans="1:10" ht="16.5" customHeight="1" x14ac:dyDescent="0.3">
      <c r="A6" s="50" t="s">
        <v>3</v>
      </c>
      <c r="B6" s="50"/>
      <c r="C6" s="50"/>
      <c r="D6" s="50"/>
      <c r="E6" s="50"/>
      <c r="F6" s="54" t="s">
        <v>135</v>
      </c>
      <c r="G6" s="54"/>
      <c r="H6" s="54"/>
      <c r="I6" s="54"/>
      <c r="J6" s="54"/>
    </row>
    <row r="7" spans="1:10" ht="15" customHeight="1" x14ac:dyDescent="0.3">
      <c r="A7" s="50" t="s">
        <v>4</v>
      </c>
      <c r="B7" s="50"/>
      <c r="C7" s="50"/>
      <c r="D7" s="50"/>
      <c r="E7" s="50"/>
      <c r="F7" s="54" t="str">
        <f>F6</f>
        <v>M/s.Joyville Shapoorji Housing Private Limited</v>
      </c>
      <c r="G7" s="54"/>
      <c r="H7" s="54"/>
      <c r="I7" s="54"/>
      <c r="J7" s="54"/>
    </row>
    <row r="8" spans="1:10" ht="28.5" customHeight="1" x14ac:dyDescent="0.3">
      <c r="A8" s="50" t="s">
        <v>5</v>
      </c>
      <c r="B8" s="50"/>
      <c r="C8" s="50"/>
      <c r="D8" s="50"/>
      <c r="E8" s="50"/>
      <c r="F8" s="107" t="s">
        <v>197</v>
      </c>
      <c r="G8" s="53"/>
      <c r="H8" s="53"/>
      <c r="I8" s="53"/>
      <c r="J8" s="53"/>
    </row>
    <row r="9" spans="1:10" ht="46.15" customHeight="1" x14ac:dyDescent="0.3">
      <c r="A9" s="50" t="s">
        <v>137</v>
      </c>
      <c r="B9" s="50"/>
      <c r="C9" s="50"/>
      <c r="D9" s="50"/>
      <c r="E9" s="50"/>
      <c r="F9" s="54" t="s">
        <v>164</v>
      </c>
      <c r="G9" s="50"/>
      <c r="H9" s="50"/>
      <c r="I9" s="50"/>
      <c r="J9" s="50"/>
    </row>
    <row r="10" spans="1:10" x14ac:dyDescent="0.3">
      <c r="A10" s="50" t="s">
        <v>82</v>
      </c>
      <c r="B10" s="50"/>
      <c r="C10" s="50"/>
      <c r="D10" s="50"/>
      <c r="E10" s="50"/>
      <c r="F10" s="54">
        <v>9136919687</v>
      </c>
      <c r="G10" s="54"/>
      <c r="H10" s="54"/>
      <c r="I10" s="54"/>
      <c r="J10" s="54"/>
    </row>
    <row r="11" spans="1:10" ht="48.65" customHeight="1" x14ac:dyDescent="0.3">
      <c r="A11" s="50" t="s">
        <v>136</v>
      </c>
      <c r="B11" s="50"/>
      <c r="C11" s="50"/>
      <c r="D11" s="50"/>
      <c r="E11" s="50"/>
      <c r="F11" s="54" t="s">
        <v>165</v>
      </c>
      <c r="G11" s="54"/>
      <c r="H11" s="54"/>
      <c r="I11" s="54"/>
      <c r="J11" s="54"/>
    </row>
    <row r="12" spans="1:10" x14ac:dyDescent="0.3">
      <c r="A12" s="50" t="s">
        <v>6</v>
      </c>
      <c r="B12" s="50"/>
      <c r="C12" s="50"/>
      <c r="D12" s="50"/>
      <c r="E12" s="50"/>
      <c r="F12" s="50" t="s">
        <v>138</v>
      </c>
      <c r="G12" s="50"/>
      <c r="H12" s="50"/>
      <c r="I12" s="50"/>
      <c r="J12" s="50"/>
    </row>
    <row r="13" spans="1:10" ht="31.5" customHeight="1" x14ac:dyDescent="0.3">
      <c r="A13" s="50" t="s">
        <v>61</v>
      </c>
      <c r="B13" s="50"/>
      <c r="C13" s="54" t="s">
        <v>139</v>
      </c>
      <c r="D13" s="54"/>
      <c r="E13" s="54"/>
      <c r="F13" s="54"/>
      <c r="G13" s="54"/>
      <c r="H13" s="54"/>
      <c r="I13" s="54"/>
      <c r="J13" s="54"/>
    </row>
    <row r="14" spans="1:10" x14ac:dyDescent="0.3">
      <c r="A14" s="1" t="s">
        <v>140</v>
      </c>
      <c r="B14" s="50" t="s">
        <v>141</v>
      </c>
      <c r="C14" s="50"/>
      <c r="D14" s="50"/>
      <c r="E14" s="50"/>
      <c r="F14" s="40" t="s">
        <v>62</v>
      </c>
      <c r="G14" s="54" t="s">
        <v>142</v>
      </c>
      <c r="H14" s="54"/>
      <c r="I14" s="54"/>
      <c r="J14" s="54"/>
    </row>
    <row r="15" spans="1:10" x14ac:dyDescent="0.3">
      <c r="A15" s="1" t="s">
        <v>7</v>
      </c>
      <c r="B15" s="50" t="s">
        <v>145</v>
      </c>
      <c r="C15" s="50"/>
      <c r="D15" s="50"/>
      <c r="E15" s="50"/>
      <c r="F15" s="1" t="s">
        <v>63</v>
      </c>
      <c r="G15" s="50" t="s">
        <v>107</v>
      </c>
      <c r="H15" s="50"/>
      <c r="I15" s="50"/>
      <c r="J15" s="50"/>
    </row>
    <row r="16" spans="1:10" x14ac:dyDescent="0.3">
      <c r="A16" s="1" t="s">
        <v>8</v>
      </c>
      <c r="B16" s="50" t="s">
        <v>144</v>
      </c>
      <c r="C16" s="50"/>
      <c r="D16" s="50"/>
      <c r="E16" s="50"/>
      <c r="F16" s="1" t="s">
        <v>64</v>
      </c>
      <c r="G16" s="50">
        <v>401303</v>
      </c>
      <c r="H16" s="50"/>
      <c r="I16" s="50"/>
      <c r="J16" s="50"/>
    </row>
    <row r="17" spans="1:10" ht="32.25" customHeight="1" x14ac:dyDescent="0.3">
      <c r="A17" s="72" t="s">
        <v>65</v>
      </c>
      <c r="B17" s="72"/>
      <c r="C17" s="51" t="s">
        <v>146</v>
      </c>
      <c r="D17" s="51"/>
      <c r="E17" s="51"/>
      <c r="F17" s="54" t="s">
        <v>54</v>
      </c>
      <c r="G17" s="54"/>
      <c r="H17" s="54" t="s">
        <v>143</v>
      </c>
      <c r="I17" s="54"/>
      <c r="J17" s="54"/>
    </row>
    <row r="18" spans="1:10" ht="15" customHeight="1" x14ac:dyDescent="0.3">
      <c r="A18" s="54" t="s">
        <v>56</v>
      </c>
      <c r="B18" s="54"/>
      <c r="C18" s="54"/>
      <c r="D18" s="54"/>
      <c r="E18" s="54"/>
      <c r="F18" s="50" t="s">
        <v>59</v>
      </c>
      <c r="G18" s="50"/>
      <c r="H18" s="50"/>
      <c r="I18" s="50"/>
      <c r="J18" s="50"/>
    </row>
    <row r="19" spans="1:10" x14ac:dyDescent="0.3">
      <c r="A19" s="54"/>
      <c r="B19" s="54"/>
      <c r="C19" s="54"/>
      <c r="D19" s="54"/>
      <c r="E19" s="54"/>
      <c r="F19" s="50"/>
      <c r="G19" s="50"/>
      <c r="H19" s="50"/>
      <c r="I19" s="50"/>
      <c r="J19" s="50"/>
    </row>
    <row r="20" spans="1:10" ht="15.75" customHeight="1" x14ac:dyDescent="0.3">
      <c r="A20" s="54" t="s">
        <v>9</v>
      </c>
      <c r="B20" s="54"/>
      <c r="C20" s="54"/>
      <c r="D20" s="54"/>
      <c r="E20" s="54"/>
      <c r="F20" s="54" t="s">
        <v>46</v>
      </c>
      <c r="G20" s="54"/>
      <c r="H20" s="54"/>
      <c r="I20" s="54"/>
      <c r="J20" s="54"/>
    </row>
    <row r="21" spans="1:10" x14ac:dyDescent="0.3">
      <c r="A21" s="50" t="s">
        <v>10</v>
      </c>
      <c r="B21" s="50"/>
      <c r="C21" s="50"/>
      <c r="D21" s="50"/>
      <c r="E21" s="50"/>
      <c r="F21" s="79" t="s">
        <v>133</v>
      </c>
      <c r="G21" s="79"/>
      <c r="H21" s="79"/>
      <c r="I21" s="79"/>
      <c r="J21" s="79"/>
    </row>
    <row r="22" spans="1:10" x14ac:dyDescent="0.3">
      <c r="A22" s="50" t="s">
        <v>11</v>
      </c>
      <c r="B22" s="50"/>
      <c r="C22" s="50"/>
      <c r="D22" s="50"/>
      <c r="E22" s="50"/>
      <c r="F22" s="79" t="s">
        <v>55</v>
      </c>
      <c r="G22" s="79"/>
      <c r="H22" s="79"/>
      <c r="I22" s="79"/>
      <c r="J22" s="79"/>
    </row>
    <row r="23" spans="1:10" x14ac:dyDescent="0.3">
      <c r="A23" s="50" t="s">
        <v>12</v>
      </c>
      <c r="B23" s="50"/>
      <c r="C23" s="50"/>
      <c r="D23" s="50"/>
      <c r="E23" s="50"/>
      <c r="F23" s="79" t="s">
        <v>134</v>
      </c>
      <c r="G23" s="79"/>
      <c r="H23" s="79"/>
      <c r="I23" s="79"/>
      <c r="J23" s="79"/>
    </row>
    <row r="24" spans="1:10" x14ac:dyDescent="0.3">
      <c r="A24" s="50" t="s">
        <v>28</v>
      </c>
      <c r="B24" s="50"/>
      <c r="C24" s="50"/>
      <c r="D24" s="50"/>
      <c r="E24" s="50"/>
      <c r="F24" s="79" t="s">
        <v>66</v>
      </c>
      <c r="G24" s="79"/>
      <c r="H24" s="79"/>
      <c r="I24" s="79"/>
      <c r="J24" s="79"/>
    </row>
    <row r="25" spans="1:10" x14ac:dyDescent="0.3">
      <c r="A25" s="56" t="s">
        <v>13</v>
      </c>
      <c r="B25" s="56"/>
      <c r="C25" s="56" t="s">
        <v>14</v>
      </c>
      <c r="D25" s="56"/>
      <c r="E25" s="56" t="s">
        <v>15</v>
      </c>
      <c r="F25" s="56"/>
      <c r="G25" s="56" t="s">
        <v>53</v>
      </c>
      <c r="H25" s="56"/>
      <c r="I25" s="56" t="s">
        <v>16</v>
      </c>
      <c r="J25" s="56"/>
    </row>
    <row r="26" spans="1:10" x14ac:dyDescent="0.3">
      <c r="A26" s="56" t="s">
        <v>17</v>
      </c>
      <c r="B26" s="56"/>
      <c r="C26" s="56" t="s">
        <v>52</v>
      </c>
      <c r="D26" s="56"/>
      <c r="E26" s="56" t="s">
        <v>52</v>
      </c>
      <c r="F26" s="56"/>
      <c r="G26" s="56" t="s">
        <v>52</v>
      </c>
      <c r="H26" s="56"/>
      <c r="I26" s="56" t="s">
        <v>52</v>
      </c>
      <c r="J26" s="56"/>
    </row>
    <row r="27" spans="1:10" x14ac:dyDescent="0.3">
      <c r="A27" s="110" t="s">
        <v>18</v>
      </c>
      <c r="B27" s="110"/>
      <c r="C27" s="56" t="s">
        <v>148</v>
      </c>
      <c r="D27" s="56"/>
      <c r="E27" s="56" t="s">
        <v>148</v>
      </c>
      <c r="F27" s="56"/>
      <c r="G27" s="56" t="s">
        <v>7</v>
      </c>
      <c r="H27" s="56"/>
      <c r="I27" s="56" t="s">
        <v>147</v>
      </c>
      <c r="J27" s="56"/>
    </row>
    <row r="28" spans="1:10" x14ac:dyDescent="0.3">
      <c r="A28" s="50" t="s">
        <v>58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 x14ac:dyDescent="0.3">
      <c r="A29" s="50" t="s">
        <v>47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x14ac:dyDescent="0.3">
      <c r="A30" s="50" t="s">
        <v>39</v>
      </c>
      <c r="B30" s="50"/>
      <c r="C30" s="56" t="s">
        <v>40</v>
      </c>
      <c r="D30" s="56"/>
      <c r="E30" s="56">
        <v>19.438244000000001</v>
      </c>
      <c r="F30" s="56"/>
      <c r="G30" s="56" t="s">
        <v>41</v>
      </c>
      <c r="H30" s="56"/>
      <c r="I30" s="56">
        <v>72.792467500000001</v>
      </c>
      <c r="J30" s="56"/>
    </row>
    <row r="31" spans="1:10" ht="14.5" x14ac:dyDescent="0.3">
      <c r="A31" s="50" t="s">
        <v>206</v>
      </c>
      <c r="B31" s="50"/>
      <c r="C31" s="135" t="s">
        <v>207</v>
      </c>
      <c r="D31" s="136"/>
      <c r="E31" s="136"/>
      <c r="F31" s="136"/>
      <c r="G31" s="136"/>
      <c r="H31" s="136"/>
      <c r="I31" s="136"/>
      <c r="J31" s="137"/>
    </row>
    <row r="32" spans="1:10" x14ac:dyDescent="0.3">
      <c r="A32" s="53" t="s">
        <v>19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5" ht="15" customHeight="1" x14ac:dyDescent="0.3">
      <c r="A33" s="54" t="s">
        <v>48</v>
      </c>
      <c r="B33" s="54"/>
      <c r="C33" s="54"/>
      <c r="D33" s="54"/>
      <c r="E33" s="54"/>
      <c r="F33" s="54"/>
      <c r="G33" s="54"/>
      <c r="H33" s="54"/>
      <c r="I33" s="54"/>
      <c r="J33" s="54"/>
    </row>
    <row r="34" spans="1:15" x14ac:dyDescent="0.3">
      <c r="A34" s="54"/>
      <c r="B34" s="54"/>
      <c r="C34" s="54"/>
      <c r="D34" s="54"/>
      <c r="E34" s="54"/>
      <c r="F34" s="54"/>
      <c r="G34" s="54"/>
      <c r="H34" s="54"/>
      <c r="I34" s="54"/>
      <c r="J34" s="54"/>
    </row>
    <row r="35" spans="1:15" ht="16.5" customHeight="1" x14ac:dyDescent="0.3">
      <c r="A35" s="50" t="s">
        <v>67</v>
      </c>
      <c r="B35" s="50"/>
      <c r="C35" s="50"/>
      <c r="D35" s="50"/>
      <c r="E35" s="50"/>
      <c r="F35" s="54">
        <v>9376</v>
      </c>
      <c r="G35" s="54"/>
      <c r="H35" s="54"/>
      <c r="I35" s="54"/>
      <c r="J35" s="54"/>
    </row>
    <row r="36" spans="1:15" x14ac:dyDescent="0.3">
      <c r="A36" s="50" t="s">
        <v>20</v>
      </c>
      <c r="B36" s="50"/>
      <c r="C36" s="50"/>
      <c r="D36" s="50"/>
      <c r="E36" s="50"/>
      <c r="F36" s="50" t="s">
        <v>149</v>
      </c>
      <c r="G36" s="50"/>
      <c r="H36" s="50"/>
      <c r="I36" s="50"/>
      <c r="J36" s="50"/>
    </row>
    <row r="37" spans="1:15" x14ac:dyDescent="0.3">
      <c r="A37" s="50" t="s">
        <v>21</v>
      </c>
      <c r="B37" s="50"/>
      <c r="C37" s="50"/>
      <c r="D37" s="50"/>
      <c r="E37" s="50"/>
      <c r="F37" s="50" t="s">
        <v>149</v>
      </c>
      <c r="G37" s="50"/>
      <c r="H37" s="50"/>
      <c r="I37" s="50"/>
      <c r="J37" s="50"/>
    </row>
    <row r="38" spans="1:15" x14ac:dyDescent="0.3">
      <c r="A38" s="50" t="s">
        <v>22</v>
      </c>
      <c r="B38" s="50"/>
      <c r="C38" s="50"/>
      <c r="D38" s="50"/>
      <c r="E38" s="50"/>
      <c r="F38" s="50">
        <v>1</v>
      </c>
      <c r="G38" s="50"/>
      <c r="H38" s="50"/>
      <c r="I38" s="50"/>
      <c r="J38" s="50"/>
    </row>
    <row r="39" spans="1:15" x14ac:dyDescent="0.3">
      <c r="A39" s="50" t="s">
        <v>68</v>
      </c>
      <c r="B39" s="50"/>
      <c r="C39" s="50"/>
      <c r="D39" s="50"/>
      <c r="E39" s="50"/>
      <c r="F39" s="50">
        <v>103419.31</v>
      </c>
      <c r="G39" s="50"/>
      <c r="H39" s="50"/>
      <c r="I39" s="50"/>
      <c r="J39" s="50"/>
    </row>
    <row r="40" spans="1:15" x14ac:dyDescent="0.3">
      <c r="A40" s="50" t="s">
        <v>23</v>
      </c>
      <c r="B40" s="50"/>
      <c r="C40" s="50"/>
      <c r="D40" s="50"/>
      <c r="E40" s="50"/>
      <c r="F40" s="50" t="s">
        <v>166</v>
      </c>
      <c r="G40" s="50"/>
      <c r="H40" s="50"/>
      <c r="I40" s="50"/>
      <c r="J40" s="50"/>
    </row>
    <row r="41" spans="1:15" x14ac:dyDescent="0.3">
      <c r="A41" s="53" t="s">
        <v>69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5" s="21" customFormat="1" x14ac:dyDescent="0.35">
      <c r="A42" s="109" t="s">
        <v>199</v>
      </c>
      <c r="B42" s="109"/>
      <c r="C42" s="109"/>
      <c r="D42" s="109"/>
      <c r="E42" s="109"/>
      <c r="F42" s="109"/>
      <c r="G42" s="109"/>
      <c r="H42" s="109"/>
      <c r="I42" s="109"/>
      <c r="J42" s="109"/>
      <c r="K42" s="22"/>
      <c r="L42" s="22"/>
      <c r="M42" s="22"/>
      <c r="N42" s="22"/>
      <c r="O42" s="22"/>
    </row>
    <row r="43" spans="1:15" x14ac:dyDescent="0.3">
      <c r="A43" s="54" t="s">
        <v>160</v>
      </c>
      <c r="B43" s="54"/>
      <c r="C43" s="78" t="s">
        <v>150</v>
      </c>
      <c r="D43" s="78"/>
      <c r="E43" s="78"/>
      <c r="F43" s="78"/>
      <c r="G43" s="2" t="s">
        <v>60</v>
      </c>
      <c r="H43" s="78" t="s">
        <v>151</v>
      </c>
      <c r="I43" s="78"/>
      <c r="J43" s="78"/>
    </row>
    <row r="44" spans="1:15" x14ac:dyDescent="0.3">
      <c r="A44" s="54" t="s">
        <v>70</v>
      </c>
      <c r="B44" s="54"/>
      <c r="C44" s="78" t="str">
        <f>C43</f>
        <v>VVCMC/AMEND/VP-059/097/2017-18</v>
      </c>
      <c r="D44" s="78"/>
      <c r="E44" s="78"/>
      <c r="F44" s="78"/>
      <c r="G44" s="2" t="s">
        <v>60</v>
      </c>
      <c r="H44" s="78" t="str">
        <f>H43</f>
        <v>17/10/2017.</v>
      </c>
      <c r="I44" s="78"/>
      <c r="J44" s="78"/>
    </row>
    <row r="45" spans="1:15" ht="47.25" customHeight="1" x14ac:dyDescent="0.3">
      <c r="A45" s="54" t="s">
        <v>71</v>
      </c>
      <c r="B45" s="54"/>
      <c r="C45" s="84" t="s">
        <v>152</v>
      </c>
      <c r="D45" s="84"/>
      <c r="E45" s="84"/>
      <c r="F45" s="84"/>
      <c r="G45" s="2" t="s">
        <v>60</v>
      </c>
      <c r="H45" s="78" t="str">
        <f>H44</f>
        <v>17/10/2017.</v>
      </c>
      <c r="I45" s="78" t="s">
        <v>49</v>
      </c>
      <c r="J45" s="78"/>
    </row>
    <row r="46" spans="1:15" s="21" customFormat="1" x14ac:dyDescent="0.35">
      <c r="A46" s="109" t="s">
        <v>161</v>
      </c>
      <c r="B46" s="109"/>
      <c r="C46" s="109"/>
      <c r="D46" s="109"/>
      <c r="E46" s="109"/>
      <c r="F46" s="109"/>
      <c r="G46" s="109"/>
      <c r="H46" s="109"/>
      <c r="I46" s="109"/>
      <c r="J46" s="109"/>
      <c r="K46" s="22"/>
      <c r="L46" s="22"/>
      <c r="M46" s="22"/>
      <c r="N46" s="22"/>
      <c r="O46" s="22"/>
    </row>
    <row r="47" spans="1:15" x14ac:dyDescent="0.3">
      <c r="A47" s="87" t="s">
        <v>160</v>
      </c>
      <c r="B47" s="87"/>
      <c r="C47" s="78" t="s">
        <v>163</v>
      </c>
      <c r="D47" s="78"/>
      <c r="E47" s="78"/>
      <c r="F47" s="78"/>
      <c r="G47" s="2" t="s">
        <v>60</v>
      </c>
      <c r="H47" s="78" t="s">
        <v>162</v>
      </c>
      <c r="I47" s="78"/>
      <c r="J47" s="78"/>
    </row>
    <row r="48" spans="1:15" ht="31.5" customHeight="1" x14ac:dyDescent="0.3">
      <c r="A48" s="54" t="s">
        <v>70</v>
      </c>
      <c r="B48" s="54"/>
      <c r="C48" s="78" t="str">
        <f>C47</f>
        <v>VVCMC/AMEND/BP/VP-0659/209/2018-19</v>
      </c>
      <c r="D48" s="78"/>
      <c r="E48" s="78"/>
      <c r="F48" s="78"/>
      <c r="G48" s="2" t="s">
        <v>60</v>
      </c>
      <c r="H48" s="78" t="str">
        <f>H47</f>
        <v>02/02/2019.</v>
      </c>
      <c r="I48" s="78"/>
      <c r="J48" s="78"/>
    </row>
    <row r="49" spans="1:12" ht="32.5" customHeight="1" x14ac:dyDescent="0.3">
      <c r="A49" s="54" t="s">
        <v>71</v>
      </c>
      <c r="B49" s="54"/>
      <c r="C49" s="84" t="s">
        <v>171</v>
      </c>
      <c r="D49" s="84"/>
      <c r="E49" s="84"/>
      <c r="F49" s="84"/>
      <c r="G49" s="2" t="s">
        <v>60</v>
      </c>
      <c r="H49" s="78" t="str">
        <f>H48</f>
        <v>02/02/2019.</v>
      </c>
      <c r="I49" s="78"/>
      <c r="J49" s="78"/>
    </row>
    <row r="50" spans="1:12" ht="45" customHeight="1" x14ac:dyDescent="0.3">
      <c r="A50" s="129" t="s">
        <v>81</v>
      </c>
      <c r="B50" s="130"/>
      <c r="C50" s="125" t="s">
        <v>211</v>
      </c>
      <c r="D50" s="126"/>
      <c r="E50" s="126"/>
      <c r="F50" s="127"/>
      <c r="G50" s="46" t="s">
        <v>60</v>
      </c>
      <c r="H50" s="128">
        <v>44273</v>
      </c>
      <c r="I50" s="126"/>
      <c r="J50" s="127"/>
    </row>
    <row r="51" spans="1:12" ht="45" customHeight="1" x14ac:dyDescent="0.3">
      <c r="A51" s="131"/>
      <c r="B51" s="132"/>
      <c r="C51" s="125" t="s">
        <v>212</v>
      </c>
      <c r="D51" s="126"/>
      <c r="E51" s="126"/>
      <c r="F51" s="127"/>
      <c r="G51" s="46" t="s">
        <v>60</v>
      </c>
      <c r="H51" s="128">
        <v>44481</v>
      </c>
      <c r="I51" s="126"/>
      <c r="J51" s="127"/>
    </row>
    <row r="52" spans="1:12" ht="45" customHeight="1" x14ac:dyDescent="0.3">
      <c r="A52" s="133"/>
      <c r="B52" s="134"/>
      <c r="C52" s="125" t="s">
        <v>213</v>
      </c>
      <c r="D52" s="126"/>
      <c r="E52" s="126"/>
      <c r="F52" s="127"/>
      <c r="G52" s="46" t="s">
        <v>60</v>
      </c>
      <c r="H52" s="128">
        <v>45016</v>
      </c>
      <c r="I52" s="126"/>
      <c r="J52" s="127"/>
    </row>
    <row r="53" spans="1:12" x14ac:dyDescent="0.3">
      <c r="A53" s="50" t="s">
        <v>77</v>
      </c>
      <c r="B53" s="50"/>
      <c r="C53" s="50"/>
      <c r="D53" s="56" t="str">
        <f>H45</f>
        <v>17/10/2017.</v>
      </c>
      <c r="E53" s="56"/>
      <c r="F53" s="72" t="s">
        <v>72</v>
      </c>
      <c r="G53" s="73"/>
      <c r="H53" s="57" t="s">
        <v>208</v>
      </c>
      <c r="I53" s="50"/>
      <c r="J53" s="50"/>
    </row>
    <row r="54" spans="1:12" x14ac:dyDescent="0.3">
      <c r="A54" s="52" t="s">
        <v>24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2" ht="17.25" customHeight="1" x14ac:dyDescent="0.3">
      <c r="A55" s="50" t="s">
        <v>79</v>
      </c>
      <c r="B55" s="50"/>
      <c r="C55" s="50"/>
      <c r="D55" s="56">
        <f>F39</f>
        <v>103419.31</v>
      </c>
      <c r="E55" s="56"/>
      <c r="F55" s="74" t="s">
        <v>73</v>
      </c>
      <c r="G55" s="74"/>
      <c r="H55" s="74"/>
      <c r="I55" s="58" t="s">
        <v>52</v>
      </c>
      <c r="J55" s="58"/>
    </row>
    <row r="56" spans="1:12" ht="62.25" customHeight="1" x14ac:dyDescent="0.3">
      <c r="A56" s="1" t="s">
        <v>74</v>
      </c>
      <c r="B56" s="1"/>
      <c r="C56" s="54" t="s">
        <v>198</v>
      </c>
      <c r="D56" s="54"/>
      <c r="E56" s="54"/>
      <c r="F56" s="54"/>
      <c r="G56" s="54"/>
      <c r="H56" s="87" t="s">
        <v>57</v>
      </c>
      <c r="I56" s="87"/>
      <c r="J56" s="87"/>
    </row>
    <row r="57" spans="1:12" x14ac:dyDescent="0.3">
      <c r="A57" s="50" t="s">
        <v>50</v>
      </c>
      <c r="B57" s="50"/>
      <c r="C57" s="50"/>
      <c r="D57" s="50"/>
      <c r="E57" s="50"/>
      <c r="F57" s="54" t="s">
        <v>216</v>
      </c>
      <c r="G57" s="54"/>
      <c r="H57" s="54"/>
      <c r="I57" s="54"/>
      <c r="J57" s="54"/>
    </row>
    <row r="58" spans="1:12" ht="14.5" thickBot="1" x14ac:dyDescent="0.35">
      <c r="A58" s="55" t="s">
        <v>210</v>
      </c>
      <c r="B58" s="55"/>
      <c r="C58" s="55"/>
      <c r="D58" s="55"/>
      <c r="E58" s="55"/>
      <c r="F58" s="55"/>
      <c r="G58" s="55"/>
      <c r="H58" s="55"/>
      <c r="I58" s="55"/>
      <c r="J58" s="55"/>
    </row>
    <row r="59" spans="1:12" ht="51" customHeight="1" x14ac:dyDescent="0.35">
      <c r="A59" s="115" t="s">
        <v>172</v>
      </c>
      <c r="B59" s="116"/>
      <c r="C59" s="117" t="s">
        <v>214</v>
      </c>
      <c r="D59" s="117"/>
      <c r="E59" s="117"/>
      <c r="F59" s="117"/>
      <c r="G59" s="117"/>
      <c r="H59" s="117"/>
      <c r="I59" s="117"/>
      <c r="J59" s="118"/>
      <c r="K59" s="25" t="str">
        <f ca="1">(IF(F65&gt;99%,"All work completed. Please provide OC.",IF(F65&gt;89.8%,"Plinth, RCC, Brick, Plaster, Flooring, Painting work Completed. Finishing work is in process.",IF(F65&lt;94%,(IF(C65=0,"Work not yet Started.",IF(D65=25%,"Piling work in process",IF(D65=50%,"Excavation work in process",IF(D65=100%,"Excavation work Completed. ","0")))&amp;(IF(C66=0%,"",IF(C66=L67,"Footing work is process",IF(C66=L68,"Footing work Completed",IF(C66=L69,"1st Basement Completed",IF(C66=L70,"1st &amp; 2nd Basement Completed",IF(C66=L71,"1st to 3rd Basement Completed",IF(C66=L72,"1st to 4th Basement Completed",IF(C66=L73,"Plinth work is process",IF(C66=L74,"Plinth work completed","0")))))))))))&amp;(IF(C67=(D60+G60+I60),", RCC Slab",IF(C67&gt;0,", RCC upto "&amp;C67&amp;" Slab",""))&amp;(IF(C68=I60,", Brickwork",IF(C68&gt;0,", Brickwork upto "&amp;C68&amp;" Floor",""))&amp;(IF(C69=I60,", Internal Plaster",IF(C69&gt;0,", Internal Plaster upto "&amp;C69&amp;" Floor",""))&amp;(IF(C70=I60,", External Plaster",IF(C70&gt;0,", External Plaster upto "&amp;C70&amp;" Floor",""))&amp;(IF(C71=I60,", Flooring",IF(C71&gt;0,", Flooring upto "&amp;C71&amp;" Floor",""))&amp;(IF(C72=I60,", Painting",IF(C72&gt;0,", Painting upto "&amp;C72&amp;" Floor",""))&amp;(IF(C73&gt;0,", Finishing upto "&amp;C73&amp;" Floor","")&amp;(IF(C67&gt;0.5," Completed",""))))))))))))))</f>
        <v>Plinth, RCC, Brick, Plaster, Flooring, Painting work Completed. Finishing work is in process.</v>
      </c>
      <c r="L59" s="26"/>
    </row>
    <row r="60" spans="1:12" ht="15.5" hidden="1" x14ac:dyDescent="0.35">
      <c r="A60" s="45" t="s">
        <v>100</v>
      </c>
      <c r="B60" s="38">
        <v>0</v>
      </c>
      <c r="C60" s="38" t="s">
        <v>102</v>
      </c>
      <c r="D60" s="38">
        <v>1</v>
      </c>
      <c r="E60" s="112" t="s">
        <v>101</v>
      </c>
      <c r="F60" s="112"/>
      <c r="G60" s="38">
        <v>0</v>
      </c>
      <c r="H60" s="38" t="s">
        <v>173</v>
      </c>
      <c r="I60" s="112">
        <f ca="1">--TRIM(RIGHT(SUBSTITUTE(LEFT(C59,_xlfn.AGGREGATE(16,6,FIND({0,1,2,3,4,5,6,7,8,9},C59,ROW(INDIRECT("1:"&amp;LEN(C59)))),1))," ",REPT(" ",LEN(C59))),LEN(C59)))</f>
        <v>23</v>
      </c>
      <c r="J60" s="119"/>
      <c r="K60" s="27"/>
      <c r="L60" s="28"/>
    </row>
    <row r="61" spans="1:12" ht="15.5" x14ac:dyDescent="0.35">
      <c r="A61" s="120" t="s">
        <v>174</v>
      </c>
      <c r="B61" s="121"/>
      <c r="C61" s="122" t="str">
        <f>K61</f>
        <v>All work Completed. OC Received.</v>
      </c>
      <c r="D61" s="122"/>
      <c r="E61" s="122"/>
      <c r="F61" s="122"/>
      <c r="G61" s="122"/>
      <c r="H61" s="122"/>
      <c r="I61" s="122"/>
      <c r="J61" s="123"/>
      <c r="K61" s="27" t="s">
        <v>175</v>
      </c>
      <c r="L61" s="28"/>
    </row>
    <row r="62" spans="1:12" s="43" customFormat="1" ht="15.5" x14ac:dyDescent="0.35">
      <c r="A62" s="59" t="s">
        <v>178</v>
      </c>
      <c r="B62" s="60"/>
      <c r="C62" s="63">
        <v>1</v>
      </c>
      <c r="D62" s="64"/>
      <c r="E62" s="65"/>
      <c r="F62" s="69" t="s">
        <v>179</v>
      </c>
      <c r="G62" s="65"/>
      <c r="H62" s="63">
        <v>1</v>
      </c>
      <c r="I62" s="64"/>
      <c r="J62" s="70"/>
      <c r="K62" s="41"/>
      <c r="L62" s="42"/>
    </row>
    <row r="63" spans="1:12" s="43" customFormat="1" ht="16" thickBot="1" x14ac:dyDescent="0.4">
      <c r="A63" s="61"/>
      <c r="B63" s="62"/>
      <c r="C63" s="66"/>
      <c r="D63" s="67"/>
      <c r="E63" s="68"/>
      <c r="F63" s="66"/>
      <c r="G63" s="68"/>
      <c r="H63" s="66"/>
      <c r="I63" s="67"/>
      <c r="J63" s="71"/>
      <c r="K63" s="41"/>
      <c r="L63" s="42"/>
    </row>
    <row r="64" spans="1:12" ht="15.5" hidden="1" x14ac:dyDescent="0.35">
      <c r="A64" s="99" t="s">
        <v>32</v>
      </c>
      <c r="B64" s="99"/>
      <c r="C64" s="44" t="s">
        <v>176</v>
      </c>
      <c r="D64" s="99" t="s">
        <v>177</v>
      </c>
      <c r="E64" s="99"/>
      <c r="F64" s="99" t="s">
        <v>178</v>
      </c>
      <c r="G64" s="99"/>
      <c r="H64" s="99" t="s">
        <v>179</v>
      </c>
      <c r="I64" s="99"/>
      <c r="J64" s="99"/>
      <c r="K64" s="29" t="s">
        <v>180</v>
      </c>
      <c r="L64" s="30">
        <f ca="1">I60*25%</f>
        <v>5.75</v>
      </c>
    </row>
    <row r="65" spans="1:12" ht="15.5" hidden="1" x14ac:dyDescent="0.35">
      <c r="A65" s="111" t="s">
        <v>181</v>
      </c>
      <c r="B65" s="111"/>
      <c r="C65" s="36">
        <f ca="1">L66</f>
        <v>23</v>
      </c>
      <c r="D65" s="83">
        <f ca="1">((100/I60)*C65)/100</f>
        <v>1</v>
      </c>
      <c r="E65" s="83"/>
      <c r="F65" s="83">
        <f ca="1">(((C66/I60*10)+(40/(D60+G60+I60)*C67)+(7.5/(I60)*C68)+(7.5/(I60)*C69)+(10/I60*C70)+(10/I60*C71)+(5/I60*C72)+(5/I60*C73)+(5/I60*C74))/100)</f>
        <v>0.97826086956521718</v>
      </c>
      <c r="G65" s="83"/>
      <c r="H65" s="83">
        <f ca="1">((((C65/I60)*20)+((C66/I60)*25)+(30/(I60+G60+D60)*C67)+(5/I60*C68)+(5/I60*C69)+(5/I60*C70)+(5/I60*C71)+(0/I60*C72)+(0/I60*C73)+(5/I60*C74))/100)</f>
        <v>0.98913043478260865</v>
      </c>
      <c r="I65" s="83"/>
      <c r="J65" s="83"/>
      <c r="K65" s="29" t="s">
        <v>122</v>
      </c>
      <c r="L65" s="31">
        <f ca="1">I60*50%</f>
        <v>11.5</v>
      </c>
    </row>
    <row r="66" spans="1:12" ht="15.5" hidden="1" x14ac:dyDescent="0.35">
      <c r="A66" s="111" t="s">
        <v>34</v>
      </c>
      <c r="B66" s="111"/>
      <c r="C66" s="37">
        <f ca="1">L74</f>
        <v>23</v>
      </c>
      <c r="D66" s="83">
        <f ca="1">((100/I60)*C66)/100</f>
        <v>1</v>
      </c>
      <c r="E66" s="83"/>
      <c r="F66" s="83"/>
      <c r="G66" s="83"/>
      <c r="H66" s="83"/>
      <c r="I66" s="83"/>
      <c r="J66" s="83"/>
      <c r="K66" s="29" t="s">
        <v>125</v>
      </c>
      <c r="L66" s="31">
        <f ca="1">I60</f>
        <v>23</v>
      </c>
    </row>
    <row r="67" spans="1:12" ht="15.5" hidden="1" x14ac:dyDescent="0.35">
      <c r="A67" s="112" t="s">
        <v>182</v>
      </c>
      <c r="B67" s="112"/>
      <c r="C67" s="37">
        <f ca="1">D60+I60</f>
        <v>24</v>
      </c>
      <c r="D67" s="83">
        <f ca="1">((100/(D60+G60+I60))*C67)/100</f>
        <v>1</v>
      </c>
      <c r="E67" s="83"/>
      <c r="F67" s="83"/>
      <c r="G67" s="83"/>
      <c r="H67" s="83"/>
      <c r="I67" s="83"/>
      <c r="J67" s="83"/>
      <c r="K67" s="29" t="s">
        <v>126</v>
      </c>
      <c r="L67" s="32">
        <f ca="1">(IF(B60&gt;1,(I60/(B60+2)),I60/4))</f>
        <v>5.75</v>
      </c>
    </row>
    <row r="68" spans="1:12" ht="15.5" hidden="1" x14ac:dyDescent="0.35">
      <c r="A68" s="111" t="s">
        <v>183</v>
      </c>
      <c r="B68" s="111" t="s">
        <v>184</v>
      </c>
      <c r="C68" s="36">
        <v>22</v>
      </c>
      <c r="D68" s="83">
        <f ca="1">((100/I60)*C68)/100</f>
        <v>0.9565217391304347</v>
      </c>
      <c r="E68" s="83"/>
      <c r="F68" s="83"/>
      <c r="G68" s="83"/>
      <c r="H68" s="83"/>
      <c r="I68" s="83"/>
      <c r="J68" s="83"/>
      <c r="K68" s="29" t="s">
        <v>127</v>
      </c>
      <c r="L68" s="32">
        <f ca="1">(IF(B60&gt;1,(I60/(B60+2)+L67),I60/4+L67))</f>
        <v>11.5</v>
      </c>
    </row>
    <row r="69" spans="1:12" ht="15.5" hidden="1" x14ac:dyDescent="0.35">
      <c r="A69" s="111" t="s">
        <v>185</v>
      </c>
      <c r="B69" s="111" t="s">
        <v>184</v>
      </c>
      <c r="C69" s="36">
        <v>22</v>
      </c>
      <c r="D69" s="83">
        <f ca="1">((100/I60)*C69)/100</f>
        <v>0.9565217391304347</v>
      </c>
      <c r="E69" s="83"/>
      <c r="F69" s="83"/>
      <c r="G69" s="83"/>
      <c r="H69" s="83"/>
      <c r="I69" s="83"/>
      <c r="J69" s="83"/>
      <c r="K69" s="29" t="s">
        <v>186</v>
      </c>
      <c r="L69" s="32">
        <f>(IF(B60&gt;1,(I60/(B60+2)+L68),0))</f>
        <v>0</v>
      </c>
    </row>
    <row r="70" spans="1:12" ht="15.5" hidden="1" x14ac:dyDescent="0.35">
      <c r="A70" s="111" t="s">
        <v>187</v>
      </c>
      <c r="B70" s="111" t="s">
        <v>188</v>
      </c>
      <c r="C70" s="36">
        <v>22</v>
      </c>
      <c r="D70" s="83">
        <f ca="1">((100/(I60))*C70)/100</f>
        <v>0.9565217391304347</v>
      </c>
      <c r="E70" s="83"/>
      <c r="F70" s="83"/>
      <c r="G70" s="83"/>
      <c r="H70" s="83"/>
      <c r="I70" s="83"/>
      <c r="J70" s="83"/>
      <c r="K70" s="29" t="s">
        <v>189</v>
      </c>
      <c r="L70" s="32">
        <f>(IF(B60&gt;2,(I60/(B60+2)+L69),0))</f>
        <v>0</v>
      </c>
    </row>
    <row r="71" spans="1:12" ht="15.5" hidden="1" x14ac:dyDescent="0.35">
      <c r="A71" s="111" t="s">
        <v>190</v>
      </c>
      <c r="B71" s="111" t="s">
        <v>190</v>
      </c>
      <c r="C71" s="36">
        <v>22</v>
      </c>
      <c r="D71" s="83">
        <f ca="1">((100/I60)*C71)/100</f>
        <v>0.9565217391304347</v>
      </c>
      <c r="E71" s="83"/>
      <c r="F71" s="83"/>
      <c r="G71" s="83"/>
      <c r="H71" s="83"/>
      <c r="I71" s="83"/>
      <c r="J71" s="83"/>
      <c r="K71" s="29" t="s">
        <v>191</v>
      </c>
      <c r="L71" s="33">
        <f>(IF(B60&gt;3,(I60/(B60+2)+L70),0))</f>
        <v>0</v>
      </c>
    </row>
    <row r="72" spans="1:12" ht="15" hidden="1" customHeight="1" x14ac:dyDescent="0.35">
      <c r="A72" s="111" t="s">
        <v>192</v>
      </c>
      <c r="B72" s="111"/>
      <c r="C72" s="36">
        <v>22</v>
      </c>
      <c r="D72" s="83">
        <f ca="1">((100/I60)*C72)/100</f>
        <v>0.9565217391304347</v>
      </c>
      <c r="E72" s="83"/>
      <c r="F72" s="83"/>
      <c r="G72" s="83"/>
      <c r="H72" s="83"/>
      <c r="I72" s="83"/>
      <c r="J72" s="83"/>
      <c r="K72" s="29" t="s">
        <v>193</v>
      </c>
      <c r="L72" s="32">
        <f>(IF(B60&gt;4,(I60/(B60+2)+L71),0))</f>
        <v>0</v>
      </c>
    </row>
    <row r="73" spans="1:12" ht="15.5" hidden="1" x14ac:dyDescent="0.35">
      <c r="A73" s="111" t="s">
        <v>194</v>
      </c>
      <c r="B73" s="111" t="s">
        <v>194</v>
      </c>
      <c r="C73" s="36">
        <v>22</v>
      </c>
      <c r="D73" s="83">
        <f ca="1">((100/(I60))*C73)/100</f>
        <v>0.9565217391304347</v>
      </c>
      <c r="E73" s="83"/>
      <c r="F73" s="83"/>
      <c r="G73" s="83"/>
      <c r="H73" s="83"/>
      <c r="I73" s="83"/>
      <c r="J73" s="83"/>
      <c r="K73" s="29" t="s">
        <v>128</v>
      </c>
      <c r="L73" s="32">
        <f ca="1">(IF(B60=1,(I60/(B60+3)+L68),IF(B60=0,(I60/4+L68),IF(B60&gt;1,0))))</f>
        <v>17.25</v>
      </c>
    </row>
    <row r="74" spans="1:12" ht="16" hidden="1" thickBot="1" x14ac:dyDescent="0.4">
      <c r="A74" s="111" t="s">
        <v>195</v>
      </c>
      <c r="B74" s="111"/>
      <c r="C74" s="36">
        <v>22</v>
      </c>
      <c r="D74" s="83">
        <f ca="1">((100/(I60))*C74)/100</f>
        <v>0.9565217391304347</v>
      </c>
      <c r="E74" s="83"/>
      <c r="F74" s="83"/>
      <c r="G74" s="83"/>
      <c r="H74" s="83"/>
      <c r="I74" s="83"/>
      <c r="J74" s="83"/>
      <c r="K74" s="34" t="s">
        <v>129</v>
      </c>
      <c r="L74" s="35">
        <f ca="1">(IF(B60&gt;1.5,(I60/(B60+2)+L68+MAX(0,L69-L68)+MAX(0,L70-L69)+MAX(0,L71-L70)+MAX(0,L72-L71)+MAX(0,L73-L72)),IF(B60=1,(I60/(B60+3)+L73),IF(B60=0,I60/4+L73))))</f>
        <v>23</v>
      </c>
    </row>
    <row r="75" spans="1:12" ht="17.25" hidden="1" customHeight="1" x14ac:dyDescent="0.35">
      <c r="A75" s="124" t="s">
        <v>172</v>
      </c>
      <c r="B75" s="124"/>
      <c r="C75" s="122" t="s">
        <v>196</v>
      </c>
      <c r="D75" s="122"/>
      <c r="E75" s="122"/>
      <c r="F75" s="122"/>
      <c r="G75" s="122"/>
      <c r="H75" s="122"/>
      <c r="I75" s="122"/>
      <c r="J75" s="122"/>
      <c r="K75" s="25" t="str">
        <f ca="1">(IF(F79&gt;99%,"All work completed. Please provide OC.",IF(F79&gt;89.8%,"Plinth, RCC, Brick, Plaster, Flooring, Painting work Completed. Finishing work is in process.",IF(F79&lt;94%,(IF(C79=0,"Work not yet Started.",IF(D79=25%,"Piling work in process",IF(D79=50%,"Excavation work in process",IF(D79=100%,"Excavation work Completed. ","0")))&amp;(IF(C80=0%,"",IF(C80=L81,"Footing work is process",IF(C80=L82,"Footing work Completed",IF(C80=L83,"1st Basement Completed",IF(C80=L84,"1st &amp; 2nd Basement Completed",IF(C80=L85,"1st to 3rd Basement Completed",IF(C80=L86,"1st to 4th Basement Completed",IF(C80=L87,"Plinth work is process",IF(C80=L88,"Plinth work completed","0")))))))))))&amp;(IF(C81=(D76+G76+I76),", RCC Slab",IF(C81&gt;0,", RCC upto "&amp;C81&amp;" Slab",""))&amp;(IF(C82=I76,", Brickwork",IF(C82&gt;0,", Brickwork upto "&amp;C82&amp;" Floor",""))&amp;(IF(C83=I76,", Internal Plaster",IF(C83&gt;0,", Internal Plaster upto "&amp;C83&amp;" Floor",""))&amp;(IF(C84=I76,", External Plaster",IF(C84&gt;0,", External Plaster upto "&amp;C84&amp;" Floor",""))&amp;(IF(C85=I76,", Flooring",IF(C85&gt;0,", Flooring upto "&amp;C85&amp;" Floor",""))&amp;(IF(C86=I76,", Painting",IF(C86&gt;0,", Painting upto "&amp;C86&amp;" Floor",""))&amp;(IF(C87&gt;0,", Finishing upto "&amp;C87&amp;" Floor","")&amp;(IF(C81&gt;0.5," Completed",""))))))))))))))</f>
        <v>All work completed. Please provide OC.</v>
      </c>
      <c r="L75" s="26"/>
    </row>
    <row r="76" spans="1:12" ht="15.5" hidden="1" x14ac:dyDescent="0.35">
      <c r="A76" s="38" t="s">
        <v>100</v>
      </c>
      <c r="B76" s="38">
        <v>0</v>
      </c>
      <c r="C76" s="38" t="s">
        <v>102</v>
      </c>
      <c r="D76" s="38">
        <v>1</v>
      </c>
      <c r="E76" s="112" t="s">
        <v>101</v>
      </c>
      <c r="F76" s="112"/>
      <c r="G76" s="38">
        <v>0</v>
      </c>
      <c r="H76" s="38" t="s">
        <v>173</v>
      </c>
      <c r="I76" s="112">
        <f ca="1">--TRIM(RIGHT(SUBSTITUTE(LEFT(C75,_xlfn.AGGREGATE(16,6,FIND({0,1,2,3,4,5,6,7,8,9},C75,ROW(INDIRECT("1:"&amp;LEN(C75)))),1))," ",REPT(" ",LEN(C75))),LEN(C75)))</f>
        <v>23</v>
      </c>
      <c r="J76" s="112"/>
      <c r="K76" s="27"/>
      <c r="L76" s="28"/>
    </row>
    <row r="77" spans="1:12" ht="15.5" hidden="1" x14ac:dyDescent="0.35">
      <c r="A77" s="121" t="s">
        <v>174</v>
      </c>
      <c r="B77" s="121"/>
      <c r="C77" s="122" t="str">
        <f>K77</f>
        <v>All work Completed. OC Received.</v>
      </c>
      <c r="D77" s="122"/>
      <c r="E77" s="122"/>
      <c r="F77" s="122"/>
      <c r="G77" s="122"/>
      <c r="H77" s="122"/>
      <c r="I77" s="122"/>
      <c r="J77" s="122"/>
      <c r="K77" s="27" t="s">
        <v>175</v>
      </c>
      <c r="L77" s="28"/>
    </row>
    <row r="78" spans="1:12" ht="15.5" hidden="1" x14ac:dyDescent="0.35">
      <c r="A78" s="111" t="s">
        <v>32</v>
      </c>
      <c r="B78" s="111"/>
      <c r="C78" s="39" t="s">
        <v>176</v>
      </c>
      <c r="D78" s="111" t="s">
        <v>177</v>
      </c>
      <c r="E78" s="111"/>
      <c r="F78" s="111" t="s">
        <v>178</v>
      </c>
      <c r="G78" s="111"/>
      <c r="H78" s="111" t="s">
        <v>179</v>
      </c>
      <c r="I78" s="111"/>
      <c r="J78" s="111"/>
      <c r="K78" s="29" t="s">
        <v>180</v>
      </c>
      <c r="L78" s="30">
        <f ca="1">I76*25%</f>
        <v>5.75</v>
      </c>
    </row>
    <row r="79" spans="1:12" ht="15.5" hidden="1" x14ac:dyDescent="0.35">
      <c r="A79" s="111" t="s">
        <v>181</v>
      </c>
      <c r="B79" s="111"/>
      <c r="C79" s="36">
        <f ca="1">L80</f>
        <v>23</v>
      </c>
      <c r="D79" s="83">
        <f ca="1">((100/I76)*C79)/100</f>
        <v>1</v>
      </c>
      <c r="E79" s="83"/>
      <c r="F79" s="83">
        <f ca="1">(((C80/I76*10)+(40/(D76+G76+I76)*C81)+(7.5/(I76)*C82)+(7.5/(I76)*C83)+(10/I76*C84)+(10/I76*C85)+(5/I76*C86)+(5/I76*C87)+(5/I76*C88))/100)</f>
        <v>1</v>
      </c>
      <c r="G79" s="83"/>
      <c r="H79" s="83">
        <f ca="1">((((C79/I76)*20)+((C80/I76)*25)+(30/(I76+G76+D76)*C81)+(5/I76*C82)+(5/I76*C83)+(5/I76*C84)+(5/I76*C85)+(0/I76*C86)+(0/I76*C87)+(5/I76*C88))/100)</f>
        <v>1</v>
      </c>
      <c r="I79" s="83"/>
      <c r="J79" s="83"/>
      <c r="K79" s="29" t="s">
        <v>122</v>
      </c>
      <c r="L79" s="31">
        <f ca="1">I76*50%</f>
        <v>11.5</v>
      </c>
    </row>
    <row r="80" spans="1:12" ht="15.5" hidden="1" x14ac:dyDescent="0.35">
      <c r="A80" s="111" t="s">
        <v>34</v>
      </c>
      <c r="B80" s="111"/>
      <c r="C80" s="37">
        <f ca="1">L88</f>
        <v>23</v>
      </c>
      <c r="D80" s="83">
        <f ca="1">((100/I76)*C80)/100</f>
        <v>1</v>
      </c>
      <c r="E80" s="83"/>
      <c r="F80" s="83"/>
      <c r="G80" s="83"/>
      <c r="H80" s="83"/>
      <c r="I80" s="83"/>
      <c r="J80" s="83"/>
      <c r="K80" s="29" t="s">
        <v>125</v>
      </c>
      <c r="L80" s="31">
        <f ca="1">I76</f>
        <v>23</v>
      </c>
    </row>
    <row r="81" spans="1:12" ht="15.5" hidden="1" x14ac:dyDescent="0.35">
      <c r="A81" s="112" t="s">
        <v>182</v>
      </c>
      <c r="B81" s="112"/>
      <c r="C81" s="37">
        <v>24</v>
      </c>
      <c r="D81" s="83">
        <f ca="1">((100/(D76+G76+I76))*C81)/100</f>
        <v>1</v>
      </c>
      <c r="E81" s="83"/>
      <c r="F81" s="83"/>
      <c r="G81" s="83"/>
      <c r="H81" s="83"/>
      <c r="I81" s="83"/>
      <c r="J81" s="83"/>
      <c r="K81" s="29" t="s">
        <v>126</v>
      </c>
      <c r="L81" s="32">
        <f ca="1">(IF(B76&gt;1,(I76/(B76+2)),I76/4))</f>
        <v>5.75</v>
      </c>
    </row>
    <row r="82" spans="1:12" ht="15.5" hidden="1" x14ac:dyDescent="0.35">
      <c r="A82" s="111" t="s">
        <v>183</v>
      </c>
      <c r="B82" s="111" t="s">
        <v>184</v>
      </c>
      <c r="C82" s="36">
        <v>23</v>
      </c>
      <c r="D82" s="83">
        <f ca="1">((100/I76)*C82)/100</f>
        <v>1</v>
      </c>
      <c r="E82" s="83"/>
      <c r="F82" s="83"/>
      <c r="G82" s="83"/>
      <c r="H82" s="83"/>
      <c r="I82" s="83"/>
      <c r="J82" s="83"/>
      <c r="K82" s="29" t="s">
        <v>127</v>
      </c>
      <c r="L82" s="32">
        <f ca="1">(IF(B76&gt;1,(I76/(B76+2)+L81),I76/4+L81))</f>
        <v>11.5</v>
      </c>
    </row>
    <row r="83" spans="1:12" ht="15.5" hidden="1" x14ac:dyDescent="0.35">
      <c r="A83" s="111" t="s">
        <v>185</v>
      </c>
      <c r="B83" s="111" t="s">
        <v>184</v>
      </c>
      <c r="C83" s="36">
        <v>23</v>
      </c>
      <c r="D83" s="83">
        <f ca="1">((100/I76)*C83)/100</f>
        <v>1</v>
      </c>
      <c r="E83" s="83"/>
      <c r="F83" s="83"/>
      <c r="G83" s="83"/>
      <c r="H83" s="83"/>
      <c r="I83" s="83"/>
      <c r="J83" s="83"/>
      <c r="K83" s="29" t="s">
        <v>186</v>
      </c>
      <c r="L83" s="32">
        <f>(IF(B76&gt;1,(I76/(B76+2)+L82),0))</f>
        <v>0</v>
      </c>
    </row>
    <row r="84" spans="1:12" ht="15.5" hidden="1" x14ac:dyDescent="0.35">
      <c r="A84" s="111" t="s">
        <v>187</v>
      </c>
      <c r="B84" s="111" t="s">
        <v>188</v>
      </c>
      <c r="C84" s="36">
        <v>23</v>
      </c>
      <c r="D84" s="83">
        <f ca="1">((100/(I76))*C84)/100</f>
        <v>1</v>
      </c>
      <c r="E84" s="83"/>
      <c r="F84" s="83"/>
      <c r="G84" s="83"/>
      <c r="H84" s="83"/>
      <c r="I84" s="83"/>
      <c r="J84" s="83"/>
      <c r="K84" s="29" t="s">
        <v>189</v>
      </c>
      <c r="L84" s="32">
        <f>(IF(B76&gt;2,(I76/(B76+2)+L83),0))</f>
        <v>0</v>
      </c>
    </row>
    <row r="85" spans="1:12" ht="15.5" hidden="1" x14ac:dyDescent="0.35">
      <c r="A85" s="111" t="s">
        <v>190</v>
      </c>
      <c r="B85" s="111" t="s">
        <v>190</v>
      </c>
      <c r="C85" s="36">
        <v>23</v>
      </c>
      <c r="D85" s="83">
        <f ca="1">((100/I76)*C85)/100</f>
        <v>1</v>
      </c>
      <c r="E85" s="83"/>
      <c r="F85" s="83"/>
      <c r="G85" s="83"/>
      <c r="H85" s="83"/>
      <c r="I85" s="83"/>
      <c r="J85" s="83"/>
      <c r="K85" s="29" t="s">
        <v>191</v>
      </c>
      <c r="L85" s="33">
        <f>(IF(B76&gt;3,(I76/(B76+2)+L84),0))</f>
        <v>0</v>
      </c>
    </row>
    <row r="86" spans="1:12" ht="15" hidden="1" customHeight="1" x14ac:dyDescent="0.35">
      <c r="A86" s="111" t="s">
        <v>192</v>
      </c>
      <c r="B86" s="111"/>
      <c r="C86" s="36">
        <v>23</v>
      </c>
      <c r="D86" s="83">
        <f ca="1">((100/I76)*C86)/100</f>
        <v>1</v>
      </c>
      <c r="E86" s="83"/>
      <c r="F86" s="83"/>
      <c r="G86" s="83"/>
      <c r="H86" s="83"/>
      <c r="I86" s="83"/>
      <c r="J86" s="83"/>
      <c r="K86" s="29" t="s">
        <v>193</v>
      </c>
      <c r="L86" s="32">
        <f>(IF(B76&gt;4,(I76/(B76+2)+L85),0))</f>
        <v>0</v>
      </c>
    </row>
    <row r="87" spans="1:12" ht="15.5" hidden="1" x14ac:dyDescent="0.35">
      <c r="A87" s="111" t="s">
        <v>194</v>
      </c>
      <c r="B87" s="111" t="s">
        <v>194</v>
      </c>
      <c r="C87" s="36">
        <v>23</v>
      </c>
      <c r="D87" s="83">
        <f ca="1">((100/(I76))*C87)/100</f>
        <v>1</v>
      </c>
      <c r="E87" s="83"/>
      <c r="F87" s="83"/>
      <c r="G87" s="83"/>
      <c r="H87" s="83"/>
      <c r="I87" s="83"/>
      <c r="J87" s="83"/>
      <c r="K87" s="29" t="s">
        <v>128</v>
      </c>
      <c r="L87" s="32">
        <f ca="1">(IF(B76=1,(I76/(B76+3)+L82),IF(B76=0,(I76/4+L82),IF(B76&gt;1,0))))</f>
        <v>17.25</v>
      </c>
    </row>
    <row r="88" spans="1:12" ht="16" hidden="1" thickBot="1" x14ac:dyDescent="0.4">
      <c r="A88" s="111" t="s">
        <v>195</v>
      </c>
      <c r="B88" s="111"/>
      <c r="C88" s="36">
        <v>23</v>
      </c>
      <c r="D88" s="83">
        <f ca="1">((100/(I76))*C88)/100</f>
        <v>1</v>
      </c>
      <c r="E88" s="83"/>
      <c r="F88" s="83"/>
      <c r="G88" s="83"/>
      <c r="H88" s="83"/>
      <c r="I88" s="83"/>
      <c r="J88" s="83"/>
      <c r="K88" s="34" t="s">
        <v>129</v>
      </c>
      <c r="L88" s="35">
        <f ca="1">(IF(B76&gt;1.5,(I76/(B76+2)+L82+MAX(0,L83-L82)+MAX(0,L84-L83)+MAX(0,L85-L84)+MAX(0,L86-L85)+MAX(0,L87-L86)),IF(B76=1,(I76/(B76+3)+L87),IF(B76=0,I76/4+L87))))</f>
        <v>23</v>
      </c>
    </row>
    <row r="89" spans="1:12" hidden="1" x14ac:dyDescent="0.3">
      <c r="A89" s="107" t="s">
        <v>170</v>
      </c>
      <c r="B89" s="107"/>
      <c r="C89" s="107"/>
      <c r="D89" s="107"/>
      <c r="E89" s="107"/>
      <c r="F89" s="107"/>
      <c r="G89" s="107"/>
      <c r="H89" s="107"/>
      <c r="I89" s="107"/>
      <c r="J89" s="107"/>
    </row>
    <row r="90" spans="1:12" ht="15" hidden="1" customHeight="1" x14ac:dyDescent="0.3">
      <c r="A90" s="108" t="s">
        <v>168</v>
      </c>
      <c r="B90" s="108"/>
      <c r="C90" s="88" t="s">
        <v>32</v>
      </c>
      <c r="D90" s="88"/>
      <c r="E90" s="88"/>
      <c r="F90" s="88" t="s">
        <v>33</v>
      </c>
      <c r="G90" s="88"/>
      <c r="H90" s="88"/>
      <c r="I90" s="88"/>
      <c r="J90" s="88"/>
    </row>
    <row r="91" spans="1:12" hidden="1" x14ac:dyDescent="0.3">
      <c r="A91" s="108"/>
      <c r="B91" s="108"/>
      <c r="C91" s="88" t="s">
        <v>34</v>
      </c>
      <c r="D91" s="88"/>
      <c r="E91" s="88"/>
      <c r="F91" s="89">
        <f>'T7'!D6</f>
        <v>1</v>
      </c>
      <c r="G91" s="89"/>
      <c r="H91" s="88"/>
      <c r="I91" s="88"/>
      <c r="J91" s="88"/>
    </row>
    <row r="92" spans="1:12" hidden="1" x14ac:dyDescent="0.3">
      <c r="A92" s="108"/>
      <c r="B92" s="108"/>
      <c r="C92" s="88" t="s">
        <v>35</v>
      </c>
      <c r="D92" s="88"/>
      <c r="E92" s="88"/>
      <c r="F92" s="89">
        <f>'T7'!D7</f>
        <v>1</v>
      </c>
      <c r="G92" s="89"/>
      <c r="H92" s="88"/>
      <c r="I92" s="88"/>
      <c r="J92" s="88"/>
    </row>
    <row r="93" spans="1:12" hidden="1" x14ac:dyDescent="0.3">
      <c r="A93" s="108"/>
      <c r="B93" s="108"/>
      <c r="C93" s="88" t="s">
        <v>36</v>
      </c>
      <c r="D93" s="88"/>
      <c r="E93" s="88"/>
      <c r="F93" s="89">
        <f>'T7'!D8</f>
        <v>1.0000000000000002</v>
      </c>
      <c r="G93" s="89"/>
      <c r="H93" s="88"/>
      <c r="I93" s="88"/>
      <c r="J93" s="88"/>
    </row>
    <row r="94" spans="1:12" hidden="1" x14ac:dyDescent="0.3">
      <c r="A94" s="108"/>
      <c r="B94" s="108"/>
      <c r="C94" s="88" t="s">
        <v>37</v>
      </c>
      <c r="D94" s="88"/>
      <c r="E94" s="88"/>
      <c r="F94" s="89">
        <f>'T7'!D9</f>
        <v>1.0000000000000002</v>
      </c>
      <c r="G94" s="89"/>
      <c r="H94" s="88"/>
      <c r="I94" s="88"/>
      <c r="J94" s="88"/>
    </row>
    <row r="95" spans="1:12" hidden="1" x14ac:dyDescent="0.3">
      <c r="A95" s="108"/>
      <c r="B95" s="108"/>
      <c r="C95" s="88" t="s">
        <v>42</v>
      </c>
      <c r="D95" s="88"/>
      <c r="E95" s="88"/>
      <c r="F95" s="89">
        <f>'T7'!D10</f>
        <v>1.0000000000000002</v>
      </c>
      <c r="G95" s="89"/>
      <c r="H95" s="88"/>
      <c r="I95" s="88"/>
      <c r="J95" s="88"/>
    </row>
    <row r="96" spans="1:12" ht="15" hidden="1" customHeight="1" x14ac:dyDescent="0.3">
      <c r="A96" s="108"/>
      <c r="B96" s="108"/>
      <c r="C96" s="88" t="s">
        <v>43</v>
      </c>
      <c r="D96" s="88"/>
      <c r="E96" s="88"/>
      <c r="F96" s="89">
        <f>'T7'!D11</f>
        <v>1.0000000000000002</v>
      </c>
      <c r="G96" s="89"/>
      <c r="H96" s="88"/>
      <c r="I96" s="88"/>
      <c r="J96" s="88"/>
    </row>
    <row r="97" spans="1:15" hidden="1" x14ac:dyDescent="0.3">
      <c r="A97" s="108"/>
      <c r="B97" s="108"/>
      <c r="C97" s="88" t="s">
        <v>44</v>
      </c>
      <c r="D97" s="88"/>
      <c r="E97" s="88"/>
      <c r="F97" s="89">
        <f>'T7'!D12</f>
        <v>1.0000000000000002</v>
      </c>
      <c r="G97" s="89"/>
      <c r="H97" s="88"/>
      <c r="I97" s="88"/>
      <c r="J97" s="88"/>
    </row>
    <row r="98" spans="1:15" hidden="1" x14ac:dyDescent="0.3">
      <c r="A98" s="113" t="s">
        <v>30</v>
      </c>
      <c r="B98" s="113"/>
      <c r="C98" s="113"/>
      <c r="D98" s="114">
        <v>1</v>
      </c>
      <c r="E98" s="114"/>
      <c r="F98" s="113" t="s">
        <v>31</v>
      </c>
      <c r="G98" s="113"/>
      <c r="H98" s="113"/>
      <c r="I98" s="114">
        <f>'T7'!C22</f>
        <v>1</v>
      </c>
      <c r="J98" s="114"/>
    </row>
    <row r="99" spans="1:15" x14ac:dyDescent="0.3">
      <c r="A99" s="50" t="s">
        <v>209</v>
      </c>
      <c r="B99" s="50"/>
      <c r="C99" s="50"/>
      <c r="D99" s="50"/>
      <c r="E99" s="50"/>
      <c r="F99" s="50"/>
      <c r="G99" s="50"/>
      <c r="H99" s="50"/>
      <c r="I99" s="50"/>
      <c r="J99" s="50"/>
    </row>
    <row r="100" spans="1:15" x14ac:dyDescent="0.3">
      <c r="A100" s="50" t="s">
        <v>51</v>
      </c>
      <c r="B100" s="50"/>
      <c r="C100" s="50"/>
      <c r="D100" s="50"/>
      <c r="E100" s="50"/>
      <c r="F100" s="50"/>
      <c r="G100" s="50"/>
      <c r="H100" s="50"/>
      <c r="I100" s="50"/>
      <c r="J100" s="50"/>
    </row>
    <row r="101" spans="1:15" ht="15" customHeight="1" x14ac:dyDescent="0.3">
      <c r="A101" s="85" t="s">
        <v>76</v>
      </c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5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5" x14ac:dyDescent="0.3">
      <c r="A103" s="53" t="s">
        <v>25</v>
      </c>
      <c r="B103" s="53"/>
      <c r="C103" s="53"/>
      <c r="D103" s="53"/>
      <c r="E103" s="53"/>
      <c r="F103" s="53"/>
      <c r="G103" s="53"/>
      <c r="H103" s="53"/>
      <c r="I103" s="53"/>
      <c r="J103" s="53"/>
    </row>
    <row r="104" spans="1:15" x14ac:dyDescent="0.3">
      <c r="A104" s="50" t="s">
        <v>80</v>
      </c>
      <c r="B104" s="50"/>
      <c r="C104" s="50"/>
      <c r="D104" s="50"/>
      <c r="E104" s="50"/>
      <c r="F104" s="50"/>
      <c r="G104" s="86">
        <v>7000</v>
      </c>
      <c r="H104" s="86"/>
      <c r="I104" s="86"/>
      <c r="J104" s="86"/>
      <c r="L104" s="49" t="s">
        <v>205</v>
      </c>
      <c r="M104" s="49"/>
      <c r="N104" s="49"/>
      <c r="O104" s="49"/>
    </row>
    <row r="105" spans="1:15" x14ac:dyDescent="0.3">
      <c r="A105" s="50" t="s">
        <v>153</v>
      </c>
      <c r="B105" s="50"/>
      <c r="C105" s="50"/>
      <c r="D105" s="50"/>
      <c r="E105" s="50"/>
      <c r="F105" s="50"/>
      <c r="G105" s="51" t="s">
        <v>200</v>
      </c>
      <c r="H105" s="51"/>
      <c r="I105" s="51"/>
      <c r="J105" s="51"/>
      <c r="L105" s="49"/>
      <c r="M105" s="49"/>
      <c r="N105" s="49"/>
      <c r="O105" s="49"/>
    </row>
    <row r="106" spans="1:15" x14ac:dyDescent="0.3">
      <c r="A106" s="50" t="s">
        <v>154</v>
      </c>
      <c r="B106" s="50"/>
      <c r="C106" s="50"/>
      <c r="D106" s="50"/>
      <c r="E106" s="50"/>
      <c r="F106" s="50"/>
      <c r="G106" s="51" t="s">
        <v>201</v>
      </c>
      <c r="H106" s="51"/>
      <c r="I106" s="51"/>
      <c r="J106" s="51"/>
    </row>
    <row r="107" spans="1:15" x14ac:dyDescent="0.3">
      <c r="A107" s="50" t="s">
        <v>132</v>
      </c>
      <c r="B107" s="50"/>
      <c r="C107" s="50"/>
      <c r="D107" s="50"/>
      <c r="E107" s="50"/>
      <c r="F107" s="50"/>
      <c r="G107" s="51" t="s">
        <v>155</v>
      </c>
      <c r="H107" s="51"/>
      <c r="I107" s="51"/>
      <c r="J107" s="51"/>
    </row>
    <row r="108" spans="1:15" x14ac:dyDescent="0.3">
      <c r="A108" s="50" t="s">
        <v>156</v>
      </c>
      <c r="B108" s="50"/>
      <c r="C108" s="50"/>
      <c r="D108" s="50"/>
      <c r="E108" s="50"/>
      <c r="F108" s="50"/>
      <c r="G108" s="51" t="s">
        <v>203</v>
      </c>
      <c r="H108" s="51"/>
      <c r="I108" s="51"/>
      <c r="J108" s="51"/>
    </row>
    <row r="109" spans="1:15" x14ac:dyDescent="0.3">
      <c r="A109" s="50" t="s">
        <v>159</v>
      </c>
      <c r="B109" s="50"/>
      <c r="C109" s="50"/>
      <c r="D109" s="50"/>
      <c r="E109" s="50"/>
      <c r="F109" s="50"/>
      <c r="G109" s="51" t="s">
        <v>202</v>
      </c>
      <c r="H109" s="51"/>
      <c r="I109" s="51"/>
      <c r="J109" s="51"/>
    </row>
    <row r="110" spans="1:15" x14ac:dyDescent="0.3">
      <c r="A110" s="50" t="s">
        <v>131</v>
      </c>
      <c r="B110" s="50"/>
      <c r="C110" s="50"/>
      <c r="D110" s="50"/>
      <c r="E110" s="50"/>
      <c r="F110" s="50"/>
      <c r="G110" s="51" t="s">
        <v>204</v>
      </c>
      <c r="H110" s="51"/>
      <c r="I110" s="51"/>
      <c r="J110" s="51"/>
    </row>
    <row r="111" spans="1:15" hidden="1" x14ac:dyDescent="0.3">
      <c r="A111" s="50" t="s">
        <v>157</v>
      </c>
      <c r="B111" s="50"/>
      <c r="C111" s="50"/>
      <c r="D111" s="50"/>
      <c r="E111" s="50"/>
      <c r="F111" s="50"/>
      <c r="G111" s="51" t="s">
        <v>158</v>
      </c>
      <c r="H111" s="51"/>
      <c r="I111" s="51"/>
      <c r="J111" s="51"/>
    </row>
    <row r="112" spans="1:15" x14ac:dyDescent="0.3">
      <c r="A112" s="50" t="s">
        <v>78</v>
      </c>
      <c r="B112" s="50"/>
      <c r="C112" s="50"/>
      <c r="D112" s="50"/>
      <c r="E112" s="50"/>
      <c r="F112" s="50"/>
      <c r="G112" s="51" t="s">
        <v>121</v>
      </c>
      <c r="H112" s="51"/>
      <c r="I112" s="51"/>
      <c r="J112" s="51"/>
    </row>
    <row r="113" spans="1:10" s="20" customFormat="1" x14ac:dyDescent="0.3">
      <c r="A113" s="53" t="s">
        <v>75</v>
      </c>
      <c r="B113" s="53"/>
      <c r="C113" s="53"/>
      <c r="D113" s="53"/>
      <c r="E113" s="53"/>
      <c r="F113" s="53"/>
      <c r="G113" s="78">
        <f>G104*0.8</f>
        <v>5600</v>
      </c>
      <c r="H113" s="78"/>
      <c r="I113" s="78"/>
      <c r="J113" s="78"/>
    </row>
    <row r="114" spans="1:10" ht="102" customHeight="1" x14ac:dyDescent="0.3">
      <c r="A114" s="106" t="s">
        <v>217</v>
      </c>
      <c r="B114" s="106"/>
      <c r="C114" s="106"/>
      <c r="D114" s="106"/>
      <c r="E114" s="106"/>
      <c r="F114" s="106"/>
      <c r="G114" s="106"/>
      <c r="H114" s="106"/>
      <c r="I114" s="106"/>
      <c r="J114" s="106"/>
    </row>
    <row r="115" spans="1:10" x14ac:dyDescent="0.3">
      <c r="A115" s="103" t="s">
        <v>26</v>
      </c>
      <c r="B115" s="104"/>
      <c r="C115" s="104"/>
      <c r="D115" s="104"/>
      <c r="E115" s="104"/>
      <c r="F115" s="104"/>
      <c r="G115" s="104"/>
      <c r="H115" s="104"/>
      <c r="I115" s="104"/>
      <c r="J115" s="105"/>
    </row>
    <row r="116" spans="1:10" x14ac:dyDescent="0.3">
      <c r="A116" s="80" t="s">
        <v>29</v>
      </c>
      <c r="B116" s="81"/>
      <c r="C116" s="81"/>
      <c r="D116" s="81"/>
      <c r="E116" s="81"/>
      <c r="F116" s="81"/>
      <c r="G116" s="81"/>
      <c r="H116" s="81"/>
      <c r="I116" s="81"/>
      <c r="J116" s="82"/>
    </row>
    <row r="117" spans="1:10" x14ac:dyDescent="0.3">
      <c r="A117" s="103" t="s">
        <v>27</v>
      </c>
      <c r="B117" s="104"/>
      <c r="C117" s="104"/>
      <c r="D117" s="104"/>
      <c r="E117" s="104"/>
      <c r="F117" s="104"/>
      <c r="G117" s="104"/>
      <c r="H117" s="104"/>
      <c r="I117" s="104"/>
      <c r="J117" s="105"/>
    </row>
    <row r="118" spans="1:10" x14ac:dyDescent="0.3">
      <c r="A118" s="80" t="s">
        <v>38</v>
      </c>
      <c r="B118" s="81"/>
      <c r="C118" s="81"/>
      <c r="D118" s="81"/>
      <c r="E118" s="81"/>
      <c r="F118" s="81"/>
      <c r="G118" s="81"/>
      <c r="H118" s="81"/>
      <c r="I118" s="81"/>
      <c r="J118" s="82"/>
    </row>
    <row r="119" spans="1:10" x14ac:dyDescent="0.3">
      <c r="A119" s="80" t="s">
        <v>84</v>
      </c>
      <c r="B119" s="81"/>
      <c r="C119" s="81"/>
      <c r="D119" s="81"/>
      <c r="E119" s="81"/>
      <c r="F119" s="81"/>
      <c r="G119" s="81"/>
      <c r="H119" s="81"/>
      <c r="I119" s="81"/>
      <c r="J119" s="82"/>
    </row>
    <row r="120" spans="1:10" hidden="1" x14ac:dyDescent="0.3">
      <c r="A120" s="80" t="s">
        <v>85</v>
      </c>
      <c r="B120" s="81"/>
      <c r="C120" s="81"/>
      <c r="D120" s="81"/>
      <c r="E120" s="81"/>
      <c r="F120" s="81"/>
      <c r="G120" s="81"/>
      <c r="H120" s="81"/>
      <c r="I120" s="81"/>
      <c r="J120" s="82"/>
    </row>
    <row r="121" spans="1:10" ht="30.75" hidden="1" customHeight="1" x14ac:dyDescent="0.3">
      <c r="A121" s="100" t="s">
        <v>86</v>
      </c>
      <c r="B121" s="101"/>
      <c r="C121" s="101"/>
      <c r="D121" s="101"/>
      <c r="E121" s="101"/>
      <c r="F121" s="101"/>
      <c r="G121" s="101"/>
      <c r="H121" s="101"/>
      <c r="I121" s="101"/>
      <c r="J121" s="102"/>
    </row>
    <row r="122" spans="1:10" ht="15" customHeight="1" x14ac:dyDescent="0.3">
      <c r="A122" s="90" t="s">
        <v>167</v>
      </c>
      <c r="B122" s="91"/>
      <c r="C122" s="91"/>
      <c r="D122" s="91"/>
      <c r="E122" s="91"/>
      <c r="F122" s="91"/>
      <c r="G122" s="91"/>
      <c r="H122" s="91"/>
      <c r="I122" s="91"/>
      <c r="J122" s="92"/>
    </row>
    <row r="123" spans="1:10" x14ac:dyDescent="0.3">
      <c r="A123" s="93"/>
      <c r="B123" s="94"/>
      <c r="C123" s="94"/>
      <c r="D123" s="94"/>
      <c r="E123" s="94"/>
      <c r="F123" s="94"/>
      <c r="G123" s="94"/>
      <c r="H123" s="94"/>
      <c r="I123" s="94"/>
      <c r="J123" s="95"/>
    </row>
    <row r="124" spans="1:10" x14ac:dyDescent="0.3">
      <c r="A124" s="93"/>
      <c r="B124" s="94"/>
      <c r="C124" s="94"/>
      <c r="D124" s="94"/>
      <c r="E124" s="94"/>
      <c r="F124" s="94"/>
      <c r="G124" s="94"/>
      <c r="H124" s="94"/>
      <c r="I124" s="94"/>
      <c r="J124" s="95"/>
    </row>
    <row r="125" spans="1:10" x14ac:dyDescent="0.3">
      <c r="A125" s="96"/>
      <c r="B125" s="97"/>
      <c r="C125" s="97"/>
      <c r="D125" s="97"/>
      <c r="E125" s="97"/>
      <c r="F125" s="97"/>
      <c r="G125" s="97"/>
      <c r="H125" s="97"/>
      <c r="I125" s="97"/>
      <c r="J125" s="98"/>
    </row>
    <row r="126" spans="1:10" ht="13.5" customHeight="1" x14ac:dyDescent="0.3">
      <c r="A126" s="3" t="s">
        <v>130</v>
      </c>
      <c r="B126" s="3"/>
      <c r="C126" s="3"/>
      <c r="D126" s="47" t="str">
        <f>F8</f>
        <v>Joyville (Bldg T3 Crest, T6 Pinnacle, T7 Summit, T5 Palm Meadows -1)</v>
      </c>
      <c r="E126" s="47"/>
      <c r="F126" s="47"/>
      <c r="G126" s="47"/>
      <c r="H126" s="47"/>
      <c r="I126" s="47"/>
      <c r="J126" s="3"/>
    </row>
    <row r="127" spans="1:10" x14ac:dyDescent="0.3">
      <c r="D127" s="48"/>
      <c r="E127" s="48"/>
      <c r="F127" s="48"/>
      <c r="G127" s="48"/>
      <c r="H127" s="48"/>
      <c r="I127" s="48"/>
    </row>
    <row r="157" s="3" customFormat="1" x14ac:dyDescent="0.3"/>
    <row r="158" s="3" customFormat="1" x14ac:dyDescent="0.3"/>
    <row r="173" hidden="1" x14ac:dyDescent="0.3"/>
    <row r="174" hidden="1" x14ac:dyDescent="0.3"/>
    <row r="175" hidden="1" x14ac:dyDescent="0.3"/>
    <row r="177" spans="1:2" x14ac:dyDescent="0.3">
      <c r="A177" s="3" t="s">
        <v>99</v>
      </c>
      <c r="B177" s="3"/>
    </row>
  </sheetData>
  <mergeCells count="252">
    <mergeCell ref="C51:F51"/>
    <mergeCell ref="H51:J51"/>
    <mergeCell ref="C52:F52"/>
    <mergeCell ref="H52:J52"/>
    <mergeCell ref="A50:B52"/>
    <mergeCell ref="A31:B31"/>
    <mergeCell ref="C31:J31"/>
    <mergeCell ref="H50:J50"/>
    <mergeCell ref="C50:F50"/>
    <mergeCell ref="H45:J45"/>
    <mergeCell ref="A42:J42"/>
    <mergeCell ref="A46:J46"/>
    <mergeCell ref="A47:B47"/>
    <mergeCell ref="A48:B48"/>
    <mergeCell ref="C48:F48"/>
    <mergeCell ref="H48:J48"/>
    <mergeCell ref="A49:B49"/>
    <mergeCell ref="C49:F49"/>
    <mergeCell ref="A44:B44"/>
    <mergeCell ref="A38:E38"/>
    <mergeCell ref="A37:E37"/>
    <mergeCell ref="A79:B79"/>
    <mergeCell ref="D79:E79"/>
    <mergeCell ref="F79:G88"/>
    <mergeCell ref="H79:J88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A85:B85"/>
    <mergeCell ref="D85:E85"/>
    <mergeCell ref="A86:B86"/>
    <mergeCell ref="D86:E86"/>
    <mergeCell ref="A87:B87"/>
    <mergeCell ref="D87:E87"/>
    <mergeCell ref="A88:B88"/>
    <mergeCell ref="D88:E88"/>
    <mergeCell ref="A75:B75"/>
    <mergeCell ref="C75:J75"/>
    <mergeCell ref="E76:F76"/>
    <mergeCell ref="I76:J76"/>
    <mergeCell ref="A77:B77"/>
    <mergeCell ref="C77:J77"/>
    <mergeCell ref="A78:B78"/>
    <mergeCell ref="D78:E78"/>
    <mergeCell ref="F78:G78"/>
    <mergeCell ref="H78:J78"/>
    <mergeCell ref="D71:E71"/>
    <mergeCell ref="A72:B72"/>
    <mergeCell ref="D72:E72"/>
    <mergeCell ref="A73:B73"/>
    <mergeCell ref="D73:E73"/>
    <mergeCell ref="A74:B74"/>
    <mergeCell ref="A59:B59"/>
    <mergeCell ref="C59:J59"/>
    <mergeCell ref="E60:F60"/>
    <mergeCell ref="I60:J60"/>
    <mergeCell ref="A61:B61"/>
    <mergeCell ref="C61:J61"/>
    <mergeCell ref="A64:B64"/>
    <mergeCell ref="D64:E64"/>
    <mergeCell ref="H64:J64"/>
    <mergeCell ref="A98:C98"/>
    <mergeCell ref="D98:E98"/>
    <mergeCell ref="F98:H98"/>
    <mergeCell ref="I98:J98"/>
    <mergeCell ref="C95:E95"/>
    <mergeCell ref="F95:G95"/>
    <mergeCell ref="C96:E96"/>
    <mergeCell ref="F96:G96"/>
    <mergeCell ref="C97:E97"/>
    <mergeCell ref="F97:G97"/>
    <mergeCell ref="A24:E24"/>
    <mergeCell ref="B15:E15"/>
    <mergeCell ref="A17:B17"/>
    <mergeCell ref="I26:J26"/>
    <mergeCell ref="F92:G92"/>
    <mergeCell ref="C93:E93"/>
    <mergeCell ref="F93:G93"/>
    <mergeCell ref="C94:E94"/>
    <mergeCell ref="F94:G94"/>
    <mergeCell ref="A65:B65"/>
    <mergeCell ref="D65:E65"/>
    <mergeCell ref="F65:G74"/>
    <mergeCell ref="H65:J74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A71:B71"/>
    <mergeCell ref="F20:J20"/>
    <mergeCell ref="G15:J15"/>
    <mergeCell ref="F17:G17"/>
    <mergeCell ref="H17:J17"/>
    <mergeCell ref="A22:E22"/>
    <mergeCell ref="B16:E16"/>
    <mergeCell ref="A18:E19"/>
    <mergeCell ref="F18:J19"/>
    <mergeCell ref="A23:E23"/>
    <mergeCell ref="G16:J16"/>
    <mergeCell ref="A28:J28"/>
    <mergeCell ref="C47:F47"/>
    <mergeCell ref="H47:J47"/>
    <mergeCell ref="E27:F27"/>
    <mergeCell ref="G27:H27"/>
    <mergeCell ref="A27:B27"/>
    <mergeCell ref="C27:D27"/>
    <mergeCell ref="A40:E40"/>
    <mergeCell ref="F35:J35"/>
    <mergeCell ref="C44:F44"/>
    <mergeCell ref="C43:F43"/>
    <mergeCell ref="A2:J2"/>
    <mergeCell ref="A3:E3"/>
    <mergeCell ref="F3:J3"/>
    <mergeCell ref="A4:E4"/>
    <mergeCell ref="F4:J4"/>
    <mergeCell ref="A6:E6"/>
    <mergeCell ref="F6:J6"/>
    <mergeCell ref="A5:E5"/>
    <mergeCell ref="F5:J5"/>
    <mergeCell ref="A12:E12"/>
    <mergeCell ref="F8:J8"/>
    <mergeCell ref="F12:J12"/>
    <mergeCell ref="A32:J32"/>
    <mergeCell ref="A30:B30"/>
    <mergeCell ref="C30:D30"/>
    <mergeCell ref="E30:F30"/>
    <mergeCell ref="A33:J34"/>
    <mergeCell ref="A8:E8"/>
    <mergeCell ref="F24:J24"/>
    <mergeCell ref="A20:E20"/>
    <mergeCell ref="A10:E10"/>
    <mergeCell ref="F10:J10"/>
    <mergeCell ref="C17:E17"/>
    <mergeCell ref="E26:F26"/>
    <mergeCell ref="I25:J25"/>
    <mergeCell ref="A26:B26"/>
    <mergeCell ref="F22:J22"/>
    <mergeCell ref="G30:H30"/>
    <mergeCell ref="G26:H26"/>
    <mergeCell ref="C26:D26"/>
    <mergeCell ref="B14:E14"/>
    <mergeCell ref="G14:J14"/>
    <mergeCell ref="I27:J27"/>
    <mergeCell ref="A122:J125"/>
    <mergeCell ref="A113:F113"/>
    <mergeCell ref="G113:J113"/>
    <mergeCell ref="F64:G64"/>
    <mergeCell ref="A119:J119"/>
    <mergeCell ref="A116:J116"/>
    <mergeCell ref="A120:J120"/>
    <mergeCell ref="A121:J121"/>
    <mergeCell ref="A117:J117"/>
    <mergeCell ref="A114:J114"/>
    <mergeCell ref="A115:J115"/>
    <mergeCell ref="A109:F109"/>
    <mergeCell ref="A110:F110"/>
    <mergeCell ref="G110:J110"/>
    <mergeCell ref="A106:F106"/>
    <mergeCell ref="A105:F105"/>
    <mergeCell ref="A104:F104"/>
    <mergeCell ref="G109:J109"/>
    <mergeCell ref="G106:J106"/>
    <mergeCell ref="A107:F107"/>
    <mergeCell ref="G107:J107"/>
    <mergeCell ref="A89:J89"/>
    <mergeCell ref="A90:B97"/>
    <mergeCell ref="C90:E90"/>
    <mergeCell ref="A118:J118"/>
    <mergeCell ref="D74:E74"/>
    <mergeCell ref="A111:F111"/>
    <mergeCell ref="G111:J111"/>
    <mergeCell ref="A108:F108"/>
    <mergeCell ref="G108:J108"/>
    <mergeCell ref="C45:F45"/>
    <mergeCell ref="A53:C53"/>
    <mergeCell ref="D55:E55"/>
    <mergeCell ref="A112:F112"/>
    <mergeCell ref="A99:J99"/>
    <mergeCell ref="A100:J100"/>
    <mergeCell ref="A101:J102"/>
    <mergeCell ref="A103:J103"/>
    <mergeCell ref="G112:J112"/>
    <mergeCell ref="G104:J104"/>
    <mergeCell ref="H56:J56"/>
    <mergeCell ref="C56:G56"/>
    <mergeCell ref="D53:E53"/>
    <mergeCell ref="F90:G90"/>
    <mergeCell ref="H90:J97"/>
    <mergeCell ref="C91:E91"/>
    <mergeCell ref="F91:G91"/>
    <mergeCell ref="C92:E92"/>
    <mergeCell ref="F55:H55"/>
    <mergeCell ref="A1:J1"/>
    <mergeCell ref="A57:E57"/>
    <mergeCell ref="F57:J57"/>
    <mergeCell ref="F39:J39"/>
    <mergeCell ref="H43:J43"/>
    <mergeCell ref="H44:J44"/>
    <mergeCell ref="A9:E9"/>
    <mergeCell ref="F9:J9"/>
    <mergeCell ref="A11:E11"/>
    <mergeCell ref="F11:J11"/>
    <mergeCell ref="A25:B25"/>
    <mergeCell ref="C25:D25"/>
    <mergeCell ref="E25:F25"/>
    <mergeCell ref="G25:H25"/>
    <mergeCell ref="A21:E21"/>
    <mergeCell ref="F21:J21"/>
    <mergeCell ref="H49:J49"/>
    <mergeCell ref="A13:B13"/>
    <mergeCell ref="C13:J13"/>
    <mergeCell ref="F23:J23"/>
    <mergeCell ref="A7:E7"/>
    <mergeCell ref="F7:J7"/>
    <mergeCell ref="A35:E35"/>
    <mergeCell ref="D126:I127"/>
    <mergeCell ref="L104:O105"/>
    <mergeCell ref="A29:J29"/>
    <mergeCell ref="G105:J105"/>
    <mergeCell ref="A54:J54"/>
    <mergeCell ref="A41:J41"/>
    <mergeCell ref="A43:B43"/>
    <mergeCell ref="F40:J40"/>
    <mergeCell ref="A58:J58"/>
    <mergeCell ref="A36:E36"/>
    <mergeCell ref="I30:J30"/>
    <mergeCell ref="A55:C55"/>
    <mergeCell ref="F36:J36"/>
    <mergeCell ref="F37:J37"/>
    <mergeCell ref="H53:J53"/>
    <mergeCell ref="A45:B45"/>
    <mergeCell ref="I55:J55"/>
    <mergeCell ref="A62:B63"/>
    <mergeCell ref="C62:E63"/>
    <mergeCell ref="F62:G63"/>
    <mergeCell ref="H62:J63"/>
    <mergeCell ref="F38:J38"/>
    <mergeCell ref="A39:E39"/>
    <mergeCell ref="F53:G53"/>
  </mergeCells>
  <phoneticPr fontId="0" type="noConversion"/>
  <hyperlinks>
    <hyperlink ref="C31" r:id="rId1"/>
  </hyperlinks>
  <printOptions horizontalCentered="1"/>
  <pageMargins left="0.43307086614173229" right="0.43307086614173229" top="0.78740157480314965" bottom="0.78740157480314965" header="0.19685039370078741" footer="0.19685039370078741"/>
  <pageSetup paperSize="9" scale="90" fitToHeight="0" orientation="portrait" r:id="rId2"/>
  <headerFooter>
    <oddHeader>&amp;C&amp;G</oddHeader>
    <oddFooter>&amp;L&amp;"Times New Roman,Bold"Ref No: &amp;F&amp;C&amp;G&amp;R                                                                           &amp;P</oddFooter>
  </headerFooter>
  <rowBreaks count="3" manualBreakCount="3">
    <brk id="125" max="16383" man="1"/>
    <brk id="175" max="16383" man="1"/>
    <brk id="21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C2" sqref="C2"/>
    </sheetView>
  </sheetViews>
  <sheetFormatPr defaultRowHeight="14.5" x14ac:dyDescent="0.35"/>
  <cols>
    <col min="1" max="1" width="10.26953125" bestFit="1" customWidth="1"/>
  </cols>
  <sheetData>
    <row r="2" spans="1:2" x14ac:dyDescent="0.35">
      <c r="A2" s="23">
        <v>44181</v>
      </c>
      <c r="B2" s="24" t="s">
        <v>169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workbookViewId="0">
      <selection activeCell="A24" sqref="A24"/>
    </sheetView>
  </sheetViews>
  <sheetFormatPr defaultColWidth="9.1796875" defaultRowHeight="14" x14ac:dyDescent="0.3"/>
  <cols>
    <col min="1" max="1" width="20.54296875" style="5" customWidth="1"/>
    <col min="2" max="2" width="11.7265625" style="5" customWidth="1"/>
    <col min="3" max="4" width="9.1796875" style="5"/>
    <col min="5" max="5" width="10.1796875" style="5" customWidth="1"/>
    <col min="6" max="6" width="10.7265625" style="5" customWidth="1"/>
    <col min="7" max="7" width="9.1796875" style="5"/>
    <col min="8" max="8" width="10.453125" style="5" customWidth="1"/>
    <col min="9" max="9" width="15.453125" style="5" customWidth="1"/>
    <col min="10" max="16384" width="9.1796875" style="5"/>
  </cols>
  <sheetData>
    <row r="2" spans="1:13" x14ac:dyDescent="0.3">
      <c r="A2" s="4" t="s">
        <v>100</v>
      </c>
      <c r="B2" s="4" t="s">
        <v>101</v>
      </c>
      <c r="C2" s="4" t="s">
        <v>102</v>
      </c>
      <c r="D2" s="138" t="s">
        <v>103</v>
      </c>
      <c r="E2" s="138"/>
    </row>
    <row r="3" spans="1:13" x14ac:dyDescent="0.3">
      <c r="A3" s="6">
        <v>0</v>
      </c>
      <c r="B3" s="6">
        <v>3</v>
      </c>
      <c r="C3" s="6">
        <v>1</v>
      </c>
      <c r="D3" s="139">
        <v>19</v>
      </c>
      <c r="E3" s="139"/>
    </row>
    <row r="5" spans="1:13" x14ac:dyDescent="0.3">
      <c r="A5" s="5" t="s">
        <v>87</v>
      </c>
      <c r="B5" s="7" t="s">
        <v>104</v>
      </c>
      <c r="C5" s="7">
        <f>D3</f>
        <v>19</v>
      </c>
      <c r="D5" s="8"/>
    </row>
    <row r="6" spans="1:13" x14ac:dyDescent="0.3">
      <c r="A6" s="5" t="s">
        <v>88</v>
      </c>
      <c r="B6" s="9">
        <v>10</v>
      </c>
      <c r="C6" s="10">
        <v>10</v>
      </c>
      <c r="D6" s="11">
        <f>((100/B6)*C6)/100</f>
        <v>1</v>
      </c>
    </row>
    <row r="7" spans="1:13" x14ac:dyDescent="0.3">
      <c r="A7" s="5" t="s">
        <v>89</v>
      </c>
      <c r="B7" s="9">
        <f>A3+B3+C3+D3</f>
        <v>23</v>
      </c>
      <c r="C7" s="10">
        <v>23</v>
      </c>
      <c r="D7" s="11">
        <f t="shared" ref="D7:D12" si="0">((100/B7)*C7)/100</f>
        <v>1</v>
      </c>
      <c r="F7" s="140" t="s">
        <v>105</v>
      </c>
      <c r="G7" s="140"/>
      <c r="H7" s="12" t="s">
        <v>106</v>
      </c>
      <c r="J7" s="13"/>
    </row>
    <row r="8" spans="1:13" x14ac:dyDescent="0.3">
      <c r="A8" s="5" t="s">
        <v>94</v>
      </c>
      <c r="B8" s="9">
        <f>C5</f>
        <v>19</v>
      </c>
      <c r="C8" s="10">
        <v>19</v>
      </c>
      <c r="D8" s="11">
        <f t="shared" si="0"/>
        <v>1</v>
      </c>
      <c r="F8" s="141" t="s">
        <v>107</v>
      </c>
      <c r="G8" s="141"/>
      <c r="H8" s="9" t="s">
        <v>108</v>
      </c>
    </row>
    <row r="9" spans="1:13" x14ac:dyDescent="0.3">
      <c r="A9" s="5" t="s">
        <v>96</v>
      </c>
      <c r="B9" s="9">
        <f>C5</f>
        <v>19</v>
      </c>
      <c r="C9" s="10">
        <v>19</v>
      </c>
      <c r="D9" s="11">
        <f t="shared" si="0"/>
        <v>1</v>
      </c>
      <c r="F9" s="141" t="s">
        <v>109</v>
      </c>
      <c r="G9" s="141"/>
      <c r="H9" s="9" t="s">
        <v>110</v>
      </c>
    </row>
    <row r="10" spans="1:13" x14ac:dyDescent="0.3">
      <c r="A10" s="5" t="s">
        <v>42</v>
      </c>
      <c r="B10" s="9">
        <f>C5</f>
        <v>19</v>
      </c>
      <c r="C10" s="10">
        <v>19</v>
      </c>
      <c r="D10" s="11">
        <f t="shared" si="0"/>
        <v>1</v>
      </c>
      <c r="F10" s="141" t="s">
        <v>111</v>
      </c>
      <c r="G10" s="141"/>
      <c r="H10" s="9" t="s">
        <v>112</v>
      </c>
    </row>
    <row r="11" spans="1:13" x14ac:dyDescent="0.3">
      <c r="A11" s="14" t="s">
        <v>92</v>
      </c>
      <c r="B11" s="9">
        <f>C5</f>
        <v>19</v>
      </c>
      <c r="C11" s="10">
        <v>19</v>
      </c>
      <c r="D11" s="11">
        <f t="shared" si="0"/>
        <v>1</v>
      </c>
      <c r="F11" s="141" t="s">
        <v>113</v>
      </c>
      <c r="G11" s="141"/>
      <c r="H11" s="9" t="s">
        <v>114</v>
      </c>
    </row>
    <row r="12" spans="1:13" x14ac:dyDescent="0.3">
      <c r="A12" s="5" t="s">
        <v>44</v>
      </c>
      <c r="B12" s="9">
        <f>C5</f>
        <v>19</v>
      </c>
      <c r="C12" s="10">
        <v>0</v>
      </c>
      <c r="D12" s="11">
        <f t="shared" si="0"/>
        <v>0</v>
      </c>
      <c r="F12" s="141" t="s">
        <v>115</v>
      </c>
      <c r="G12" s="141"/>
      <c r="H12" s="9" t="s">
        <v>116</v>
      </c>
    </row>
    <row r="13" spans="1:13" ht="31.5" customHeight="1" x14ac:dyDescent="0.3">
      <c r="F13" s="141" t="s">
        <v>117</v>
      </c>
      <c r="G13" s="141"/>
      <c r="H13" s="9" t="s">
        <v>118</v>
      </c>
    </row>
    <row r="14" spans="1:13" hidden="1" x14ac:dyDescent="0.3">
      <c r="A14" s="4"/>
      <c r="B14" s="4" t="s">
        <v>93</v>
      </c>
      <c r="C14" s="4" t="s">
        <v>97</v>
      </c>
      <c r="G14" s="4" t="s">
        <v>88</v>
      </c>
      <c r="H14" s="4" t="s">
        <v>90</v>
      </c>
      <c r="I14" s="4" t="s">
        <v>91</v>
      </c>
      <c r="J14" s="4" t="s">
        <v>37</v>
      </c>
      <c r="K14" s="4" t="s">
        <v>42</v>
      </c>
      <c r="L14" s="4" t="s">
        <v>92</v>
      </c>
      <c r="M14" s="4" t="s">
        <v>44</v>
      </c>
    </row>
    <row r="15" spans="1:13" hidden="1" x14ac:dyDescent="0.3">
      <c r="A15" s="4" t="s">
        <v>34</v>
      </c>
      <c r="B15" s="4">
        <f>G15</f>
        <v>10</v>
      </c>
      <c r="C15" s="4">
        <f>G16</f>
        <v>30</v>
      </c>
      <c r="E15" s="138" t="s">
        <v>93</v>
      </c>
      <c r="F15" s="138"/>
      <c r="G15" s="15">
        <f>C6</f>
        <v>10</v>
      </c>
      <c r="H15" s="15">
        <f>40/B7*C7</f>
        <v>40</v>
      </c>
      <c r="I15" s="15">
        <f>15/B8*C8</f>
        <v>15</v>
      </c>
      <c r="J15" s="15">
        <f>10/B9*C9</f>
        <v>10</v>
      </c>
      <c r="K15" s="15">
        <f>10/B10*C10</f>
        <v>10</v>
      </c>
      <c r="L15" s="15">
        <f>5/B11*C11</f>
        <v>5</v>
      </c>
      <c r="M15" s="15">
        <f>5/B12*C12</f>
        <v>0</v>
      </c>
    </row>
    <row r="16" spans="1:13" hidden="1" x14ac:dyDescent="0.3">
      <c r="A16" s="4" t="s">
        <v>35</v>
      </c>
      <c r="B16" s="4">
        <f>H15</f>
        <v>40</v>
      </c>
      <c r="C16" s="4">
        <f>H16</f>
        <v>30</v>
      </c>
      <c r="E16" s="138" t="s">
        <v>95</v>
      </c>
      <c r="F16" s="138"/>
      <c r="G16" s="4">
        <f>G15+20</f>
        <v>30</v>
      </c>
      <c r="H16" s="4">
        <f>30/B7*C7</f>
        <v>30</v>
      </c>
      <c r="I16" s="4">
        <f>15/B8*C8</f>
        <v>15</v>
      </c>
      <c r="J16" s="4">
        <f>10/B9*C9</f>
        <v>10</v>
      </c>
      <c r="K16" s="4">
        <f>5/B10*C10</f>
        <v>5</v>
      </c>
      <c r="L16" s="4">
        <f>5/B11*C11</f>
        <v>5</v>
      </c>
      <c r="M16" s="4">
        <f>5/B12*C12</f>
        <v>0</v>
      </c>
    </row>
    <row r="17" spans="1:8" hidden="1" x14ac:dyDescent="0.3">
      <c r="A17" s="4" t="s">
        <v>91</v>
      </c>
      <c r="B17" s="4">
        <f>I15</f>
        <v>15</v>
      </c>
      <c r="C17" s="4">
        <f>I16</f>
        <v>15</v>
      </c>
    </row>
    <row r="18" spans="1:8" ht="29.25" hidden="1" customHeight="1" x14ac:dyDescent="0.3">
      <c r="A18" s="4" t="s">
        <v>37</v>
      </c>
      <c r="B18" s="4">
        <f>J15</f>
        <v>10</v>
      </c>
      <c r="C18" s="4">
        <f>J16</f>
        <v>10</v>
      </c>
    </row>
    <row r="19" spans="1:8" hidden="1" x14ac:dyDescent="0.3">
      <c r="A19" s="4" t="s">
        <v>42</v>
      </c>
      <c r="B19" s="4">
        <f>K15</f>
        <v>10</v>
      </c>
      <c r="C19" s="4">
        <f>K16</f>
        <v>5</v>
      </c>
    </row>
    <row r="20" spans="1:8" hidden="1" x14ac:dyDescent="0.3">
      <c r="A20" s="16" t="s">
        <v>92</v>
      </c>
      <c r="B20" s="4">
        <f>L15</f>
        <v>5</v>
      </c>
      <c r="C20" s="4">
        <f>L16</f>
        <v>5</v>
      </c>
    </row>
    <row r="21" spans="1:8" hidden="1" x14ac:dyDescent="0.3">
      <c r="A21" s="4" t="s">
        <v>44</v>
      </c>
      <c r="B21" s="4">
        <f>M15</f>
        <v>0</v>
      </c>
      <c r="C21" s="4">
        <f>M16</f>
        <v>0</v>
      </c>
    </row>
    <row r="22" spans="1:8" x14ac:dyDescent="0.3">
      <c r="A22" s="4" t="s">
        <v>98</v>
      </c>
      <c r="B22" s="17">
        <f>(B15+B16+B17+B18+B19+B20+B21)/100</f>
        <v>0.9</v>
      </c>
      <c r="C22" s="17">
        <f>(C15+C16+C17+C18+C19+C20+C21)/100</f>
        <v>0.95</v>
      </c>
      <c r="F22" s="141" t="s">
        <v>119</v>
      </c>
      <c r="G22" s="141"/>
      <c r="H22" s="9" t="s">
        <v>110</v>
      </c>
    </row>
    <row r="23" spans="1:8" x14ac:dyDescent="0.3">
      <c r="F23" s="141" t="s">
        <v>120</v>
      </c>
      <c r="G23" s="141"/>
      <c r="H23" s="9" t="s">
        <v>121</v>
      </c>
    </row>
    <row r="24" spans="1:8" x14ac:dyDescent="0.3">
      <c r="A24" s="5" t="s">
        <v>122</v>
      </c>
      <c r="B24" s="18">
        <v>0.01</v>
      </c>
      <c r="C24" s="18">
        <v>0.02</v>
      </c>
      <c r="F24" s="141" t="s">
        <v>123</v>
      </c>
      <c r="G24" s="141"/>
      <c r="H24" s="9" t="s">
        <v>124</v>
      </c>
    </row>
    <row r="25" spans="1:8" x14ac:dyDescent="0.3">
      <c r="A25" s="5" t="s">
        <v>125</v>
      </c>
      <c r="B25" s="18">
        <v>0.01</v>
      </c>
      <c r="C25" s="18">
        <v>0.03</v>
      </c>
    </row>
    <row r="26" spans="1:8" x14ac:dyDescent="0.3">
      <c r="A26" s="5" t="s">
        <v>126</v>
      </c>
      <c r="B26" s="18">
        <v>0.03</v>
      </c>
      <c r="C26" s="18">
        <v>0.08</v>
      </c>
    </row>
    <row r="27" spans="1:8" x14ac:dyDescent="0.3">
      <c r="A27" s="5" t="s">
        <v>127</v>
      </c>
      <c r="B27" s="18">
        <v>0.05</v>
      </c>
      <c r="C27" s="18">
        <v>0.15</v>
      </c>
    </row>
    <row r="28" spans="1:8" x14ac:dyDescent="0.3">
      <c r="A28" s="5" t="s">
        <v>128</v>
      </c>
      <c r="B28" s="18">
        <v>7.0000000000000007E-2</v>
      </c>
      <c r="C28" s="18">
        <v>0.2</v>
      </c>
    </row>
    <row r="29" spans="1:8" x14ac:dyDescent="0.3">
      <c r="A29" s="5" t="s">
        <v>129</v>
      </c>
      <c r="B29" s="18">
        <v>0.1</v>
      </c>
      <c r="C29" s="18">
        <v>0.3</v>
      </c>
    </row>
    <row r="67" spans="9:9" x14ac:dyDescent="0.3">
      <c r="I67" s="5">
        <f>'T1'!C223</f>
        <v>0</v>
      </c>
    </row>
  </sheetData>
  <mergeCells count="14"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1796875" defaultRowHeight="14" x14ac:dyDescent="0.3"/>
  <cols>
    <col min="1" max="1" width="20.54296875" style="5" customWidth="1"/>
    <col min="2" max="2" width="11.7265625" style="5" customWidth="1"/>
    <col min="3" max="4" width="9.1796875" style="5"/>
    <col min="5" max="5" width="10.1796875" style="5" customWidth="1"/>
    <col min="6" max="6" width="10.7265625" style="5" customWidth="1"/>
    <col min="7" max="7" width="9.1796875" style="5"/>
    <col min="8" max="8" width="10.453125" style="5" customWidth="1"/>
    <col min="9" max="9" width="15.453125" style="5" customWidth="1"/>
    <col min="10" max="16384" width="9.1796875" style="5"/>
  </cols>
  <sheetData>
    <row r="2" spans="1:13" x14ac:dyDescent="0.3">
      <c r="A2" s="4" t="s">
        <v>100</v>
      </c>
      <c r="B2" s="4" t="s">
        <v>101</v>
      </c>
      <c r="C2" s="4" t="s">
        <v>102</v>
      </c>
      <c r="D2" s="138" t="s">
        <v>103</v>
      </c>
      <c r="E2" s="138"/>
    </row>
    <row r="3" spans="1:13" x14ac:dyDescent="0.3">
      <c r="A3" s="6">
        <v>0</v>
      </c>
      <c r="B3" s="6">
        <v>0</v>
      </c>
      <c r="C3" s="6">
        <v>1</v>
      </c>
      <c r="D3" s="139">
        <v>23</v>
      </c>
      <c r="E3" s="139"/>
    </row>
    <row r="5" spans="1:13" x14ac:dyDescent="0.3">
      <c r="A5" s="5" t="s">
        <v>87</v>
      </c>
      <c r="B5" s="7" t="s">
        <v>104</v>
      </c>
      <c r="C5" s="7">
        <f>D3</f>
        <v>23</v>
      </c>
      <c r="D5" s="8"/>
    </row>
    <row r="6" spans="1:13" x14ac:dyDescent="0.3">
      <c r="A6" s="5" t="s">
        <v>88</v>
      </c>
      <c r="B6" s="9">
        <v>10</v>
      </c>
      <c r="C6" s="10">
        <v>10</v>
      </c>
      <c r="D6" s="11">
        <f>((100/B6)*C6)/100</f>
        <v>1</v>
      </c>
    </row>
    <row r="7" spans="1:13" x14ac:dyDescent="0.3">
      <c r="A7" s="5" t="s">
        <v>89</v>
      </c>
      <c r="B7" s="9">
        <f>A3+B3+C3+D3</f>
        <v>24</v>
      </c>
      <c r="C7" s="10">
        <v>22</v>
      </c>
      <c r="D7" s="11">
        <f t="shared" ref="D7:D12" si="0">((100/B7)*C7)/100</f>
        <v>0.91666666666666674</v>
      </c>
      <c r="F7" s="140" t="s">
        <v>105</v>
      </c>
      <c r="G7" s="140"/>
      <c r="H7" s="12" t="s">
        <v>106</v>
      </c>
      <c r="J7" s="13"/>
    </row>
    <row r="8" spans="1:13" x14ac:dyDescent="0.3">
      <c r="A8" s="5" t="s">
        <v>94</v>
      </c>
      <c r="B8" s="9">
        <f>C5</f>
        <v>23</v>
      </c>
      <c r="C8" s="10">
        <f>C7-1</f>
        <v>21</v>
      </c>
      <c r="D8" s="11">
        <f t="shared" si="0"/>
        <v>0.91304347826086951</v>
      </c>
      <c r="F8" s="141" t="s">
        <v>107</v>
      </c>
      <c r="G8" s="141"/>
      <c r="H8" s="9" t="s">
        <v>108</v>
      </c>
    </row>
    <row r="9" spans="1:13" x14ac:dyDescent="0.3">
      <c r="A9" s="5" t="s">
        <v>96</v>
      </c>
      <c r="B9" s="9">
        <f>C5</f>
        <v>23</v>
      </c>
      <c r="C9" s="10">
        <f>C8/2</f>
        <v>10.5</v>
      </c>
      <c r="D9" s="11">
        <f t="shared" si="0"/>
        <v>0.45652173913043476</v>
      </c>
      <c r="F9" s="141" t="s">
        <v>109</v>
      </c>
      <c r="G9" s="141"/>
      <c r="H9" s="9" t="s">
        <v>110</v>
      </c>
    </row>
    <row r="10" spans="1:13" x14ac:dyDescent="0.3">
      <c r="A10" s="5" t="s">
        <v>42</v>
      </c>
      <c r="B10" s="9">
        <f>C5</f>
        <v>23</v>
      </c>
      <c r="C10" s="10">
        <v>0</v>
      </c>
      <c r="D10" s="11">
        <f t="shared" si="0"/>
        <v>0</v>
      </c>
      <c r="F10" s="141" t="s">
        <v>111</v>
      </c>
      <c r="G10" s="141"/>
      <c r="H10" s="9" t="s">
        <v>112</v>
      </c>
    </row>
    <row r="11" spans="1:13" x14ac:dyDescent="0.3">
      <c r="A11" s="14" t="s">
        <v>92</v>
      </c>
      <c r="B11" s="9">
        <f>C5</f>
        <v>23</v>
      </c>
      <c r="C11" s="10">
        <v>0</v>
      </c>
      <c r="D11" s="11">
        <f t="shared" si="0"/>
        <v>0</v>
      </c>
      <c r="F11" s="141" t="s">
        <v>113</v>
      </c>
      <c r="G11" s="141"/>
      <c r="H11" s="9" t="s">
        <v>114</v>
      </c>
    </row>
    <row r="12" spans="1:13" x14ac:dyDescent="0.3">
      <c r="A12" s="5" t="s">
        <v>44</v>
      </c>
      <c r="B12" s="9">
        <f>C5</f>
        <v>23</v>
      </c>
      <c r="C12" s="10">
        <v>0</v>
      </c>
      <c r="D12" s="11">
        <f t="shared" si="0"/>
        <v>0</v>
      </c>
      <c r="F12" s="141" t="s">
        <v>115</v>
      </c>
      <c r="G12" s="141"/>
      <c r="H12" s="9" t="s">
        <v>116</v>
      </c>
    </row>
    <row r="13" spans="1:13" ht="31.5" customHeight="1" x14ac:dyDescent="0.3">
      <c r="F13" s="141" t="s">
        <v>117</v>
      </c>
      <c r="G13" s="141"/>
      <c r="H13" s="9" t="s">
        <v>118</v>
      </c>
    </row>
    <row r="14" spans="1:13" hidden="1" x14ac:dyDescent="0.3">
      <c r="A14" s="4"/>
      <c r="B14" s="4" t="s">
        <v>93</v>
      </c>
      <c r="C14" s="4" t="s">
        <v>97</v>
      </c>
      <c r="G14" s="4" t="s">
        <v>88</v>
      </c>
      <c r="H14" s="4" t="s">
        <v>90</v>
      </c>
      <c r="I14" s="4" t="s">
        <v>91</v>
      </c>
      <c r="J14" s="4" t="s">
        <v>37</v>
      </c>
      <c r="K14" s="4" t="s">
        <v>42</v>
      </c>
      <c r="L14" s="4" t="s">
        <v>92</v>
      </c>
      <c r="M14" s="4" t="s">
        <v>44</v>
      </c>
    </row>
    <row r="15" spans="1:13" hidden="1" x14ac:dyDescent="0.3">
      <c r="A15" s="4" t="s">
        <v>34</v>
      </c>
      <c r="B15" s="4">
        <f>G15</f>
        <v>10</v>
      </c>
      <c r="C15" s="4">
        <f>G16</f>
        <v>30</v>
      </c>
      <c r="E15" s="138" t="s">
        <v>93</v>
      </c>
      <c r="F15" s="138"/>
      <c r="G15" s="15">
        <f>C6</f>
        <v>10</v>
      </c>
      <c r="H15" s="15">
        <f>40/B7*C7</f>
        <v>36.666666666666671</v>
      </c>
      <c r="I15" s="15">
        <f>15/B8*C8</f>
        <v>13.695652173913043</v>
      </c>
      <c r="J15" s="15">
        <f>10/B9*C9</f>
        <v>4.5652173913043477</v>
      </c>
      <c r="K15" s="15">
        <f>10/B10*C10</f>
        <v>0</v>
      </c>
      <c r="L15" s="15">
        <f>5/B11*C11</f>
        <v>0</v>
      </c>
      <c r="M15" s="15">
        <f>5/B12*C12</f>
        <v>0</v>
      </c>
    </row>
    <row r="16" spans="1:13" hidden="1" x14ac:dyDescent="0.3">
      <c r="A16" s="4" t="s">
        <v>35</v>
      </c>
      <c r="B16" s="4">
        <f>H15</f>
        <v>36.666666666666671</v>
      </c>
      <c r="C16" s="4">
        <f>H16</f>
        <v>27.5</v>
      </c>
      <c r="E16" s="138" t="s">
        <v>95</v>
      </c>
      <c r="F16" s="138"/>
      <c r="G16" s="4">
        <f>G15+20</f>
        <v>30</v>
      </c>
      <c r="H16" s="4">
        <f>30/B7*C7</f>
        <v>27.5</v>
      </c>
      <c r="I16" s="4">
        <f>15/B8*C8</f>
        <v>13.695652173913043</v>
      </c>
      <c r="J16" s="4">
        <f>10/B9*C9</f>
        <v>4.5652173913043477</v>
      </c>
      <c r="K16" s="4">
        <f>5/B10*C10</f>
        <v>0</v>
      </c>
      <c r="L16" s="4">
        <f>5/B11*C11</f>
        <v>0</v>
      </c>
      <c r="M16" s="4">
        <f>5/B12*C12</f>
        <v>0</v>
      </c>
    </row>
    <row r="17" spans="1:8" hidden="1" x14ac:dyDescent="0.3">
      <c r="A17" s="4" t="s">
        <v>91</v>
      </c>
      <c r="B17" s="4">
        <f>I15</f>
        <v>13.695652173913043</v>
      </c>
      <c r="C17" s="4">
        <f>I16</f>
        <v>13.695652173913043</v>
      </c>
    </row>
    <row r="18" spans="1:8" ht="29.25" hidden="1" customHeight="1" x14ac:dyDescent="0.3">
      <c r="A18" s="4" t="s">
        <v>37</v>
      </c>
      <c r="B18" s="4">
        <f>J15</f>
        <v>4.5652173913043477</v>
      </c>
      <c r="C18" s="4">
        <f>J16</f>
        <v>4.5652173913043477</v>
      </c>
    </row>
    <row r="19" spans="1:8" hidden="1" x14ac:dyDescent="0.3">
      <c r="A19" s="4" t="s">
        <v>42</v>
      </c>
      <c r="B19" s="4">
        <f>K15</f>
        <v>0</v>
      </c>
      <c r="C19" s="4">
        <f>K16</f>
        <v>0</v>
      </c>
    </row>
    <row r="20" spans="1:8" hidden="1" x14ac:dyDescent="0.3">
      <c r="A20" s="16" t="s">
        <v>92</v>
      </c>
      <c r="B20" s="4">
        <f>L15</f>
        <v>0</v>
      </c>
      <c r="C20" s="4">
        <f>L16</f>
        <v>0</v>
      </c>
    </row>
    <row r="21" spans="1:8" hidden="1" x14ac:dyDescent="0.3">
      <c r="A21" s="4" t="s">
        <v>44</v>
      </c>
      <c r="B21" s="4">
        <f>M15</f>
        <v>0</v>
      </c>
      <c r="C21" s="4">
        <f>M16</f>
        <v>0</v>
      </c>
    </row>
    <row r="22" spans="1:8" x14ac:dyDescent="0.3">
      <c r="A22" s="4" t="s">
        <v>98</v>
      </c>
      <c r="B22" s="17">
        <f>(B15+B16+B17+B18+B19+B20+B21)/100</f>
        <v>0.64927536231884064</v>
      </c>
      <c r="C22" s="17">
        <f>(C15+C16+C17+C18+C19+C20+C21)/100</f>
        <v>0.75760869565217392</v>
      </c>
      <c r="F22" s="141" t="s">
        <v>119</v>
      </c>
      <c r="G22" s="141"/>
      <c r="H22" s="9" t="s">
        <v>110</v>
      </c>
    </row>
    <row r="23" spans="1:8" x14ac:dyDescent="0.3">
      <c r="F23" s="141" t="s">
        <v>120</v>
      </c>
      <c r="G23" s="141"/>
      <c r="H23" s="9" t="s">
        <v>121</v>
      </c>
    </row>
    <row r="24" spans="1:8" x14ac:dyDescent="0.3">
      <c r="A24" s="5" t="s">
        <v>122</v>
      </c>
      <c r="B24" s="18">
        <v>0.01</v>
      </c>
      <c r="C24" s="18">
        <v>0.02</v>
      </c>
      <c r="F24" s="141" t="s">
        <v>123</v>
      </c>
      <c r="G24" s="141"/>
      <c r="H24" s="9" t="s">
        <v>124</v>
      </c>
    </row>
    <row r="25" spans="1:8" x14ac:dyDescent="0.3">
      <c r="A25" s="5" t="s">
        <v>125</v>
      </c>
      <c r="B25" s="18">
        <v>0.01</v>
      </c>
      <c r="C25" s="18">
        <v>0.03</v>
      </c>
    </row>
    <row r="26" spans="1:8" x14ac:dyDescent="0.3">
      <c r="A26" s="5" t="s">
        <v>126</v>
      </c>
      <c r="B26" s="18">
        <v>0.03</v>
      </c>
      <c r="C26" s="18">
        <v>0.08</v>
      </c>
    </row>
    <row r="27" spans="1:8" x14ac:dyDescent="0.3">
      <c r="A27" s="5" t="s">
        <v>127</v>
      </c>
      <c r="B27" s="18">
        <v>0.05</v>
      </c>
      <c r="C27" s="18">
        <v>0.15</v>
      </c>
    </row>
    <row r="28" spans="1:8" x14ac:dyDescent="0.3">
      <c r="A28" s="5" t="s">
        <v>128</v>
      </c>
      <c r="B28" s="18">
        <v>7.0000000000000007E-2</v>
      </c>
      <c r="C28" s="18">
        <v>0.2</v>
      </c>
    </row>
    <row r="29" spans="1:8" x14ac:dyDescent="0.3">
      <c r="A29" s="5" t="s">
        <v>129</v>
      </c>
      <c r="B29" s="18">
        <v>0.1</v>
      </c>
      <c r="C29" s="18">
        <v>0.3</v>
      </c>
    </row>
  </sheetData>
  <mergeCells count="14"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3" sqref="C13"/>
    </sheetView>
  </sheetViews>
  <sheetFormatPr defaultColWidth="9.1796875" defaultRowHeight="14" x14ac:dyDescent="0.3"/>
  <cols>
    <col min="1" max="1" width="20.54296875" style="5" customWidth="1"/>
    <col min="2" max="2" width="11.7265625" style="5" customWidth="1"/>
    <col min="3" max="4" width="9.1796875" style="5"/>
    <col min="5" max="5" width="10.1796875" style="5" customWidth="1"/>
    <col min="6" max="6" width="10.7265625" style="5" customWidth="1"/>
    <col min="7" max="7" width="9.1796875" style="5"/>
    <col min="8" max="8" width="10.453125" style="5" customWidth="1"/>
    <col min="9" max="9" width="15.453125" style="5" customWidth="1"/>
    <col min="10" max="16384" width="9.1796875" style="5"/>
  </cols>
  <sheetData>
    <row r="2" spans="1:13" x14ac:dyDescent="0.3">
      <c r="A2" s="4" t="s">
        <v>100</v>
      </c>
      <c r="B2" s="4" t="s">
        <v>101</v>
      </c>
      <c r="C2" s="4" t="s">
        <v>102</v>
      </c>
      <c r="D2" s="138" t="s">
        <v>103</v>
      </c>
      <c r="E2" s="138"/>
    </row>
    <row r="3" spans="1:13" x14ac:dyDescent="0.3">
      <c r="A3" s="6">
        <v>0</v>
      </c>
      <c r="B3" s="6">
        <v>0</v>
      </c>
      <c r="C3" s="6">
        <v>1</v>
      </c>
      <c r="D3" s="139">
        <v>22</v>
      </c>
      <c r="E3" s="139"/>
    </row>
    <row r="5" spans="1:13" x14ac:dyDescent="0.3">
      <c r="A5" s="5" t="s">
        <v>87</v>
      </c>
      <c r="B5" s="7" t="s">
        <v>104</v>
      </c>
      <c r="C5" s="7">
        <f>D3</f>
        <v>22</v>
      </c>
      <c r="D5" s="8"/>
    </row>
    <row r="6" spans="1:13" x14ac:dyDescent="0.3">
      <c r="A6" s="5" t="s">
        <v>88</v>
      </c>
      <c r="B6" s="9">
        <v>10</v>
      </c>
      <c r="C6" s="10">
        <v>10</v>
      </c>
      <c r="D6" s="11">
        <f>((100/B6)*C6)/100</f>
        <v>1</v>
      </c>
    </row>
    <row r="7" spans="1:13" x14ac:dyDescent="0.3">
      <c r="A7" s="5" t="s">
        <v>89</v>
      </c>
      <c r="B7" s="9">
        <f>A3+B3+C3+D3</f>
        <v>23</v>
      </c>
      <c r="C7" s="10">
        <v>23</v>
      </c>
      <c r="D7" s="11">
        <f t="shared" ref="D7:D12" si="0">((100/B7)*C7)/100</f>
        <v>1</v>
      </c>
      <c r="F7" s="140" t="s">
        <v>105</v>
      </c>
      <c r="G7" s="140"/>
      <c r="H7" s="12" t="s">
        <v>106</v>
      </c>
      <c r="J7" s="13"/>
    </row>
    <row r="8" spans="1:13" x14ac:dyDescent="0.3">
      <c r="A8" s="5" t="s">
        <v>94</v>
      </c>
      <c r="B8" s="9">
        <f>C5</f>
        <v>22</v>
      </c>
      <c r="C8" s="10">
        <v>22</v>
      </c>
      <c r="D8" s="11">
        <f t="shared" si="0"/>
        <v>1.0000000000000002</v>
      </c>
      <c r="F8" s="141" t="s">
        <v>107</v>
      </c>
      <c r="G8" s="141"/>
      <c r="H8" s="9" t="s">
        <v>108</v>
      </c>
    </row>
    <row r="9" spans="1:13" x14ac:dyDescent="0.3">
      <c r="A9" s="5" t="s">
        <v>96</v>
      </c>
      <c r="B9" s="9">
        <f>C5</f>
        <v>22</v>
      </c>
      <c r="C9" s="10">
        <v>22</v>
      </c>
      <c r="D9" s="11">
        <f t="shared" si="0"/>
        <v>1.0000000000000002</v>
      </c>
      <c r="F9" s="141" t="s">
        <v>109</v>
      </c>
      <c r="G9" s="141"/>
      <c r="H9" s="9" t="s">
        <v>110</v>
      </c>
    </row>
    <row r="10" spans="1:13" x14ac:dyDescent="0.3">
      <c r="A10" s="5" t="s">
        <v>42</v>
      </c>
      <c r="B10" s="9">
        <f>C5</f>
        <v>22</v>
      </c>
      <c r="C10" s="10">
        <v>22</v>
      </c>
      <c r="D10" s="11">
        <f t="shared" si="0"/>
        <v>1.0000000000000002</v>
      </c>
      <c r="F10" s="141" t="s">
        <v>111</v>
      </c>
      <c r="G10" s="141"/>
      <c r="H10" s="9" t="s">
        <v>112</v>
      </c>
    </row>
    <row r="11" spans="1:13" x14ac:dyDescent="0.3">
      <c r="A11" s="14" t="s">
        <v>92</v>
      </c>
      <c r="B11" s="9">
        <f>C5</f>
        <v>22</v>
      </c>
      <c r="C11" s="10">
        <v>22</v>
      </c>
      <c r="D11" s="11">
        <f t="shared" si="0"/>
        <v>1.0000000000000002</v>
      </c>
      <c r="F11" s="141" t="s">
        <v>113</v>
      </c>
      <c r="G11" s="141"/>
      <c r="H11" s="9" t="s">
        <v>114</v>
      </c>
    </row>
    <row r="12" spans="1:13" x14ac:dyDescent="0.3">
      <c r="A12" s="5" t="s">
        <v>44</v>
      </c>
      <c r="B12" s="9">
        <f>C5</f>
        <v>22</v>
      </c>
      <c r="C12" s="10">
        <v>22</v>
      </c>
      <c r="D12" s="11">
        <f t="shared" si="0"/>
        <v>1.0000000000000002</v>
      </c>
      <c r="F12" s="141" t="s">
        <v>115</v>
      </c>
      <c r="G12" s="141"/>
      <c r="H12" s="9" t="s">
        <v>116</v>
      </c>
    </row>
    <row r="13" spans="1:13" ht="31.5" customHeight="1" x14ac:dyDescent="0.3">
      <c r="F13" s="141" t="s">
        <v>117</v>
      </c>
      <c r="G13" s="141"/>
      <c r="H13" s="9" t="s">
        <v>118</v>
      </c>
    </row>
    <row r="14" spans="1:13" hidden="1" x14ac:dyDescent="0.3">
      <c r="A14" s="4"/>
      <c r="B14" s="4" t="s">
        <v>93</v>
      </c>
      <c r="C14" s="4" t="s">
        <v>97</v>
      </c>
      <c r="G14" s="4" t="s">
        <v>88</v>
      </c>
      <c r="H14" s="4" t="s">
        <v>90</v>
      </c>
      <c r="I14" s="4" t="s">
        <v>91</v>
      </c>
      <c r="J14" s="4" t="s">
        <v>37</v>
      </c>
      <c r="K14" s="4" t="s">
        <v>42</v>
      </c>
      <c r="L14" s="4" t="s">
        <v>92</v>
      </c>
      <c r="M14" s="4" t="s">
        <v>44</v>
      </c>
    </row>
    <row r="15" spans="1:13" hidden="1" x14ac:dyDescent="0.3">
      <c r="A15" s="4" t="s">
        <v>34</v>
      </c>
      <c r="B15" s="4">
        <f>G15</f>
        <v>10</v>
      </c>
      <c r="C15" s="4">
        <f>G16</f>
        <v>30</v>
      </c>
      <c r="E15" s="138" t="s">
        <v>93</v>
      </c>
      <c r="F15" s="138"/>
      <c r="G15" s="15">
        <f>C6</f>
        <v>10</v>
      </c>
      <c r="H15" s="15">
        <f>40/B7*C7</f>
        <v>40</v>
      </c>
      <c r="I15" s="15">
        <f>15/B8*C8</f>
        <v>14.999999999999998</v>
      </c>
      <c r="J15" s="15">
        <f>10/B9*C9</f>
        <v>10</v>
      </c>
      <c r="K15" s="15">
        <f>10/B10*C10</f>
        <v>10</v>
      </c>
      <c r="L15" s="15">
        <f>5/B11*C11</f>
        <v>5</v>
      </c>
      <c r="M15" s="15">
        <f>5/B12*C12</f>
        <v>5</v>
      </c>
    </row>
    <row r="16" spans="1:13" hidden="1" x14ac:dyDescent="0.3">
      <c r="A16" s="4" t="s">
        <v>35</v>
      </c>
      <c r="B16" s="4">
        <f>H15</f>
        <v>40</v>
      </c>
      <c r="C16" s="4">
        <f>H16</f>
        <v>30</v>
      </c>
      <c r="E16" s="138" t="s">
        <v>95</v>
      </c>
      <c r="F16" s="138"/>
      <c r="G16" s="4">
        <f>G15+20</f>
        <v>30</v>
      </c>
      <c r="H16" s="4">
        <f>30/B7*C7</f>
        <v>30</v>
      </c>
      <c r="I16" s="4">
        <f>15/B8*C8</f>
        <v>14.999999999999998</v>
      </c>
      <c r="J16" s="4">
        <f>10/B9*C9</f>
        <v>10</v>
      </c>
      <c r="K16" s="4">
        <f>5/B10*C10</f>
        <v>5</v>
      </c>
      <c r="L16" s="4">
        <f>5/B11*C11</f>
        <v>5</v>
      </c>
      <c r="M16" s="4">
        <f>5/B12*C12</f>
        <v>5</v>
      </c>
    </row>
    <row r="17" spans="1:8" hidden="1" x14ac:dyDescent="0.3">
      <c r="A17" s="4" t="s">
        <v>91</v>
      </c>
      <c r="B17" s="4">
        <f>I15</f>
        <v>14.999999999999998</v>
      </c>
      <c r="C17" s="4">
        <f>I16</f>
        <v>14.999999999999998</v>
      </c>
    </row>
    <row r="18" spans="1:8" ht="29.25" hidden="1" customHeight="1" x14ac:dyDescent="0.3">
      <c r="A18" s="4" t="s">
        <v>37</v>
      </c>
      <c r="B18" s="4">
        <f>J15</f>
        <v>10</v>
      </c>
      <c r="C18" s="4">
        <f>J16</f>
        <v>10</v>
      </c>
    </row>
    <row r="19" spans="1:8" hidden="1" x14ac:dyDescent="0.3">
      <c r="A19" s="4" t="s">
        <v>42</v>
      </c>
      <c r="B19" s="4">
        <f>K15</f>
        <v>10</v>
      </c>
      <c r="C19" s="4">
        <f>K16</f>
        <v>5</v>
      </c>
    </row>
    <row r="20" spans="1:8" hidden="1" x14ac:dyDescent="0.3">
      <c r="A20" s="16" t="s">
        <v>92</v>
      </c>
      <c r="B20" s="4">
        <f>L15</f>
        <v>5</v>
      </c>
      <c r="C20" s="4">
        <f>L16</f>
        <v>5</v>
      </c>
    </row>
    <row r="21" spans="1:8" hidden="1" x14ac:dyDescent="0.3">
      <c r="A21" s="4" t="s">
        <v>44</v>
      </c>
      <c r="B21" s="4">
        <f>M15</f>
        <v>5</v>
      </c>
      <c r="C21" s="4">
        <f>M16</f>
        <v>5</v>
      </c>
    </row>
    <row r="22" spans="1:8" x14ac:dyDescent="0.3">
      <c r="A22" s="4" t="s">
        <v>98</v>
      </c>
      <c r="B22" s="17">
        <f>(B15+B16+B17+B18+B19+B20+B21)/100</f>
        <v>0.95</v>
      </c>
      <c r="C22" s="17">
        <f>(C15+C16+C17+C18+C19+C20+C21)/100</f>
        <v>1</v>
      </c>
      <c r="F22" s="141" t="s">
        <v>119</v>
      </c>
      <c r="G22" s="141"/>
      <c r="H22" s="9" t="s">
        <v>110</v>
      </c>
    </row>
    <row r="23" spans="1:8" x14ac:dyDescent="0.3">
      <c r="F23" s="141" t="s">
        <v>120</v>
      </c>
      <c r="G23" s="141"/>
      <c r="H23" s="9" t="s">
        <v>121</v>
      </c>
    </row>
    <row r="24" spans="1:8" x14ac:dyDescent="0.3">
      <c r="A24" s="5" t="s">
        <v>122</v>
      </c>
      <c r="B24" s="18">
        <v>0.01</v>
      </c>
      <c r="C24" s="18">
        <v>0.02</v>
      </c>
      <c r="F24" s="141" t="s">
        <v>123</v>
      </c>
      <c r="G24" s="141"/>
      <c r="H24" s="9" t="s">
        <v>124</v>
      </c>
    </row>
    <row r="25" spans="1:8" x14ac:dyDescent="0.3">
      <c r="A25" s="5" t="s">
        <v>125</v>
      </c>
      <c r="B25" s="18">
        <v>0.01</v>
      </c>
      <c r="C25" s="18">
        <v>0.03</v>
      </c>
    </row>
    <row r="26" spans="1:8" x14ac:dyDescent="0.3">
      <c r="A26" s="5" t="s">
        <v>126</v>
      </c>
      <c r="B26" s="18">
        <v>0.03</v>
      </c>
      <c r="C26" s="18">
        <v>0.08</v>
      </c>
    </row>
    <row r="27" spans="1:8" x14ac:dyDescent="0.3">
      <c r="A27" s="5" t="s">
        <v>127</v>
      </c>
      <c r="B27" s="18">
        <v>0.05</v>
      </c>
      <c r="C27" s="18">
        <v>0.15</v>
      </c>
    </row>
    <row r="28" spans="1:8" x14ac:dyDescent="0.3">
      <c r="A28" s="5" t="s">
        <v>128</v>
      </c>
      <c r="B28" s="18">
        <v>7.0000000000000007E-2</v>
      </c>
      <c r="C28" s="18">
        <v>0.2</v>
      </c>
    </row>
    <row r="29" spans="1:8" x14ac:dyDescent="0.3">
      <c r="A29" s="5" t="s">
        <v>129</v>
      </c>
      <c r="B29" s="18">
        <v>0.1</v>
      </c>
      <c r="C29" s="18">
        <v>0.3</v>
      </c>
    </row>
  </sheetData>
  <mergeCells count="14"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3" sqref="C13"/>
    </sheetView>
  </sheetViews>
  <sheetFormatPr defaultColWidth="9.1796875" defaultRowHeight="14" x14ac:dyDescent="0.3"/>
  <cols>
    <col min="1" max="1" width="20.54296875" style="5" customWidth="1"/>
    <col min="2" max="2" width="11.7265625" style="5" customWidth="1"/>
    <col min="3" max="4" width="9.1796875" style="5"/>
    <col min="5" max="5" width="10.1796875" style="5" customWidth="1"/>
    <col min="6" max="6" width="10.7265625" style="5" customWidth="1"/>
    <col min="7" max="7" width="9.1796875" style="5"/>
    <col min="8" max="8" width="10.453125" style="5" customWidth="1"/>
    <col min="9" max="9" width="15.453125" style="5" customWidth="1"/>
    <col min="10" max="16384" width="9.1796875" style="5"/>
  </cols>
  <sheetData>
    <row r="2" spans="1:13" x14ac:dyDescent="0.3">
      <c r="A2" s="4" t="s">
        <v>100</v>
      </c>
      <c r="B2" s="4" t="s">
        <v>101</v>
      </c>
      <c r="C2" s="4" t="s">
        <v>102</v>
      </c>
      <c r="D2" s="138" t="s">
        <v>103</v>
      </c>
      <c r="E2" s="138"/>
    </row>
    <row r="3" spans="1:13" x14ac:dyDescent="0.3">
      <c r="A3" s="6">
        <v>0</v>
      </c>
      <c r="B3" s="6">
        <v>0</v>
      </c>
      <c r="C3" s="6">
        <v>1</v>
      </c>
      <c r="D3" s="139">
        <v>22</v>
      </c>
      <c r="E3" s="139"/>
    </row>
    <row r="5" spans="1:13" x14ac:dyDescent="0.3">
      <c r="A5" s="5" t="s">
        <v>87</v>
      </c>
      <c r="B5" s="7" t="s">
        <v>104</v>
      </c>
      <c r="C5" s="7">
        <f>D3</f>
        <v>22</v>
      </c>
      <c r="D5" s="8"/>
    </row>
    <row r="6" spans="1:13" x14ac:dyDescent="0.3">
      <c r="A6" s="5" t="s">
        <v>88</v>
      </c>
      <c r="B6" s="9">
        <v>10</v>
      </c>
      <c r="C6" s="10">
        <v>10</v>
      </c>
      <c r="D6" s="11">
        <f>((100/B6)*C6)/100</f>
        <v>1</v>
      </c>
    </row>
    <row r="7" spans="1:13" x14ac:dyDescent="0.3">
      <c r="A7" s="5" t="s">
        <v>89</v>
      </c>
      <c r="B7" s="9">
        <f>A3+B3+C3+D3</f>
        <v>23</v>
      </c>
      <c r="C7" s="10">
        <v>23</v>
      </c>
      <c r="D7" s="11">
        <f t="shared" ref="D7:D12" si="0">((100/B7)*C7)/100</f>
        <v>1</v>
      </c>
      <c r="F7" s="140" t="s">
        <v>105</v>
      </c>
      <c r="G7" s="140"/>
      <c r="H7" s="12" t="s">
        <v>106</v>
      </c>
      <c r="J7" s="13"/>
    </row>
    <row r="8" spans="1:13" x14ac:dyDescent="0.3">
      <c r="A8" s="5" t="s">
        <v>94</v>
      </c>
      <c r="B8" s="9">
        <f>C5</f>
        <v>22</v>
      </c>
      <c r="C8" s="10">
        <v>22</v>
      </c>
      <c r="D8" s="11">
        <f t="shared" si="0"/>
        <v>1.0000000000000002</v>
      </c>
      <c r="F8" s="141" t="s">
        <v>107</v>
      </c>
      <c r="G8" s="141"/>
      <c r="H8" s="9" t="s">
        <v>108</v>
      </c>
    </row>
    <row r="9" spans="1:13" x14ac:dyDescent="0.3">
      <c r="A9" s="5" t="s">
        <v>96</v>
      </c>
      <c r="B9" s="9">
        <f>C5</f>
        <v>22</v>
      </c>
      <c r="C9" s="10">
        <v>22</v>
      </c>
      <c r="D9" s="11">
        <f t="shared" si="0"/>
        <v>1.0000000000000002</v>
      </c>
      <c r="F9" s="141" t="s">
        <v>109</v>
      </c>
      <c r="G9" s="141"/>
      <c r="H9" s="9" t="s">
        <v>110</v>
      </c>
    </row>
    <row r="10" spans="1:13" x14ac:dyDescent="0.3">
      <c r="A10" s="5" t="s">
        <v>42</v>
      </c>
      <c r="B10" s="9">
        <f>C5</f>
        <v>22</v>
      </c>
      <c r="C10" s="10">
        <v>22</v>
      </c>
      <c r="D10" s="11">
        <f t="shared" si="0"/>
        <v>1.0000000000000002</v>
      </c>
      <c r="F10" s="141" t="s">
        <v>111</v>
      </c>
      <c r="G10" s="141"/>
      <c r="H10" s="9" t="s">
        <v>112</v>
      </c>
    </row>
    <row r="11" spans="1:13" x14ac:dyDescent="0.3">
      <c r="A11" s="14" t="s">
        <v>92</v>
      </c>
      <c r="B11" s="9">
        <f>C5</f>
        <v>22</v>
      </c>
      <c r="C11" s="10">
        <v>22</v>
      </c>
      <c r="D11" s="11">
        <f t="shared" si="0"/>
        <v>1.0000000000000002</v>
      </c>
      <c r="F11" s="141" t="s">
        <v>113</v>
      </c>
      <c r="G11" s="141"/>
      <c r="H11" s="9" t="s">
        <v>114</v>
      </c>
    </row>
    <row r="12" spans="1:13" x14ac:dyDescent="0.3">
      <c r="A12" s="5" t="s">
        <v>44</v>
      </c>
      <c r="B12" s="9">
        <f>C5</f>
        <v>22</v>
      </c>
      <c r="C12" s="10">
        <v>22</v>
      </c>
      <c r="D12" s="11">
        <f t="shared" si="0"/>
        <v>1.0000000000000002</v>
      </c>
      <c r="F12" s="141" t="s">
        <v>115</v>
      </c>
      <c r="G12" s="141"/>
      <c r="H12" s="9" t="s">
        <v>116</v>
      </c>
    </row>
    <row r="13" spans="1:13" ht="31.5" customHeight="1" x14ac:dyDescent="0.3">
      <c r="F13" s="141" t="s">
        <v>117</v>
      </c>
      <c r="G13" s="141"/>
      <c r="H13" s="9" t="s">
        <v>118</v>
      </c>
    </row>
    <row r="14" spans="1:13" hidden="1" x14ac:dyDescent="0.3">
      <c r="A14" s="4"/>
      <c r="B14" s="4" t="s">
        <v>93</v>
      </c>
      <c r="C14" s="4" t="s">
        <v>97</v>
      </c>
      <c r="G14" s="4" t="s">
        <v>88</v>
      </c>
      <c r="H14" s="4" t="s">
        <v>90</v>
      </c>
      <c r="I14" s="4" t="s">
        <v>91</v>
      </c>
      <c r="J14" s="4" t="s">
        <v>37</v>
      </c>
      <c r="K14" s="4" t="s">
        <v>42</v>
      </c>
      <c r="L14" s="4" t="s">
        <v>92</v>
      </c>
      <c r="M14" s="4" t="s">
        <v>44</v>
      </c>
    </row>
    <row r="15" spans="1:13" hidden="1" x14ac:dyDescent="0.3">
      <c r="A15" s="4" t="s">
        <v>34</v>
      </c>
      <c r="B15" s="4">
        <f>G15</f>
        <v>10</v>
      </c>
      <c r="C15" s="4">
        <f>G16</f>
        <v>30</v>
      </c>
      <c r="E15" s="138" t="s">
        <v>93</v>
      </c>
      <c r="F15" s="138"/>
      <c r="G15" s="15">
        <f>C6</f>
        <v>10</v>
      </c>
      <c r="H15" s="15">
        <f>40/B7*C7</f>
        <v>40</v>
      </c>
      <c r="I15" s="15">
        <f>15/B8*C8</f>
        <v>14.999999999999998</v>
      </c>
      <c r="J15" s="15">
        <f>10/B9*C9</f>
        <v>10</v>
      </c>
      <c r="K15" s="15">
        <f>10/B10*C10</f>
        <v>10</v>
      </c>
      <c r="L15" s="15">
        <f>5/B11*C11</f>
        <v>5</v>
      </c>
      <c r="M15" s="15">
        <f>5/B12*C12</f>
        <v>5</v>
      </c>
    </row>
    <row r="16" spans="1:13" hidden="1" x14ac:dyDescent="0.3">
      <c r="A16" s="4" t="s">
        <v>35</v>
      </c>
      <c r="B16" s="4">
        <f>H15</f>
        <v>40</v>
      </c>
      <c r="C16" s="4">
        <f>H16</f>
        <v>30</v>
      </c>
      <c r="E16" s="138" t="s">
        <v>95</v>
      </c>
      <c r="F16" s="138"/>
      <c r="G16" s="4">
        <f>G15+20</f>
        <v>30</v>
      </c>
      <c r="H16" s="4">
        <f>30/B7*C7</f>
        <v>30</v>
      </c>
      <c r="I16" s="4">
        <f>15/B8*C8</f>
        <v>14.999999999999998</v>
      </c>
      <c r="J16" s="4">
        <f>10/B9*C9</f>
        <v>10</v>
      </c>
      <c r="K16" s="4">
        <f>5/B10*C10</f>
        <v>5</v>
      </c>
      <c r="L16" s="4">
        <f>5/B11*C11</f>
        <v>5</v>
      </c>
      <c r="M16" s="4">
        <f>5/B12*C12</f>
        <v>5</v>
      </c>
    </row>
    <row r="17" spans="1:8" hidden="1" x14ac:dyDescent="0.3">
      <c r="A17" s="4" t="s">
        <v>91</v>
      </c>
      <c r="B17" s="4">
        <f>I15</f>
        <v>14.999999999999998</v>
      </c>
      <c r="C17" s="4">
        <f>I16</f>
        <v>14.999999999999998</v>
      </c>
    </row>
    <row r="18" spans="1:8" ht="29.25" hidden="1" customHeight="1" x14ac:dyDescent="0.3">
      <c r="A18" s="4" t="s">
        <v>37</v>
      </c>
      <c r="B18" s="4">
        <f>J15</f>
        <v>10</v>
      </c>
      <c r="C18" s="4">
        <f>J16</f>
        <v>10</v>
      </c>
    </row>
    <row r="19" spans="1:8" hidden="1" x14ac:dyDescent="0.3">
      <c r="A19" s="4" t="s">
        <v>42</v>
      </c>
      <c r="B19" s="4">
        <f>K15</f>
        <v>10</v>
      </c>
      <c r="C19" s="4">
        <f>K16</f>
        <v>5</v>
      </c>
    </row>
    <row r="20" spans="1:8" hidden="1" x14ac:dyDescent="0.3">
      <c r="A20" s="16" t="s">
        <v>92</v>
      </c>
      <c r="B20" s="4">
        <f>L15</f>
        <v>5</v>
      </c>
      <c r="C20" s="4">
        <f>L16</f>
        <v>5</v>
      </c>
    </row>
    <row r="21" spans="1:8" hidden="1" x14ac:dyDescent="0.3">
      <c r="A21" s="4" t="s">
        <v>44</v>
      </c>
      <c r="B21" s="4">
        <f>M15</f>
        <v>5</v>
      </c>
      <c r="C21" s="4">
        <f>M16</f>
        <v>5</v>
      </c>
    </row>
    <row r="22" spans="1:8" x14ac:dyDescent="0.3">
      <c r="A22" s="4" t="s">
        <v>98</v>
      </c>
      <c r="B22" s="17">
        <f>(B15+B16+B17+B18+B19+B20+B21)/100</f>
        <v>0.95</v>
      </c>
      <c r="C22" s="17">
        <f>(C15+C16+C17+C18+C19+C20+C21)/100</f>
        <v>1</v>
      </c>
      <c r="F22" s="141" t="s">
        <v>119</v>
      </c>
      <c r="G22" s="141"/>
      <c r="H22" s="9" t="s">
        <v>110</v>
      </c>
    </row>
    <row r="23" spans="1:8" x14ac:dyDescent="0.3">
      <c r="F23" s="141" t="s">
        <v>120</v>
      </c>
      <c r="G23" s="141"/>
      <c r="H23" s="9" t="s">
        <v>121</v>
      </c>
    </row>
    <row r="24" spans="1:8" x14ac:dyDescent="0.3">
      <c r="A24" s="5" t="s">
        <v>122</v>
      </c>
      <c r="B24" s="18">
        <v>0.01</v>
      </c>
      <c r="C24" s="18">
        <v>0.02</v>
      </c>
      <c r="F24" s="141" t="s">
        <v>123</v>
      </c>
      <c r="G24" s="141"/>
      <c r="H24" s="9" t="s">
        <v>124</v>
      </c>
    </row>
    <row r="25" spans="1:8" x14ac:dyDescent="0.3">
      <c r="A25" s="5" t="s">
        <v>125</v>
      </c>
      <c r="B25" s="18">
        <v>0.01</v>
      </c>
      <c r="C25" s="18">
        <v>0.03</v>
      </c>
    </row>
    <row r="26" spans="1:8" x14ac:dyDescent="0.3">
      <c r="A26" s="5" t="s">
        <v>126</v>
      </c>
      <c r="B26" s="18">
        <v>0.03</v>
      </c>
      <c r="C26" s="18">
        <v>0.08</v>
      </c>
    </row>
    <row r="27" spans="1:8" x14ac:dyDescent="0.3">
      <c r="A27" s="5" t="s">
        <v>127</v>
      </c>
      <c r="B27" s="18">
        <v>0.05</v>
      </c>
      <c r="C27" s="18">
        <v>0.15</v>
      </c>
    </row>
    <row r="28" spans="1:8" x14ac:dyDescent="0.3">
      <c r="A28" s="5" t="s">
        <v>128</v>
      </c>
      <c r="B28" s="18">
        <v>7.0000000000000007E-2</v>
      </c>
      <c r="C28" s="18">
        <v>0.2</v>
      </c>
    </row>
    <row r="29" spans="1:8" x14ac:dyDescent="0.3">
      <c r="A29" s="5" t="s">
        <v>129</v>
      </c>
      <c r="B29" s="18">
        <v>0.1</v>
      </c>
      <c r="C29" s="18">
        <v>0.3</v>
      </c>
    </row>
  </sheetData>
  <mergeCells count="14"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Sheet1</vt:lpstr>
      <vt:lpstr>Note</vt:lpstr>
      <vt:lpstr>T1</vt:lpstr>
      <vt:lpstr>T5</vt:lpstr>
      <vt:lpstr>T6</vt:lpstr>
      <vt:lpstr>T7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Elitebook 840 G6</cp:lastModifiedBy>
  <cp:lastPrinted>2025-05-30T11:30:56Z</cp:lastPrinted>
  <dcterms:created xsi:type="dcterms:W3CDTF">2013-11-23T05:32:33Z</dcterms:created>
  <dcterms:modified xsi:type="dcterms:W3CDTF">2025-09-02T06:34:55Z</dcterms:modified>
</cp:coreProperties>
</file>