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02-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Report!$A$1:$H$522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8" i="1" l="1"/>
  <c r="D262" i="1" l="1"/>
  <c r="F262" i="1" s="1"/>
  <c r="H262" i="1" s="1"/>
  <c r="D261" i="1"/>
  <c r="D260" i="1"/>
  <c r="D259" i="1"/>
  <c r="D258" i="1"/>
  <c r="F258" i="1" s="1"/>
  <c r="H258" i="1" s="1"/>
  <c r="D257" i="1"/>
  <c r="F257" i="1" s="1"/>
  <c r="H257" i="1" s="1"/>
  <c r="D256" i="1"/>
  <c r="F256" i="1" s="1"/>
  <c r="H256" i="1" s="1"/>
  <c r="D255" i="1"/>
  <c r="F255" i="1" s="1"/>
  <c r="H255" i="1" s="1"/>
  <c r="D254" i="1"/>
  <c r="F254" i="1" s="1"/>
  <c r="H254" i="1" s="1"/>
  <c r="D253" i="1"/>
  <c r="D252" i="1"/>
  <c r="D251" i="1"/>
  <c r="F251" i="1" s="1"/>
  <c r="H251" i="1" s="1"/>
  <c r="D250" i="1"/>
  <c r="F250" i="1" s="1"/>
  <c r="H250" i="1" s="1"/>
  <c r="D249" i="1"/>
  <c r="F249" i="1" s="1"/>
  <c r="H249" i="1" s="1"/>
  <c r="D248" i="1"/>
  <c r="F248" i="1" s="1"/>
  <c r="H248" i="1" s="1"/>
  <c r="D247" i="1"/>
  <c r="F247" i="1" s="1"/>
  <c r="H247" i="1" s="1"/>
  <c r="D246" i="1"/>
  <c r="F246" i="1" s="1"/>
  <c r="H246" i="1" s="1"/>
  <c r="D245" i="1"/>
  <c r="D244" i="1"/>
  <c r="D242" i="1"/>
  <c r="D241" i="1"/>
  <c r="F241" i="1" s="1"/>
  <c r="H241" i="1" s="1"/>
  <c r="D240" i="1"/>
  <c r="F240" i="1" s="1"/>
  <c r="H240" i="1" s="1"/>
  <c r="D239" i="1"/>
  <c r="F239" i="1" s="1"/>
  <c r="H239" i="1" s="1"/>
  <c r="D238" i="1"/>
  <c r="F238" i="1" s="1"/>
  <c r="H238" i="1" s="1"/>
  <c r="D237" i="1"/>
  <c r="F237" i="1" s="1"/>
  <c r="H237" i="1" s="1"/>
  <c r="D236" i="1"/>
  <c r="D235" i="1"/>
  <c r="D234" i="1"/>
  <c r="D233" i="1"/>
  <c r="D232" i="1"/>
  <c r="F232" i="1" s="1"/>
  <c r="H232" i="1" s="1"/>
  <c r="D231" i="1"/>
  <c r="F231" i="1" s="1"/>
  <c r="H231" i="1" s="1"/>
  <c r="D230" i="1"/>
  <c r="F230" i="1" s="1"/>
  <c r="H230" i="1" s="1"/>
  <c r="D229" i="1"/>
  <c r="F229" i="1" s="1"/>
  <c r="H229" i="1" s="1"/>
  <c r="D228" i="1"/>
  <c r="D227" i="1"/>
  <c r="D226" i="1"/>
  <c r="D225" i="1"/>
  <c r="D224" i="1"/>
  <c r="F224" i="1" s="1"/>
  <c r="H224" i="1" s="1"/>
  <c r="G222" i="1"/>
  <c r="G221" i="1"/>
  <c r="G220" i="1"/>
  <c r="G219" i="1"/>
  <c r="G218" i="1"/>
  <c r="G217" i="1"/>
  <c r="G216" i="1"/>
  <c r="G215" i="1"/>
  <c r="G214" i="1"/>
  <c r="G213" i="1"/>
  <c r="G212" i="1"/>
  <c r="G211" i="1"/>
  <c r="G210" i="1"/>
  <c r="G209" i="1"/>
  <c r="G208" i="1"/>
  <c r="G207" i="1"/>
  <c r="G206" i="1"/>
  <c r="G205" i="1"/>
  <c r="G204" i="1"/>
  <c r="D222" i="1"/>
  <c r="F222" i="1" s="1"/>
  <c r="D221" i="1"/>
  <c r="D220" i="1"/>
  <c r="D219" i="1"/>
  <c r="D218" i="1"/>
  <c r="F218" i="1" s="1"/>
  <c r="H218" i="1" s="1"/>
  <c r="D217" i="1"/>
  <c r="F217" i="1" s="1"/>
  <c r="D216" i="1"/>
  <c r="F216" i="1" s="1"/>
  <c r="D215" i="1"/>
  <c r="F215" i="1" s="1"/>
  <c r="D214" i="1"/>
  <c r="F214" i="1" s="1"/>
  <c r="D213" i="1"/>
  <c r="D212" i="1"/>
  <c r="D211" i="1"/>
  <c r="D210" i="1"/>
  <c r="F210" i="1" s="1"/>
  <c r="D209" i="1"/>
  <c r="F209" i="1" s="1"/>
  <c r="D208" i="1"/>
  <c r="F208" i="1" s="1"/>
  <c r="D207" i="1"/>
  <c r="F207" i="1" s="1"/>
  <c r="D206" i="1"/>
  <c r="F206" i="1" s="1"/>
  <c r="D205" i="1"/>
  <c r="D204" i="1"/>
  <c r="F204" i="1" s="1"/>
  <c r="F221" i="1"/>
  <c r="F220" i="1"/>
  <c r="F219" i="1"/>
  <c r="F212" i="1"/>
  <c r="F211" i="1"/>
  <c r="H211" i="1" s="1"/>
  <c r="I204" i="1"/>
  <c r="F261" i="1"/>
  <c r="H261" i="1" s="1"/>
  <c r="F260" i="1"/>
  <c r="H260" i="1" s="1"/>
  <c r="F259" i="1"/>
  <c r="H259" i="1" s="1"/>
  <c r="F253" i="1"/>
  <c r="H253" i="1" s="1"/>
  <c r="F252" i="1"/>
  <c r="H252" i="1" s="1"/>
  <c r="F245" i="1"/>
  <c r="H245" i="1" s="1"/>
  <c r="F244" i="1"/>
  <c r="H244" i="1" s="1"/>
  <c r="F242" i="1"/>
  <c r="H242" i="1" s="1"/>
  <c r="F236" i="1"/>
  <c r="H236" i="1" s="1"/>
  <c r="F235" i="1"/>
  <c r="H235" i="1" s="1"/>
  <c r="F234" i="1"/>
  <c r="H234" i="1" s="1"/>
  <c r="F233" i="1"/>
  <c r="H233" i="1" s="1"/>
  <c r="F228" i="1"/>
  <c r="H228" i="1" s="1"/>
  <c r="F227" i="1"/>
  <c r="H227" i="1" s="1"/>
  <c r="F226" i="1"/>
  <c r="H226" i="1" s="1"/>
  <c r="F225" i="1"/>
  <c r="H225" i="1" s="1"/>
  <c r="F213" i="1"/>
  <c r="F205" i="1"/>
  <c r="C114" i="1"/>
  <c r="C99" i="1"/>
  <c r="C92" i="1"/>
  <c r="B93" i="1" s="1"/>
  <c r="G68" i="1"/>
  <c r="H93" i="1"/>
  <c r="E177" i="1" l="1"/>
  <c r="C177" i="1"/>
  <c r="H207" i="1"/>
  <c r="H208" i="1"/>
  <c r="H220" i="1"/>
  <c r="H213" i="1"/>
  <c r="H206" i="1"/>
  <c r="H214" i="1"/>
  <c r="H217" i="1"/>
  <c r="H205" i="1"/>
  <c r="H219" i="1"/>
  <c r="H209" i="1"/>
  <c r="H222" i="1"/>
  <c r="H221" i="1"/>
  <c r="H215" i="1"/>
  <c r="H216" i="1"/>
  <c r="H212" i="1"/>
  <c r="H210" i="1"/>
  <c r="H204" i="1"/>
  <c r="D106" i="1"/>
  <c r="I92" i="1" s="1"/>
  <c r="D102" i="1"/>
  <c r="J92" i="1"/>
  <c r="J94" i="1" s="1"/>
  <c r="D105" i="1"/>
  <c r="D101" i="1"/>
  <c r="J97" i="1"/>
  <c r="D104" i="1"/>
  <c r="J98" i="1"/>
  <c r="C97" i="1" s="1"/>
  <c r="D97" i="1" s="1"/>
  <c r="J96" i="1"/>
  <c r="D100" i="1"/>
  <c r="D99" i="1"/>
  <c r="D103" i="1"/>
  <c r="J101" i="1"/>
  <c r="J104" i="1"/>
  <c r="J103" i="1"/>
  <c r="J99" i="1"/>
  <c r="J100" i="1" s="1"/>
  <c r="J105" i="1" s="1"/>
  <c r="J106" i="1" s="1"/>
  <c r="C98" i="1" s="1"/>
  <c r="J102" i="1"/>
  <c r="G136" i="1"/>
  <c r="C136" i="1"/>
  <c r="G177" i="1" l="1"/>
  <c r="E97" i="1"/>
  <c r="C95" i="1" s="1"/>
  <c r="D98" i="1"/>
  <c r="I93" i="1" s="1"/>
  <c r="I94" i="1" s="1"/>
  <c r="G97" i="1"/>
  <c r="G95" i="1" s="1"/>
  <c r="J93" i="1"/>
  <c r="J95" i="1" s="1"/>
  <c r="D290" i="1"/>
  <c r="F290" i="1" s="1"/>
  <c r="H290" i="1" s="1"/>
  <c r="D289" i="1"/>
  <c r="F289" i="1" s="1"/>
  <c r="H289" i="1" s="1"/>
  <c r="D288" i="1"/>
  <c r="D287" i="1"/>
  <c r="F287" i="1" s="1"/>
  <c r="H287" i="1" s="1"/>
  <c r="D286" i="1"/>
  <c r="F286" i="1" s="1"/>
  <c r="H286" i="1" s="1"/>
  <c r="D285" i="1"/>
  <c r="F285" i="1" s="1"/>
  <c r="H285" i="1" s="1"/>
  <c r="D284" i="1"/>
  <c r="F284" i="1" s="1"/>
  <c r="H284" i="1" s="1"/>
  <c r="D283" i="1"/>
  <c r="F283" i="1" s="1"/>
  <c r="H283" i="1" s="1"/>
  <c r="D281" i="1"/>
  <c r="F281" i="1" s="1"/>
  <c r="H281" i="1" s="1"/>
  <c r="D280" i="1"/>
  <c r="F280" i="1" s="1"/>
  <c r="H280" i="1" s="1"/>
  <c r="D279" i="1"/>
  <c r="D278" i="1"/>
  <c r="D277" i="1"/>
  <c r="F277" i="1" s="1"/>
  <c r="H277" i="1" s="1"/>
  <c r="D276" i="1"/>
  <c r="F276" i="1" s="1"/>
  <c r="H276" i="1" s="1"/>
  <c r="D275" i="1"/>
  <c r="F275" i="1" s="1"/>
  <c r="H275" i="1" s="1"/>
  <c r="D274" i="1"/>
  <c r="F274" i="1" s="1"/>
  <c r="H274" i="1" s="1"/>
  <c r="D272" i="1"/>
  <c r="F272" i="1" s="1"/>
  <c r="H272" i="1" s="1"/>
  <c r="D271" i="1"/>
  <c r="F271" i="1" s="1"/>
  <c r="H271" i="1" s="1"/>
  <c r="D270" i="1"/>
  <c r="D269" i="1"/>
  <c r="F269" i="1" s="1"/>
  <c r="H269" i="1" s="1"/>
  <c r="D268" i="1"/>
  <c r="F268" i="1" s="1"/>
  <c r="H268" i="1" s="1"/>
  <c r="D267" i="1"/>
  <c r="F267" i="1" s="1"/>
  <c r="H267" i="1" s="1"/>
  <c r="D266" i="1"/>
  <c r="F266" i="1" s="1"/>
  <c r="H266" i="1" s="1"/>
  <c r="D265" i="1"/>
  <c r="F265" i="1" s="1"/>
  <c r="H265" i="1" s="1"/>
  <c r="D198" i="1"/>
  <c r="D197" i="1"/>
  <c r="D196" i="1"/>
  <c r="D195" i="1"/>
  <c r="D194" i="1"/>
  <c r="D193" i="1"/>
  <c r="D192" i="1"/>
  <c r="D191" i="1"/>
  <c r="D190" i="1"/>
  <c r="D189" i="1"/>
  <c r="D188" i="1"/>
  <c r="D187" i="1"/>
  <c r="F288" i="1"/>
  <c r="H288" i="1" s="1"/>
  <c r="A284" i="1"/>
  <c r="A285" i="1" s="1"/>
  <c r="A286" i="1" s="1"/>
  <c r="A287" i="1" s="1"/>
  <c r="A288" i="1" s="1"/>
  <c r="A289" i="1" s="1"/>
  <c r="A290" i="1" s="1"/>
  <c r="F279" i="1"/>
  <c r="H279" i="1" s="1"/>
  <c r="F278" i="1"/>
  <c r="H278" i="1" s="1"/>
  <c r="A275" i="1"/>
  <c r="A276" i="1" s="1"/>
  <c r="A277" i="1" s="1"/>
  <c r="A278" i="1" s="1"/>
  <c r="A279" i="1" s="1"/>
  <c r="A280" i="1" s="1"/>
  <c r="A281" i="1" s="1"/>
  <c r="F270" i="1"/>
  <c r="H270" i="1" s="1"/>
  <c r="A266" i="1"/>
  <c r="A267" i="1" s="1"/>
  <c r="A268" i="1" s="1"/>
  <c r="A269" i="1" s="1"/>
  <c r="A270" i="1" s="1"/>
  <c r="A271" i="1" s="1"/>
  <c r="A272" i="1" s="1"/>
  <c r="C178" i="1" l="1"/>
  <c r="C179" i="1" s="1"/>
  <c r="E178" i="1"/>
  <c r="E179" i="1" s="1"/>
  <c r="G178" i="1"/>
  <c r="G179" i="1" s="1"/>
  <c r="F198" i="1"/>
  <c r="H198" i="1" s="1"/>
  <c r="F197" i="1"/>
  <c r="H197" i="1" s="1"/>
  <c r="F196" i="1"/>
  <c r="H196" i="1" s="1"/>
  <c r="F195" i="1"/>
  <c r="H195" i="1" s="1"/>
  <c r="F194" i="1"/>
  <c r="H194" i="1" s="1"/>
  <c r="F193" i="1"/>
  <c r="H193" i="1" s="1"/>
  <c r="F192" i="1"/>
  <c r="H192" i="1" s="1"/>
  <c r="F191" i="1"/>
  <c r="H191" i="1" s="1"/>
  <c r="G57" i="1"/>
  <c r="C57" i="1"/>
  <c r="G55" i="1"/>
  <c r="C55" i="1"/>
  <c r="G52" i="1"/>
  <c r="C52" i="1"/>
  <c r="C137" i="1" l="1"/>
  <c r="C122" i="1"/>
  <c r="F187" i="1" l="1"/>
  <c r="H187" i="1" l="1"/>
  <c r="E31" i="1"/>
  <c r="E26" i="1"/>
  <c r="F292" i="1" l="1"/>
  <c r="H292"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l="1"/>
  <c r="B322" i="1"/>
  <c r="F188" i="1" l="1"/>
  <c r="F189" i="1"/>
  <c r="H189" i="1" s="1"/>
  <c r="F190" i="1"/>
  <c r="H190" i="1" s="1"/>
  <c r="H188" i="1" l="1"/>
  <c r="G173" i="1" s="1"/>
  <c r="G174" i="1" s="1"/>
  <c r="E173" i="1"/>
  <c r="E174" i="1" s="1"/>
  <c r="C173" i="1"/>
  <c r="C174" i="1" s="1"/>
  <c r="C180" i="1" s="1"/>
  <c r="G74" i="1"/>
  <c r="C74" i="1"/>
  <c r="G72" i="1"/>
  <c r="C72" i="1"/>
  <c r="S33" i="1" l="1"/>
  <c r="F11" i="5" l="1"/>
  <c r="G11" i="5" s="1"/>
  <c r="F10" i="5"/>
  <c r="G10" i="5" s="1"/>
  <c r="F9" i="5"/>
  <c r="G9" i="5" s="1"/>
  <c r="F8" i="5"/>
  <c r="G8" i="5" s="1"/>
  <c r="F7" i="5"/>
  <c r="G7" i="5" s="1"/>
  <c r="F6" i="5"/>
  <c r="G6" i="5" s="1"/>
  <c r="F5" i="5"/>
  <c r="G5" i="5" s="1"/>
  <c r="G12" i="5" s="1"/>
  <c r="D351" i="1"/>
  <c r="B323" i="1"/>
  <c r="F319" i="1"/>
  <c r="H319" i="1" s="1"/>
  <c r="F318" i="1"/>
  <c r="H318" i="1" s="1"/>
  <c r="F317" i="1"/>
  <c r="H317" i="1" s="1"/>
  <c r="F316" i="1"/>
  <c r="H316" i="1" s="1"/>
  <c r="F315" i="1"/>
  <c r="H315" i="1" s="1"/>
  <c r="F313" i="1"/>
  <c r="H313" i="1" s="1"/>
  <c r="F312" i="1"/>
  <c r="H312" i="1" s="1"/>
  <c r="F311" i="1"/>
  <c r="H311" i="1" s="1"/>
  <c r="F310" i="1"/>
  <c r="H310" i="1" s="1"/>
  <c r="F309" i="1"/>
  <c r="H309" i="1" s="1"/>
  <c r="F307" i="1"/>
  <c r="H307" i="1" s="1"/>
  <c r="F306" i="1"/>
  <c r="H306" i="1" s="1"/>
  <c r="F305" i="1"/>
  <c r="H305" i="1" s="1"/>
  <c r="F304" i="1"/>
  <c r="H304" i="1" s="1"/>
  <c r="F303" i="1"/>
  <c r="H303" i="1" s="1"/>
  <c r="F301" i="1"/>
  <c r="H301" i="1" s="1"/>
  <c r="F300" i="1"/>
  <c r="H300" i="1" s="1"/>
  <c r="F299" i="1"/>
  <c r="H299" i="1" s="1"/>
  <c r="F298" i="1"/>
  <c r="H298" i="1" s="1"/>
  <c r="F297" i="1"/>
  <c r="H297" i="1" s="1"/>
  <c r="A297" i="1"/>
  <c r="A298" i="1" s="1"/>
  <c r="A299" i="1" s="1"/>
  <c r="A300" i="1" s="1"/>
  <c r="A301" i="1" s="1"/>
  <c r="F295" i="1"/>
  <c r="H295" i="1" s="1"/>
  <c r="F294" i="1"/>
  <c r="H294" i="1" s="1"/>
  <c r="F293" i="1"/>
  <c r="H293" i="1" s="1"/>
  <c r="A293" i="1"/>
  <c r="A294" i="1" s="1"/>
  <c r="A295" i="1" s="1"/>
  <c r="A188" i="1"/>
  <c r="A189" i="1" s="1"/>
  <c r="A190" i="1" s="1"/>
  <c r="A191" i="1" s="1"/>
  <c r="A192" i="1" s="1"/>
  <c r="A193" i="1" s="1"/>
  <c r="A194" i="1" s="1"/>
  <c r="A195" i="1" s="1"/>
  <c r="A196" i="1" s="1"/>
  <c r="A197" i="1" s="1"/>
  <c r="A198" i="1" s="1"/>
  <c r="G180" i="1"/>
  <c r="E180" i="1"/>
  <c r="F170" i="1"/>
  <c r="C107" i="1"/>
  <c r="B108" i="1" s="1"/>
  <c r="G62" i="1"/>
  <c r="G63" i="1" s="1"/>
  <c r="C62" i="1"/>
  <c r="E44" i="1"/>
  <c r="E45" i="1" s="1"/>
  <c r="E28" i="1"/>
  <c r="C16" i="1"/>
  <c r="I15" i="1"/>
  <c r="Z13" i="1"/>
  <c r="E8" i="1"/>
  <c r="E3" i="1"/>
  <c r="D86" i="1" s="1"/>
  <c r="A309" i="1"/>
  <c r="A315" i="1"/>
  <c r="A303" i="1"/>
  <c r="J118" i="1" l="1"/>
  <c r="J116" i="1"/>
  <c r="J117" i="1"/>
  <c r="J119" i="1"/>
  <c r="H108" i="1"/>
  <c r="A304" i="1"/>
  <c r="A316" i="1"/>
  <c r="A310" i="1"/>
  <c r="D121" i="1" l="1"/>
  <c r="J107" i="1"/>
  <c r="J109" i="1" s="1"/>
  <c r="D115" i="1"/>
  <c r="J111" i="1"/>
  <c r="D120" i="1"/>
  <c r="J112" i="1"/>
  <c r="D114" i="1"/>
  <c r="D118" i="1"/>
  <c r="D117" i="1"/>
  <c r="J113" i="1"/>
  <c r="C112" i="1" s="1"/>
  <c r="D112" i="1" s="1"/>
  <c r="D119" i="1"/>
  <c r="D116" i="1"/>
  <c r="J114" i="1"/>
  <c r="J115" i="1" s="1"/>
  <c r="J120" i="1" s="1"/>
  <c r="J121" i="1" s="1"/>
  <c r="C113" i="1" s="1"/>
  <c r="E112" i="1" s="1"/>
  <c r="C110" i="1" s="1"/>
  <c r="B123" i="1"/>
  <c r="H123" i="1"/>
  <c r="A311" i="1"/>
  <c r="A317" i="1"/>
  <c r="A305" i="1"/>
  <c r="J108" i="1" l="1"/>
  <c r="J110" i="1" s="1"/>
  <c r="G112" i="1"/>
  <c r="D113" i="1"/>
  <c r="I108" i="1" s="1"/>
  <c r="J125" i="1"/>
  <c r="D135" i="1"/>
  <c r="D129" i="1"/>
  <c r="J127" i="1"/>
  <c r="C126" i="1" s="1"/>
  <c r="D133" i="1"/>
  <c r="J122" i="1"/>
  <c r="J124" i="1" s="1"/>
  <c r="D130" i="1"/>
  <c r="D134" i="1"/>
  <c r="D128" i="1"/>
  <c r="D132" i="1"/>
  <c r="J126" i="1"/>
  <c r="D131" i="1"/>
  <c r="J128" i="1"/>
  <c r="J129" i="1" s="1"/>
  <c r="J134" i="1" s="1"/>
  <c r="J133" i="1"/>
  <c r="J132" i="1"/>
  <c r="J131" i="1"/>
  <c r="J130" i="1"/>
  <c r="A306" i="1"/>
  <c r="A318" i="1"/>
  <c r="A312" i="1"/>
  <c r="J135" i="1" l="1"/>
  <c r="C127" i="1" s="1"/>
  <c r="G126" i="1" s="1"/>
  <c r="J136" i="1"/>
  <c r="D90" i="1"/>
  <c r="F91" i="1" s="1"/>
  <c r="G110" i="1"/>
  <c r="I109" i="1"/>
  <c r="I107" i="1"/>
  <c r="B138" i="1"/>
  <c r="D126" i="1"/>
  <c r="A307" i="1"/>
  <c r="H138" i="1"/>
  <c r="A319" i="1"/>
  <c r="A313" i="1"/>
  <c r="D127" i="1" l="1"/>
  <c r="I123" i="1" s="1"/>
  <c r="I124" i="1" s="1"/>
  <c r="E126" i="1"/>
  <c r="D91" i="1"/>
  <c r="J140" i="1"/>
  <c r="D149" i="1"/>
  <c r="J142" i="1"/>
  <c r="C141" i="1" s="1"/>
  <c r="D141" i="1" s="1"/>
  <c r="D148" i="1"/>
  <c r="D147" i="1"/>
  <c r="J141" i="1"/>
  <c r="J137" i="1"/>
  <c r="J139" i="1" s="1"/>
  <c r="D145" i="1"/>
  <c r="D150" i="1"/>
  <c r="D144" i="1"/>
  <c r="D143" i="1"/>
  <c r="D146" i="1"/>
  <c r="J147" i="1"/>
  <c r="J145" i="1"/>
  <c r="J143" i="1"/>
  <c r="J144" i="1" s="1"/>
  <c r="J149" i="1" s="1"/>
  <c r="J150" i="1" s="1"/>
  <c r="C142" i="1" s="1"/>
  <c r="J148" i="1"/>
  <c r="J146" i="1"/>
  <c r="J123" i="1"/>
  <c r="I122" i="1" l="1"/>
  <c r="E141" i="1"/>
  <c r="D142" i="1"/>
  <c r="I138" i="1" s="1"/>
  <c r="I139" i="1" s="1"/>
  <c r="J138" i="1"/>
  <c r="G141" i="1"/>
  <c r="I137" i="1" l="1"/>
  <c r="C139"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4" authorId="1" shapeId="0">
      <text>
        <r>
          <rPr>
            <b/>
            <sz val="9"/>
            <color indexed="81"/>
            <rFont val="Tahoma"/>
            <family val="2"/>
          </rPr>
          <t>SACHIN:</t>
        </r>
        <r>
          <rPr>
            <sz val="9"/>
            <color indexed="81"/>
            <rFont val="Tahoma"/>
            <family val="2"/>
          </rPr>
          <t xml:space="preserve">
Floor with height</t>
        </r>
      </text>
    </comment>
    <comment ref="C56" authorId="1" shapeId="0">
      <text>
        <r>
          <rPr>
            <b/>
            <sz val="9"/>
            <color indexed="81"/>
            <rFont val="Tahoma"/>
            <family val="2"/>
          </rPr>
          <t>SACHIN:</t>
        </r>
        <r>
          <rPr>
            <sz val="9"/>
            <color indexed="81"/>
            <rFont val="Tahoma"/>
            <family val="2"/>
          </rPr>
          <t xml:space="preserve">
Survey Nos.</t>
        </r>
      </text>
    </comment>
    <comment ref="C58" authorId="1" shapeId="0">
      <text>
        <r>
          <rPr>
            <b/>
            <sz val="9"/>
            <color indexed="81"/>
            <rFont val="Tahoma"/>
            <family val="2"/>
          </rPr>
          <t>SACHIN:</t>
        </r>
        <r>
          <rPr>
            <sz val="9"/>
            <color indexed="81"/>
            <rFont val="Tahoma"/>
            <family val="2"/>
          </rPr>
          <t xml:space="preserve">
Height from AMSL</t>
        </r>
      </text>
    </comment>
    <comment ref="C71" authorId="1" shapeId="0">
      <text>
        <r>
          <rPr>
            <b/>
            <sz val="9"/>
            <color indexed="81"/>
            <rFont val="Tahoma"/>
            <family val="2"/>
          </rPr>
          <t>SACHIN:</t>
        </r>
        <r>
          <rPr>
            <sz val="9"/>
            <color indexed="81"/>
            <rFont val="Tahoma"/>
            <family val="2"/>
          </rPr>
          <t xml:space="preserve">
Floor with height</t>
        </r>
      </text>
    </comment>
    <comment ref="C73" authorId="1" shapeId="0">
      <text>
        <r>
          <rPr>
            <b/>
            <sz val="9"/>
            <color indexed="81"/>
            <rFont val="Tahoma"/>
            <family val="2"/>
          </rPr>
          <t>SACHIN:</t>
        </r>
        <r>
          <rPr>
            <sz val="9"/>
            <color indexed="81"/>
            <rFont val="Tahoma"/>
            <family val="2"/>
          </rPr>
          <t xml:space="preserve">
Survey Nos.</t>
        </r>
      </text>
    </comment>
    <comment ref="C75" authorId="1" shapeId="0">
      <text>
        <r>
          <rPr>
            <b/>
            <sz val="9"/>
            <color indexed="81"/>
            <rFont val="Tahoma"/>
            <family val="2"/>
          </rPr>
          <t>SACHIN:</t>
        </r>
        <r>
          <rPr>
            <sz val="9"/>
            <color indexed="81"/>
            <rFont val="Tahoma"/>
            <family val="2"/>
          </rPr>
          <t xml:space="preserve">
Height from AMSL</t>
        </r>
      </text>
    </comment>
    <comment ref="D78"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6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01"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<sst xmlns="http://schemas.openxmlformats.org/spreadsheetml/2006/main" count="957" uniqueCount="452">
  <si>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</si>
  <si>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</si>
  <si>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</si>
  <si>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</si>
  <si>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</si>
  <si>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</si>
  <si>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</si>
  <si>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</si>
  <si>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</si>
  <si>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</si>
  <si>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</si>
  <si>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</si>
  <si>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</si>
  <si>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</si>
  <si>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</si>
  <si>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</si>
  <si>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</si>
  <si>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</si>
  <si>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</si>
  <si>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</si>
  <si>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</si>
  <si>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</si>
  <si>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</si>
  <si>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</si>
  <si>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</si>
  <si>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</si>
  <si>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</si>
  <si>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</si>
  <si>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</si>
  <si>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</si>
  <si>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</si>
  <si>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</si>
  <si>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</si>
  <si>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</si>
  <si>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</si>
  <si>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</si>
  <si>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</si>
  <si>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</si>
  <si>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</si>
  <si>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</si>
  <si>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</si>
  <si>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</si>
  <si>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</si>
  <si>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</si>
  <si>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</si>
  <si>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</si>
  <si>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</si>
  <si>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</si>
  <si>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</si>
  <si>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</si>
  <si>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</si>
  <si>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</si>
  <si>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</si>
  <si>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</si>
  <si>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</si>
  <si>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</si>
  <si>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</si>
  <si>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</si>
  <si>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</si>
  <si>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</si>
  <si>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</si>
  <si>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</si>
  <si>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</si>
  <si>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</si>
  <si>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</si>
  <si>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</si>
  <si>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</si>
  <si>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</si>
  <si>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</si>
  <si>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</si>
  <si>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</si>
  <si>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</si>
  <si>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</si>
  <si>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</si>
  <si>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</si>
  <si>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</si>
  <si>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</si>
  <si>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</si>
  <si>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</si>
  <si>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</si>
  <si>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</si>
  <si>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</si>
  <si>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</si>
  <si>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</si>
  <si>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</si>
  <si>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</si>
  <si>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</si>
  <si>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</si>
  <si>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</si>
  <si>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</si>
  <si>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</si>
  <si>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</si>
  <si>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</si>
  <si>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</si>
  <si>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</si>
  <si>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</si>
  <si>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</si>
  <si>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</si>
  <si>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</si>
  <si>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</si>
  <si>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</si>
  <si>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</si>
  <si>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</si>
  <si>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</si>
  <si>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</si>
  <si>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</si>
  <si>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</si>
  <si>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</si>
  <si>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</si>
  <si>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</si>
  <si>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</si>
  <si>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</si>
  <si>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</si>
  <si>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</si>
  <si>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</si>
  <si>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</si>
  <si>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</si>
  <si>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</si>
  <si>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</si>
  <si>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</si>
  <si>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</si>
  <si>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</si>
  <si>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</si>
  <si>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</si>
  <si>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</si>
  <si>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</si>
  <si>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</si>
  <si>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</si>
  <si>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</si>
  <si>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</si>
  <si>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</si>
  <si>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</si>
  <si>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</si>
  <si>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</si>
  <si>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</si>
  <si>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</si>
  <si>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</si>
  <si>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</si>
  <si>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</si>
  <si>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</si>
  <si>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</si>
  <si>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</si>
  <si>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</si>
  <si>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</si>
  <si>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</si>
  <si>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</si>
  <si>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</si>
  <si>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</si>
  <si>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</si>
  <si>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</si>
  <si>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</si>
  <si>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</si>
  <si>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</si>
  <si>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</si>
  <si>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</si>
  <si>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</si>
  <si>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</si>
  <si>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</si>
  <si>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</si>
  <si>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</si>
  <si>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</si>
  <si>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</si>
  <si>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</si>
  <si>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</si>
  <si>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</si>
  <si>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</si>
  <si>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</si>
  <si>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</si>
  <si>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</si>
  <si>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</si>
  <si>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</si>
  <si>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</si>
  <si>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</si>
  <si>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</si>
  <si>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</si>
  <si>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</si>
  <si>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</si>
  <si>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</si>
  <si>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</si>
  <si>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</si>
  <si>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</si>
  <si>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</si>
  <si>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</si>
  <si>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</si>
  <si>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</si>
  <si>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</si>
  <si>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</si>
  <si>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</si>
  <si>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</si>
  <si>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</si>
  <si>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</si>
  <si>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</si>
  <si>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</si>
  <si>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</si>
  <si>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</si>
  <si>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</si>
  <si>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</si>
  <si>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</si>
  <si>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</si>
  <si>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</si>
  <si>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</si>
  <si>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</si>
  <si>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</si>
  <si>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</si>
  <si>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</si>
  <si>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</si>
  <si>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</si>
  <si>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</si>
  <si>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</si>
  <si>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</si>
  <si>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</si>
  <si>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</si>
  <si>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</si>
  <si>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</si>
  <si>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</si>
  <si>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</si>
  <si>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</si>
  <si>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</si>
  <si>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</si>
  <si>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</si>
  <si>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</si>
  <si>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</si>
  <si>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</si>
  <si>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</si>
  <si>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</si>
  <si>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</si>
  <si>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</si>
  <si>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</si>
  <si>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</si>
  <si>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</si>
  <si>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</si>
  <si>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</si>
  <si>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</si>
  <si>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</si>
  <si>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</si>
  <si>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</si>
  <si>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</si>
  <si>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</si>
  <si>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</si>
  <si>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</si>
  <si>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</si>
  <si>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</si>
  <si>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</si>
  <si>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</si>
  <si>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</si>
  <si>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</si>
  <si>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</si>
  <si>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</si>
  <si>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</si>
  <si>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</si>
  <si>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</si>
  <si>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</si>
  <si>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</si>
  <si>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</si>
  <si>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</si>
  <si>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</si>
  <si>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</si>
  <si>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</si>
  <si>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</si>
  <si>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</si>
  <si>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</si>
  <si>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</si>
  <si>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</si>
  <si>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</si>
  <si>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</si>
  <si>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</si>
  <si>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</si>
  <si>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</si>
  <si>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</si>
  <si>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</si>
  <si>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</si>
  <si>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</si>
  <si>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</si>
  <si>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</si>
  <si>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</si>
  <si>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</si>
  <si>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</si>
  <si>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</si>
  <si>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</si>
  <si>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</si>
  <si>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</si>
  <si>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</si>
  <si>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</si>
  <si>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</si>
  <si>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</si>
  <si>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</si>
  <si>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</si>
  <si>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</si>
  <si>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</si>
  <si>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</si>
  <si>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</si>
  <si>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</si>
  <si>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</si>
  <si>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</si>
  <si>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</si>
  <si>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</si>
  <si>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</si>
  <si>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</si>
  <si>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</si>
  <si>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</si>
  <si>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</si>
  <si>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</si>
  <si>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</si>
  <si>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</si>
  <si>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</si>
  <si>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</si>
  <si>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</si>
  <si>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</si>
  <si>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</si>
  <si>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</si>
  <si>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</si>
  <si>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</si>
  <si>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</si>
  <si>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</si>
  <si>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</si>
  <si>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</si>
  <si>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</si>
  <si>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</si>
  <si>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</si>
  <si>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</si>
  <si>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</si>
  <si>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</si>
  <si>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</si>
  <si>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</si>
  <si>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</si>
  <si>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</si>
  <si>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</si>
  <si>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</si>
  <si>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</si>
  <si>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</si>
  <si>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</si>
  <si>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</si>
  <si>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</si>
  <si>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</si>
  <si>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</si>
  <si>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</si>
  <si>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</si>
  <si>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</si>
  <si>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</si>
  <si>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</si>
  <si>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</si>
  <si>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</si>
  <si>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</si>
  <si>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</si>
  <si>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</si>
  <si>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</si>
  <si>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</si>
  <si>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</si>
  <si>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</si>
  <si>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</si>
  <si>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</si>
  <si>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Joyville Shapoorji Housing Private Limited</t>
  </si>
  <si>
    <t>https://maps.app.goo.gl/iGzFufQNq9e7fffD9</t>
  </si>
  <si>
    <t>19.4388152,72.7933408</t>
  </si>
  <si>
    <t>2.4 KM from Virar Railway Station</t>
  </si>
  <si>
    <t>Survey No</t>
  </si>
  <si>
    <t>296, 297, 298, 299, 303, 304, 324 &amp; 390-B (Old) ; S.No. 296/1, 296/2, 296/3, 296/4, 296/5, 296/6, 296/7 &amp; 296/8 ; S.No. 297/1, 297/2 &amp; 297/3 ; S.No. 298/1, 298/2, 298/3, 298/4, 298/5 &amp; 298/6 ; S.No. 299/1, 299/2 &amp; 299/3 ; S.No. 304 ; S.No. 324/1, 324/2, 324/3 &amp; 324/4 ; S.No. 390B/1 &amp; 390B/2 (New)</t>
  </si>
  <si>
    <t>Virar (West)</t>
  </si>
  <si>
    <t>Viva City Road</t>
  </si>
  <si>
    <t>Viva City A2</t>
  </si>
  <si>
    <t>Joyville Virar Phase 3 &amp; 6</t>
  </si>
  <si>
    <t>Stephen Menezes Marg</t>
  </si>
  <si>
    <t>Water Body</t>
  </si>
  <si>
    <t>Pond</t>
  </si>
  <si>
    <t>Channel</t>
  </si>
  <si>
    <t>20.00 M.Wide D.P. Road</t>
  </si>
  <si>
    <t>Other Plot</t>
  </si>
  <si>
    <t>VVCMC/TP/AMEND/VP/0059/277/2021-22</t>
  </si>
  <si>
    <t>VVCMC/TP/RDP/VP-0059/277/2021-22</t>
  </si>
  <si>
    <t>VVCMC/TP/OC/VP-0059/186/2023-24
Approved upto : Bldg No. T2 = Gr/St + 3 Podium + 1st to 20th Floor</t>
  </si>
  <si>
    <t>VVCMC/AMEND/BP/VP-0059/143/2019-20</t>
  </si>
  <si>
    <t>As per RERA - 31/03/2025</t>
  </si>
  <si>
    <t>Tower 4 : Palm Breeze</t>
  </si>
  <si>
    <t>Shop</t>
  </si>
  <si>
    <t>Ground Floor for Meter Room, Society Office, Commercial &amp; Parking</t>
  </si>
  <si>
    <t>2BHK</t>
  </si>
  <si>
    <t>1BHK</t>
  </si>
  <si>
    <t>1st Floor for Residential</t>
  </si>
  <si>
    <t>2nd to 7th, 9th, 11th, 13th, 15th, 17th, 19th, 21st &amp; 23rd Floor</t>
  </si>
  <si>
    <t>8th, 10th, 12th, 14th, 16th, 18th, 20th &amp; 22nd Floor (Part Refuge Area)</t>
  </si>
  <si>
    <t>Navnath Bhatkar</t>
  </si>
  <si>
    <t>Sale Plan :</t>
  </si>
  <si>
    <t>We consider flat numbering from Sale plan. Attached Below.</t>
  </si>
  <si>
    <t>We considered Gross carpet area = Net carpet.</t>
  </si>
  <si>
    <t>Goa Themed Club house, Skating Park, Kids Play Area, Senior Lounge, Swimming Pool, Banquet Hall, Indoor Games, Gym, Half Basketball Court, Jogging Track, Swing Plaza</t>
  </si>
  <si>
    <r>
      <t xml:space="preserve">Proposed Amenities :                                                                                                                                                                                                                         </t>
    </r>
    <r>
      <rPr>
        <b/>
        <sz val="12"/>
        <rFont val="Times New Roman"/>
        <family val="1"/>
      </rPr>
      <t xml:space="preserve">                                               </t>
    </r>
  </si>
  <si>
    <t>Shops</t>
  </si>
  <si>
    <t>Flats</t>
  </si>
  <si>
    <r>
      <t xml:space="preserve">Shop No.
</t>
    </r>
    <r>
      <rPr>
        <b/>
        <sz val="11"/>
        <rFont val="Times New Roman"/>
        <family val="1"/>
      </rPr>
      <t>(Approved Plan)</t>
    </r>
  </si>
  <si>
    <r>
      <t xml:space="preserve">Flat No.
</t>
    </r>
    <r>
      <rPr>
        <b/>
        <sz val="11"/>
        <rFont val="Times New Roman"/>
        <family val="1"/>
      </rPr>
      <t>(Approved Plan)</t>
    </r>
  </si>
  <si>
    <t>Any Other Amenities Charges</t>
  </si>
  <si>
    <t>As per Rera Tower 1 &amp; 4 are registered but as per bank offices request we have done APF for Tower 4 only.</t>
  </si>
  <si>
    <t>Bolinj</t>
  </si>
  <si>
    <t>Tower 2 : Palm Grove</t>
  </si>
  <si>
    <t xml:space="preserve">We have updated Tower 4 Plans &amp; CC (on 05/10/2024). 
</t>
  </si>
  <si>
    <t>Corups Fund Charges</t>
  </si>
  <si>
    <t>Club House, Development Charges</t>
  </si>
  <si>
    <t>Share Application Money Charges</t>
  </si>
  <si>
    <t>Electric/Water Charges</t>
  </si>
  <si>
    <t>Rate Matched with Other Report (Aug 24 - 16429 - Joyville all wing)</t>
  </si>
  <si>
    <t>By Akash Mote ( Cost Sheet)</t>
  </si>
  <si>
    <t>On 09/10/2024</t>
  </si>
  <si>
    <t>Recommended Rates / Other charges of the Property have been revised on 11/10/2024.</t>
  </si>
  <si>
    <t xml:space="preserve">
Tower 4 = Finishing work is in process.(Internal visit not allowed).</t>
  </si>
  <si>
    <t>We have upadated approved OC for Tower 4 from RERA site on 14/04/2025</t>
  </si>
  <si>
    <t>Building No. T2 = Stilt + P1 to P3 + 1st to 20th Floor
(Total Built Up Area = 10925.01 Sq.M.)
Building No.T4 = Gr/Stilt + 1st to 23rd Floor 
(Total Built Up Area = 12767.50 Sq.M.)</t>
  </si>
  <si>
    <t xml:space="preserve">Completed </t>
  </si>
  <si>
    <t>All work Completed. OC Received.</t>
  </si>
  <si>
    <t xml:space="preserve">VVCMC/TP/OC/VP-0059/53/PO/2024/APL/00072
Approved upto : Building No.T4 = Gr/Stilt + 1st to 23rd Floor </t>
  </si>
  <si>
    <t>Mr. Aman Yadav 8850808009</t>
  </si>
  <si>
    <t>Phase 3 (Tower 2) = P99000018521
Phase 6 (Tower 1 &amp; 4) = P99000031256</t>
  </si>
  <si>
    <t>Tower 1 : Palm Springs</t>
  </si>
  <si>
    <t>VVCMC/PO/2025/APL/00107
Approved upto : Bldg No. T1 = Gr/St + P1 to P3 + 1st to 20th Floor</t>
  </si>
  <si>
    <t>A1</t>
  </si>
  <si>
    <t>A2</t>
  </si>
  <si>
    <t>A3</t>
  </si>
  <si>
    <t>A4</t>
  </si>
  <si>
    <t>A5</t>
  </si>
  <si>
    <t>A6</t>
  </si>
  <si>
    <t>A7</t>
  </si>
  <si>
    <t>A8</t>
  </si>
  <si>
    <t>A9</t>
  </si>
  <si>
    <t>A10</t>
  </si>
  <si>
    <t>B1</t>
  </si>
  <si>
    <t>B2</t>
  </si>
  <si>
    <t>B3</t>
  </si>
  <si>
    <t>B4</t>
  </si>
  <si>
    <t>B5</t>
  </si>
  <si>
    <t>B6</t>
  </si>
  <si>
    <t>B7</t>
  </si>
  <si>
    <t>B8</t>
  </si>
  <si>
    <t>B9</t>
  </si>
  <si>
    <t>MP Room</t>
  </si>
  <si>
    <t>2nd to 4th, 6th, 8th, 10th, 12th, 14th, 16th, 18th &amp; 20th Floor</t>
  </si>
  <si>
    <t>5th, 7th, 9th, 11th, 13th, 15th, 17th &amp; 19th Floor (Part Refuge Area)</t>
  </si>
  <si>
    <t>Tower 4</t>
  </si>
  <si>
    <t>Flats - 564, Shops - 12</t>
  </si>
  <si>
    <t>Building No. T1 : Palm Springs</t>
  </si>
  <si>
    <t>Tower 1, 2 &amp; 4 = All work Completed. OC Received.</t>
  </si>
  <si>
    <t>Pooja Kawale</t>
  </si>
  <si>
    <t>03 Buildings</t>
  </si>
  <si>
    <t xml:space="preserve">Building No. T1 = Stilt + P1 to P3 + 1st to 20th Floor (Residential = 380 Flats)
(Total Built Up Area = 19531.29 Sq.M.)
</t>
  </si>
  <si>
    <t>Tower 1</t>
  </si>
  <si>
    <t xml:space="preserve">Joyville Virar Phase 3 : Palm Grove
Joyville Virar Phase 6 : Palm Breeze &amp; Palm Springs
Joyville Virar Phase 6 : Palm </t>
  </si>
  <si>
    <t>Tower 1 : Palm Springs =  Gr/St + P1 to P3 + 1st to 20th Floor</t>
  </si>
  <si>
    <t>Tower 1 : Palm Springs = Gr/St + P1 to P3 + 1st to 20th Floor
Tower 4 : Palm Breeze = Gr/Stilt + 1st to 23rd Floor</t>
  </si>
  <si>
    <t>Tower 4 : Palm Breeze = Gr/Stilt + 1st to 23rd Floor</t>
  </si>
  <si>
    <t>Tower 2 : Palm Grove = Stilt + P1 to P3 + 1st to 20th Floor</t>
  </si>
  <si>
    <t>Approved area of building (Sq.Mt)
Fot Tower 1, 2 &amp; 4</t>
  </si>
  <si>
    <t>We have updated OC &amp; approved 4th to 20th floor plans for Tower No. 1 (On 31/05/2025).</t>
  </si>
  <si>
    <t>Please provide approved Ground Floor to 3rd podium Floor Plan for Tower No. 1 &amp; legible layout plan.</t>
  </si>
  <si>
    <t>Recommended Rates / Other charges of the Property have been revised on 11/10/2024 &amp;
02/06/2025.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</si>
</sst>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
      <b/>
      <sz val="11"/>
      <name val="Times New Roman"/>
      <family val="1"/>
    </font>
  </fonts>
  <fills count="8">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8" fillId="0" borderId="0"/>
    <xf numFmtId="9" fontId="19" fillId="0" borderId="0" applyFont="0" applyFill="0" applyBorder="0" applyAlignment="0" applyProtection="0"/>
    <xf numFmtId="43" fontId="19" fillId="0" borderId="0" applyFont="0" applyFill="0" applyBorder="0" applyAlignment="0" applyProtection="0"/>
    <xf numFmtId="0" fontId="23" fillId="0" borderId="0" applyNumberFormat="0" applyFill="0" applyBorder="0" applyAlignment="0" applyProtection="0"/>
  </cellStyleXfs>
  <cellXfs count="308">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7"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6" fillId="0" borderId="1" xfId="5" applyNumberFormat="1" applyFont="1" applyBorder="1" applyAlignment="1">
      <alignment horizontal="center" vertical="center"/>
    </xf>
    <xf numFmtId="0" fontId="4" fillId="0" borderId="1" xfId="4" applyBorder="1" applyAlignment="1">
      <alignment horizontal="center" vertical="center"/>
    </xf>
    <xf numFmtId="0" fontId="15" fillId="0" borderId="0" xfId="0" applyFont="1" applyProtection="1">
      <protection hidden="1"/>
    </xf>
    <xf numFmtId="0" fontId="13" fillId="0" borderId="1" xfId="1" applyFont="1" applyBorder="1" applyAlignment="1" applyProtection="1">
      <alignment horizontal="center" vertical="top"/>
      <protection locked="0"/>
    </xf>
    <xf numFmtId="0" fontId="15" fillId="0" borderId="11" xfId="0" applyFont="1" applyBorder="1" applyProtection="1">
      <protection hidden="1"/>
    </xf>
    <xf numFmtId="0" fontId="10" fillId="0" borderId="4" xfId="1" applyFont="1" applyBorder="1" applyAlignment="1" applyProtection="1">
      <alignment horizontal="center" vertical="top"/>
      <protection locked="0"/>
    </xf>
    <xf numFmtId="0" fontId="10"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3" fillId="0" borderId="0" xfId="1" applyFont="1"/>
    <xf numFmtId="0" fontId="10" fillId="0" borderId="0" xfId="1" applyFont="1"/>
    <xf numFmtId="1" fontId="6" fillId="0" borderId="0" xfId="1" applyNumberFormat="1" applyFont="1"/>
    <xf numFmtId="0" fontId="6" fillId="0" borderId="0" xfId="1" applyFont="1" applyProtection="1">
      <protection hidden="1"/>
    </xf>
    <xf numFmtId="0" fontId="20" fillId="0" borderId="0" xfId="1" applyFont="1"/>
    <xf numFmtId="0" fontId="6" fillId="0" borderId="10" xfId="1" applyFont="1" applyBorder="1"/>
    <xf numFmtId="0" fontId="15"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4"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horizontal="center" vertical="top"/>
      <protection locked="0"/>
    </xf>
    <xf numFmtId="0" fontId="21" fillId="2" borderId="30" xfId="0" applyFont="1" applyFill="1" applyBorder="1"/>
    <xf numFmtId="0" fontId="22" fillId="0" borderId="31" xfId="0" applyFont="1" applyBorder="1"/>
    <xf numFmtId="0" fontId="22" fillId="0" borderId="1" xfId="0" applyFont="1" applyBorder="1"/>
    <xf numFmtId="0" fontId="22" fillId="0" borderId="5" xfId="0" applyFont="1" applyBorder="1"/>
    <xf numFmtId="0" fontId="10" fillId="0" borderId="1" xfId="1" applyFont="1" applyBorder="1" applyAlignment="1" applyProtection="1">
      <alignment horizontal="center" vertical="top"/>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5"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3" fillId="0" borderId="1" xfId="1" applyFont="1" applyBorder="1" applyAlignment="1" applyProtection="1">
      <alignment horizontal="center" vertical="top"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0" fillId="0" borderId="1" xfId="1" applyFont="1" applyBorder="1"/>
    <xf numFmtId="0" fontId="6" fillId="0" borderId="1" xfId="1" applyFont="1" applyBorder="1"/>
    <xf numFmtId="0" fontId="6" fillId="0" borderId="7"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0" fontId="6" fillId="0" borderId="0" xfId="1" applyFont="1" applyAlignment="1">
      <alignment horizontal="center" vertical="center"/>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22" fillId="0" borderId="9" xfId="0" applyFont="1" applyBorder="1"/>
    <xf numFmtId="9" fontId="10" fillId="0" borderId="1" xfId="8" applyFont="1" applyFill="1" applyBorder="1" applyAlignment="1" applyProtection="1">
      <alignment horizontal="center" vertical="top" wrapText="1"/>
      <protection locked="0"/>
    </xf>
    <xf numFmtId="1" fontId="11" fillId="0" borderId="3" xfId="1" applyNumberFormat="1" applyFont="1" applyBorder="1" applyAlignment="1" applyProtection="1">
      <alignment horizontal="center" vertical="top" wrapText="1"/>
      <protection locked="0"/>
    </xf>
    <xf numFmtId="9" fontId="11" fillId="0" borderId="16" xfId="8" applyFont="1" applyFill="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10"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1" fontId="10" fillId="0" borderId="1" xfId="1" applyNumberFormat="1" applyFont="1" applyBorder="1" applyAlignment="1">
      <alignment horizontal="center" vertical="center"/>
    </xf>
    <xf numFmtId="0" fontId="14" fillId="0" borderId="0" xfId="0" applyFont="1"/>
    <xf numFmtId="0" fontId="6" fillId="0" borderId="25" xfId="1" applyFont="1" applyBorder="1" applyAlignment="1"/>
    <xf numFmtId="0" fontId="6" fillId="0" borderId="0" xfId="1" applyFont="1" applyAlignment="1"/>
    <xf numFmtId="1" fontId="5" fillId="0" borderId="1"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0" xfId="1" applyFont="1" applyAlignment="1">
      <alignment horizontal="center" vertical="center"/>
    </xf>
    <xf numFmtId="0" fontId="6"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0" fontId="6" fillId="0" borderId="16"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0" fontId="21" fillId="2" borderId="15" xfId="0" applyFont="1" applyFill="1" applyBorder="1"/>
    <xf numFmtId="0" fontId="6" fillId="0" borderId="3" xfId="1" applyFont="1" applyBorder="1" applyAlignment="1" applyProtection="1">
      <alignment horizontal="center" vertical="top" wrapText="1"/>
      <protection locked="0"/>
    </xf>
    <xf numFmtId="9" fontId="6" fillId="0" borderId="3" xfId="8" applyFont="1" applyFill="1" applyBorder="1" applyAlignment="1" applyProtection="1">
      <alignment horizontal="center" vertical="top" wrapText="1"/>
      <protection locked="0"/>
    </xf>
    <xf numFmtId="2" fontId="6" fillId="0" borderId="0" xfId="1" applyNumberFormat="1" applyFont="1" applyAlignment="1">
      <alignment horizontal="center" vertical="center"/>
    </xf>
    <xf numFmtId="0" fontId="6" fillId="0" borderId="1" xfId="0" applyFont="1" applyBorder="1" applyAlignment="1">
      <alignment horizontal="center" vertical="center"/>
    </xf>
    <xf numFmtId="0" fontId="6" fillId="0" borderId="1"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 fontId="5" fillId="0" borderId="1" xfId="0" applyNumberFormat="1" applyFont="1" applyBorder="1" applyAlignment="1" applyProtection="1">
      <alignment horizontal="center" vertical="center" wrapText="1"/>
      <protection locked="0"/>
    </xf>
    <xf numFmtId="1" fontId="11" fillId="0" borderId="8" xfId="0" applyNumberFormat="1" applyFont="1" applyBorder="1" applyAlignment="1" applyProtection="1">
      <alignment vertical="top" wrapText="1"/>
      <protection locked="0"/>
    </xf>
    <xf numFmtId="1" fontId="11" fillId="0" borderId="21" xfId="0" applyNumberFormat="1" applyFont="1" applyBorder="1" applyAlignment="1" applyProtection="1">
      <alignment vertical="top" wrapText="1"/>
      <protection locked="0"/>
    </xf>
    <xf numFmtId="1" fontId="11" fillId="0" borderId="9" xfId="0" applyNumberFormat="1" applyFont="1" applyBorder="1" applyAlignment="1" applyProtection="1">
      <alignment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6" fillId="0" borderId="0" xfId="1" applyFont="1" applyAlignment="1">
      <alignment horizontal="center" vertical="center"/>
    </xf>
    <xf numFmtId="1" fontId="10" fillId="0" borderId="8" xfId="1" applyNumberFormat="1" applyFont="1" applyBorder="1" applyAlignment="1" applyProtection="1">
      <alignment horizontal="center" vertical="center" wrapText="1"/>
      <protection locked="0"/>
    </xf>
    <xf numFmtId="1" fontId="10"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5" fillId="0" borderId="1" xfId="1" applyNumberFormat="1" applyFont="1" applyBorder="1" applyAlignment="1" applyProtection="1">
      <alignment horizontal="center" vertical="center" wrapText="1"/>
      <protection locked="0"/>
    </xf>
    <xf numFmtId="1" fontId="11" fillId="0" borderId="8"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19" xfId="1" applyFont="1" applyBorder="1" applyAlignment="1" applyProtection="1">
      <alignment horizontal="left" vertical="top" wrapText="1"/>
      <protection locked="0"/>
    </xf>
    <xf numFmtId="0" fontId="7" fillId="0" borderId="2" xfId="1" applyFont="1" applyBorder="1" applyAlignment="1" applyProtection="1">
      <alignment horizontal="left" vertical="top" wrapText="1"/>
      <protection locked="0"/>
    </xf>
    <xf numFmtId="0" fontId="7" fillId="0" borderId="40" xfId="1" applyFont="1" applyBorder="1" applyAlignment="1" applyProtection="1">
      <alignment horizontal="left" vertical="top" wrapText="1"/>
      <protection locked="0"/>
    </xf>
    <xf numFmtId="0" fontId="11" fillId="0" borderId="1" xfId="1" applyFont="1" applyBorder="1" applyAlignment="1" applyProtection="1">
      <alignment horizontal="center" vertical="center"/>
      <protection locked="0"/>
    </xf>
    <xf numFmtId="9" fontId="11"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center" wrapText="1"/>
      <protection locked="0"/>
    </xf>
    <xf numFmtId="0" fontId="11" fillId="0" borderId="1" xfId="1" applyFont="1" applyBorder="1" applyAlignment="1" applyProtection="1">
      <alignment horizontal="left" vertical="top"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0" fontId="5"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1" fillId="0" borderId="3" xfId="1" applyNumberFormat="1" applyFont="1" applyBorder="1" applyAlignment="1" applyProtection="1">
      <alignment horizontal="center" vertical="top" wrapText="1"/>
      <protection locked="0"/>
    </xf>
    <xf numFmtId="1" fontId="11"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10" fillId="0" borderId="1" xfId="1" applyNumberFormat="1" applyFont="1" applyBorder="1" applyAlignment="1" applyProtection="1">
      <alignment horizontal="center" vertical="center" wrapText="1"/>
      <protection locked="0"/>
    </xf>
    <xf numFmtId="1" fontId="7" fillId="0" borderId="3" xfId="0" applyNumberFormat="1" applyFont="1" applyBorder="1" applyAlignment="1" applyProtection="1">
      <alignment horizontal="center" vertical="top" wrapText="1"/>
      <protection locked="0"/>
    </xf>
    <xf numFmtId="1" fontId="5" fillId="0" borderId="3" xfId="0" applyNumberFormat="1" applyFont="1" applyBorder="1" applyAlignment="1" applyProtection="1">
      <alignment horizontal="center" vertical="center" wrapText="1"/>
      <protection locked="0"/>
    </xf>
    <xf numFmtId="1" fontId="5" fillId="0" borderId="16" xfId="0" applyNumberFormat="1" applyFont="1" applyBorder="1" applyAlignment="1" applyProtection="1">
      <alignment horizontal="center" vertical="center" wrapText="1"/>
      <protection locked="0"/>
    </xf>
    <xf numFmtId="1" fontId="11" fillId="5" borderId="8" xfId="1" applyNumberFormat="1" applyFont="1" applyFill="1" applyBorder="1" applyAlignment="1" applyProtection="1">
      <alignment horizontal="center" vertical="center" wrapText="1"/>
      <protection locked="0"/>
    </xf>
    <xf numFmtId="1" fontId="11" fillId="5" borderId="21" xfId="1" applyNumberFormat="1" applyFont="1" applyFill="1" applyBorder="1" applyAlignment="1" applyProtection="1">
      <alignment horizontal="center" vertical="center" wrapText="1"/>
      <protection locked="0"/>
    </xf>
    <xf numFmtId="1" fontId="11" fillId="5" borderId="9" xfId="1" applyNumberFormat="1" applyFont="1" applyFill="1" applyBorder="1" applyAlignment="1" applyProtection="1">
      <alignment horizontal="center" vertical="center"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11" fillId="0" borderId="17" xfId="1" applyNumberFormat="1" applyFont="1" applyBorder="1" applyAlignment="1" applyProtection="1">
      <alignment horizontal="center" vertical="top" wrapText="1"/>
      <protection locked="0"/>
    </xf>
    <xf numFmtId="1" fontId="11" fillId="0" borderId="19" xfId="1" applyNumberFormat="1" applyFont="1" applyBorder="1" applyAlignment="1" applyProtection="1">
      <alignment horizontal="center" vertical="top" wrapText="1"/>
      <protection locked="0"/>
    </xf>
    <xf numFmtId="0" fontId="7" fillId="6" borderId="1" xfId="1" applyFont="1" applyFill="1" applyBorder="1" applyAlignment="1" applyProtection="1">
      <alignment horizontal="center" vertical="top"/>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13" fillId="0" borderId="17" xfId="1" applyFont="1" applyBorder="1" applyAlignment="1" applyProtection="1">
      <alignment horizontal="left" vertical="top" wrapText="1"/>
      <protection locked="0"/>
    </xf>
    <xf numFmtId="0" fontId="13" fillId="0" borderId="18" xfId="1" applyFont="1" applyBorder="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0" xfId="1"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10" fillId="0" borderId="1" xfId="1" applyFont="1" applyBorder="1" applyAlignment="1" applyProtection="1">
      <alignment horizontal="left" vertical="top" wrapText="1"/>
      <protection locked="0"/>
    </xf>
    <xf numFmtId="0" fontId="10" fillId="0" borderId="1" xfId="1" applyFont="1" applyBorder="1" applyAlignment="1" applyProtection="1">
      <alignment horizontal="left" vertical="top"/>
      <protection locked="0"/>
    </xf>
    <xf numFmtId="0" fontId="11" fillId="0" borderId="35" xfId="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6" xfId="1" applyFont="1" applyBorder="1" applyAlignment="1" applyProtection="1">
      <alignment horizontal="left" vertical="top" wrapText="1"/>
      <protection locked="0"/>
    </xf>
    <xf numFmtId="0" fontId="11" fillId="0" borderId="32" xfId="1" applyFont="1" applyBorder="1" applyAlignment="1" applyProtection="1">
      <alignment horizontal="center" vertical="center"/>
      <protection locked="0"/>
    </xf>
    <xf numFmtId="0" fontId="11" fillId="0" borderId="33" xfId="1" applyFont="1" applyBorder="1" applyAlignment="1" applyProtection="1">
      <alignment horizontal="center" vertical="center"/>
      <protection locked="0"/>
    </xf>
    <xf numFmtId="9" fontId="11" fillId="0" borderId="33" xfId="1" applyNumberFormat="1" applyFont="1" applyBorder="1" applyAlignment="1" applyProtection="1">
      <alignment horizontal="center" vertical="center" wrapText="1"/>
      <protection locked="0"/>
    </xf>
    <xf numFmtId="0" fontId="11" fillId="0" borderId="33" xfId="1" applyFont="1" applyBorder="1" applyAlignment="1" applyProtection="1">
      <alignment horizontal="center" vertical="center" wrapText="1"/>
      <protection locked="0"/>
    </xf>
    <xf numFmtId="0" fontId="11" fillId="0" borderId="34" xfId="1" applyFont="1" applyBorder="1" applyAlignment="1" applyProtection="1">
      <alignment horizontal="center" vertical="center" wrapText="1"/>
      <protection locked="0"/>
    </xf>
    <xf numFmtId="0" fontId="6" fillId="0" borderId="37" xfId="1" applyFont="1" applyBorder="1" applyAlignment="1" applyProtection="1">
      <alignment horizontal="center" vertical="top" wrapText="1"/>
      <protection locked="0"/>
    </xf>
    <xf numFmtId="0" fontId="6" fillId="0" borderId="16" xfId="1" applyFont="1" applyBorder="1" applyAlignment="1" applyProtection="1">
      <alignment horizontal="center" vertical="top" wrapText="1"/>
      <protection locked="0"/>
    </xf>
    <xf numFmtId="0" fontId="10" fillId="0" borderId="1" xfId="1" applyFont="1" applyBorder="1" applyAlignment="1" applyProtection="1">
      <alignment horizontal="center" vertical="top" wrapText="1"/>
      <protection locked="0"/>
    </xf>
    <xf numFmtId="167" fontId="10" fillId="0" borderId="1" xfId="9" applyNumberFormat="1" applyFont="1" applyFill="1" applyBorder="1" applyAlignment="1" applyProtection="1">
      <alignment horizontal="left" vertical="top"/>
      <protection locked="0"/>
    </xf>
    <xf numFmtId="0" fontId="5" fillId="0" borderId="8" xfId="0" applyFont="1" applyBorder="1" applyAlignment="1">
      <alignment horizontal="left" vertical="top"/>
    </xf>
    <xf numFmtId="0" fontId="5" fillId="0" borderId="21" xfId="0" applyFont="1" applyBorder="1" applyAlignment="1">
      <alignment horizontal="left" vertical="top"/>
    </xf>
    <xf numFmtId="0" fontId="5" fillId="0" borderId="9" xfId="0" applyFont="1" applyBorder="1" applyAlignment="1">
      <alignment horizontal="left" vertical="top"/>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0" fontId="6" fillId="0" borderId="35" xfId="1" applyFont="1" applyBorder="1" applyAlignment="1" applyProtection="1">
      <alignment horizontal="center" vertical="top" wrapText="1"/>
      <protection locked="0"/>
    </xf>
    <xf numFmtId="0" fontId="6" fillId="0" borderId="3" xfId="1" applyFont="1" applyBorder="1" applyAlignment="1" applyProtection="1">
      <alignment horizontal="center" vertical="top" wrapText="1"/>
      <protection locked="0"/>
    </xf>
    <xf numFmtId="9" fontId="10" fillId="0" borderId="1" xfId="8" applyFont="1" applyFill="1" applyBorder="1" applyAlignment="1" applyProtection="1">
      <alignment horizontal="center" vertical="center" wrapText="1"/>
      <protection locked="0"/>
    </xf>
    <xf numFmtId="0" fontId="7" fillId="0" borderId="3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9" fontId="6" fillId="0" borderId="1" xfId="8" applyFont="1" applyFill="1" applyBorder="1" applyAlignment="1" applyProtection="1">
      <alignment horizontal="center" vertical="center" wrapText="1"/>
      <protection locked="0"/>
    </xf>
    <xf numFmtId="1" fontId="5" fillId="0" borderId="1" xfId="1" applyNumberFormat="1" applyFont="1" applyBorder="1" applyAlignment="1" applyProtection="1">
      <alignment horizontal="left" vertical="top" wrapText="1"/>
      <protection locked="0"/>
    </xf>
    <xf numFmtId="0" fontId="6" fillId="0" borderId="38" xfId="1" applyFont="1" applyBorder="1" applyAlignment="1" applyProtection="1">
      <alignment horizontal="center" vertical="top" wrapText="1"/>
      <protection locked="0"/>
    </xf>
    <xf numFmtId="0" fontId="10" fillId="0" borderId="17" xfId="1" applyFont="1" applyBorder="1" applyAlignment="1" applyProtection="1">
      <alignment horizontal="left" vertical="top" wrapText="1"/>
      <protection locked="0"/>
    </xf>
    <xf numFmtId="0" fontId="10" fillId="0" borderId="24" xfId="1" applyFont="1" applyBorder="1" applyAlignment="1" applyProtection="1">
      <alignment horizontal="left" vertical="top" wrapText="1"/>
      <protection locked="0"/>
    </xf>
    <xf numFmtId="0" fontId="10" fillId="0" borderId="18" xfId="1" applyFont="1" applyBorder="1" applyAlignment="1" applyProtection="1">
      <alignment horizontal="left" vertical="top" wrapText="1"/>
      <protection locked="0"/>
    </xf>
    <xf numFmtId="0" fontId="10" fillId="0" borderId="25" xfId="1" applyFont="1" applyBorder="1" applyAlignment="1" applyProtection="1">
      <alignment horizontal="left" vertical="top" wrapText="1"/>
      <protection locked="0"/>
    </xf>
    <xf numFmtId="0" fontId="10" fillId="0" borderId="0" xfId="1" applyFont="1" applyBorder="1" applyAlignment="1" applyProtection="1">
      <alignment horizontal="left" vertical="top" wrapText="1"/>
      <protection locked="0"/>
    </xf>
    <xf numFmtId="0" fontId="10" fillId="0" borderId="26" xfId="1" applyFont="1" applyBorder="1" applyAlignment="1" applyProtection="1">
      <alignment horizontal="left" vertical="top" wrapText="1"/>
      <protection locked="0"/>
    </xf>
    <xf numFmtId="0" fontId="10" fillId="0" borderId="19" xfId="1" applyFont="1" applyBorder="1" applyAlignment="1" applyProtection="1">
      <alignment horizontal="left" vertical="top" wrapText="1"/>
      <protection locked="0"/>
    </xf>
    <xf numFmtId="0" fontId="10" fillId="0" borderId="2" xfId="1" applyFont="1" applyBorder="1" applyAlignment="1" applyProtection="1">
      <alignment horizontal="left" vertical="top" wrapText="1"/>
      <protection locked="0"/>
    </xf>
    <xf numFmtId="0" fontId="10" fillId="0" borderId="20" xfId="1" applyFont="1" applyBorder="1" applyAlignment="1" applyProtection="1">
      <alignment horizontal="left" vertical="top" wrapText="1"/>
      <protection locked="0"/>
    </xf>
    <xf numFmtId="0" fontId="11" fillId="0" borderId="22" xfId="1" applyFont="1" applyBorder="1" applyAlignment="1" applyProtection="1">
      <alignment horizontal="left" vertical="top" wrapText="1"/>
      <protection locked="0"/>
    </xf>
    <xf numFmtId="0" fontId="11" fillId="0" borderId="15" xfId="1" applyFont="1" applyBorder="1" applyAlignment="1" applyProtection="1">
      <alignment horizontal="left" vertical="top" wrapText="1"/>
      <protection locked="0"/>
    </xf>
    <xf numFmtId="0" fontId="11" fillId="0" borderId="13" xfId="1" applyFont="1" applyBorder="1" applyAlignment="1" applyProtection="1">
      <alignment horizontal="left" vertical="top" wrapText="1"/>
      <protection locked="0"/>
    </xf>
    <xf numFmtId="0" fontId="11" fillId="0" borderId="14"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10"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0" fontId="6" fillId="0" borderId="5"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1" fontId="7" fillId="0" borderId="33" xfId="0" applyNumberFormat="1" applyFont="1" applyBorder="1" applyAlignment="1" applyProtection="1">
      <alignment horizontal="center" vertical="top" wrapText="1"/>
      <protection locked="0"/>
    </xf>
    <xf numFmtId="1" fontId="7" fillId="0" borderId="34" xfId="0" applyNumberFormat="1" applyFont="1" applyBorder="1" applyAlignment="1" applyProtection="1">
      <alignment horizontal="center" vertical="top" wrapText="1"/>
      <protection locked="0"/>
    </xf>
    <xf numFmtId="3" fontId="5" fillId="7" borderId="8" xfId="0" applyNumberFormat="1" applyFont="1" applyFill="1" applyBorder="1" applyAlignment="1">
      <alignment horizontal="right" vertical="top" wrapText="1"/>
    </xf>
    <xf numFmtId="0" fontId="5" fillId="7" borderId="21" xfId="0" applyFont="1" applyFill="1" applyBorder="1" applyAlignment="1">
      <alignment horizontal="right" vertical="top" wrapText="1"/>
    </xf>
    <xf numFmtId="0" fontId="5" fillId="7" borderId="9" xfId="0" applyFont="1" applyFill="1" applyBorder="1" applyAlignment="1">
      <alignment horizontal="right" vertical="top" wrapText="1"/>
    </xf>
    <xf numFmtId="167" fontId="10" fillId="0" borderId="1" xfId="9" applyNumberFormat="1" applyFont="1" applyFill="1" applyBorder="1" applyAlignment="1" applyProtection="1">
      <alignment horizontal="right"/>
      <protection locked="0"/>
    </xf>
    <xf numFmtId="1" fontId="6"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1" fontId="7" fillId="0" borderId="32" xfId="0" applyNumberFormat="1" applyFont="1" applyBorder="1" applyAlignment="1" applyProtection="1">
      <alignment horizontal="center" vertical="center" wrapText="1"/>
      <protection locked="0"/>
    </xf>
    <xf numFmtId="1" fontId="7" fillId="0" borderId="33"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protection locked="0"/>
    </xf>
    <xf numFmtId="0" fontId="9" fillId="0" borderId="33" xfId="0" applyFont="1" applyBorder="1" applyAlignment="1" applyProtection="1">
      <alignment horizontal="center" vertical="center"/>
      <protection locked="0"/>
    </xf>
    <xf numFmtId="1" fontId="9" fillId="0" borderId="33" xfId="0" applyNumberFormat="1" applyFont="1" applyBorder="1" applyAlignment="1" applyProtection="1">
      <alignment horizontal="center" vertical="top" wrapText="1"/>
      <protection locked="0"/>
    </xf>
    <xf numFmtId="1" fontId="7" fillId="0" borderId="3" xfId="0" applyNumberFormat="1" applyFont="1" applyBorder="1" applyAlignment="1" applyProtection="1">
      <alignment horizontal="center" vertical="center" wrapText="1"/>
      <protection locked="0"/>
    </xf>
    <xf numFmtId="1" fontId="9" fillId="0" borderId="3" xfId="0" applyNumberFormat="1" applyFont="1" applyBorder="1" applyAlignment="1" applyProtection="1">
      <alignment horizontal="center" vertical="top" wrapText="1"/>
      <protection locked="0"/>
    </xf>
    <xf numFmtId="0" fontId="9" fillId="0" borderId="3"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top"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1" fontId="11" fillId="0" borderId="1" xfId="1" applyNumberFormat="1" applyFont="1" applyBorder="1" applyAlignment="1" applyProtection="1">
      <alignment horizontal="center" vertical="center" wrapText="1"/>
      <protection locked="0"/>
    </xf>
    <xf numFmtId="0" fontId="7" fillId="0" borderId="16" xfId="1" applyFont="1" applyBorder="1" applyAlignment="1" applyProtection="1">
      <alignment horizontal="left" vertical="top"/>
      <protection locked="0"/>
    </xf>
    <xf numFmtId="1" fontId="7" fillId="0" borderId="1" xfId="0" applyNumberFormat="1" applyFont="1" applyBorder="1" applyAlignment="1" applyProtection="1">
      <alignment horizontal="center" vertical="top" wrapText="1"/>
      <protection locked="0"/>
    </xf>
    <xf numFmtId="0" fontId="11" fillId="0" borderId="16"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0" fillId="0" borderId="8" xfId="1" applyFont="1" applyBorder="1" applyAlignment="1" applyProtection="1">
      <alignment horizontal="center" vertical="top"/>
      <protection locked="0"/>
    </xf>
    <xf numFmtId="0" fontId="10" fillId="0" borderId="21" xfId="1" applyFont="1" applyBorder="1" applyAlignment="1" applyProtection="1">
      <alignment horizontal="center" vertical="top"/>
      <protection locked="0"/>
    </xf>
    <xf numFmtId="0" fontId="10" fillId="0" borderId="9" xfId="1" applyFont="1" applyBorder="1" applyAlignment="1" applyProtection="1">
      <alignment horizontal="center" vertical="top"/>
      <protection locked="0"/>
    </xf>
    <xf numFmtId="0" fontId="11" fillId="0" borderId="8" xfId="1" applyFont="1" applyBorder="1" applyAlignment="1" applyProtection="1">
      <alignment horizontal="left" vertical="top"/>
      <protection locked="0"/>
    </xf>
    <xf numFmtId="0" fontId="11" fillId="0" borderId="21" xfId="1" applyFont="1" applyBorder="1" applyAlignment="1" applyProtection="1">
      <alignment horizontal="left" vertical="top"/>
      <protection locked="0"/>
    </xf>
    <xf numFmtId="0" fontId="11" fillId="0" borderId="9" xfId="1" applyFont="1" applyBorder="1" applyAlignment="1" applyProtection="1">
      <alignment horizontal="left" vertical="top"/>
      <protection locked="0"/>
    </xf>
    <xf numFmtId="164" fontId="5" fillId="0" borderId="1" xfId="1" applyNumberFormat="1" applyFont="1" applyBorder="1" applyAlignment="1" applyProtection="1">
      <alignment horizontal="left" vertical="top"/>
      <protection locked="0"/>
    </xf>
    <xf numFmtId="2" fontId="10" fillId="0" borderId="1" xfId="1" applyNumberFormat="1" applyFont="1" applyBorder="1" applyAlignment="1" applyProtection="1">
      <alignment horizontal="left" vertical="top"/>
      <protection locked="0"/>
    </xf>
    <xf numFmtId="0" fontId="23" fillId="0" borderId="1" xfId="10" applyFill="1" applyBorder="1" applyAlignment="1" applyProtection="1">
      <alignment horizontal="left" vertical="top" wrapText="1"/>
      <protection locked="0"/>
    </xf>
    <xf numFmtId="0" fontId="11" fillId="5" borderId="1" xfId="1" applyFont="1" applyFill="1" applyBorder="1" applyAlignment="1" applyProtection="1">
      <alignment horizontal="center" vertical="center"/>
      <protection locked="0"/>
    </xf>
    <xf numFmtId="0" fontId="10" fillId="0" borderId="1" xfId="1" applyFont="1" applyBorder="1" applyAlignment="1" applyProtection="1">
      <alignment horizontal="center"/>
      <protection locked="0"/>
    </xf>
    <xf numFmtId="0" fontId="11" fillId="0" borderId="8" xfId="1" applyFont="1" applyBorder="1" applyAlignment="1" applyProtection="1">
      <alignment horizontal="center" vertical="top"/>
      <protection locked="0"/>
    </xf>
    <xf numFmtId="0" fontId="11" fillId="0" borderId="21" xfId="1" applyFont="1" applyBorder="1" applyAlignment="1" applyProtection="1">
      <alignment horizontal="center" vertical="top"/>
      <protection locked="0"/>
    </xf>
    <xf numFmtId="0" fontId="11" fillId="0" borderId="9"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0" fontId="10" fillId="0" borderId="1" xfId="1" applyFont="1" applyBorder="1" applyAlignment="1" applyProtection="1">
      <alignment horizontal="left"/>
      <protection locked="0"/>
    </xf>
    <xf numFmtId="0" fontId="27" fillId="0" borderId="1" xfId="1" applyFont="1" applyBorder="1" applyAlignment="1" applyProtection="1">
      <alignment horizontal="center" vertical="top" wrapText="1"/>
      <protection locked="0"/>
    </xf>
    <xf numFmtId="0" fontId="11" fillId="0" borderId="1" xfId="1" applyFont="1" applyBorder="1" applyAlignment="1" applyProtection="1">
      <alignment horizontal="center" vertical="top"/>
      <protection locked="0"/>
    </xf>
    <xf numFmtId="14" fontId="10"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5" fillId="0" borderId="1" xfId="1" applyFont="1" applyBorder="1" applyAlignment="1" applyProtection="1">
      <alignment vertical="top"/>
      <protection locked="0"/>
    </xf>
    <xf numFmtId="0" fontId="6" fillId="0" borderId="1" xfId="0" applyFont="1" applyBorder="1" applyAlignment="1" applyProtection="1">
      <alignment horizontal="center" vertical="top" wrapText="1"/>
      <protection locked="0"/>
    </xf>
    <xf numFmtId="1" fontId="9" fillId="0" borderId="3"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6" fillId="0" borderId="25" xfId="1" applyFont="1" applyBorder="1" applyAlignment="1">
      <alignment horizontal="center"/>
    </xf>
    <xf numFmtId="0" fontId="6" fillId="0" borderId="0" xfId="1" applyFont="1" applyAlignment="1">
      <alignment horizontal="center"/>
    </xf>
    <xf numFmtId="0" fontId="10" fillId="0" borderId="19" xfId="1" applyFont="1" applyBorder="1" applyAlignment="1" applyProtection="1">
      <alignment horizontal="left" vertical="top"/>
      <protection locked="0"/>
    </xf>
    <xf numFmtId="0" fontId="10" fillId="0" borderId="2" xfId="1" applyFont="1" applyBorder="1" applyAlignment="1" applyProtection="1">
      <alignment horizontal="left" vertical="top"/>
      <protection locked="0"/>
    </xf>
    <xf numFmtId="0" fontId="10" fillId="0" borderId="20" xfId="1" applyFont="1" applyBorder="1" applyAlignment="1" applyProtection="1">
      <alignment horizontal="left" vertical="top"/>
      <protection locked="0"/>
    </xf>
    <xf numFmtId="0" fontId="10" fillId="0" borderId="3" xfId="1" applyFont="1" applyBorder="1" applyAlignment="1" applyProtection="1">
      <alignment horizontal="left" vertical="top"/>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0" fontId="11" fillId="0" borderId="4" xfId="1" applyFont="1" applyBorder="1" applyAlignment="1" applyProtection="1">
      <alignment horizontal="left" vertical="top"/>
      <protection locked="0"/>
    </xf>
    <xf numFmtId="0" fontId="11" fillId="0" borderId="5" xfId="1" applyFont="1" applyBorder="1" applyAlignment="1" applyProtection="1">
      <alignment horizontal="left" vertical="top" wrapText="1"/>
      <protection locked="0"/>
    </xf>
    <xf numFmtId="1" fontId="7" fillId="0" borderId="1" xfId="0" applyNumberFormat="1" applyFont="1" applyBorder="1" applyAlignment="1" applyProtection="1">
      <alignment horizontal="left" vertical="top" wrapText="1"/>
      <protection locked="0"/>
    </xf>
    <xf numFmtId="1" fontId="5" fillId="0" borderId="21" xfId="1" applyNumberFormat="1" applyFont="1" applyBorder="1" applyAlignment="1" applyProtection="1">
      <alignment horizontal="center" vertical="center"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704850</xdr:colOff>
      <xdr:row>394</xdr:row>
      <xdr:rowOff>95250</xdr:rowOff>
    </xdr:from>
    <xdr:to>
      <xdr:col>7</xdr:col>
      <xdr:colOff>61052</xdr:colOff>
      <xdr:row>418</xdr:row>
      <xdr:rowOff>29225</xdr:rowOff>
    </xdr:to>
    <xdr:pic>
      <xdr:nvPicPr>
        <xdr:cNvPr id="2" name="Picture 1"/>
        <xdr:cNvPicPr>
          <a:picLocks noChangeAspect="1"/>
        </xdr:cNvPicPr>
      </xdr:nvPicPr>
      <xdr:blipFill>
        <a:blip xmlns:r="http://schemas.openxmlformats.org/officeDocument/2006/relationships" r:embed="rId1"/>
        <a:stretch>
          <a:fillRect/>
        </a:stretch>
      </xdr:blipFill>
      <xdr:spPr>
        <a:xfrm>
          <a:off x="704850" y="56826150"/>
          <a:ext cx="5210902" cy="4658375"/>
        </a:xfrm>
        <a:prstGeom prst="rect">
          <a:avLst/>
        </a:prstGeom>
        <a:ln>
          <a:solidFill>
            <a:schemeClr val="tx1"/>
          </a:solidFill>
        </a:ln>
      </xdr:spPr>
    </xdr:pic>
    <xdr:clientData/>
  </xdr:twoCellAnchor>
  <xdr:twoCellAnchor editAs="oneCell">
    <xdr:from>
      <xdr:col>2</xdr:col>
      <xdr:colOff>232001</xdr:colOff>
      <xdr:row>418</xdr:row>
      <xdr:rowOff>131273</xdr:rowOff>
    </xdr:from>
    <xdr:to>
      <xdr:col>5</xdr:col>
      <xdr:colOff>445001</xdr:colOff>
      <xdr:row>435</xdr:row>
      <xdr:rowOff>101599</xdr:rowOff>
    </xdr:to>
    <xdr:pic>
      <xdr:nvPicPr>
        <xdr:cNvPr id="3" name="Picture 2"/>
        <xdr:cNvPicPr>
          <a:picLocks noChangeAspect="1"/>
        </xdr:cNvPicPr>
      </xdr:nvPicPr>
      <xdr:blipFill>
        <a:blip xmlns:r="http://schemas.openxmlformats.org/officeDocument/2006/relationships" r:embed="rId2"/>
        <a:stretch>
          <a:fillRect/>
        </a:stretch>
      </xdr:blipFill>
      <xdr:spPr>
        <a:xfrm>
          <a:off x="1870301" y="61586573"/>
          <a:ext cx="2880000" cy="3316777"/>
        </a:xfrm>
        <a:prstGeom prst="rect">
          <a:avLst/>
        </a:prstGeom>
        <a:ln>
          <a:solidFill>
            <a:schemeClr val="tx1"/>
          </a:solidFill>
        </a:ln>
      </xdr:spPr>
    </xdr:pic>
    <xdr:clientData/>
  </xdr:twoCellAnchor>
  <xdr:twoCellAnchor>
    <xdr:from>
      <xdr:col>1</xdr:col>
      <xdr:colOff>736600</xdr:colOff>
      <xdr:row>401</xdr:row>
      <xdr:rowOff>50800</xdr:rowOff>
    </xdr:from>
    <xdr:to>
      <xdr:col>2</xdr:col>
      <xdr:colOff>571500</xdr:colOff>
      <xdr:row>405</xdr:row>
      <xdr:rowOff>12700</xdr:rowOff>
    </xdr:to>
    <xdr:sp macro="" textlink="">
      <xdr:nvSpPr>
        <xdr:cNvPr id="4" name="Rectangle 3"/>
        <xdr:cNvSpPr/>
      </xdr:nvSpPr>
      <xdr:spPr>
        <a:xfrm>
          <a:off x="1536700" y="58159650"/>
          <a:ext cx="673100" cy="7493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1</xdr:col>
      <xdr:colOff>742950</xdr:colOff>
      <xdr:row>405</xdr:row>
      <xdr:rowOff>139700</xdr:rowOff>
    </xdr:from>
    <xdr:to>
      <xdr:col>2</xdr:col>
      <xdr:colOff>577850</xdr:colOff>
      <xdr:row>409</xdr:row>
      <xdr:rowOff>101600</xdr:rowOff>
    </xdr:to>
    <xdr:sp macro="" textlink="">
      <xdr:nvSpPr>
        <xdr:cNvPr id="5" name="Rectangle 4"/>
        <xdr:cNvSpPr/>
      </xdr:nvSpPr>
      <xdr:spPr>
        <a:xfrm>
          <a:off x="1543050" y="59035950"/>
          <a:ext cx="673100" cy="749300"/>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2</xdr:col>
      <xdr:colOff>19050</xdr:colOff>
      <xdr:row>402</xdr:row>
      <xdr:rowOff>82550</xdr:rowOff>
    </xdr:from>
    <xdr:ext cx="388633" cy="342786"/>
    <xdr:sp macro="" textlink="">
      <xdr:nvSpPr>
        <xdr:cNvPr id="6" name="TextBox 5"/>
        <xdr:cNvSpPr txBox="1"/>
      </xdr:nvSpPr>
      <xdr:spPr>
        <a:xfrm>
          <a:off x="1657350" y="58388250"/>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T4</a:t>
          </a:r>
        </a:p>
      </xdr:txBody>
    </xdr:sp>
    <xdr:clientData/>
  </xdr:oneCellAnchor>
  <xdr:oneCellAnchor>
    <xdr:from>
      <xdr:col>2</xdr:col>
      <xdr:colOff>63500</xdr:colOff>
      <xdr:row>406</xdr:row>
      <xdr:rowOff>165100</xdr:rowOff>
    </xdr:from>
    <xdr:ext cx="388633" cy="342786"/>
    <xdr:sp macro="" textlink="">
      <xdr:nvSpPr>
        <xdr:cNvPr id="7" name="TextBox 6"/>
        <xdr:cNvSpPr txBox="1"/>
      </xdr:nvSpPr>
      <xdr:spPr>
        <a:xfrm>
          <a:off x="1701800" y="59258200"/>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T5</a:t>
          </a:r>
        </a:p>
      </xdr:txBody>
    </xdr:sp>
    <xdr:clientData/>
  </xdr:oneCellAnchor>
  <xdr:twoCellAnchor>
    <xdr:from>
      <xdr:col>1</xdr:col>
      <xdr:colOff>652063</xdr:colOff>
      <xdr:row>397</xdr:row>
      <xdr:rowOff>54537</xdr:rowOff>
    </xdr:from>
    <xdr:to>
      <xdr:col>3</xdr:col>
      <xdr:colOff>195558</xdr:colOff>
      <xdr:row>400</xdr:row>
      <xdr:rowOff>133265</xdr:rowOff>
    </xdr:to>
    <xdr:sp macro="" textlink="">
      <xdr:nvSpPr>
        <xdr:cNvPr id="8" name="Rectangle 7"/>
        <xdr:cNvSpPr/>
      </xdr:nvSpPr>
      <xdr:spPr>
        <a:xfrm rot="1159147">
          <a:off x="1452163" y="57375987"/>
          <a:ext cx="1270695" cy="66927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142304</xdr:colOff>
      <xdr:row>399</xdr:row>
      <xdr:rowOff>130001</xdr:rowOff>
    </xdr:from>
    <xdr:to>
      <xdr:col>4</xdr:col>
      <xdr:colOff>364283</xdr:colOff>
      <xdr:row>403</xdr:row>
      <xdr:rowOff>11879</xdr:rowOff>
    </xdr:to>
    <xdr:sp macro="" textlink="">
      <xdr:nvSpPr>
        <xdr:cNvPr id="9" name="Rectangle 8"/>
        <xdr:cNvSpPr/>
      </xdr:nvSpPr>
      <xdr:spPr>
        <a:xfrm rot="1567561">
          <a:off x="2669604" y="57845151"/>
          <a:ext cx="1180829" cy="66927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4</xdr:col>
      <xdr:colOff>243904</xdr:colOff>
      <xdr:row>402</xdr:row>
      <xdr:rowOff>149050</xdr:rowOff>
    </xdr:from>
    <xdr:to>
      <xdr:col>5</xdr:col>
      <xdr:colOff>605583</xdr:colOff>
      <xdr:row>406</xdr:row>
      <xdr:rowOff>30928</xdr:rowOff>
    </xdr:to>
    <xdr:sp macro="" textlink="">
      <xdr:nvSpPr>
        <xdr:cNvPr id="10" name="Rectangle 9"/>
        <xdr:cNvSpPr/>
      </xdr:nvSpPr>
      <xdr:spPr>
        <a:xfrm rot="2123922">
          <a:off x="3730054" y="58454750"/>
          <a:ext cx="1180829" cy="66927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2</xdr:col>
      <xdr:colOff>290113</xdr:colOff>
      <xdr:row>398</xdr:row>
      <xdr:rowOff>60887</xdr:rowOff>
    </xdr:from>
    <xdr:ext cx="388633" cy="342786"/>
    <xdr:sp macro="" textlink="">
      <xdr:nvSpPr>
        <xdr:cNvPr id="11" name="TextBox 10"/>
        <xdr:cNvSpPr txBox="1"/>
      </xdr:nvSpPr>
      <xdr:spPr>
        <a:xfrm>
          <a:off x="1928413" y="57579187"/>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T1</a:t>
          </a:r>
        </a:p>
      </xdr:txBody>
    </xdr:sp>
    <xdr:clientData/>
  </xdr:oneCellAnchor>
  <xdr:oneCellAnchor>
    <xdr:from>
      <xdr:col>3</xdr:col>
      <xdr:colOff>485204</xdr:colOff>
      <xdr:row>400</xdr:row>
      <xdr:rowOff>91901</xdr:rowOff>
    </xdr:from>
    <xdr:ext cx="388633" cy="342786"/>
    <xdr:sp macro="" textlink="">
      <xdr:nvSpPr>
        <xdr:cNvPr id="12" name="TextBox 11"/>
        <xdr:cNvSpPr txBox="1"/>
      </xdr:nvSpPr>
      <xdr:spPr>
        <a:xfrm>
          <a:off x="3012504" y="58003901"/>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T2</a:t>
          </a:r>
        </a:p>
      </xdr:txBody>
    </xdr:sp>
    <xdr:clientData/>
  </xdr:oneCellAnchor>
  <xdr:oneCellAnchor>
    <xdr:from>
      <xdr:col>4</xdr:col>
      <xdr:colOff>593154</xdr:colOff>
      <xdr:row>403</xdr:row>
      <xdr:rowOff>79200</xdr:rowOff>
    </xdr:from>
    <xdr:ext cx="388633" cy="342786"/>
    <xdr:sp macro="" textlink="">
      <xdr:nvSpPr>
        <xdr:cNvPr id="13" name="TextBox 12"/>
        <xdr:cNvSpPr txBox="1"/>
      </xdr:nvSpPr>
      <xdr:spPr>
        <a:xfrm>
          <a:off x="4079304" y="58581750"/>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T3</a:t>
          </a:r>
        </a:p>
      </xdr:txBody>
    </xdr:sp>
    <xdr:clientData/>
  </xdr:oneCellAnchor>
  <xdr:twoCellAnchor>
    <xdr:from>
      <xdr:col>3</xdr:col>
      <xdr:colOff>27556</xdr:colOff>
      <xdr:row>407</xdr:row>
      <xdr:rowOff>56844</xdr:rowOff>
    </xdr:from>
    <xdr:to>
      <xdr:col>3</xdr:col>
      <xdr:colOff>700656</xdr:colOff>
      <xdr:row>412</xdr:row>
      <xdr:rowOff>58462</xdr:rowOff>
    </xdr:to>
    <xdr:sp macro="" textlink="">
      <xdr:nvSpPr>
        <xdr:cNvPr id="14" name="Rectangle 13"/>
        <xdr:cNvSpPr/>
      </xdr:nvSpPr>
      <xdr:spPr>
        <a:xfrm rot="21352566">
          <a:off x="2554856" y="59346794"/>
          <a:ext cx="673100" cy="985868"/>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twoCellAnchor>
    <xdr:from>
      <xdr:col>3</xdr:col>
      <xdr:colOff>853251</xdr:colOff>
      <xdr:row>406</xdr:row>
      <xdr:rowOff>131670</xdr:rowOff>
    </xdr:from>
    <xdr:to>
      <xdr:col>4</xdr:col>
      <xdr:colOff>605485</xdr:colOff>
      <xdr:row>411</xdr:row>
      <xdr:rowOff>140077</xdr:rowOff>
    </xdr:to>
    <xdr:sp macro="" textlink="">
      <xdr:nvSpPr>
        <xdr:cNvPr id="15" name="Rectangle 14"/>
        <xdr:cNvSpPr/>
      </xdr:nvSpPr>
      <xdr:spPr>
        <a:xfrm rot="21352566">
          <a:off x="3380551" y="59224770"/>
          <a:ext cx="711084" cy="992657"/>
        </a:xfrm>
        <a:prstGeom prst="rect">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en-IN" sz="1100"/>
        </a:p>
      </xdr:txBody>
    </xdr:sp>
    <xdr:clientData/>
  </xdr:twoCellAnchor>
  <xdr:oneCellAnchor>
    <xdr:from>
      <xdr:col>3</xdr:col>
      <xdr:colOff>218056</xdr:colOff>
      <xdr:row>408</xdr:row>
      <xdr:rowOff>196544</xdr:rowOff>
    </xdr:from>
    <xdr:ext cx="388633" cy="342786"/>
    <xdr:sp macro="" textlink="">
      <xdr:nvSpPr>
        <xdr:cNvPr id="16" name="TextBox 15"/>
        <xdr:cNvSpPr txBox="1"/>
      </xdr:nvSpPr>
      <xdr:spPr>
        <a:xfrm>
          <a:off x="2745356" y="59683344"/>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T6</a:t>
          </a:r>
        </a:p>
      </xdr:txBody>
    </xdr:sp>
    <xdr:clientData/>
  </xdr:oneCellAnchor>
  <xdr:oneCellAnchor>
    <xdr:from>
      <xdr:col>4</xdr:col>
      <xdr:colOff>110301</xdr:colOff>
      <xdr:row>408</xdr:row>
      <xdr:rowOff>87220</xdr:rowOff>
    </xdr:from>
    <xdr:ext cx="388633" cy="342786"/>
    <xdr:sp macro="" textlink="">
      <xdr:nvSpPr>
        <xdr:cNvPr id="17" name="TextBox 16"/>
        <xdr:cNvSpPr txBox="1"/>
      </xdr:nvSpPr>
      <xdr:spPr>
        <a:xfrm>
          <a:off x="3596451" y="59574020"/>
          <a:ext cx="388633"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0" cap="none" spc="0">
              <a:ln w="0"/>
              <a:solidFill>
                <a:sysClr val="windowText" lastClr="000000"/>
              </a:solidFill>
              <a:effectLst>
                <a:outerShdw blurRad="38100" dist="25400" dir="5400000" algn="ctr" rotWithShape="0">
                  <a:srgbClr val="6E747A">
                    <a:alpha val="43000"/>
                  </a:srgbClr>
                </a:outerShdw>
              </a:effectLst>
            </a:rPr>
            <a:t>T7</a:t>
          </a:r>
        </a:p>
      </xdr:txBody>
    </xdr:sp>
    <xdr:clientData/>
  </xdr:oneCellAnchor>
  <xdr:twoCellAnchor editAs="oneCell">
    <xdr:from>
      <xdr:col>0</xdr:col>
      <xdr:colOff>431800</xdr:colOff>
      <xdr:row>480</xdr:row>
      <xdr:rowOff>57150</xdr:rowOff>
    </xdr:from>
    <xdr:to>
      <xdr:col>7</xdr:col>
      <xdr:colOff>337100</xdr:colOff>
      <xdr:row>503</xdr:row>
      <xdr:rowOff>194069</xdr:rowOff>
    </xdr:to>
    <xdr:pic>
      <xdr:nvPicPr>
        <xdr:cNvPr id="18" name="Picture 17"/>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431800" y="65055750"/>
          <a:ext cx="5760000" cy="4664470"/>
        </a:xfrm>
        <a:prstGeom prst="rect">
          <a:avLst/>
        </a:prstGeom>
        <a:ln>
          <a:solidFill>
            <a:schemeClr val="tx1"/>
          </a:solidFill>
        </a:ln>
      </xdr:spPr>
    </xdr:pic>
    <xdr:clientData/>
  </xdr:twoCellAnchor>
  <xdr:twoCellAnchor editAs="oneCell">
    <xdr:from>
      <xdr:col>1</xdr:col>
      <xdr:colOff>122850</xdr:colOff>
      <xdr:row>504</xdr:row>
      <xdr:rowOff>116783</xdr:rowOff>
    </xdr:from>
    <xdr:to>
      <xdr:col>6</xdr:col>
      <xdr:colOff>516600</xdr:colOff>
      <xdr:row>521</xdr:row>
      <xdr:rowOff>59216</xdr:rowOff>
    </xdr:to>
    <xdr:pic>
      <xdr:nvPicPr>
        <xdr:cNvPr id="19" name="Picture 18"/>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a:ext>
          </a:extLst>
        </a:blip>
        <a:srcRect/>
        <a:stretch/>
      </xdr:blipFill>
      <xdr:spPr>
        <a:xfrm>
          <a:off x="922950" y="69839783"/>
          <a:ext cx="4680000" cy="3288882"/>
        </a:xfrm>
        <a:prstGeom prst="rect">
          <a:avLst/>
        </a:prstGeom>
        <a:ln>
          <a:solidFill>
            <a:schemeClr val="tx1"/>
          </a:solidFill>
        </a:ln>
      </xdr:spPr>
    </xdr:pic>
    <xdr:clientData/>
  </xdr:twoCellAnchor>
  <xdr:oneCellAnchor>
    <xdr:from>
      <xdr:col>2</xdr:col>
      <xdr:colOff>228600</xdr:colOff>
      <xdr:row>487</xdr:row>
      <xdr:rowOff>31750</xdr:rowOff>
    </xdr:from>
    <xdr:ext cx="703141" cy="280205"/>
    <xdr:sp macro="" textlink="">
      <xdr:nvSpPr>
        <xdr:cNvPr id="20" name="TextBox 19"/>
        <xdr:cNvSpPr txBox="1"/>
      </xdr:nvSpPr>
      <xdr:spPr>
        <a:xfrm>
          <a:off x="1866900" y="66408300"/>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4</a:t>
          </a:r>
        </a:p>
      </xdr:txBody>
    </xdr:sp>
    <xdr:clientData/>
  </xdr:oneCellAnchor>
  <xdr:twoCellAnchor>
    <xdr:from>
      <xdr:col>2</xdr:col>
      <xdr:colOff>580171</xdr:colOff>
      <xdr:row>488</xdr:row>
      <xdr:rowOff>115105</xdr:rowOff>
    </xdr:from>
    <xdr:to>
      <xdr:col>3</xdr:col>
      <xdr:colOff>266700</xdr:colOff>
      <xdr:row>491</xdr:row>
      <xdr:rowOff>12700</xdr:rowOff>
    </xdr:to>
    <xdr:cxnSp macro="">
      <xdr:nvCxnSpPr>
        <xdr:cNvPr id="22" name="Straight Arrow Connector 21"/>
        <xdr:cNvCxnSpPr>
          <a:stCxn id="20" idx="2"/>
        </xdr:cNvCxnSpPr>
      </xdr:nvCxnSpPr>
      <xdr:spPr>
        <a:xfrm>
          <a:off x="2218471" y="66688505"/>
          <a:ext cx="575529" cy="48814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19050</xdr:colOff>
      <xdr:row>493</xdr:row>
      <xdr:rowOff>69850</xdr:rowOff>
    </xdr:from>
    <xdr:ext cx="703141" cy="280205"/>
    <xdr:sp macro="" textlink="">
      <xdr:nvSpPr>
        <xdr:cNvPr id="27" name="TextBox 26"/>
        <xdr:cNvSpPr txBox="1"/>
      </xdr:nvSpPr>
      <xdr:spPr>
        <a:xfrm>
          <a:off x="1657350" y="67627500"/>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5</a:t>
          </a:r>
        </a:p>
      </xdr:txBody>
    </xdr:sp>
    <xdr:clientData/>
  </xdr:oneCellAnchor>
  <xdr:twoCellAnchor>
    <xdr:from>
      <xdr:col>2</xdr:col>
      <xdr:colOff>722191</xdr:colOff>
      <xdr:row>493</xdr:row>
      <xdr:rowOff>107951</xdr:rowOff>
    </xdr:from>
    <xdr:to>
      <xdr:col>3</xdr:col>
      <xdr:colOff>215900</xdr:colOff>
      <xdr:row>494</xdr:row>
      <xdr:rowOff>13103</xdr:rowOff>
    </xdr:to>
    <xdr:cxnSp macro="">
      <xdr:nvCxnSpPr>
        <xdr:cNvPr id="28" name="Straight Arrow Connector 27"/>
        <xdr:cNvCxnSpPr>
          <a:stCxn id="27" idx="3"/>
        </xdr:cNvCxnSpPr>
      </xdr:nvCxnSpPr>
      <xdr:spPr>
        <a:xfrm flipV="1">
          <a:off x="2360491" y="67665601"/>
          <a:ext cx="382709" cy="102002"/>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419100</xdr:colOff>
      <xdr:row>485</xdr:row>
      <xdr:rowOff>76200</xdr:rowOff>
    </xdr:from>
    <xdr:ext cx="703141" cy="280205"/>
    <xdr:sp macro="" textlink="">
      <xdr:nvSpPr>
        <xdr:cNvPr id="31" name="TextBox 30"/>
        <xdr:cNvSpPr txBox="1"/>
      </xdr:nvSpPr>
      <xdr:spPr>
        <a:xfrm>
          <a:off x="2946400" y="66059050"/>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1</a:t>
          </a:r>
        </a:p>
      </xdr:txBody>
    </xdr:sp>
    <xdr:clientData/>
  </xdr:oneCellAnchor>
  <xdr:twoCellAnchor>
    <xdr:from>
      <xdr:col>3</xdr:col>
      <xdr:colOff>717551</xdr:colOff>
      <xdr:row>486</xdr:row>
      <xdr:rowOff>159555</xdr:rowOff>
    </xdr:from>
    <xdr:to>
      <xdr:col>3</xdr:col>
      <xdr:colOff>770671</xdr:colOff>
      <xdr:row>488</xdr:row>
      <xdr:rowOff>44450</xdr:rowOff>
    </xdr:to>
    <xdr:cxnSp macro="">
      <xdr:nvCxnSpPr>
        <xdr:cNvPr id="32" name="Straight Arrow Connector 31"/>
        <xdr:cNvCxnSpPr>
          <a:stCxn id="31" idx="2"/>
        </xdr:cNvCxnSpPr>
      </xdr:nvCxnSpPr>
      <xdr:spPr>
        <a:xfrm flipH="1">
          <a:off x="3244851" y="66339255"/>
          <a:ext cx="53120" cy="27859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146050</xdr:colOff>
      <xdr:row>487</xdr:row>
      <xdr:rowOff>19050</xdr:rowOff>
    </xdr:from>
    <xdr:ext cx="703141" cy="280205"/>
    <xdr:sp macro="" textlink="">
      <xdr:nvSpPr>
        <xdr:cNvPr id="34" name="TextBox 33"/>
        <xdr:cNvSpPr txBox="1"/>
      </xdr:nvSpPr>
      <xdr:spPr>
        <a:xfrm>
          <a:off x="3632200" y="66395600"/>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2</a:t>
          </a:r>
        </a:p>
      </xdr:txBody>
    </xdr:sp>
    <xdr:clientData/>
  </xdr:oneCellAnchor>
  <xdr:twoCellAnchor>
    <xdr:from>
      <xdr:col>4</xdr:col>
      <xdr:colOff>323851</xdr:colOff>
      <xdr:row>488</xdr:row>
      <xdr:rowOff>102405</xdr:rowOff>
    </xdr:from>
    <xdr:to>
      <xdr:col>4</xdr:col>
      <xdr:colOff>497621</xdr:colOff>
      <xdr:row>490</xdr:row>
      <xdr:rowOff>50800</xdr:rowOff>
    </xdr:to>
    <xdr:cxnSp macro="">
      <xdr:nvCxnSpPr>
        <xdr:cNvPr id="35" name="Straight Arrow Connector 34"/>
        <xdr:cNvCxnSpPr>
          <a:stCxn id="34" idx="2"/>
        </xdr:cNvCxnSpPr>
      </xdr:nvCxnSpPr>
      <xdr:spPr>
        <a:xfrm flipH="1">
          <a:off x="3810001" y="66675805"/>
          <a:ext cx="173770" cy="34209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590550</xdr:colOff>
      <xdr:row>489</xdr:row>
      <xdr:rowOff>88900</xdr:rowOff>
    </xdr:from>
    <xdr:ext cx="703141" cy="280205"/>
    <xdr:sp macro="" textlink="">
      <xdr:nvSpPr>
        <xdr:cNvPr id="37" name="TextBox 36"/>
        <xdr:cNvSpPr txBox="1"/>
      </xdr:nvSpPr>
      <xdr:spPr>
        <a:xfrm>
          <a:off x="4076700" y="66859150"/>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3</a:t>
          </a:r>
        </a:p>
      </xdr:txBody>
    </xdr:sp>
    <xdr:clientData/>
  </xdr:oneCellAnchor>
  <xdr:twoCellAnchor>
    <xdr:from>
      <xdr:col>5</xdr:col>
      <xdr:colOff>0</xdr:colOff>
      <xdr:row>490</xdr:row>
      <xdr:rowOff>172255</xdr:rowOff>
    </xdr:from>
    <xdr:to>
      <xdr:col>5</xdr:col>
      <xdr:colOff>122971</xdr:colOff>
      <xdr:row>492</xdr:row>
      <xdr:rowOff>69850</xdr:rowOff>
    </xdr:to>
    <xdr:cxnSp macro="">
      <xdr:nvCxnSpPr>
        <xdr:cNvPr id="38" name="Straight Arrow Connector 37"/>
        <xdr:cNvCxnSpPr>
          <a:stCxn id="37" idx="2"/>
        </xdr:cNvCxnSpPr>
      </xdr:nvCxnSpPr>
      <xdr:spPr>
        <a:xfrm flipH="1">
          <a:off x="4305300" y="67139355"/>
          <a:ext cx="122971" cy="29129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258641</xdr:colOff>
      <xdr:row>498</xdr:row>
      <xdr:rowOff>133351</xdr:rowOff>
    </xdr:from>
    <xdr:ext cx="703141" cy="280205"/>
    <xdr:sp macro="" textlink="">
      <xdr:nvSpPr>
        <xdr:cNvPr id="40" name="TextBox 39"/>
        <xdr:cNvSpPr txBox="1"/>
      </xdr:nvSpPr>
      <xdr:spPr>
        <a:xfrm>
          <a:off x="2785941" y="68675251"/>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6</a:t>
          </a:r>
        </a:p>
      </xdr:txBody>
    </xdr:sp>
    <xdr:clientData/>
  </xdr:oneCellAnchor>
  <xdr:twoCellAnchor>
    <xdr:from>
      <xdr:col>3</xdr:col>
      <xdr:colOff>673100</xdr:colOff>
      <xdr:row>496</xdr:row>
      <xdr:rowOff>6350</xdr:rowOff>
    </xdr:from>
    <xdr:to>
      <xdr:col>3</xdr:col>
      <xdr:colOff>933450</xdr:colOff>
      <xdr:row>498</xdr:row>
      <xdr:rowOff>114300</xdr:rowOff>
    </xdr:to>
    <xdr:cxnSp macro="">
      <xdr:nvCxnSpPr>
        <xdr:cNvPr id="41" name="Straight Arrow Connector 40"/>
        <xdr:cNvCxnSpPr/>
      </xdr:nvCxnSpPr>
      <xdr:spPr>
        <a:xfrm flipV="1">
          <a:off x="3200400" y="68154550"/>
          <a:ext cx="260350" cy="501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849191</xdr:colOff>
      <xdr:row>497</xdr:row>
      <xdr:rowOff>120651</xdr:rowOff>
    </xdr:from>
    <xdr:ext cx="703141" cy="280205"/>
    <xdr:sp macro="" textlink="">
      <xdr:nvSpPr>
        <xdr:cNvPr id="44" name="TextBox 43"/>
        <xdr:cNvSpPr txBox="1"/>
      </xdr:nvSpPr>
      <xdr:spPr>
        <a:xfrm>
          <a:off x="3376491" y="68465701"/>
          <a:ext cx="703141"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IN" sz="1200" b="1" cap="none" spc="0">
              <a:ln w="0"/>
              <a:solidFill>
                <a:srgbClr val="FFFF00"/>
              </a:solidFill>
              <a:effectLst>
                <a:outerShdw blurRad="38100" dist="25400" dir="5400000" algn="ctr" rotWithShape="0">
                  <a:srgbClr val="6E747A">
                    <a:alpha val="43000"/>
                  </a:srgbClr>
                </a:outerShdw>
              </a:effectLst>
            </a:rPr>
            <a:t>Tower 7</a:t>
          </a:r>
        </a:p>
      </xdr:txBody>
    </xdr:sp>
    <xdr:clientData/>
  </xdr:oneCellAnchor>
  <xdr:twoCellAnchor>
    <xdr:from>
      <xdr:col>4</xdr:col>
      <xdr:colOff>304800</xdr:colOff>
      <xdr:row>495</xdr:row>
      <xdr:rowOff>171450</xdr:rowOff>
    </xdr:from>
    <xdr:to>
      <xdr:col>4</xdr:col>
      <xdr:colOff>438150</xdr:colOff>
      <xdr:row>497</xdr:row>
      <xdr:rowOff>101600</xdr:rowOff>
    </xdr:to>
    <xdr:cxnSp macro="">
      <xdr:nvCxnSpPr>
        <xdr:cNvPr id="45" name="Straight Arrow Connector 44"/>
        <xdr:cNvCxnSpPr/>
      </xdr:nvCxnSpPr>
      <xdr:spPr>
        <a:xfrm flipV="1">
          <a:off x="3790950" y="68122800"/>
          <a:ext cx="133350" cy="3238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1054100</xdr:colOff>
      <xdr:row>15</xdr:row>
      <xdr:rowOff>1174751</xdr:rowOff>
    </xdr:from>
    <xdr:to>
      <xdr:col>13</xdr:col>
      <xdr:colOff>827500</xdr:colOff>
      <xdr:row>18</xdr:row>
      <xdr:rowOff>69078</xdr:rowOff>
    </xdr:to>
    <xdr:pic>
      <xdr:nvPicPr>
        <xdr:cNvPr id="47" name="Picture 46"/>
        <xdr:cNvPicPr>
          <a:picLocks noChangeAspect="1"/>
        </xdr:cNvPicPr>
      </xdr:nvPicPr>
      <xdr:blipFill>
        <a:blip xmlns:r="http://schemas.openxmlformats.org/officeDocument/2006/relationships" r:embed="rId5"/>
        <a:stretch>
          <a:fillRect/>
        </a:stretch>
      </xdr:blipFill>
      <xdr:spPr>
        <a:xfrm>
          <a:off x="7677150" y="5149851"/>
          <a:ext cx="4320000" cy="1139052"/>
        </a:xfrm>
        <a:prstGeom prst="rect">
          <a:avLst/>
        </a:prstGeom>
        <a:ln>
          <a:solidFill>
            <a:schemeClr val="tx1"/>
          </a:solidFill>
        </a:ln>
      </xdr:spPr>
    </xdr:pic>
    <xdr:clientData/>
  </xdr:twoCellAnchor>
  <xdr:twoCellAnchor editAs="oneCell">
    <xdr:from>
      <xdr:col>8</xdr:col>
      <xdr:colOff>476249</xdr:colOff>
      <xdr:row>60</xdr:row>
      <xdr:rowOff>32497</xdr:rowOff>
    </xdr:from>
    <xdr:to>
      <xdr:col>11</xdr:col>
      <xdr:colOff>600349</xdr:colOff>
      <xdr:row>64</xdr:row>
      <xdr:rowOff>523398</xdr:rowOff>
    </xdr:to>
    <xdr:pic>
      <xdr:nvPicPr>
        <xdr:cNvPr id="48" name="Picture 47"/>
        <xdr:cNvPicPr>
          <a:picLocks noChangeAspect="1"/>
        </xdr:cNvPicPr>
      </xdr:nvPicPr>
      <xdr:blipFill>
        <a:blip xmlns:r="http://schemas.openxmlformats.org/officeDocument/2006/relationships" r:embed="rId6"/>
        <a:stretch>
          <a:fillRect/>
        </a:stretch>
      </xdr:blipFill>
      <xdr:spPr>
        <a:xfrm>
          <a:off x="7099299" y="14605747"/>
          <a:ext cx="2880000" cy="2342340"/>
        </a:xfrm>
        <a:prstGeom prst="rect">
          <a:avLst/>
        </a:prstGeom>
        <a:ln>
          <a:solidFill>
            <a:schemeClr val="tx1"/>
          </a:solidFill>
        </a:ln>
      </xdr:spPr>
    </xdr:pic>
    <xdr:clientData/>
  </xdr:twoCellAnchor>
  <xdr:twoCellAnchor editAs="oneCell">
    <xdr:from>
      <xdr:col>0</xdr:col>
      <xdr:colOff>247650</xdr:colOff>
      <xdr:row>437</xdr:row>
      <xdr:rowOff>107950</xdr:rowOff>
    </xdr:from>
    <xdr:to>
      <xdr:col>7</xdr:col>
      <xdr:colOff>512950</xdr:colOff>
      <xdr:row>460</xdr:row>
      <xdr:rowOff>174656</xdr:rowOff>
    </xdr:to>
    <xdr:pic>
      <xdr:nvPicPr>
        <xdr:cNvPr id="66" name="Picture 65"/>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47650" y="62604650"/>
          <a:ext cx="6120000" cy="4594256"/>
        </a:xfrm>
        <a:prstGeom prst="rect">
          <a:avLst/>
        </a:prstGeom>
        <a:ln>
          <a:solidFill>
            <a:schemeClr val="tx1"/>
          </a:solidFill>
        </a:ln>
      </xdr:spPr>
    </xdr:pic>
    <xdr:clientData/>
  </xdr:twoCellAnchor>
  <xdr:twoCellAnchor editAs="oneCell">
    <xdr:from>
      <xdr:col>8</xdr:col>
      <xdr:colOff>276225</xdr:colOff>
      <xdr:row>64</xdr:row>
      <xdr:rowOff>704850</xdr:rowOff>
    </xdr:from>
    <xdr:to>
      <xdr:col>14</xdr:col>
      <xdr:colOff>2625</xdr:colOff>
      <xdr:row>81</xdr:row>
      <xdr:rowOff>161475</xdr:rowOff>
    </xdr:to>
    <xdr:pic>
      <xdr:nvPicPr>
        <xdr:cNvPr id="46" name="Picture 45"/>
        <xdr:cNvPicPr>
          <a:picLocks noChangeAspect="1"/>
        </xdr:cNvPicPr>
      </xdr:nvPicPr>
      <xdr:blipFill rotWithShape="1">
        <a:blip xmlns:r="http://schemas.openxmlformats.org/officeDocument/2006/relationships" r:embed="rId8"/>
        <a:srcRect l="34254" t="20519" r="11513" b="8727"/>
        <a:stretch/>
      </xdr:blipFill>
      <xdr:spPr>
        <a:xfrm>
          <a:off x="6686550" y="17087850"/>
          <a:ext cx="4908000" cy="3600000"/>
        </a:xfrm>
        <a:prstGeom prst="rect">
          <a:avLst/>
        </a:prstGeom>
        <a:ln>
          <a:solidFill>
            <a:schemeClr val="tx1"/>
          </a:solidFill>
        </a:ln>
      </xdr:spPr>
    </xdr:pic>
    <xdr:clientData/>
  </xdr:twoCellAnchor>
  <xdr:twoCellAnchor>
    <xdr:from>
      <xdr:col>0</xdr:col>
      <xdr:colOff>152400</xdr:colOff>
      <xdr:row>352</xdr:row>
      <xdr:rowOff>38100</xdr:rowOff>
    </xdr:from>
    <xdr:to>
      <xdr:col>7</xdr:col>
      <xdr:colOff>722862</xdr:colOff>
      <xdr:row>380</xdr:row>
      <xdr:rowOff>104858</xdr:rowOff>
    </xdr:to>
    <xdr:grpSp>
      <xdr:nvGrpSpPr>
        <xdr:cNvPr id="21" name="Group 20"/>
        <xdr:cNvGrpSpPr/>
      </xdr:nvGrpSpPr>
      <xdr:grpSpPr>
        <a:xfrm>
          <a:off x="152400" y="59309000"/>
          <a:ext cx="6425162" cy="5572208"/>
          <a:chOff x="152400" y="58737500"/>
          <a:chExt cx="6425162" cy="5572208"/>
        </a:xfrm>
      </xdr:grpSpPr>
      <xdr:pic>
        <xdr:nvPicPr>
          <xdr:cNvPr id="49" name="Picture 4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527699" y="61573708"/>
            <a:ext cx="2049863" cy="2736000"/>
          </a:xfrm>
          <a:prstGeom prst="rect">
            <a:avLst/>
          </a:prstGeom>
          <a:ln>
            <a:solidFill>
              <a:schemeClr val="tx1"/>
            </a:solidFill>
          </a:ln>
        </xdr:spPr>
      </xdr:pic>
      <xdr:pic>
        <xdr:nvPicPr>
          <xdr:cNvPr id="50" name="Picture 4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52401" y="58737500"/>
            <a:ext cx="2049863" cy="2736000"/>
          </a:xfrm>
          <a:prstGeom prst="rect">
            <a:avLst/>
          </a:prstGeom>
          <a:ln>
            <a:solidFill>
              <a:schemeClr val="tx1"/>
            </a:solidFill>
          </a:ln>
        </xdr:spPr>
      </xdr:pic>
      <xdr:pic>
        <xdr:nvPicPr>
          <xdr:cNvPr id="51" name="Picture 50"/>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340050" y="58737500"/>
            <a:ext cx="2049863" cy="2736000"/>
          </a:xfrm>
          <a:prstGeom prst="rect">
            <a:avLst/>
          </a:prstGeom>
          <a:ln>
            <a:solidFill>
              <a:schemeClr val="tx1"/>
            </a:solidFill>
          </a:ln>
        </xdr:spPr>
      </xdr:pic>
      <xdr:pic>
        <xdr:nvPicPr>
          <xdr:cNvPr id="52" name="Picture 51"/>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2340049" y="61573708"/>
            <a:ext cx="2049863" cy="2736000"/>
          </a:xfrm>
          <a:prstGeom prst="rect">
            <a:avLst/>
          </a:prstGeom>
          <a:ln>
            <a:solidFill>
              <a:schemeClr val="tx1"/>
            </a:solidFill>
          </a:ln>
        </xdr:spPr>
      </xdr:pic>
      <xdr:pic>
        <xdr:nvPicPr>
          <xdr:cNvPr id="53" name="Picture 52"/>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52400" y="61573708"/>
            <a:ext cx="2049863" cy="273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27699" y="58737500"/>
            <a:ext cx="2049863"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iGzFufQNq9e7fffD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80"/>
  <sheetViews>
    <sheetView tabSelected="1" view="pageBreakPreview" topLeftCell="A326" zoomScaleNormal="100" zoomScaleSheetLayoutView="100" zoomScalePageLayoutView="85" workbookViewId="0">
      <selection activeCell="B338" sqref="B338:H338"/>
    </sheetView>
  </sheetViews>
  <sheetFormatPr defaultColWidth="9.1796875" defaultRowHeight="15.5" x14ac:dyDescent="0.35"/>
  <cols>
    <col min="1" max="1" width="11.453125" style="39" customWidth="1"/>
    <col min="2" max="2" width="12" style="39" customWidth="1"/>
    <col min="3" max="3" width="12.7265625" style="39" customWidth="1"/>
    <col min="4" max="4" width="13.7265625" style="39" customWidth="1"/>
    <col min="5" max="5" width="11.7265625" style="39" customWidth="1"/>
    <col min="6" max="6" width="11.1796875" style="39" customWidth="1"/>
    <col min="7" max="7" width="11" style="39" customWidth="1"/>
    <col min="8" max="8" width="12.453125" style="39"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79" t="s">
        <v>163</v>
      </c>
      <c r="B1" s="279"/>
      <c r="C1" s="279"/>
      <c r="D1" s="279"/>
      <c r="E1" s="279"/>
      <c r="F1" s="279"/>
      <c r="G1" s="279"/>
      <c r="H1" s="279"/>
    </row>
    <row r="2" spans="1:26" ht="16.5" customHeight="1" x14ac:dyDescent="0.35">
      <c r="A2" s="280" t="s">
        <v>0</v>
      </c>
      <c r="B2" s="280"/>
      <c r="C2" s="280"/>
      <c r="D2" s="280"/>
      <c r="E2" s="280"/>
      <c r="F2" s="280"/>
      <c r="G2" s="280"/>
      <c r="H2" s="280"/>
    </row>
    <row r="3" spans="1:26" x14ac:dyDescent="0.35">
      <c r="A3" s="181" t="s">
        <v>1</v>
      </c>
      <c r="B3" s="181"/>
      <c r="C3" s="181"/>
      <c r="D3" s="181"/>
      <c r="E3" s="181" t="str">
        <f ca="1">TEXT(TODAY(),"DD/MM/YYYY")</f>
        <v>19/09/2025</v>
      </c>
      <c r="F3" s="181"/>
      <c r="G3" s="181"/>
      <c r="H3" s="181"/>
      <c r="K3" s="55" t="s">
        <v>237</v>
      </c>
      <c r="L3" s="52" t="s">
        <v>235</v>
      </c>
      <c r="M3" s="52" t="s">
        <v>240</v>
      </c>
      <c r="N3" s="52" t="s">
        <v>238</v>
      </c>
      <c r="O3" s="52" t="s">
        <v>343</v>
      </c>
      <c r="P3" s="52" t="s">
        <v>241</v>
      </c>
    </row>
    <row r="4" spans="1:26" ht="15" customHeight="1" x14ac:dyDescent="0.35">
      <c r="A4" s="181" t="s">
        <v>234</v>
      </c>
      <c r="B4" s="181"/>
      <c r="C4" s="181"/>
      <c r="D4" s="181"/>
      <c r="E4" s="181" t="s">
        <v>235</v>
      </c>
      <c r="F4" s="181"/>
      <c r="G4" s="181"/>
      <c r="H4" s="181"/>
      <c r="K4" s="51" t="s">
        <v>236</v>
      </c>
      <c r="L4" s="52" t="s">
        <v>170</v>
      </c>
      <c r="M4" s="52" t="s">
        <v>245</v>
      </c>
      <c r="N4" s="52" t="s">
        <v>247</v>
      </c>
      <c r="O4" s="52" t="s">
        <v>344</v>
      </c>
      <c r="P4" s="52"/>
    </row>
    <row r="5" spans="1:26" ht="15" customHeight="1" x14ac:dyDescent="0.35">
      <c r="A5" s="181" t="s">
        <v>2</v>
      </c>
      <c r="B5" s="181"/>
      <c r="C5" s="181"/>
      <c r="D5" s="181"/>
      <c r="E5" s="181" t="s">
        <v>170</v>
      </c>
      <c r="F5" s="181"/>
      <c r="G5" s="181"/>
      <c r="H5" s="181"/>
      <c r="K5" s="51"/>
      <c r="L5" s="52" t="s">
        <v>242</v>
      </c>
      <c r="M5" s="52" t="s">
        <v>246</v>
      </c>
      <c r="N5" s="52" t="s">
        <v>248</v>
      </c>
      <c r="O5" s="52" t="s">
        <v>345</v>
      </c>
      <c r="P5" s="52"/>
    </row>
    <row r="6" spans="1:26" x14ac:dyDescent="0.35">
      <c r="A6" s="181" t="s">
        <v>3</v>
      </c>
      <c r="B6" s="181"/>
      <c r="C6" s="181"/>
      <c r="D6" s="181"/>
      <c r="E6" s="281">
        <v>45901</v>
      </c>
      <c r="F6" s="181"/>
      <c r="G6" s="181"/>
      <c r="H6" s="181"/>
      <c r="K6" s="51"/>
      <c r="L6" s="52" t="s">
        <v>243</v>
      </c>
      <c r="M6" s="52"/>
      <c r="N6" s="52"/>
      <c r="O6" s="52" t="s">
        <v>346</v>
      </c>
      <c r="P6" s="52"/>
    </row>
    <row r="7" spans="1:26" ht="16.5" customHeight="1" x14ac:dyDescent="0.35">
      <c r="A7" s="181" t="s">
        <v>4</v>
      </c>
      <c r="B7" s="181"/>
      <c r="C7" s="181"/>
      <c r="D7" s="181"/>
      <c r="E7" s="181" t="s">
        <v>351</v>
      </c>
      <c r="F7" s="181"/>
      <c r="G7" s="181"/>
      <c r="H7" s="181"/>
      <c r="K7" s="51"/>
      <c r="L7" s="52" t="s">
        <v>244</v>
      </c>
      <c r="M7" s="52"/>
      <c r="N7" s="52"/>
      <c r="O7" s="52" t="s">
        <v>346</v>
      </c>
      <c r="P7" s="52"/>
    </row>
    <row r="8" spans="1:26" ht="15" customHeight="1" x14ac:dyDescent="0.35">
      <c r="A8" s="181" t="s">
        <v>5</v>
      </c>
      <c r="B8" s="181"/>
      <c r="C8" s="181"/>
      <c r="D8" s="181"/>
      <c r="E8" s="181" t="str">
        <f>E7</f>
        <v>Joyville Shapoorji Housing Private Limited</v>
      </c>
      <c r="F8" s="181"/>
      <c r="G8" s="181"/>
      <c r="H8" s="181"/>
      <c r="K8" s="51"/>
      <c r="L8" s="52"/>
      <c r="M8" s="52"/>
      <c r="N8" s="52"/>
      <c r="O8" s="52" t="s">
        <v>347</v>
      </c>
      <c r="P8" s="52"/>
    </row>
    <row r="9" spans="1:26" x14ac:dyDescent="0.35">
      <c r="A9" s="181" t="s">
        <v>6</v>
      </c>
      <c r="B9" s="181"/>
      <c r="C9" s="181"/>
      <c r="D9" s="181"/>
      <c r="E9" s="137" t="s">
        <v>360</v>
      </c>
      <c r="F9" s="209"/>
      <c r="G9" s="209"/>
      <c r="H9" s="209"/>
      <c r="K9" s="51"/>
      <c r="L9" s="52"/>
      <c r="M9" s="52"/>
      <c r="N9" s="52"/>
      <c r="O9" s="52" t="s">
        <v>348</v>
      </c>
      <c r="P9" s="52"/>
    </row>
    <row r="10" spans="1:26" x14ac:dyDescent="0.35">
      <c r="A10" s="181" t="s">
        <v>166</v>
      </c>
      <c r="B10" s="181"/>
      <c r="C10" s="181"/>
      <c r="D10" s="181"/>
      <c r="E10" s="181" t="s">
        <v>409</v>
      </c>
      <c r="F10" s="181"/>
      <c r="G10" s="181"/>
      <c r="H10" s="181"/>
      <c r="K10" s="51"/>
      <c r="L10" s="52"/>
      <c r="M10" s="52"/>
      <c r="N10" s="52"/>
      <c r="O10" s="52" t="s">
        <v>349</v>
      </c>
      <c r="P10" s="52"/>
    </row>
    <row r="11" spans="1:26" x14ac:dyDescent="0.35">
      <c r="A11" s="181" t="s">
        <v>167</v>
      </c>
      <c r="B11" s="181"/>
      <c r="C11" s="181"/>
      <c r="D11" s="181"/>
      <c r="E11" s="181">
        <v>9136919687</v>
      </c>
      <c r="F11" s="181"/>
      <c r="G11" s="181"/>
      <c r="H11" s="181"/>
      <c r="O11" s="52" t="s">
        <v>350</v>
      </c>
    </row>
    <row r="12" spans="1:26" ht="33" customHeight="1" x14ac:dyDescent="0.35">
      <c r="A12" s="181" t="s">
        <v>7</v>
      </c>
      <c r="B12" s="181"/>
      <c r="C12" s="181"/>
      <c r="D12" s="181"/>
      <c r="E12" s="180" t="s">
        <v>443</v>
      </c>
      <c r="F12" s="181"/>
      <c r="G12" s="181"/>
      <c r="H12" s="181"/>
    </row>
    <row r="13" spans="1:26" x14ac:dyDescent="0.35">
      <c r="A13" s="181" t="s">
        <v>171</v>
      </c>
      <c r="B13" s="181"/>
      <c r="C13" s="181"/>
      <c r="D13" s="181"/>
      <c r="E13" s="181" t="s">
        <v>28</v>
      </c>
      <c r="F13" s="181"/>
      <c r="G13" s="181"/>
      <c r="H13" s="181"/>
      <c r="S13" s="52" t="s">
        <v>179</v>
      </c>
      <c r="T13" s="52" t="s">
        <v>188</v>
      </c>
      <c r="U13" s="52" t="s">
        <v>172</v>
      </c>
      <c r="V13" s="52" t="s">
        <v>193</v>
      </c>
      <c r="W13" s="52" t="s">
        <v>211</v>
      </c>
      <c r="X13"/>
      <c r="Y13" t="s">
        <v>193</v>
      </c>
      <c r="Z13" t="e">
        <f ca="1">OFFSET($S$13,1,MATCH($G20,$S$13:$W$13,0)-1,15,1)</f>
        <v>#VALUE!</v>
      </c>
    </row>
    <row r="14" spans="1:26" x14ac:dyDescent="0.35">
      <c r="A14" s="181" t="s">
        <v>280</v>
      </c>
      <c r="B14" s="181"/>
      <c r="C14" s="181"/>
      <c r="D14" s="181"/>
      <c r="E14" s="180" t="s">
        <v>227</v>
      </c>
      <c r="F14" s="180"/>
      <c r="G14" s="180"/>
      <c r="H14" s="180"/>
      <c r="S14" s="52" t="s">
        <v>179</v>
      </c>
      <c r="T14" s="52" t="s">
        <v>186</v>
      </c>
      <c r="U14" s="52" t="s">
        <v>208</v>
      </c>
      <c r="V14" s="52" t="s">
        <v>194</v>
      </c>
      <c r="W14" s="52" t="s">
        <v>212</v>
      </c>
      <c r="X14"/>
      <c r="Y14"/>
      <c r="Z14"/>
    </row>
    <row r="15" spans="1:26" ht="33" customHeight="1" x14ac:dyDescent="0.35">
      <c r="A15" s="181" t="s">
        <v>8</v>
      </c>
      <c r="B15" s="181"/>
      <c r="C15" s="181"/>
      <c r="D15" s="181"/>
      <c r="E15" s="180" t="s">
        <v>410</v>
      </c>
      <c r="F15" s="181"/>
      <c r="G15" s="181"/>
      <c r="H15" s="181"/>
      <c r="I15" s="290" t="e">
        <f ca="1">OFFSET($D$5,1,MATCH($J13,$D$5:$H$5,0)-1,15,1)</f>
        <v>#N/A</v>
      </c>
      <c r="J15" s="291"/>
      <c r="K15" s="291"/>
      <c r="L15" s="291"/>
      <c r="M15" s="291"/>
      <c r="N15" s="291"/>
      <c r="O15" s="291"/>
      <c r="P15" s="291"/>
      <c r="S15" s="52" t="s">
        <v>180</v>
      </c>
      <c r="T15" s="52" t="s">
        <v>187</v>
      </c>
      <c r="U15" s="52" t="s">
        <v>209</v>
      </c>
      <c r="V15" s="52" t="s">
        <v>195</v>
      </c>
      <c r="W15" s="52" t="s">
        <v>225</v>
      </c>
      <c r="X15"/>
      <c r="Y15"/>
      <c r="Z15"/>
    </row>
    <row r="16" spans="1:26" ht="94.5" customHeight="1" x14ac:dyDescent="0.35">
      <c r="A16" s="180" t="s">
        <v>9</v>
      </c>
      <c r="B16" s="180"/>
      <c r="C16" s="180" t="str">
        <f>CONCATENATE((IF(OR(E9="",E9="NA"),"",E9)),", ",(IF(OR(A17="",A17="NA"),"",A17)),".",(IF(OR(C17="",C17="NA"),"",C17)),", near ",(IF(OR(C22="",C22="NA"),"",C22)),", ",(IF(OR(C19="",C19="NA"),"",C19)),", ",(IF(OR(C18="",C18="NA"),"",C18)),", ",(IF(OR(G19="",G19="NA"),"",G19)),", ",(IF(OR(C20="",C20="NA"),"",C20)),", ",(IF(OR(C21="",C21="NA"),"",C21)),", ",(IF(OR(G20="",G20="NA"),"",G20))," - ",(IF(OR(G21="",G21="NA"),"",G21)),".")</f>
        <v>Joyville Virar Phase 3 &amp; 6, Survey No.296, 297, 298, 299, 303, 304, 324 &amp; 390-B (Old) ; S.No. 296/1, 296/2, 296/3, 296/4, 296/5, 296/6, 296/7 &amp; 296/8 ; S.No. 297/1, 297/2 &amp; 297/3 ; S.No. 298/1, 298/2, 298/3, 298/4, 298/5 &amp; 298/6 ; S.No. 299/1, 299/2 &amp; 299/3 ; S.No. 304 ; S.No. 324/1, 324/2, 324/3 &amp; 324/4 ; S.No. 390B/1 &amp; 390B/2 (New), near Viva City A2, Viva City Road, , Bolinj, Virar (West), Vasai, Palghar - 401303.</v>
      </c>
      <c r="D16" s="180"/>
      <c r="E16" s="180"/>
      <c r="F16" s="180"/>
      <c r="G16" s="180"/>
      <c r="H16" s="180"/>
      <c r="S16" s="52" t="s">
        <v>181</v>
      </c>
      <c r="T16" s="52" t="s">
        <v>189</v>
      </c>
      <c r="U16" s="52" t="s">
        <v>210</v>
      </c>
      <c r="V16" s="52" t="s">
        <v>196</v>
      </c>
      <c r="W16" s="52" t="s">
        <v>213</v>
      </c>
      <c r="X16"/>
      <c r="Y16"/>
      <c r="Z16"/>
    </row>
    <row r="17" spans="1:26" ht="66.650000000000006" customHeight="1" x14ac:dyDescent="0.35">
      <c r="A17" s="180" t="s">
        <v>355</v>
      </c>
      <c r="B17" s="180"/>
      <c r="C17" s="180" t="s">
        <v>356</v>
      </c>
      <c r="D17" s="180"/>
      <c r="E17" s="180"/>
      <c r="F17" s="180"/>
      <c r="G17" s="180"/>
      <c r="H17" s="180"/>
      <c r="S17" s="52" t="s">
        <v>182</v>
      </c>
      <c r="T17" s="52" t="s">
        <v>190</v>
      </c>
      <c r="U17" s="52" t="s">
        <v>172</v>
      </c>
      <c r="V17" s="52" t="s">
        <v>197</v>
      </c>
      <c r="W17" s="52" t="s">
        <v>214</v>
      </c>
      <c r="X17"/>
      <c r="Y17"/>
      <c r="Z17"/>
    </row>
    <row r="18" spans="1:26" ht="15.75" customHeight="1" x14ac:dyDescent="0.35">
      <c r="A18" s="180" t="s">
        <v>161</v>
      </c>
      <c r="B18" s="180"/>
      <c r="C18" s="180" t="s">
        <v>28</v>
      </c>
      <c r="D18" s="180"/>
      <c r="E18" s="180"/>
      <c r="F18" s="180"/>
      <c r="G18" s="180"/>
      <c r="H18" s="180"/>
      <c r="S18" s="52" t="s">
        <v>183</v>
      </c>
      <c r="T18" s="52" t="s">
        <v>188</v>
      </c>
      <c r="U18" s="52"/>
      <c r="V18" s="52" t="s">
        <v>198</v>
      </c>
      <c r="W18" s="52" t="s">
        <v>215</v>
      </c>
      <c r="X18"/>
      <c r="Y18"/>
      <c r="Z18"/>
    </row>
    <row r="19" spans="1:26" ht="15.75" customHeight="1" x14ac:dyDescent="0.35">
      <c r="A19" s="180" t="s">
        <v>10</v>
      </c>
      <c r="B19" s="180"/>
      <c r="C19" s="181" t="s">
        <v>358</v>
      </c>
      <c r="D19" s="181"/>
      <c r="E19" s="180" t="s">
        <v>70</v>
      </c>
      <c r="F19" s="180"/>
      <c r="G19" s="180" t="s">
        <v>392</v>
      </c>
      <c r="H19" s="180"/>
      <c r="S19" s="52" t="s">
        <v>184</v>
      </c>
      <c r="T19" s="52" t="s">
        <v>191</v>
      </c>
      <c r="U19" s="52"/>
      <c r="V19" s="52" t="s">
        <v>199</v>
      </c>
      <c r="W19" s="52" t="s">
        <v>216</v>
      </c>
      <c r="X19"/>
      <c r="Y19"/>
      <c r="Z19"/>
    </row>
    <row r="20" spans="1:26" x14ac:dyDescent="0.35">
      <c r="A20" s="181" t="s">
        <v>12</v>
      </c>
      <c r="B20" s="181"/>
      <c r="C20" s="180" t="s">
        <v>357</v>
      </c>
      <c r="D20" s="180"/>
      <c r="E20" s="180" t="s">
        <v>11</v>
      </c>
      <c r="F20" s="180"/>
      <c r="G20" s="278" t="s">
        <v>188</v>
      </c>
      <c r="H20" s="278"/>
      <c r="S20" s="52" t="s">
        <v>185</v>
      </c>
      <c r="T20" s="52" t="s">
        <v>192</v>
      </c>
      <c r="U20" s="52"/>
      <c r="V20" s="52" t="s">
        <v>200</v>
      </c>
      <c r="W20" s="52" t="s">
        <v>217</v>
      </c>
      <c r="X20"/>
      <c r="Y20"/>
      <c r="Z20"/>
    </row>
    <row r="21" spans="1:26" x14ac:dyDescent="0.35">
      <c r="A21" s="181" t="s">
        <v>71</v>
      </c>
      <c r="B21" s="181"/>
      <c r="C21" s="180" t="s">
        <v>189</v>
      </c>
      <c r="D21" s="180"/>
      <c r="E21" s="180" t="s">
        <v>13</v>
      </c>
      <c r="F21" s="180"/>
      <c r="G21" s="180">
        <v>401303</v>
      </c>
      <c r="H21" s="180"/>
      <c r="S21" s="52"/>
      <c r="T21" s="52"/>
      <c r="U21" s="52"/>
      <c r="V21" s="52" t="s">
        <v>201</v>
      </c>
      <c r="W21" s="52" t="s">
        <v>218</v>
      </c>
      <c r="X21"/>
      <c r="Y21"/>
      <c r="Z21"/>
    </row>
    <row r="22" spans="1:26" ht="32.25" customHeight="1" x14ac:dyDescent="0.35">
      <c r="A22" s="149" t="s">
        <v>117</v>
      </c>
      <c r="B22" s="149"/>
      <c r="C22" s="180" t="s">
        <v>359</v>
      </c>
      <c r="D22" s="180"/>
      <c r="E22" s="151" t="s">
        <v>14</v>
      </c>
      <c r="F22" s="151"/>
      <c r="G22" s="180" t="s">
        <v>354</v>
      </c>
      <c r="H22" s="180"/>
      <c r="S22" s="52"/>
      <c r="T22" s="52"/>
      <c r="U22" s="52"/>
      <c r="V22" s="52" t="s">
        <v>202</v>
      </c>
      <c r="W22" s="52" t="s">
        <v>219</v>
      </c>
      <c r="X22"/>
      <c r="Y22"/>
      <c r="Z22"/>
    </row>
    <row r="23" spans="1:26" ht="15" customHeight="1" x14ac:dyDescent="0.35">
      <c r="A23" s="151" t="s">
        <v>73</v>
      </c>
      <c r="B23" s="151"/>
      <c r="C23" s="151"/>
      <c r="D23" s="151"/>
      <c r="E23" s="181" t="s">
        <v>15</v>
      </c>
      <c r="F23" s="181"/>
      <c r="G23" s="181"/>
      <c r="H23" s="181"/>
      <c r="S23" s="52"/>
      <c r="T23" s="52"/>
      <c r="U23" s="52"/>
      <c r="V23" s="52" t="s">
        <v>203</v>
      </c>
      <c r="W23" s="52" t="s">
        <v>220</v>
      </c>
      <c r="X23"/>
      <c r="Y23"/>
      <c r="Z23"/>
    </row>
    <row r="24" spans="1:26" ht="18.75" customHeight="1" x14ac:dyDescent="0.35">
      <c r="A24" s="151"/>
      <c r="B24" s="151"/>
      <c r="C24" s="151"/>
      <c r="D24" s="151"/>
      <c r="E24" s="181"/>
      <c r="F24" s="181"/>
      <c r="G24" s="181"/>
      <c r="H24" s="181"/>
      <c r="S24" s="52"/>
      <c r="T24" s="52"/>
      <c r="U24" s="52"/>
      <c r="V24" s="52" t="s">
        <v>204</v>
      </c>
      <c r="W24" s="52" t="s">
        <v>221</v>
      </c>
      <c r="X24"/>
      <c r="Y24"/>
      <c r="Z24"/>
    </row>
    <row r="25" spans="1:26" ht="15" customHeight="1" x14ac:dyDescent="0.35">
      <c r="A25" s="151" t="s">
        <v>16</v>
      </c>
      <c r="B25" s="151"/>
      <c r="C25" s="151"/>
      <c r="D25" s="151"/>
      <c r="E25" s="180" t="s">
        <v>17</v>
      </c>
      <c r="F25" s="180"/>
      <c r="G25" s="180"/>
      <c r="H25" s="180"/>
      <c r="S25" s="52"/>
      <c r="T25" s="52"/>
      <c r="U25" s="52"/>
      <c r="V25" s="52" t="s">
        <v>205</v>
      </c>
      <c r="W25" s="52" t="s">
        <v>222</v>
      </c>
      <c r="X25"/>
      <c r="Y25"/>
      <c r="Z25"/>
    </row>
    <row r="26" spans="1:26" ht="15" customHeight="1" x14ac:dyDescent="0.35">
      <c r="A26" s="149" t="s">
        <v>18</v>
      </c>
      <c r="B26" s="149"/>
      <c r="C26" s="149"/>
      <c r="D26" s="149"/>
      <c r="E26" s="180" t="str">
        <f>IF(AND(G20="Mumbai"),"Upper Class","Middle Class")</f>
        <v>Middle Class</v>
      </c>
      <c r="F26" s="180"/>
      <c r="G26" s="180"/>
      <c r="H26" s="180"/>
      <c r="S26" s="52"/>
      <c r="T26" s="52"/>
      <c r="U26" s="52"/>
      <c r="V26" s="52" t="s">
        <v>206</v>
      </c>
      <c r="W26" s="52" t="s">
        <v>223</v>
      </c>
      <c r="X26"/>
      <c r="Y26"/>
      <c r="Z26"/>
    </row>
    <row r="27" spans="1:26" x14ac:dyDescent="0.35">
      <c r="A27" s="149" t="s">
        <v>19</v>
      </c>
      <c r="B27" s="149"/>
      <c r="C27" s="149"/>
      <c r="D27" s="149"/>
      <c r="E27" s="180" t="s">
        <v>20</v>
      </c>
      <c r="F27" s="180"/>
      <c r="G27" s="180"/>
      <c r="H27" s="180"/>
      <c r="S27" s="52"/>
      <c r="T27" s="52"/>
      <c r="U27" s="52"/>
      <c r="V27" s="52" t="s">
        <v>207</v>
      </c>
      <c r="W27" s="52" t="s">
        <v>224</v>
      </c>
      <c r="X27"/>
      <c r="Y27"/>
      <c r="Z27"/>
    </row>
    <row r="28" spans="1:26" ht="15.75" customHeight="1" x14ac:dyDescent="0.35">
      <c r="A28" s="149" t="s">
        <v>21</v>
      </c>
      <c r="B28" s="149"/>
      <c r="C28" s="149"/>
      <c r="D28" s="149"/>
      <c r="E28" s="180" t="str">
        <f>IF(AND(G20="Mumbai"),"Developed","Developing")</f>
        <v>Developing</v>
      </c>
      <c r="F28" s="180"/>
      <c r="G28" s="180"/>
      <c r="H28" s="180"/>
    </row>
    <row r="29" spans="1:26" x14ac:dyDescent="0.35">
      <c r="A29" s="149" t="s">
        <v>22</v>
      </c>
      <c r="B29" s="149"/>
      <c r="C29" s="149"/>
      <c r="D29" s="149"/>
      <c r="E29" s="180" t="s">
        <v>23</v>
      </c>
      <c r="F29" s="180"/>
      <c r="G29" s="180"/>
      <c r="H29" s="180"/>
    </row>
    <row r="30" spans="1:26" ht="15.75" customHeight="1" x14ac:dyDescent="0.35">
      <c r="A30" s="149" t="s">
        <v>78</v>
      </c>
      <c r="B30" s="149"/>
      <c r="C30" s="149"/>
      <c r="D30" s="149"/>
      <c r="E30" s="180" t="s">
        <v>79</v>
      </c>
      <c r="F30" s="180"/>
      <c r="G30" s="180"/>
      <c r="H30" s="180"/>
    </row>
    <row r="31" spans="1:26" ht="15" customHeight="1" x14ac:dyDescent="0.35">
      <c r="A31" s="149" t="s">
        <v>30</v>
      </c>
      <c r="B31" s="149"/>
      <c r="C31" s="149"/>
      <c r="D31" s="149"/>
      <c r="E31" s="180" t="str">
        <f>IF(AND(ISNUMBER(SEARCH("Flat",D79)),ISNUMBER(SEARCH("Shop",D79)),ISNUMBER(SEARCH("Office",D79))),"Residential + Commercial",IF(AND(ISNUMBER(SEARCH("Flat",D79)),ISNUMBER(SEARCH("Shop",D79))),"Residential + Commercial",IF(AND(ISNUMBER(SEARCH("Flat",D79)),ISNUMBER(SEARCH("Office",D79))),"Residential + Commercial",IF(AND(ISNUMBER(SEARCH("Shop",D79)),ISNUMBER(SEARCH("Office",D79))),"Commercial",IF(ISNUMBER(SEARCH("Shop",D79)),"Commercial",IF(ISNUMBER(SEARCH("Office",D79)),"Commercial",IF(ISNUMBER(SEARCH("Flat",D79)),"Residential")))))))</f>
        <v>Residential + Commercial</v>
      </c>
      <c r="F31" s="180"/>
      <c r="G31" s="180"/>
      <c r="H31" s="180"/>
    </row>
    <row r="32" spans="1:26" ht="15.75" customHeight="1" x14ac:dyDescent="0.35">
      <c r="A32" s="149" t="s">
        <v>89</v>
      </c>
      <c r="B32" s="149"/>
      <c r="C32" s="149"/>
      <c r="D32" s="149"/>
      <c r="E32" s="180" t="s">
        <v>31</v>
      </c>
      <c r="F32" s="180"/>
      <c r="G32" s="180"/>
      <c r="H32" s="180"/>
    </row>
    <row r="33" spans="1:19" s="22" customFormat="1" x14ac:dyDescent="0.35">
      <c r="A33" s="277" t="s">
        <v>90</v>
      </c>
      <c r="B33" s="277"/>
      <c r="C33" s="274" t="s">
        <v>173</v>
      </c>
      <c r="D33" s="275"/>
      <c r="E33" s="276"/>
      <c r="F33" s="274" t="s">
        <v>29</v>
      </c>
      <c r="G33" s="275"/>
      <c r="H33" s="276"/>
      <c r="S33" s="22" t="e">
        <f ca="1">OFFSET($S$13,1,MATCH($G20,$S$13:$W$13,0)-1,15,1)</f>
        <v>#VALUE!</v>
      </c>
    </row>
    <row r="34" spans="1:19" s="22" customFormat="1" x14ac:dyDescent="0.35">
      <c r="A34" s="273" t="s">
        <v>24</v>
      </c>
      <c r="B34" s="273" t="s">
        <v>28</v>
      </c>
      <c r="C34" s="263" t="s">
        <v>366</v>
      </c>
      <c r="D34" s="264"/>
      <c r="E34" s="265"/>
      <c r="F34" s="263" t="s">
        <v>361</v>
      </c>
      <c r="G34" s="264"/>
      <c r="H34" s="265"/>
    </row>
    <row r="35" spans="1:19" x14ac:dyDescent="0.35">
      <c r="A35" s="273" t="s">
        <v>25</v>
      </c>
      <c r="B35" s="273" t="s">
        <v>28</v>
      </c>
      <c r="C35" s="263" t="s">
        <v>364</v>
      </c>
      <c r="D35" s="264"/>
      <c r="E35" s="265"/>
      <c r="F35" s="263" t="s">
        <v>362</v>
      </c>
      <c r="G35" s="264"/>
      <c r="H35" s="265"/>
    </row>
    <row r="36" spans="1:19" s="22" customFormat="1" x14ac:dyDescent="0.35">
      <c r="A36" s="273" t="s">
        <v>27</v>
      </c>
      <c r="B36" s="273" t="s">
        <v>28</v>
      </c>
      <c r="C36" s="263" t="s">
        <v>365</v>
      </c>
      <c r="D36" s="264"/>
      <c r="E36" s="265"/>
      <c r="F36" s="263" t="s">
        <v>358</v>
      </c>
      <c r="G36" s="264"/>
      <c r="H36" s="265"/>
    </row>
    <row r="37" spans="1:19" x14ac:dyDescent="0.35">
      <c r="A37" s="273" t="s">
        <v>26</v>
      </c>
      <c r="B37" s="273" t="s">
        <v>28</v>
      </c>
      <c r="C37" s="263" t="s">
        <v>366</v>
      </c>
      <c r="D37" s="264"/>
      <c r="E37" s="265"/>
      <c r="F37" s="263" t="s">
        <v>363</v>
      </c>
      <c r="G37" s="264"/>
      <c r="H37" s="265"/>
    </row>
    <row r="38" spans="1:19" x14ac:dyDescent="0.35">
      <c r="A38" s="149" t="s">
        <v>281</v>
      </c>
      <c r="B38" s="149"/>
      <c r="C38" s="149"/>
      <c r="D38" s="149"/>
      <c r="E38" s="149"/>
      <c r="F38" s="149"/>
      <c r="G38" s="149"/>
      <c r="H38" s="149"/>
    </row>
    <row r="39" spans="1:19" ht="15.75" customHeight="1" x14ac:dyDescent="0.35">
      <c r="A39" s="149" t="s">
        <v>164</v>
      </c>
      <c r="B39" s="149"/>
      <c r="C39" s="262" t="s">
        <v>353</v>
      </c>
      <c r="D39" s="262"/>
      <c r="E39" s="262"/>
      <c r="F39" s="262"/>
      <c r="G39" s="262"/>
      <c r="H39" s="262"/>
    </row>
    <row r="40" spans="1:19" x14ac:dyDescent="0.35">
      <c r="A40" s="149" t="s">
        <v>160</v>
      </c>
      <c r="B40" s="149"/>
      <c r="C40" s="271" t="s">
        <v>352</v>
      </c>
      <c r="D40" s="180"/>
      <c r="E40" s="180"/>
      <c r="F40" s="180"/>
      <c r="G40" s="180"/>
      <c r="H40" s="180"/>
    </row>
    <row r="41" spans="1:19" x14ac:dyDescent="0.35">
      <c r="A41" s="262" t="s">
        <v>32</v>
      </c>
      <c r="B41" s="262"/>
      <c r="C41" s="262"/>
      <c r="D41" s="262"/>
      <c r="E41" s="262"/>
      <c r="F41" s="262"/>
      <c r="G41" s="262"/>
      <c r="H41" s="262"/>
    </row>
    <row r="42" spans="1:19" x14ac:dyDescent="0.35">
      <c r="A42" s="149" t="s">
        <v>33</v>
      </c>
      <c r="B42" s="149"/>
      <c r="C42" s="149"/>
      <c r="D42" s="149"/>
      <c r="E42" s="261">
        <v>66224.41</v>
      </c>
      <c r="F42" s="261"/>
      <c r="G42" s="261"/>
      <c r="H42" s="261"/>
    </row>
    <row r="43" spans="1:19" x14ac:dyDescent="0.35">
      <c r="A43" s="149" t="s">
        <v>34</v>
      </c>
      <c r="B43" s="149"/>
      <c r="C43" s="149"/>
      <c r="D43" s="149"/>
      <c r="E43" s="269">
        <v>1.1000000000000001</v>
      </c>
      <c r="F43" s="269"/>
      <c r="G43" s="269"/>
      <c r="H43" s="269"/>
    </row>
    <row r="44" spans="1:19" x14ac:dyDescent="0.35">
      <c r="A44" s="149" t="s">
        <v>35</v>
      </c>
      <c r="B44" s="149"/>
      <c r="C44" s="149"/>
      <c r="D44" s="149"/>
      <c r="E44" s="269">
        <f>E46/E42-E43</f>
        <v>0.77262310075695639</v>
      </c>
      <c r="F44" s="269"/>
      <c r="G44" s="269"/>
      <c r="H44" s="269"/>
    </row>
    <row r="45" spans="1:19" x14ac:dyDescent="0.35">
      <c r="A45" s="149" t="s">
        <v>36</v>
      </c>
      <c r="B45" s="149"/>
      <c r="C45" s="149"/>
      <c r="D45" s="149"/>
      <c r="E45" s="269">
        <f>E43+E44</f>
        <v>1.8726231007569565</v>
      </c>
      <c r="F45" s="269"/>
      <c r="G45" s="269"/>
      <c r="H45" s="269"/>
    </row>
    <row r="46" spans="1:19" x14ac:dyDescent="0.35">
      <c r="A46" s="149" t="s">
        <v>88</v>
      </c>
      <c r="B46" s="149"/>
      <c r="C46" s="149"/>
      <c r="D46" s="149"/>
      <c r="E46" s="270">
        <v>124013.36</v>
      </c>
      <c r="F46" s="270"/>
      <c r="G46" s="270"/>
      <c r="H46" s="270"/>
    </row>
    <row r="47" spans="1:19" x14ac:dyDescent="0.35">
      <c r="A47" s="181" t="s">
        <v>37</v>
      </c>
      <c r="B47" s="181"/>
      <c r="C47" s="181"/>
      <c r="D47" s="181"/>
      <c r="E47" s="181" t="s">
        <v>440</v>
      </c>
      <c r="F47" s="181"/>
      <c r="G47" s="181"/>
      <c r="H47" s="181"/>
    </row>
    <row r="48" spans="1:19" x14ac:dyDescent="0.35">
      <c r="A48" s="262" t="s">
        <v>38</v>
      </c>
      <c r="B48" s="262"/>
      <c r="C48" s="262"/>
      <c r="D48" s="262"/>
      <c r="E48" s="262"/>
      <c r="F48" s="262"/>
      <c r="G48" s="262"/>
      <c r="H48" s="262"/>
    </row>
    <row r="49" spans="1:24" ht="33.75" customHeight="1" x14ac:dyDescent="0.35">
      <c r="A49" s="140" t="s">
        <v>149</v>
      </c>
      <c r="B49" s="142"/>
      <c r="C49" s="266" t="s">
        <v>276</v>
      </c>
      <c r="D49" s="267"/>
      <c r="E49" s="267"/>
      <c r="F49" s="267"/>
      <c r="G49" s="267"/>
      <c r="H49" s="268"/>
      <c r="R49" t="s">
        <v>254</v>
      </c>
      <c r="S49" s="56" t="s">
        <v>172</v>
      </c>
      <c r="T49" s="56" t="s">
        <v>179</v>
      </c>
      <c r="U49" s="56" t="s">
        <v>193</v>
      </c>
      <c r="V49" s="56" t="s">
        <v>188</v>
      </c>
    </row>
    <row r="50" spans="1:24" x14ac:dyDescent="0.35">
      <c r="A50" s="272" t="s">
        <v>393</v>
      </c>
      <c r="B50" s="272"/>
      <c r="C50" s="272"/>
      <c r="D50" s="272"/>
      <c r="E50" s="272"/>
      <c r="F50" s="272"/>
      <c r="G50" s="272"/>
      <c r="H50" s="272"/>
    </row>
    <row r="51" spans="1:24" ht="32.15" customHeight="1" x14ac:dyDescent="0.35">
      <c r="A51" s="140" t="s">
        <v>39</v>
      </c>
      <c r="B51" s="142"/>
      <c r="C51" s="140" t="s">
        <v>370</v>
      </c>
      <c r="D51" s="141"/>
      <c r="E51" s="142"/>
      <c r="F51" s="18" t="s">
        <v>40</v>
      </c>
      <c r="G51" s="143">
        <v>43754</v>
      </c>
      <c r="H51" s="144"/>
      <c r="R51"/>
      <c r="S51" s="56" t="s">
        <v>255</v>
      </c>
      <c r="T51" s="56" t="s">
        <v>260</v>
      </c>
      <c r="U51" s="56" t="s">
        <v>271</v>
      </c>
      <c r="V51" s="56" t="s">
        <v>276</v>
      </c>
    </row>
    <row r="52" spans="1:24" ht="31.5" customHeight="1" x14ac:dyDescent="0.35">
      <c r="A52" s="140" t="s">
        <v>41</v>
      </c>
      <c r="B52" s="142"/>
      <c r="C52" s="140" t="str">
        <f>C51</f>
        <v>VVCMC/AMEND/BP/VP-0059/143/2019-20</v>
      </c>
      <c r="D52" s="141"/>
      <c r="E52" s="142"/>
      <c r="F52" s="18" t="s">
        <v>40</v>
      </c>
      <c r="G52" s="143">
        <f>G51</f>
        <v>43754</v>
      </c>
      <c r="H52" s="144"/>
      <c r="R52"/>
      <c r="S52" s="56" t="s">
        <v>256</v>
      </c>
      <c r="T52" s="56" t="s">
        <v>261</v>
      </c>
      <c r="U52" s="56" t="s">
        <v>269</v>
      </c>
      <c r="V52" s="56" t="s">
        <v>277</v>
      </c>
    </row>
    <row r="53" spans="1:24" s="23" customFormat="1" hidden="1" x14ac:dyDescent="0.35">
      <c r="A53" s="175" t="s">
        <v>282</v>
      </c>
      <c r="B53" s="176"/>
      <c r="C53" s="140"/>
      <c r="D53" s="141"/>
      <c r="E53" s="142"/>
      <c r="F53" s="18" t="s">
        <v>40</v>
      </c>
      <c r="G53" s="140"/>
      <c r="H53" s="142"/>
      <c r="R53"/>
      <c r="S53" s="56" t="s">
        <v>257</v>
      </c>
      <c r="T53" s="56" t="s">
        <v>262</v>
      </c>
      <c r="U53" s="56" t="s">
        <v>259</v>
      </c>
      <c r="V53" s="56" t="s">
        <v>278</v>
      </c>
    </row>
    <row r="54" spans="1:24" s="23" customFormat="1" ht="32.25" hidden="1" customHeight="1" x14ac:dyDescent="0.35">
      <c r="A54" s="177"/>
      <c r="B54" s="178"/>
      <c r="C54" s="152"/>
      <c r="D54" s="153"/>
      <c r="E54" s="153"/>
      <c r="F54" s="153"/>
      <c r="G54" s="153"/>
      <c r="H54" s="154"/>
      <c r="R54"/>
      <c r="S54" s="56" t="s">
        <v>259</v>
      </c>
      <c r="T54" s="56" t="s">
        <v>263</v>
      </c>
      <c r="U54" s="56" t="s">
        <v>273</v>
      </c>
      <c r="V54" s="76"/>
      <c r="W54" s="21"/>
      <c r="X54" s="21"/>
    </row>
    <row r="55" spans="1:24" s="23" customFormat="1" ht="34.5" hidden="1" customHeight="1" x14ac:dyDescent="0.35">
      <c r="A55" s="175" t="s">
        <v>283</v>
      </c>
      <c r="B55" s="176"/>
      <c r="C55" s="140">
        <f>C54</f>
        <v>0</v>
      </c>
      <c r="D55" s="141"/>
      <c r="E55" s="142"/>
      <c r="F55" s="18" t="s">
        <v>40</v>
      </c>
      <c r="G55" s="140">
        <f>G54</f>
        <v>0</v>
      </c>
      <c r="H55" s="142"/>
      <c r="R55"/>
      <c r="S55" s="76"/>
      <c r="T55" s="56" t="s">
        <v>264</v>
      </c>
      <c r="U55" s="56" t="s">
        <v>274</v>
      </c>
      <c r="V55" s="76"/>
      <c r="W55" s="21"/>
      <c r="X55" s="21"/>
    </row>
    <row r="56" spans="1:24" s="23" customFormat="1" ht="41.25" hidden="1" customHeight="1" x14ac:dyDescent="0.35">
      <c r="A56" s="177"/>
      <c r="B56" s="178"/>
      <c r="C56" s="140"/>
      <c r="D56" s="141"/>
      <c r="E56" s="141"/>
      <c r="F56" s="141"/>
      <c r="G56" s="141"/>
      <c r="H56" s="142"/>
      <c r="R56"/>
      <c r="S56" s="76"/>
      <c r="T56" s="56" t="s">
        <v>266</v>
      </c>
      <c r="U56" s="56" t="s">
        <v>275</v>
      </c>
      <c r="V56" s="76"/>
      <c r="W56" s="21"/>
      <c r="X56" s="21"/>
    </row>
    <row r="57" spans="1:24" s="23" customFormat="1" ht="15.75" hidden="1" customHeight="1" x14ac:dyDescent="0.35">
      <c r="A57" s="175" t="s">
        <v>284</v>
      </c>
      <c r="B57" s="176"/>
      <c r="C57" s="140">
        <f>C56</f>
        <v>0</v>
      </c>
      <c r="D57" s="141"/>
      <c r="E57" s="142"/>
      <c r="F57" s="18" t="s">
        <v>40</v>
      </c>
      <c r="G57" s="140">
        <f>G56</f>
        <v>0</v>
      </c>
      <c r="H57" s="142"/>
      <c r="R57"/>
      <c r="S57" s="76"/>
      <c r="T57" s="56" t="s">
        <v>267</v>
      </c>
      <c r="U57" s="76" t="s">
        <v>298</v>
      </c>
      <c r="V57" s="76"/>
      <c r="W57" s="21"/>
      <c r="X57" s="21"/>
    </row>
    <row r="58" spans="1:24" s="23" customFormat="1" ht="33.75" hidden="1" customHeight="1" x14ac:dyDescent="0.35">
      <c r="A58" s="177"/>
      <c r="B58" s="178"/>
      <c r="C58" s="140"/>
      <c r="D58" s="141"/>
      <c r="E58" s="141"/>
      <c r="F58" s="141"/>
      <c r="G58" s="141"/>
      <c r="H58" s="142"/>
      <c r="R58"/>
      <c r="S58" s="76"/>
      <c r="T58" s="56" t="s">
        <v>268</v>
      </c>
      <c r="U58" s="76"/>
      <c r="V58" s="76"/>
      <c r="W58" s="21"/>
      <c r="X58" s="21"/>
    </row>
    <row r="59" spans="1:24" ht="51.65" customHeight="1" x14ac:dyDescent="0.35">
      <c r="A59" s="252" t="s">
        <v>42</v>
      </c>
      <c r="B59" s="253"/>
      <c r="C59" s="252" t="s">
        <v>369</v>
      </c>
      <c r="D59" s="254"/>
      <c r="E59" s="253"/>
      <c r="F59" s="84" t="s">
        <v>40</v>
      </c>
      <c r="G59" s="255">
        <v>45338</v>
      </c>
      <c r="H59" s="256"/>
      <c r="R59"/>
      <c r="S59" s="76"/>
      <c r="T59" s="56" t="s">
        <v>270</v>
      </c>
      <c r="U59" s="76"/>
      <c r="V59" s="76"/>
    </row>
    <row r="60" spans="1:24" x14ac:dyDescent="0.35">
      <c r="A60" s="172" t="s">
        <v>372</v>
      </c>
      <c r="B60" s="172"/>
      <c r="C60" s="172"/>
      <c r="D60" s="172"/>
      <c r="E60" s="172"/>
      <c r="F60" s="172"/>
      <c r="G60" s="172"/>
      <c r="H60" s="172"/>
    </row>
    <row r="61" spans="1:24" ht="32.15" customHeight="1" x14ac:dyDescent="0.35">
      <c r="A61" s="140" t="s">
        <v>39</v>
      </c>
      <c r="B61" s="142"/>
      <c r="C61" s="140" t="s">
        <v>367</v>
      </c>
      <c r="D61" s="141"/>
      <c r="E61" s="142"/>
      <c r="F61" s="18" t="s">
        <v>40</v>
      </c>
      <c r="G61" s="143">
        <v>44386</v>
      </c>
      <c r="H61" s="144"/>
      <c r="R61"/>
      <c r="S61" s="56" t="s">
        <v>255</v>
      </c>
      <c r="T61" s="56" t="s">
        <v>260</v>
      </c>
      <c r="U61" s="56" t="s">
        <v>271</v>
      </c>
      <c r="V61" s="56" t="s">
        <v>276</v>
      </c>
    </row>
    <row r="62" spans="1:24" ht="31.5" customHeight="1" x14ac:dyDescent="0.35">
      <c r="A62" s="140" t="s">
        <v>41</v>
      </c>
      <c r="B62" s="142"/>
      <c r="C62" s="140" t="str">
        <f>C61</f>
        <v>VVCMC/TP/AMEND/VP/0059/277/2021-22</v>
      </c>
      <c r="D62" s="141"/>
      <c r="E62" s="142"/>
      <c r="F62" s="18" t="s">
        <v>40</v>
      </c>
      <c r="G62" s="143">
        <f>G61</f>
        <v>44386</v>
      </c>
      <c r="H62" s="144"/>
      <c r="R62"/>
      <c r="S62" s="56" t="s">
        <v>256</v>
      </c>
      <c r="T62" s="56" t="s">
        <v>261</v>
      </c>
      <c r="U62" s="56" t="s">
        <v>269</v>
      </c>
      <c r="V62" s="56" t="s">
        <v>277</v>
      </c>
    </row>
    <row r="63" spans="1:24" s="23" customFormat="1" x14ac:dyDescent="0.35">
      <c r="A63" s="145" t="s">
        <v>153</v>
      </c>
      <c r="B63" s="146"/>
      <c r="C63" s="140" t="s">
        <v>368</v>
      </c>
      <c r="D63" s="141"/>
      <c r="E63" s="142"/>
      <c r="F63" s="18" t="s">
        <v>40</v>
      </c>
      <c r="G63" s="143">
        <f>G62</f>
        <v>44386</v>
      </c>
      <c r="H63" s="144"/>
      <c r="R63"/>
      <c r="S63" s="56" t="s">
        <v>257</v>
      </c>
      <c r="T63" s="56" t="s">
        <v>262</v>
      </c>
      <c r="U63" s="56" t="s">
        <v>259</v>
      </c>
      <c r="V63" s="56" t="s">
        <v>278</v>
      </c>
    </row>
    <row r="64" spans="1:24" s="23" customFormat="1" ht="66.650000000000006" customHeight="1" x14ac:dyDescent="0.35">
      <c r="A64" s="147"/>
      <c r="B64" s="148"/>
      <c r="C64" s="140" t="s">
        <v>405</v>
      </c>
      <c r="D64" s="141"/>
      <c r="E64" s="141"/>
      <c r="F64" s="141"/>
      <c r="G64" s="141"/>
      <c r="H64" s="142"/>
      <c r="R64"/>
      <c r="S64" s="56" t="s">
        <v>258</v>
      </c>
      <c r="T64" s="56" t="s">
        <v>265</v>
      </c>
      <c r="U64" s="56" t="s">
        <v>272</v>
      </c>
      <c r="V64" s="75"/>
    </row>
    <row r="65" spans="1:24" ht="64.5" customHeight="1" x14ac:dyDescent="0.35">
      <c r="A65" s="252" t="s">
        <v>42</v>
      </c>
      <c r="B65" s="253"/>
      <c r="C65" s="252" t="s">
        <v>408</v>
      </c>
      <c r="D65" s="254"/>
      <c r="E65" s="253"/>
      <c r="F65" s="42" t="s">
        <v>40</v>
      </c>
      <c r="G65" s="255">
        <v>45629</v>
      </c>
      <c r="H65" s="256"/>
      <c r="R65"/>
      <c r="S65" s="76"/>
      <c r="T65" s="56" t="s">
        <v>270</v>
      </c>
      <c r="U65" s="76"/>
      <c r="V65" s="76"/>
    </row>
    <row r="66" spans="1:24" x14ac:dyDescent="0.35">
      <c r="A66" s="172" t="s">
        <v>411</v>
      </c>
      <c r="B66" s="172"/>
      <c r="C66" s="172"/>
      <c r="D66" s="172"/>
      <c r="E66" s="172"/>
      <c r="F66" s="172"/>
      <c r="G66" s="172"/>
      <c r="H66" s="172"/>
    </row>
    <row r="67" spans="1:24" ht="31.5" customHeight="1" x14ac:dyDescent="0.35">
      <c r="A67" s="140" t="s">
        <v>41</v>
      </c>
      <c r="B67" s="142"/>
      <c r="C67" s="140" t="s">
        <v>367</v>
      </c>
      <c r="D67" s="141"/>
      <c r="E67" s="142"/>
      <c r="F67" s="18" t="s">
        <v>40</v>
      </c>
      <c r="G67" s="143">
        <v>44386</v>
      </c>
      <c r="H67" s="144"/>
      <c r="R67"/>
      <c r="S67" s="56" t="s">
        <v>256</v>
      </c>
      <c r="T67" s="56" t="s">
        <v>261</v>
      </c>
      <c r="U67" s="56" t="s">
        <v>269</v>
      </c>
      <c r="V67" s="56" t="s">
        <v>277</v>
      </c>
    </row>
    <row r="68" spans="1:24" s="23" customFormat="1" x14ac:dyDescent="0.35">
      <c r="A68" s="145" t="s">
        <v>153</v>
      </c>
      <c r="B68" s="146"/>
      <c r="C68" s="140" t="s">
        <v>368</v>
      </c>
      <c r="D68" s="141"/>
      <c r="E68" s="142"/>
      <c r="F68" s="18" t="s">
        <v>40</v>
      </c>
      <c r="G68" s="143">
        <f>G67</f>
        <v>44386</v>
      </c>
      <c r="H68" s="144"/>
      <c r="R68"/>
      <c r="S68" s="56" t="s">
        <v>257</v>
      </c>
      <c r="T68" s="56" t="s">
        <v>262</v>
      </c>
      <c r="U68" s="56" t="s">
        <v>259</v>
      </c>
      <c r="V68" s="56" t="s">
        <v>278</v>
      </c>
    </row>
    <row r="69" spans="1:24" s="23" customFormat="1" ht="35.5" customHeight="1" x14ac:dyDescent="0.35">
      <c r="A69" s="147"/>
      <c r="B69" s="148"/>
      <c r="C69" s="140" t="s">
        <v>441</v>
      </c>
      <c r="D69" s="141"/>
      <c r="E69" s="141"/>
      <c r="F69" s="141"/>
      <c r="G69" s="141"/>
      <c r="H69" s="142"/>
      <c r="R69"/>
      <c r="S69" s="56" t="s">
        <v>258</v>
      </c>
      <c r="T69" s="56" t="s">
        <v>265</v>
      </c>
      <c r="U69" s="56" t="s">
        <v>272</v>
      </c>
      <c r="V69" s="75"/>
    </row>
    <row r="70" spans="1:24" s="23" customFormat="1" hidden="1" x14ac:dyDescent="0.35">
      <c r="A70" s="175" t="s">
        <v>282</v>
      </c>
      <c r="B70" s="176"/>
      <c r="C70" s="140"/>
      <c r="D70" s="141"/>
      <c r="E70" s="142"/>
      <c r="F70" s="18" t="s">
        <v>40</v>
      </c>
      <c r="G70" s="140"/>
      <c r="H70" s="142"/>
      <c r="R70"/>
      <c r="S70" s="56" t="s">
        <v>257</v>
      </c>
      <c r="T70" s="56" t="s">
        <v>262</v>
      </c>
      <c r="U70" s="56" t="s">
        <v>259</v>
      </c>
      <c r="V70" s="56" t="s">
        <v>278</v>
      </c>
    </row>
    <row r="71" spans="1:24" s="23" customFormat="1" ht="32.25" hidden="1" customHeight="1" x14ac:dyDescent="0.35">
      <c r="A71" s="177"/>
      <c r="B71" s="178"/>
      <c r="C71" s="152"/>
      <c r="D71" s="153"/>
      <c r="E71" s="153"/>
      <c r="F71" s="153"/>
      <c r="G71" s="153"/>
      <c r="H71" s="154"/>
      <c r="R71"/>
      <c r="S71" s="56" t="s">
        <v>259</v>
      </c>
      <c r="T71" s="56" t="s">
        <v>263</v>
      </c>
      <c r="U71" s="56" t="s">
        <v>273</v>
      </c>
      <c r="V71" s="76"/>
      <c r="W71" s="21"/>
      <c r="X71" s="21"/>
    </row>
    <row r="72" spans="1:24" s="23" customFormat="1" ht="34.5" hidden="1" customHeight="1" x14ac:dyDescent="0.35">
      <c r="A72" s="175" t="s">
        <v>283</v>
      </c>
      <c r="B72" s="176"/>
      <c r="C72" s="140">
        <f>C71</f>
        <v>0</v>
      </c>
      <c r="D72" s="141"/>
      <c r="E72" s="142"/>
      <c r="F72" s="18" t="s">
        <v>40</v>
      </c>
      <c r="G72" s="140">
        <f>G71</f>
        <v>0</v>
      </c>
      <c r="H72" s="142"/>
      <c r="R72"/>
      <c r="S72" s="76"/>
      <c r="T72" s="56" t="s">
        <v>264</v>
      </c>
      <c r="U72" s="56" t="s">
        <v>274</v>
      </c>
      <c r="V72" s="76"/>
      <c r="W72" s="21"/>
      <c r="X72" s="21"/>
    </row>
    <row r="73" spans="1:24" s="23" customFormat="1" ht="41.25" hidden="1" customHeight="1" x14ac:dyDescent="0.35">
      <c r="A73" s="177"/>
      <c r="B73" s="178"/>
      <c r="C73" s="140"/>
      <c r="D73" s="141"/>
      <c r="E73" s="141"/>
      <c r="F73" s="141"/>
      <c r="G73" s="141"/>
      <c r="H73" s="142"/>
      <c r="R73"/>
      <c r="S73" s="76"/>
      <c r="T73" s="56" t="s">
        <v>266</v>
      </c>
      <c r="U73" s="56" t="s">
        <v>275</v>
      </c>
      <c r="V73" s="76"/>
      <c r="W73" s="21"/>
      <c r="X73" s="21"/>
    </row>
    <row r="74" spans="1:24" s="23" customFormat="1" ht="15.75" hidden="1" customHeight="1" x14ac:dyDescent="0.35">
      <c r="A74" s="175" t="s">
        <v>284</v>
      </c>
      <c r="B74" s="176"/>
      <c r="C74" s="140">
        <f>C73</f>
        <v>0</v>
      </c>
      <c r="D74" s="141"/>
      <c r="E74" s="142"/>
      <c r="F74" s="18" t="s">
        <v>40</v>
      </c>
      <c r="G74" s="140">
        <f>G73</f>
        <v>0</v>
      </c>
      <c r="H74" s="142"/>
      <c r="R74"/>
      <c r="S74" s="76"/>
      <c r="T74" s="56" t="s">
        <v>267</v>
      </c>
      <c r="U74" s="76" t="s">
        <v>298</v>
      </c>
      <c r="V74" s="76"/>
      <c r="W74" s="21"/>
      <c r="X74" s="21"/>
    </row>
    <row r="75" spans="1:24" s="23" customFormat="1" ht="33.75" hidden="1" customHeight="1" x14ac:dyDescent="0.35">
      <c r="A75" s="177"/>
      <c r="B75" s="178"/>
      <c r="C75" s="140"/>
      <c r="D75" s="141"/>
      <c r="E75" s="141"/>
      <c r="F75" s="141"/>
      <c r="G75" s="141"/>
      <c r="H75" s="142"/>
      <c r="R75"/>
      <c r="S75" s="76"/>
      <c r="T75" s="56" t="s">
        <v>268</v>
      </c>
      <c r="U75" s="76"/>
      <c r="V75" s="76"/>
      <c r="W75" s="21"/>
      <c r="X75" s="21"/>
    </row>
    <row r="76" spans="1:24" ht="51.65" customHeight="1" x14ac:dyDescent="0.35">
      <c r="A76" s="252" t="s">
        <v>42</v>
      </c>
      <c r="B76" s="253"/>
      <c r="C76" s="252" t="s">
        <v>412</v>
      </c>
      <c r="D76" s="254"/>
      <c r="E76" s="253"/>
      <c r="F76" s="104" t="s">
        <v>40</v>
      </c>
      <c r="G76" s="255">
        <v>45743</v>
      </c>
      <c r="H76" s="256"/>
      <c r="R76"/>
      <c r="S76" s="76"/>
      <c r="T76" s="56" t="s">
        <v>270</v>
      </c>
      <c r="U76" s="76"/>
      <c r="V76" s="76"/>
    </row>
    <row r="77" spans="1:24" x14ac:dyDescent="0.35">
      <c r="A77" s="179" t="s">
        <v>44</v>
      </c>
      <c r="B77" s="179"/>
      <c r="C77" s="179"/>
      <c r="D77" s="179"/>
      <c r="E77" s="179"/>
      <c r="F77" s="179"/>
      <c r="G77" s="179"/>
      <c r="H77" s="179"/>
      <c r="S77" s="76"/>
      <c r="T77" s="56" t="s">
        <v>279</v>
      </c>
      <c r="U77" s="76"/>
      <c r="V77" s="76"/>
    </row>
    <row r="78" spans="1:24" ht="34" customHeight="1" x14ac:dyDescent="0.35">
      <c r="A78" s="180" t="s">
        <v>448</v>
      </c>
      <c r="B78" s="180"/>
      <c r="C78" s="180"/>
      <c r="D78" s="181">
        <f>19531.29+10925.01+12767.5</f>
        <v>43223.8</v>
      </c>
      <c r="E78" s="181"/>
      <c r="F78" s="181"/>
      <c r="G78" s="181"/>
      <c r="H78" s="181"/>
      <c r="R78"/>
    </row>
    <row r="79" spans="1:24" x14ac:dyDescent="0.35">
      <c r="A79" s="180" t="s">
        <v>45</v>
      </c>
      <c r="B79" s="181"/>
      <c r="C79" s="181"/>
      <c r="D79" s="181" t="s">
        <v>436</v>
      </c>
      <c r="E79" s="181"/>
      <c r="F79" s="181"/>
      <c r="G79" s="181"/>
      <c r="H79" s="181"/>
      <c r="I79" s="24"/>
      <c r="R79"/>
    </row>
    <row r="80" spans="1:24" ht="31.5" customHeight="1" x14ac:dyDescent="0.35">
      <c r="A80" s="213" t="s">
        <v>46</v>
      </c>
      <c r="B80" s="214"/>
      <c r="C80" s="215"/>
      <c r="D80" s="228" t="s">
        <v>445</v>
      </c>
      <c r="E80" s="295"/>
      <c r="F80" s="295"/>
      <c r="G80" s="295"/>
      <c r="H80" s="295"/>
      <c r="R80"/>
    </row>
    <row r="81" spans="1:19" ht="15.75" customHeight="1" x14ac:dyDescent="0.35">
      <c r="A81" s="213" t="s">
        <v>86</v>
      </c>
      <c r="B81" s="214"/>
      <c r="C81" s="215"/>
      <c r="D81" s="180" t="s">
        <v>444</v>
      </c>
      <c r="E81" s="181"/>
      <c r="F81" s="181"/>
      <c r="G81" s="181"/>
      <c r="H81" s="181"/>
      <c r="R81"/>
    </row>
    <row r="82" spans="1:19" ht="15.75" customHeight="1" x14ac:dyDescent="0.35">
      <c r="A82" s="216"/>
      <c r="B82" s="217"/>
      <c r="C82" s="218"/>
      <c r="D82" s="180" t="s">
        <v>447</v>
      </c>
      <c r="E82" s="181"/>
      <c r="F82" s="181"/>
      <c r="G82" s="181"/>
      <c r="H82" s="181"/>
      <c r="R82"/>
    </row>
    <row r="83" spans="1:19" ht="15.75" customHeight="1" x14ac:dyDescent="0.35">
      <c r="A83" s="216"/>
      <c r="B83" s="217"/>
      <c r="C83" s="218"/>
      <c r="D83" s="181" t="s">
        <v>446</v>
      </c>
      <c r="E83" s="181"/>
      <c r="F83" s="181"/>
      <c r="G83" s="181"/>
      <c r="H83" s="181"/>
      <c r="R83"/>
    </row>
    <row r="84" spans="1:19" ht="15.75" hidden="1" customHeight="1" x14ac:dyDescent="0.35">
      <c r="A84" s="219"/>
      <c r="B84" s="220"/>
      <c r="C84" s="221"/>
      <c r="D84" s="292" t="s">
        <v>168</v>
      </c>
      <c r="E84" s="293"/>
      <c r="F84" s="293"/>
      <c r="G84" s="293"/>
      <c r="H84" s="294"/>
      <c r="S84"/>
    </row>
    <row r="85" spans="1:19" ht="15.75" customHeight="1" x14ac:dyDescent="0.35">
      <c r="A85" s="149" t="s">
        <v>43</v>
      </c>
      <c r="B85" s="149"/>
      <c r="C85" s="149"/>
      <c r="D85" s="150" t="s">
        <v>406</v>
      </c>
      <c r="E85" s="150"/>
      <c r="F85" s="150"/>
      <c r="G85" s="150"/>
      <c r="H85" s="150"/>
      <c r="I85" s="150" t="s">
        <v>371</v>
      </c>
      <c r="J85" s="150"/>
      <c r="K85" s="150"/>
      <c r="L85" s="150"/>
      <c r="M85" s="150"/>
      <c r="N85" s="24"/>
      <c r="S85"/>
    </row>
    <row r="86" spans="1:19" ht="15.75" customHeight="1" x14ac:dyDescent="0.35">
      <c r="A86" s="149" t="s">
        <v>84</v>
      </c>
      <c r="B86" s="149"/>
      <c r="C86" s="149"/>
      <c r="D86" s="211" t="str">
        <f ca="1">(IF(G65="NA","60 Years After Completion",IF(G65&lt;&gt;"NA",""&amp;60-ROUNDDOWN((E3-G65)/360,0)&amp;" Years"," ")))</f>
        <v>60 Years</v>
      </c>
      <c r="E86" s="211"/>
      <c r="F86" s="211"/>
      <c r="G86" s="211"/>
      <c r="H86" s="211"/>
      <c r="N86" s="24"/>
      <c r="S86"/>
    </row>
    <row r="87" spans="1:19" ht="15.75" customHeight="1" x14ac:dyDescent="0.35">
      <c r="A87" s="149" t="s">
        <v>85</v>
      </c>
      <c r="B87" s="149"/>
      <c r="C87" s="149"/>
      <c r="D87" s="151" t="s">
        <v>23</v>
      </c>
      <c r="E87" s="151"/>
      <c r="F87" s="151"/>
      <c r="G87" s="151"/>
      <c r="H87" s="151"/>
      <c r="J87" s="25"/>
      <c r="K87" s="25"/>
      <c r="S87"/>
    </row>
    <row r="88" spans="1:19" ht="48.65" customHeight="1" x14ac:dyDescent="0.35">
      <c r="A88" s="181" t="s">
        <v>385</v>
      </c>
      <c r="B88" s="181"/>
      <c r="C88" s="181"/>
      <c r="D88" s="180" t="s">
        <v>384</v>
      </c>
      <c r="E88" s="151"/>
      <c r="F88" s="151"/>
      <c r="G88" s="151"/>
      <c r="H88" s="151"/>
      <c r="S88"/>
    </row>
    <row r="89" spans="1:19" x14ac:dyDescent="0.35">
      <c r="A89" s="151" t="s">
        <v>145</v>
      </c>
      <c r="B89" s="151"/>
      <c r="C89" s="151"/>
      <c r="D89" s="151" t="s">
        <v>28</v>
      </c>
      <c r="E89" s="151"/>
      <c r="F89" s="151"/>
      <c r="G89" s="151"/>
      <c r="H89" s="151"/>
      <c r="I89" s="26"/>
      <c r="J89" s="26"/>
      <c r="K89" s="26"/>
      <c r="L89" s="26"/>
      <c r="M89" s="26"/>
      <c r="N89" s="26"/>
    </row>
    <row r="90" spans="1:19" ht="15.75" customHeight="1" x14ac:dyDescent="0.35">
      <c r="A90" s="229" t="s">
        <v>83</v>
      </c>
      <c r="B90" s="229"/>
      <c r="C90" s="229"/>
      <c r="D90" s="228" t="str">
        <f ca="1">(IF(G112&gt;95%,"Nothing",IF(G112&gt;0%,"Cement, Aggregate, Steel, etc",IF(G112=0%,"Work not yet Started"))))</f>
        <v>Nothing</v>
      </c>
      <c r="E90" s="228"/>
      <c r="F90" s="228"/>
      <c r="G90" s="228"/>
      <c r="H90" s="228"/>
      <c r="J90" s="25"/>
      <c r="S90"/>
    </row>
    <row r="91" spans="1:19" ht="33.75" customHeight="1" thickBot="1" x14ac:dyDescent="0.4">
      <c r="A91" s="227" t="s">
        <v>114</v>
      </c>
      <c r="B91" s="227"/>
      <c r="C91" s="227"/>
      <c r="D91" s="228" t="str">
        <f ca="1">(IF(D90="Nothing","Yes",IF(D90="Cement, Aggregate, Steel, etc","Under Construction",IF(D90="Work not yet Started","Work not yet Started"))))</f>
        <v>Yes</v>
      </c>
      <c r="E91" s="228"/>
      <c r="F91" s="228" t="str">
        <f ca="1">(IF(D90="Nothing","Yes",IF(D90="Cement, Aggregate, Steel, etc","Under Construction",IF(D90="Work not yet Started","Work not yet Started"))))</f>
        <v>Yes</v>
      </c>
      <c r="G91" s="228"/>
      <c r="H91" s="228"/>
      <c r="S91"/>
    </row>
    <row r="92" spans="1:19" ht="15.75" customHeight="1" x14ac:dyDescent="0.35">
      <c r="A92" s="222" t="s">
        <v>135</v>
      </c>
      <c r="B92" s="223"/>
      <c r="C92" s="224" t="str">
        <f>D81</f>
        <v>Tower 1 : Palm Springs =  Gr/St + P1 to P3 + 1st to 20th Floor</v>
      </c>
      <c r="D92" s="225"/>
      <c r="E92" s="225"/>
      <c r="F92" s="225"/>
      <c r="G92" s="225"/>
      <c r="H92" s="226"/>
      <c r="I92" s="45" t="str">
        <f ca="1">IF(D106=100%,"All work Completed. Possession granted to the Building.",IF(D105=100%,"All work Completed, Waiting for OC",I93&amp;""&amp;I94&amp;""&amp;J93&amp;""&amp;J92&amp;" "&amp;J94))</f>
        <v>All work Completed. Possession granted to the Building.</v>
      </c>
      <c r="J92" s="46" t="str">
        <f ca="1">(IF(C99=(D93+F93+H93),"",IF(C99&gt;0,", RCC upto "&amp;C99&amp;" Slab","")))&amp;(IF(C100=H93,"",IF(C100&gt;0,", Brickwork upto "&amp;C100&amp;" Floor","")))&amp;(IF(C101=H93,"",IF(C101&gt;0,", Internal Plaster upto "&amp;C101&amp;" Floor","")))&amp;(IF(C102=H93,"",IF(C102&gt;0,", External Plaster upto "&amp;C102&amp;" Floor","")))&amp;(IF(C103=H93,"",IF(C103&gt;0,", Flooring upto "&amp;C103&amp;" Floor","")))&amp;(IF(C104=H93,"",IF(C104&gt;0,", Painting upto "&amp;C104&amp;" Floor","")))&amp;(IF(C105=H93,"",IF(C105&gt;0,", Finishing upto "&amp;C105&amp;" Floor","")))&amp;(IF(C106=H93,"",IF(C106&gt;0,", Possession upto "&amp;C106&amp;" Floor","")))</f>
        <v/>
      </c>
      <c r="S92"/>
    </row>
    <row r="93" spans="1:19" x14ac:dyDescent="0.35">
      <c r="A93" s="16" t="s">
        <v>137</v>
      </c>
      <c r="B93" s="49">
        <f>IF(AND(ISNUMBER(SEARCH("1B",C92))),1,IF(AND(ISNUMBER(SEARCH("2B",C92))),2,IF(AND(ISNUMBER(SEARCH("3B",C92))),3,IF(AND(ISNUMBER(SEARCH("4B",C92))),4,IF(ISNUMBER(SEARCH("5B",C92)),5,0)))))</f>
        <v>0</v>
      </c>
      <c r="C93" s="49" t="s">
        <v>69</v>
      </c>
      <c r="D93" s="49">
        <v>1</v>
      </c>
      <c r="E93" s="49" t="s">
        <v>68</v>
      </c>
      <c r="F93" s="49">
        <v>3</v>
      </c>
      <c r="G93" s="49" t="s">
        <v>77</v>
      </c>
      <c r="H93" s="17">
        <f ca="1">--TRIM(RIGHT(SUBSTITUTE(LEFT(C92,_xlfn.AGGREGATE(16,6,FIND({0,1,2,3,4,5,6,7,8,9},C92,ROW(INDIRECT("1:"&amp;LEN(C92)))),1))," ",REPT(" ",LEN(C92))),LEN(C92)))</f>
        <v>20</v>
      </c>
      <c r="I93" s="47" t="str">
        <f ca="1">IF(D97=100%,"Excavation","")&amp;IF(D98=100%,", Plinth","")&amp;IF(D99=100%,", RCC Slab","")&amp;IF(D100=100%,", Brickwork","")&amp;IF(D101=100%,", Internal Plaster","")&amp;IF(D102=100%,", External Plaster","")&amp;IF(D103=100%,", Flooring","")&amp;IF(D104=100%,", Painting","")&amp;IF(D105=100%,", Building common Amenities","")</f>
        <v>Excavation, Plinth, RCC Slab, Brickwork, Internal Plaster, External Plaster, Flooring, Painting, Building common Amenities</v>
      </c>
      <c r="J93" s="48" t="str">
        <f ca="1">(IF(C97=0,"Work not yet Started.",IF(D97=25%,"Piling work in process",IF(D97=50%,"Excavation work in process",IF(D97=100%,"","0")))))&amp;(IF(C98=0%,"",IF(C98=J99,", Footing work is process",IF(C98=J100,", Footing work Completed",IF(C98=J101,", 1st Basement Completed",IF(C98=J102,", 1st &amp; 2nd Basement Completed",IF(C98=J103,", 1st to 3rd Basement Completed",IF(C98=J104,", 1st to 4th Basement Completed",IF(C98=J105,", Plinth work is process",IF(C98=J106,"","0"))))))))))</f>
        <v/>
      </c>
      <c r="S93"/>
    </row>
    <row r="94" spans="1:19" ht="16" thickBot="1" x14ac:dyDescent="0.4">
      <c r="A94" s="182" t="s">
        <v>87</v>
      </c>
      <c r="B94" s="183"/>
      <c r="C94" s="184" t="s">
        <v>407</v>
      </c>
      <c r="D94" s="184"/>
      <c r="E94" s="184"/>
      <c r="F94" s="184"/>
      <c r="G94" s="184"/>
      <c r="H94" s="185"/>
      <c r="I94" s="47" t="str">
        <f ca="1">IF(I93&lt;&gt;""," Completed","")</f>
        <v xml:space="preserve"> Completed</v>
      </c>
      <c r="J94" s="48" t="str">
        <f ca="1">IF(J92&lt;&gt;"","Completed","")</f>
        <v/>
      </c>
      <c r="S94"/>
    </row>
    <row r="95" spans="1:19" ht="31" customHeight="1" thickBot="1" x14ac:dyDescent="0.4">
      <c r="A95" s="186" t="s">
        <v>82</v>
      </c>
      <c r="B95" s="187"/>
      <c r="C95" s="188">
        <f ca="1">E97</f>
        <v>1</v>
      </c>
      <c r="D95" s="189"/>
      <c r="E95" s="189" t="s">
        <v>81</v>
      </c>
      <c r="F95" s="189"/>
      <c r="G95" s="188">
        <f ca="1">G97</f>
        <v>1</v>
      </c>
      <c r="H95" s="190"/>
      <c r="I95" s="88"/>
      <c r="J95" s="48" t="str">
        <f ca="1">IF(J93&lt;&gt;"","Completed","")</f>
        <v/>
      </c>
      <c r="S95"/>
    </row>
    <row r="96" spans="1:19" ht="15.75" hidden="1" customHeight="1" x14ac:dyDescent="0.35">
      <c r="A96" s="191" t="s">
        <v>47</v>
      </c>
      <c r="B96" s="192"/>
      <c r="C96" s="105" t="s">
        <v>134</v>
      </c>
      <c r="D96" s="105" t="s">
        <v>80</v>
      </c>
      <c r="E96" s="192" t="s">
        <v>82</v>
      </c>
      <c r="F96" s="192"/>
      <c r="G96" s="192" t="s">
        <v>81</v>
      </c>
      <c r="H96" s="212"/>
      <c r="I96" s="13" t="s">
        <v>136</v>
      </c>
      <c r="J96" s="27">
        <f ca="1">H93*25%</f>
        <v>5</v>
      </c>
      <c r="S96"/>
    </row>
    <row r="97" spans="1:19" hidden="1" x14ac:dyDescent="0.35">
      <c r="A97" s="138" t="s">
        <v>123</v>
      </c>
      <c r="B97" s="139"/>
      <c r="C97" s="103">
        <f ca="1">J98</f>
        <v>20</v>
      </c>
      <c r="D97" s="19">
        <f ca="1">((100/H93)*C97)/100</f>
        <v>1</v>
      </c>
      <c r="E97" s="198">
        <f ca="1">(((C98/H93*10)+(40/(D93+F93+H93)*C99)+(7.5/(H93)*C100)+(7.5/(H93)*C101)+(10/H93*C102)+(10/H93*C103)+(5/H93*C104)+(5/H93*C105)+(5/H93*C106))/100)</f>
        <v>1</v>
      </c>
      <c r="F97" s="199"/>
      <c r="G97" s="198">
        <f ca="1">((((C97/H93)*20)+((C98/H93)*25)+(30/(H93+F93+D93)*C99)+(5/H93*C100)+(5/H93*C101)+(5/H93*C102)+(5/H93*C103)+(0/H93*C104)+(0/H93*C105)+(5/H93*C106))/100)</f>
        <v>1</v>
      </c>
      <c r="H97" s="202"/>
      <c r="I97" s="13" t="s">
        <v>97</v>
      </c>
      <c r="J97" s="28">
        <f ca="1">H93*50%</f>
        <v>10</v>
      </c>
    </row>
    <row r="98" spans="1:19" hidden="1" x14ac:dyDescent="0.35">
      <c r="A98" s="138" t="s">
        <v>48</v>
      </c>
      <c r="B98" s="139"/>
      <c r="C98" s="102">
        <f ca="1">J106</f>
        <v>20</v>
      </c>
      <c r="D98" s="19">
        <f ca="1">((100/H93)*C98)/100</f>
        <v>1</v>
      </c>
      <c r="E98" s="200"/>
      <c r="F98" s="201"/>
      <c r="G98" s="200"/>
      <c r="H98" s="203"/>
      <c r="I98" s="13" t="s">
        <v>98</v>
      </c>
      <c r="J98" s="28">
        <f ca="1">H93</f>
        <v>20</v>
      </c>
      <c r="S98"/>
    </row>
    <row r="99" spans="1:19" ht="15.75" hidden="1" customHeight="1" x14ac:dyDescent="0.35">
      <c r="A99" s="138" t="s">
        <v>124</v>
      </c>
      <c r="B99" s="139"/>
      <c r="C99" s="102">
        <f>F93+21</f>
        <v>24</v>
      </c>
      <c r="D99" s="19">
        <f ca="1">((100/(D93+F93+H93))*C99)/100</f>
        <v>1</v>
      </c>
      <c r="E99" s="200"/>
      <c r="F99" s="201"/>
      <c r="G99" s="200"/>
      <c r="H99" s="203"/>
      <c r="I99" s="13" t="s">
        <v>99</v>
      </c>
      <c r="J99" s="29">
        <f ca="1">(IF(B93&gt;1,(H93/(B93+2)),H93/4))</f>
        <v>5</v>
      </c>
      <c r="S99"/>
    </row>
    <row r="100" spans="1:19" ht="15.75" hidden="1" customHeight="1" x14ac:dyDescent="0.35">
      <c r="A100" s="138" t="s">
        <v>131</v>
      </c>
      <c r="B100" s="139" t="s">
        <v>125</v>
      </c>
      <c r="C100" s="102">
        <v>20</v>
      </c>
      <c r="D100" s="19">
        <f ca="1">((100/H93)*C100)/100</f>
        <v>1</v>
      </c>
      <c r="E100" s="200"/>
      <c r="F100" s="201"/>
      <c r="G100" s="200"/>
      <c r="H100" s="203"/>
      <c r="I100" s="13" t="s">
        <v>100</v>
      </c>
      <c r="J100" s="29">
        <f ca="1">(IF(B93&gt;1,(H93/(B93+2)+J99),H93/4+J99))</f>
        <v>10</v>
      </c>
    </row>
    <row r="101" spans="1:19" ht="15.75" hidden="1" customHeight="1" x14ac:dyDescent="0.35">
      <c r="A101" s="138" t="s">
        <v>132</v>
      </c>
      <c r="B101" s="139" t="s">
        <v>125</v>
      </c>
      <c r="C101" s="102">
        <v>20</v>
      </c>
      <c r="D101" s="19">
        <f ca="1">((100/H93)*C101)/100</f>
        <v>1</v>
      </c>
      <c r="E101" s="200"/>
      <c r="F101" s="201"/>
      <c r="G101" s="200"/>
      <c r="H101" s="203"/>
      <c r="I101" s="13" t="s">
        <v>143</v>
      </c>
      <c r="J101" s="29">
        <f>(IF(B93&gt;1,(H93/(B93+2)+J100),0))</f>
        <v>0</v>
      </c>
    </row>
    <row r="102" spans="1:19" ht="15" hidden="1" customHeight="1" x14ac:dyDescent="0.35">
      <c r="A102" s="138" t="s">
        <v>130</v>
      </c>
      <c r="B102" s="139" t="s">
        <v>127</v>
      </c>
      <c r="C102" s="102">
        <v>20</v>
      </c>
      <c r="D102" s="19">
        <f ca="1">((100/(H93))*C102)/100</f>
        <v>1</v>
      </c>
      <c r="E102" s="200"/>
      <c r="F102" s="201"/>
      <c r="G102" s="200"/>
      <c r="H102" s="203"/>
      <c r="I102" s="13" t="s">
        <v>138</v>
      </c>
      <c r="J102" s="29">
        <f>(IF(B93&gt;2,(H93/(B93+2)+J101),0))</f>
        <v>0</v>
      </c>
    </row>
    <row r="103" spans="1:19" ht="15.75" hidden="1" customHeight="1" x14ac:dyDescent="0.35">
      <c r="A103" s="138" t="s">
        <v>126</v>
      </c>
      <c r="B103" s="139" t="s">
        <v>126</v>
      </c>
      <c r="C103" s="102">
        <v>20</v>
      </c>
      <c r="D103" s="19">
        <f ca="1">((100/H93)*C103)/100</f>
        <v>1</v>
      </c>
      <c r="E103" s="200"/>
      <c r="F103" s="201"/>
      <c r="G103" s="200"/>
      <c r="H103" s="203"/>
      <c r="I103" s="13" t="s">
        <v>139</v>
      </c>
      <c r="J103" s="30">
        <f>(IF(B93&gt;3,(H93/(B93+2)+J102),0))</f>
        <v>0</v>
      </c>
    </row>
    <row r="104" spans="1:19" ht="15.75" hidden="1" customHeight="1" x14ac:dyDescent="0.35">
      <c r="A104" s="138" t="s">
        <v>133</v>
      </c>
      <c r="B104" s="139"/>
      <c r="C104" s="102">
        <v>20</v>
      </c>
      <c r="D104" s="19">
        <f ca="1">((100/H93)*C104)/100</f>
        <v>1</v>
      </c>
      <c r="E104" s="200"/>
      <c r="F104" s="201"/>
      <c r="G104" s="200"/>
      <c r="H104" s="203"/>
      <c r="I104" s="13" t="s">
        <v>140</v>
      </c>
      <c r="J104" s="29">
        <f>(IF(B93&gt;4,(H93/(B93+2)+J103),0))</f>
        <v>0</v>
      </c>
    </row>
    <row r="105" spans="1:19" ht="15.75" hidden="1" customHeight="1" x14ac:dyDescent="0.35">
      <c r="A105" s="138" t="s">
        <v>128</v>
      </c>
      <c r="B105" s="139" t="s">
        <v>128</v>
      </c>
      <c r="C105" s="102">
        <v>20</v>
      </c>
      <c r="D105" s="19">
        <f ca="1">((100/(H93))*C105)/100</f>
        <v>1</v>
      </c>
      <c r="E105" s="200"/>
      <c r="F105" s="201"/>
      <c r="G105" s="200"/>
      <c r="H105" s="203"/>
      <c r="I105" s="13" t="s">
        <v>144</v>
      </c>
      <c r="J105" s="29">
        <f ca="1">(IF(B93=1,(H93/(B93+3)+J100),IF(B93=0,(H93/4+J100),IF(B93&gt;1,0))))</f>
        <v>15</v>
      </c>
    </row>
    <row r="106" spans="1:19" ht="16" hidden="1" thickBot="1" x14ac:dyDescent="0.4">
      <c r="A106" s="204" t="s">
        <v>129</v>
      </c>
      <c r="B106" s="205"/>
      <c r="C106" s="109">
        <v>20</v>
      </c>
      <c r="D106" s="110">
        <f ca="1">((100/(H93))*C106)/100</f>
        <v>1</v>
      </c>
      <c r="E106" s="200"/>
      <c r="F106" s="201"/>
      <c r="G106" s="200"/>
      <c r="H106" s="203"/>
      <c r="I106" s="15" t="s">
        <v>101</v>
      </c>
      <c r="J106" s="31">
        <f ca="1">(IF(B93&gt;1.5,(H93/(B93+2)+J100+MAX(0,J101-J100)+MAX(0,J102-J101)+MAX(0,J103-J102)+MAX(0,J104-J103)+MAX(0,J105-J104)),IF(B93=1,(H93/(B93+3)+J105),IF(B93=0,H93/4+J105))))</f>
        <v>20</v>
      </c>
    </row>
    <row r="107" spans="1:19" ht="15.75" customHeight="1" x14ac:dyDescent="0.35">
      <c r="A107" s="137" t="s">
        <v>135</v>
      </c>
      <c r="B107" s="137"/>
      <c r="C107" s="137" t="str">
        <f>D82</f>
        <v>Tower 2 : Palm Grove = Stilt + P1 to P3 + 1st to 20th Floor</v>
      </c>
      <c r="D107" s="137"/>
      <c r="E107" s="137"/>
      <c r="F107" s="137"/>
      <c r="G107" s="137"/>
      <c r="H107" s="137"/>
      <c r="I107" s="108" t="str">
        <f ca="1">IF(D121=100%,"All work Completed. Possession granted to the Building.",IF(D120=100%,"All work Completed, Waiting for OC",I108&amp;""&amp;I109&amp;""&amp;J108&amp;""&amp;J107&amp;" "&amp;J109))</f>
        <v>All work Completed. Possession granted to the Building.</v>
      </c>
      <c r="J107" s="46" t="str">
        <f ca="1">(IF(C114=(D108+F108+H108),"",IF(C114&gt;0,", RCC upto "&amp;C114&amp;" Slab","")))&amp;(IF(C115=H108,"",IF(C115&gt;0,", Brickwork upto "&amp;C115&amp;" Floor","")))&amp;(IF(C116=H108,"",IF(C116&gt;0,", Internal Plaster upto "&amp;C116&amp;" Floor","")))&amp;(IF(C117=H108,"",IF(C117&gt;0,", External Plaster upto "&amp;C117&amp;" Floor","")))&amp;(IF(C118=H108,"",IF(C118&gt;0,", Flooring upto "&amp;C118&amp;" Floor","")))&amp;(IF(C119=H108,"",IF(C119&gt;0,", Painting upto "&amp;C119&amp;" Floor","")))&amp;(IF(C120=H108,"",IF(C120&gt;0,", Finishing upto "&amp;C120&amp;" Floor","")))&amp;(IF(C121=H108,"",IF(C121&gt;0,", Possession upto "&amp;C121&amp;" Floor","")))</f>
        <v/>
      </c>
      <c r="S107"/>
    </row>
    <row r="108" spans="1:19" x14ac:dyDescent="0.35">
      <c r="A108" s="49" t="s">
        <v>137</v>
      </c>
      <c r="B108" s="49">
        <f>IF(AND(ISNUMBER(SEARCH("1B",C107))),1,IF(AND(ISNUMBER(SEARCH("2B",C107))),2,IF(AND(ISNUMBER(SEARCH("3B",C107))),3,IF(AND(ISNUMBER(SEARCH("4B",C107))),4,IF(ISNUMBER(SEARCH("5B",C107)),5,0)))))</f>
        <v>0</v>
      </c>
      <c r="C108" s="49" t="s">
        <v>69</v>
      </c>
      <c r="D108" s="49">
        <v>1</v>
      </c>
      <c r="E108" s="49" t="s">
        <v>68</v>
      </c>
      <c r="F108" s="49">
        <v>3</v>
      </c>
      <c r="G108" s="49" t="s">
        <v>77</v>
      </c>
      <c r="H108" s="49">
        <f ca="1">--TRIM(RIGHT(SUBSTITUTE(LEFT(C107,_xlfn.AGGREGATE(16,6,FIND({0,1,2,3,4,5,6,7,8,9},C107,ROW(INDIRECT("1:"&amp;LEN(C107)))),1))," ",REPT(" ",LEN(C107))),LEN(C107)))</f>
        <v>20</v>
      </c>
      <c r="I108" s="88" t="str">
        <f ca="1">IF(D112=100%,"Excavation","")&amp;IF(D113=100%,", Plinth","")&amp;IF(D114=100%,", RCC Slab","")&amp;IF(D115=100%,", Brickwork","")&amp;IF(D116=100%,", Internal Plaster","")&amp;IF(D117=100%,", External Plaster","")&amp;IF(D118=100%,", Flooring","")&amp;IF(D119=100%,", Painting","")&amp;IF(D120=100%,", Building common Amenities","")</f>
        <v>Excavation, Plinth, RCC Slab, Brickwork, Internal Plaster, External Plaster, Flooring, Painting, Building common Amenities</v>
      </c>
      <c r="J108" s="48" t="str">
        <f ca="1">(IF(C112=0,"Work not yet Started.",IF(D112=25%,"Piling work in process",IF(D112=50%,"Excavation work in process",IF(D112=100%,"","0")))))&amp;(IF(C113=0%,"",IF(C113=J114,", Footing work is process",IF(C113=J115,", Footing work Completed",IF(C113=J116,", 1st Basement Completed",IF(C113=J117,", 1st &amp; 2nd Basement Completed",IF(C113=J118,", 1st to 3rd Basement Completed",IF(C113=J119,", 1st to 4th Basement Completed",IF(C113=J120,", Plinth work is process",IF(C113=J121,"","0"))))))))))</f>
        <v/>
      </c>
      <c r="S108"/>
    </row>
    <row r="109" spans="1:19" x14ac:dyDescent="0.35">
      <c r="A109" s="209" t="s">
        <v>87</v>
      </c>
      <c r="B109" s="209"/>
      <c r="C109" s="137" t="s">
        <v>407</v>
      </c>
      <c r="D109" s="137"/>
      <c r="E109" s="137"/>
      <c r="F109" s="137"/>
      <c r="G109" s="137"/>
      <c r="H109" s="137"/>
      <c r="I109" s="88" t="str">
        <f ca="1">IF(I108&lt;&gt;""," Completed","")</f>
        <v xml:space="preserve"> Completed</v>
      </c>
      <c r="J109" s="48" t="str">
        <f ca="1">IF(J107&lt;&gt;"","Completed","")</f>
        <v/>
      </c>
      <c r="S109"/>
    </row>
    <row r="110" spans="1:19" ht="31" customHeight="1" thickBot="1" x14ac:dyDescent="0.4">
      <c r="A110" s="134" t="s">
        <v>82</v>
      </c>
      <c r="B110" s="134"/>
      <c r="C110" s="135">
        <f ca="1">E112</f>
        <v>1</v>
      </c>
      <c r="D110" s="136"/>
      <c r="E110" s="136" t="s">
        <v>81</v>
      </c>
      <c r="F110" s="136"/>
      <c r="G110" s="135">
        <f ca="1">G112</f>
        <v>1</v>
      </c>
      <c r="H110" s="136"/>
      <c r="I110" s="88"/>
      <c r="J110" s="48" t="str">
        <f ca="1">IF(J108&lt;&gt;"","Completed","")</f>
        <v/>
      </c>
      <c r="S110"/>
    </row>
    <row r="111" spans="1:19" ht="15.75" hidden="1" customHeight="1" x14ac:dyDescent="0.35">
      <c r="A111" s="193" t="s">
        <v>47</v>
      </c>
      <c r="B111" s="193"/>
      <c r="C111" s="114" t="s">
        <v>134</v>
      </c>
      <c r="D111" s="114" t="s">
        <v>80</v>
      </c>
      <c r="E111" s="139" t="s">
        <v>82</v>
      </c>
      <c r="F111" s="139"/>
      <c r="G111" s="139" t="s">
        <v>81</v>
      </c>
      <c r="H111" s="139"/>
      <c r="I111" s="13" t="s">
        <v>136</v>
      </c>
      <c r="J111" s="27">
        <f ca="1">H108*25%</f>
        <v>5</v>
      </c>
      <c r="S111"/>
    </row>
    <row r="112" spans="1:19" ht="16" hidden="1" thickBot="1" x14ac:dyDescent="0.4">
      <c r="A112" s="193" t="s">
        <v>123</v>
      </c>
      <c r="B112" s="193"/>
      <c r="C112" s="114">
        <f ca="1">J113</f>
        <v>20</v>
      </c>
      <c r="D112" s="89">
        <f ca="1">((100/H108)*C112)/100</f>
        <v>1</v>
      </c>
      <c r="E112" s="210">
        <f ca="1">(((C113/H108*10)+(40/(D108+F108+H108)*C114)+(7.5/(H108)*C115)+(7.5/(H108)*C116)+(10/H108*C117)+(10/H108*C118)+(5/H108*C119)+(5/H108*C120)+(5/H108*C121))/100)</f>
        <v>1</v>
      </c>
      <c r="F112" s="210"/>
      <c r="G112" s="210">
        <f ca="1">((((C112/H108)*20)+((C113/H108)*25)+(30/(H108+F108+D108)*C114)+(5/H108*C115)+(5/H108*C116)+(5/H108*C117)+(5/H108*C118)+(0/H108*C119)+(0/H108*C120)+(5/H108*C121))/100)</f>
        <v>1</v>
      </c>
      <c r="H112" s="210"/>
      <c r="I112" s="13" t="s">
        <v>97</v>
      </c>
      <c r="J112" s="28">
        <f ca="1">H108*50%</f>
        <v>10</v>
      </c>
    </row>
    <row r="113" spans="1:19" ht="16" hidden="1" thickBot="1" x14ac:dyDescent="0.4">
      <c r="A113" s="193" t="s">
        <v>48</v>
      </c>
      <c r="B113" s="193"/>
      <c r="C113" s="114">
        <f ca="1">J121</f>
        <v>20</v>
      </c>
      <c r="D113" s="89">
        <f ca="1">((100/H108)*C113)/100</f>
        <v>1</v>
      </c>
      <c r="E113" s="210"/>
      <c r="F113" s="210"/>
      <c r="G113" s="210"/>
      <c r="H113" s="210"/>
      <c r="I113" s="13" t="s">
        <v>98</v>
      </c>
      <c r="J113" s="28">
        <f ca="1">H108</f>
        <v>20</v>
      </c>
      <c r="S113"/>
    </row>
    <row r="114" spans="1:19" ht="15.75" hidden="1" customHeight="1" x14ac:dyDescent="0.35">
      <c r="A114" s="193" t="s">
        <v>124</v>
      </c>
      <c r="B114" s="193"/>
      <c r="C114" s="114">
        <f>F108+21</f>
        <v>24</v>
      </c>
      <c r="D114" s="89">
        <f ca="1">((100/(D108+F108+H108))*C114)/100</f>
        <v>1</v>
      </c>
      <c r="E114" s="210"/>
      <c r="F114" s="210"/>
      <c r="G114" s="210"/>
      <c r="H114" s="210"/>
      <c r="I114" s="13" t="s">
        <v>99</v>
      </c>
      <c r="J114" s="29">
        <f ca="1">(IF(B108&gt;1,(H108/(B108+2)),H108/4))</f>
        <v>5</v>
      </c>
      <c r="S114"/>
    </row>
    <row r="115" spans="1:19" ht="15.75" hidden="1" customHeight="1" x14ac:dyDescent="0.35">
      <c r="A115" s="193" t="s">
        <v>131</v>
      </c>
      <c r="B115" s="193" t="s">
        <v>125</v>
      </c>
      <c r="C115" s="114">
        <v>20</v>
      </c>
      <c r="D115" s="89">
        <f ca="1">((100/H108)*C115)/100</f>
        <v>1</v>
      </c>
      <c r="E115" s="210"/>
      <c r="F115" s="210"/>
      <c r="G115" s="210"/>
      <c r="H115" s="210"/>
      <c r="I115" s="13" t="s">
        <v>100</v>
      </c>
      <c r="J115" s="29">
        <f ca="1">(IF(B108&gt;1,(H108/(B108+2)+J114),H108/4+J114))</f>
        <v>10</v>
      </c>
    </row>
    <row r="116" spans="1:19" ht="15.75" hidden="1" customHeight="1" x14ac:dyDescent="0.35">
      <c r="A116" s="193" t="s">
        <v>132</v>
      </c>
      <c r="B116" s="193" t="s">
        <v>125</v>
      </c>
      <c r="C116" s="114">
        <v>20</v>
      </c>
      <c r="D116" s="89">
        <f ca="1">((100/H108)*C116)/100</f>
        <v>1</v>
      </c>
      <c r="E116" s="210"/>
      <c r="F116" s="210"/>
      <c r="G116" s="210"/>
      <c r="H116" s="210"/>
      <c r="I116" s="13" t="s">
        <v>143</v>
      </c>
      <c r="J116" s="29">
        <f>(IF(B108&gt;1,(H108/(B108+2)+J115),0))</f>
        <v>0</v>
      </c>
    </row>
    <row r="117" spans="1:19" ht="15" hidden="1" customHeight="1" x14ac:dyDescent="0.35">
      <c r="A117" s="193" t="s">
        <v>130</v>
      </c>
      <c r="B117" s="193" t="s">
        <v>127</v>
      </c>
      <c r="C117" s="114">
        <v>20</v>
      </c>
      <c r="D117" s="89">
        <f ca="1">((100/(H108))*C117)/100</f>
        <v>1</v>
      </c>
      <c r="E117" s="210"/>
      <c r="F117" s="210"/>
      <c r="G117" s="210"/>
      <c r="H117" s="210"/>
      <c r="I117" s="13" t="s">
        <v>138</v>
      </c>
      <c r="J117" s="29">
        <f>(IF(B108&gt;2,(H108/(B108+2)+J116),0))</f>
        <v>0</v>
      </c>
    </row>
    <row r="118" spans="1:19" ht="15.75" hidden="1" customHeight="1" x14ac:dyDescent="0.35">
      <c r="A118" s="139" t="s">
        <v>126</v>
      </c>
      <c r="B118" s="139" t="s">
        <v>126</v>
      </c>
      <c r="C118" s="113">
        <v>20</v>
      </c>
      <c r="D118" s="19">
        <f ca="1">((100/H108)*C118)/100</f>
        <v>1</v>
      </c>
      <c r="E118" s="210"/>
      <c r="F118" s="210"/>
      <c r="G118" s="210"/>
      <c r="H118" s="210"/>
      <c r="I118" s="13" t="s">
        <v>139</v>
      </c>
      <c r="J118" s="30">
        <f>(IF(B108&gt;3,(H108/(B108+2)+J117),0))</f>
        <v>0</v>
      </c>
    </row>
    <row r="119" spans="1:19" ht="15.75" hidden="1" customHeight="1" x14ac:dyDescent="0.35">
      <c r="A119" s="139" t="s">
        <v>133</v>
      </c>
      <c r="B119" s="139"/>
      <c r="C119" s="113">
        <v>20</v>
      </c>
      <c r="D119" s="19">
        <f ca="1">((100/H108)*C119)/100</f>
        <v>1</v>
      </c>
      <c r="E119" s="210"/>
      <c r="F119" s="210"/>
      <c r="G119" s="210"/>
      <c r="H119" s="210"/>
      <c r="I119" s="13" t="s">
        <v>140</v>
      </c>
      <c r="J119" s="29">
        <f>(IF(B108&gt;4,(H108/(B108+2)+J118),0))</f>
        <v>0</v>
      </c>
    </row>
    <row r="120" spans="1:19" ht="15.75" hidden="1" customHeight="1" x14ac:dyDescent="0.35">
      <c r="A120" s="139" t="s">
        <v>128</v>
      </c>
      <c r="B120" s="139" t="s">
        <v>128</v>
      </c>
      <c r="C120" s="113">
        <v>20</v>
      </c>
      <c r="D120" s="19">
        <f ca="1">((100/(H108))*C120)/100</f>
        <v>1</v>
      </c>
      <c r="E120" s="210"/>
      <c r="F120" s="210"/>
      <c r="G120" s="210"/>
      <c r="H120" s="210"/>
      <c r="I120" s="13" t="s">
        <v>144</v>
      </c>
      <c r="J120" s="29">
        <f ca="1">(IF(B108=1,(H108/(B108+3)+J115),IF(B108=0,(H108/4+J115),IF(B108&gt;1,0))))</f>
        <v>15</v>
      </c>
    </row>
    <row r="121" spans="1:19" ht="16" hidden="1" thickBot="1" x14ac:dyDescent="0.4">
      <c r="A121" s="139" t="s">
        <v>129</v>
      </c>
      <c r="B121" s="139"/>
      <c r="C121" s="113">
        <v>20</v>
      </c>
      <c r="D121" s="19">
        <f ca="1">((100/(H108))*C121)/100</f>
        <v>1</v>
      </c>
      <c r="E121" s="210"/>
      <c r="F121" s="210"/>
      <c r="G121" s="210"/>
      <c r="H121" s="210"/>
      <c r="I121" s="15" t="s">
        <v>101</v>
      </c>
      <c r="J121" s="31">
        <f ca="1">(IF(B108&gt;1.5,(H108/(B108+2)+J115+MAX(0,J116-J115)+MAX(0,J117-J116)+MAX(0,J118-J117)+MAX(0,J119-J118)+MAX(0,J120-J119)),IF(B108=1,(H108/(B108+3)+J120),IF(B108=0,H108/4+J120))))</f>
        <v>20</v>
      </c>
    </row>
    <row r="122" spans="1:19" ht="15.75" customHeight="1" x14ac:dyDescent="0.35">
      <c r="A122" s="137" t="s">
        <v>135</v>
      </c>
      <c r="B122" s="137"/>
      <c r="C122" s="137" t="str">
        <f>D83</f>
        <v>Tower 4 : Palm Breeze = Gr/Stilt + 1st to 23rd Floor</v>
      </c>
      <c r="D122" s="137"/>
      <c r="E122" s="137"/>
      <c r="F122" s="137"/>
      <c r="G122" s="137"/>
      <c r="H122" s="137"/>
      <c r="I122" s="108" t="str">
        <f ca="1">IF(D135=100%,"All work Completed. Possession granted to the Building.",IF(D134=100%,"All work Completed, Waiting for OC",I123&amp;""&amp;I124&amp;""&amp;J123&amp;""&amp;J122&amp;" "&amp;J124))</f>
        <v>All work Completed. Possession granted to the Building.</v>
      </c>
      <c r="J122" s="46" t="str">
        <f ca="1">(IF(C128=(D123+F123+H123),"",IF(C128&gt;0,", RCC upto "&amp;C128&amp;" Slab","")))&amp;(IF(C129=H123,"",IF(C129&gt;0,", Brickwork upto "&amp;C129&amp;" Floor","")))&amp;(IF(C130=H123,"",IF(C130&gt;0,", Internal Plaster upto "&amp;C130&amp;" Floor","")))&amp;(IF(C131=H123,"",IF(C131&gt;0,", External Plaster upto "&amp;C131&amp;" Floor","")))&amp;(IF(C132=H123,"",IF(C132&gt;0,", Flooring upto "&amp;C132&amp;" Floor","")))&amp;(IF(C133=H123,"",IF(C133&gt;0,", Painting upto "&amp;C133&amp;" Floor","")))&amp;(IF(C134=H123,"",IF(C134&gt;0,", Finishing upto "&amp;C134&amp;" Floor","")))&amp;(IF(C135=H123,"",IF(C135&gt;0,", Possession upto "&amp;C135&amp;" Floor","")))</f>
        <v/>
      </c>
      <c r="S122"/>
    </row>
    <row r="123" spans="1:19" x14ac:dyDescent="0.35">
      <c r="A123" s="49" t="s">
        <v>137</v>
      </c>
      <c r="B123" s="49">
        <f>IF(AND(ISNUMBER(SEARCH("1B",C122))),1,IF(AND(ISNUMBER(SEARCH("2B",C122))),2,IF(AND(ISNUMBER(SEARCH("3B",C122))),3,IF(AND(ISNUMBER(SEARCH("4B",C122))),4,IF(ISNUMBER(SEARCH("5B",C122)),5,0)))))</f>
        <v>0</v>
      </c>
      <c r="C123" s="49" t="s">
        <v>69</v>
      </c>
      <c r="D123" s="49">
        <v>1</v>
      </c>
      <c r="E123" s="49" t="s">
        <v>68</v>
      </c>
      <c r="F123" s="49">
        <v>0</v>
      </c>
      <c r="G123" s="49" t="s">
        <v>77</v>
      </c>
      <c r="H123" s="49">
        <f ca="1">--TRIM(RIGHT(SUBSTITUTE(LEFT(C122,_xlfn.AGGREGATE(16,6,FIND({0,1,2,3,4,5,6,7,8,9},C122,ROW(INDIRECT("1:"&amp;LEN(C122)))),1))," ",REPT(" ",LEN(C122))),LEN(C122)))</f>
        <v>23</v>
      </c>
      <c r="I123" s="88" t="str">
        <f ca="1">IF(D126=100%,"Excavation","")&amp;IF(D127=100%,", Plinth","")&amp;IF(D128=100%,", RCC Slab","")&amp;IF(D129=100%,", Brickwork","")&amp;IF(D130=100%,", Internal Plaster","")&amp;IF(D131=100%,", External Plaster","")&amp;IF(D132=100%,", Flooring","")&amp;IF(D133=100%,", Painting","")&amp;IF(D134=100%,", Building common Amenities","")</f>
        <v>Excavation, Plinth, RCC Slab, Brickwork, Internal Plaster, External Plaster, Flooring, Painting, Building common Amenities</v>
      </c>
      <c r="J123" s="48" t="str">
        <f ca="1">(IF(C126=0,"Work not yet Started.",IF(D126=25%,"Piling work in process",IF(D126=50%,"Excavation work in process",IF(D126=100%,"","0")))))&amp;(IF(C127=0%,"",IF(C127=J128,", Footing work is process",IF(C127=J129,", Footing work Completed",IF(C127=J130,", 1st Basement Completed",IF(C127=J131,", 1st &amp; 2nd Basement Completed",IF(C127=J132,", 1st to 3rd Basement Completed",IF(C127=J133,", 1st to 4th Basement Completed",IF(C127=J134,", Plinth work is process",IF(C127=J135,"","0"))))))))))</f>
        <v/>
      </c>
      <c r="S123"/>
    </row>
    <row r="124" spans="1:19" ht="15.75" customHeight="1" x14ac:dyDescent="0.35">
      <c r="A124" s="209" t="s">
        <v>87</v>
      </c>
      <c r="B124" s="209"/>
      <c r="C124" s="137" t="s">
        <v>407</v>
      </c>
      <c r="D124" s="137"/>
      <c r="E124" s="137"/>
      <c r="F124" s="137"/>
      <c r="G124" s="137"/>
      <c r="H124" s="137"/>
      <c r="I124" s="88" t="str">
        <f ca="1">IF(I123&lt;&gt;""," Completed","")</f>
        <v xml:space="preserve"> Completed</v>
      </c>
      <c r="J124" s="48" t="str">
        <f ca="1">IF(J122&lt;&gt;"","Completed","")</f>
        <v/>
      </c>
      <c r="S124"/>
    </row>
    <row r="125" spans="1:19" ht="15.75" hidden="1" customHeight="1" x14ac:dyDescent="0.35">
      <c r="A125" s="193" t="s">
        <v>47</v>
      </c>
      <c r="B125" s="193"/>
      <c r="C125" s="114" t="s">
        <v>134</v>
      </c>
      <c r="D125" s="114" t="s">
        <v>80</v>
      </c>
      <c r="E125" s="193" t="s">
        <v>82</v>
      </c>
      <c r="F125" s="193"/>
      <c r="G125" s="193" t="s">
        <v>81</v>
      </c>
      <c r="H125" s="193"/>
      <c r="I125" s="13" t="s">
        <v>136</v>
      </c>
      <c r="J125" s="27">
        <f ca="1">H123*25%</f>
        <v>5.75</v>
      </c>
      <c r="S125"/>
    </row>
    <row r="126" spans="1:19" hidden="1" x14ac:dyDescent="0.35">
      <c r="A126" s="193" t="s">
        <v>123</v>
      </c>
      <c r="B126" s="193"/>
      <c r="C126" s="114">
        <f ca="1">J127</f>
        <v>23</v>
      </c>
      <c r="D126" s="89">
        <f ca="1">((100/H123)*C126)/100</f>
        <v>1</v>
      </c>
      <c r="E126" s="206">
        <f ca="1">(((C127/H123*10)+(40/(D123+F123+H123)*C128)+(7.5/(H123)*C129)+(7.5/(H123)*C130)+(10/H123*C131)+(10/H123*C132)+(5/H123*C133)+(5/H123*C134)+(5/H123*C135))/100)</f>
        <v>1</v>
      </c>
      <c r="F126" s="206"/>
      <c r="G126" s="206">
        <f ca="1">((((C126/H123)*20)+((C127/H123)*25)+(30/(H123+F123+D123)*C128)+(5/H123*C129)+(5/H123*C130)+(5/H123*C131)+(5/H123*C132)+(0/H123*C133)+(0/H123*C134)+(5/H123*C135))/100)</f>
        <v>1</v>
      </c>
      <c r="H126" s="206"/>
      <c r="I126" s="13" t="s">
        <v>97</v>
      </c>
      <c r="J126" s="28">
        <f ca="1">H123*50%</f>
        <v>11.5</v>
      </c>
    </row>
    <row r="127" spans="1:19" hidden="1" x14ac:dyDescent="0.35">
      <c r="A127" s="193" t="s">
        <v>48</v>
      </c>
      <c r="B127" s="193"/>
      <c r="C127" s="114">
        <f ca="1">J135</f>
        <v>23</v>
      </c>
      <c r="D127" s="89">
        <f ca="1">((100/H123)*C127)/100</f>
        <v>1</v>
      </c>
      <c r="E127" s="206"/>
      <c r="F127" s="206"/>
      <c r="G127" s="206"/>
      <c r="H127" s="206"/>
      <c r="I127" s="13" t="s">
        <v>98</v>
      </c>
      <c r="J127" s="28">
        <f ca="1">H123</f>
        <v>23</v>
      </c>
      <c r="S127"/>
    </row>
    <row r="128" spans="1:19" ht="15.75" hidden="1" customHeight="1" x14ac:dyDescent="0.35">
      <c r="A128" s="193" t="s">
        <v>124</v>
      </c>
      <c r="B128" s="193"/>
      <c r="C128" s="114">
        <v>24</v>
      </c>
      <c r="D128" s="89">
        <f ca="1">((100/(D123+F123+H123))*C128)/100</f>
        <v>1</v>
      </c>
      <c r="E128" s="206"/>
      <c r="F128" s="206"/>
      <c r="G128" s="206"/>
      <c r="H128" s="206"/>
      <c r="I128" s="13" t="s">
        <v>99</v>
      </c>
      <c r="J128" s="29">
        <f ca="1">(IF(B123&gt;1,(H123/(B123+2)),H123/4))</f>
        <v>5.75</v>
      </c>
      <c r="S128"/>
    </row>
    <row r="129" spans="1:19" ht="15.75" hidden="1" customHeight="1" x14ac:dyDescent="0.35">
      <c r="A129" s="193" t="s">
        <v>131</v>
      </c>
      <c r="B129" s="193" t="s">
        <v>125</v>
      </c>
      <c r="C129" s="114">
        <v>23</v>
      </c>
      <c r="D129" s="89">
        <f ca="1">((100/H123)*C129)/100</f>
        <v>1</v>
      </c>
      <c r="E129" s="206"/>
      <c r="F129" s="206"/>
      <c r="G129" s="206"/>
      <c r="H129" s="206"/>
      <c r="I129" s="13" t="s">
        <v>100</v>
      </c>
      <c r="J129" s="29">
        <f ca="1">(IF(B123&gt;1,(H123/(B123+2)+J128),H123/4+J128))</f>
        <v>11.5</v>
      </c>
    </row>
    <row r="130" spans="1:19" ht="15.75" hidden="1" customHeight="1" x14ac:dyDescent="0.35">
      <c r="A130" s="193" t="s">
        <v>132</v>
      </c>
      <c r="B130" s="193" t="s">
        <v>125</v>
      </c>
      <c r="C130" s="114">
        <v>23</v>
      </c>
      <c r="D130" s="89">
        <f ca="1">((100/H123)*C130)/100</f>
        <v>1</v>
      </c>
      <c r="E130" s="206"/>
      <c r="F130" s="206"/>
      <c r="G130" s="206"/>
      <c r="H130" s="206"/>
      <c r="I130" s="13" t="s">
        <v>143</v>
      </c>
      <c r="J130" s="29">
        <f>(IF(B123&gt;1,(H123/(B123+2)+J129),0))</f>
        <v>0</v>
      </c>
    </row>
    <row r="131" spans="1:19" ht="15" hidden="1" customHeight="1" x14ac:dyDescent="0.35">
      <c r="A131" s="193" t="s">
        <v>130</v>
      </c>
      <c r="B131" s="193" t="s">
        <v>127</v>
      </c>
      <c r="C131" s="114">
        <v>23</v>
      </c>
      <c r="D131" s="89">
        <f ca="1">((100/(H123))*C131)/100</f>
        <v>1</v>
      </c>
      <c r="E131" s="206"/>
      <c r="F131" s="206"/>
      <c r="G131" s="206"/>
      <c r="H131" s="206"/>
      <c r="I131" s="13" t="s">
        <v>138</v>
      </c>
      <c r="J131" s="29">
        <f>(IF(B123&gt;2,(H123/(B123+2)+J130),0))</f>
        <v>0</v>
      </c>
    </row>
    <row r="132" spans="1:19" ht="15.75" hidden="1" customHeight="1" x14ac:dyDescent="0.35">
      <c r="A132" s="193" t="s">
        <v>126</v>
      </c>
      <c r="B132" s="193" t="s">
        <v>126</v>
      </c>
      <c r="C132" s="114">
        <v>23</v>
      </c>
      <c r="D132" s="89">
        <f ca="1">((100/H123)*C132)/100</f>
        <v>1</v>
      </c>
      <c r="E132" s="206"/>
      <c r="F132" s="206"/>
      <c r="G132" s="206"/>
      <c r="H132" s="206"/>
      <c r="I132" s="13" t="s">
        <v>139</v>
      </c>
      <c r="J132" s="30">
        <f>(IF(B123&gt;3,(H123/(B123+2)+J131),0))</f>
        <v>0</v>
      </c>
    </row>
    <row r="133" spans="1:19" ht="15.75" hidden="1" customHeight="1" x14ac:dyDescent="0.35">
      <c r="A133" s="193" t="s">
        <v>133</v>
      </c>
      <c r="B133" s="193"/>
      <c r="C133" s="114">
        <v>23</v>
      </c>
      <c r="D133" s="89">
        <f ca="1">((100/H123)*C133)/100</f>
        <v>1</v>
      </c>
      <c r="E133" s="206"/>
      <c r="F133" s="206"/>
      <c r="G133" s="206"/>
      <c r="H133" s="206"/>
      <c r="I133" s="13" t="s">
        <v>140</v>
      </c>
      <c r="J133" s="29">
        <f>(IF(B123&gt;4,(H123/(B123+2)+J132),0))</f>
        <v>0</v>
      </c>
    </row>
    <row r="134" spans="1:19" ht="15.75" hidden="1" customHeight="1" x14ac:dyDescent="0.35">
      <c r="A134" s="193" t="s">
        <v>128</v>
      </c>
      <c r="B134" s="193" t="s">
        <v>128</v>
      </c>
      <c r="C134" s="114">
        <v>23</v>
      </c>
      <c r="D134" s="89">
        <f ca="1">((100/(H123))*C134)/100</f>
        <v>1</v>
      </c>
      <c r="E134" s="206"/>
      <c r="F134" s="206"/>
      <c r="G134" s="206"/>
      <c r="H134" s="206"/>
      <c r="I134" s="13" t="s">
        <v>144</v>
      </c>
      <c r="J134" s="29">
        <f ca="1">(IF(B123=1,(H123/(B123+3)+J129),IF(B123=0,(H123/4+J129),IF(B123&gt;1,0))))</f>
        <v>17.25</v>
      </c>
    </row>
    <row r="135" spans="1:19" ht="16" hidden="1" thickBot="1" x14ac:dyDescent="0.4">
      <c r="A135" s="193" t="s">
        <v>129</v>
      </c>
      <c r="B135" s="193"/>
      <c r="C135" s="114">
        <v>23</v>
      </c>
      <c r="D135" s="89">
        <f ca="1">((100/(H123))*C135)/100</f>
        <v>1</v>
      </c>
      <c r="E135" s="206"/>
      <c r="F135" s="206"/>
      <c r="G135" s="206"/>
      <c r="H135" s="206"/>
      <c r="I135" s="15" t="s">
        <v>101</v>
      </c>
      <c r="J135" s="31">
        <f ca="1">(IF(B123&gt;1.5,(H123/(B123+2)+J129+MAX(0,J130-J129)+MAX(0,J131-J130)+MAX(0,J132-J131)+MAX(0,J133-J132)+MAX(0,J134-J133)),IF(B123=1,(H123/(B123+3)+J134),IF(B123=0,H123/4+J134))))</f>
        <v>23</v>
      </c>
    </row>
    <row r="136" spans="1:19" ht="31" customHeight="1" x14ac:dyDescent="0.35">
      <c r="A136" s="134" t="s">
        <v>82</v>
      </c>
      <c r="B136" s="134"/>
      <c r="C136" s="135" t="str">
        <f>E138</f>
        <v>Podium</v>
      </c>
      <c r="D136" s="136"/>
      <c r="E136" s="136" t="s">
        <v>81</v>
      </c>
      <c r="F136" s="136"/>
      <c r="G136" s="135" t="str">
        <f>G138</f>
        <v>Floors</v>
      </c>
      <c r="H136" s="136"/>
      <c r="I136" s="88"/>
      <c r="J136" s="48" t="str">
        <f ca="1">IF(J134&lt;&gt;"","Completed","")</f>
        <v>Completed</v>
      </c>
      <c r="S136"/>
    </row>
    <row r="137" spans="1:19" ht="15.75" hidden="1" customHeight="1" x14ac:dyDescent="0.35">
      <c r="A137" s="207" t="s">
        <v>135</v>
      </c>
      <c r="B137" s="208"/>
      <c r="C137" s="131" t="str">
        <f>D84</f>
        <v>C Wing = 1B + G + 1st to 20th Floor</v>
      </c>
      <c r="D137" s="132"/>
      <c r="E137" s="132"/>
      <c r="F137" s="132"/>
      <c r="G137" s="132"/>
      <c r="H137" s="133"/>
      <c r="I137" s="45" t="str">
        <f ca="1">IF(D150=100%,"All work Completed. Possession granted to the Building.",IF(D149=100%,"All work Completed, Waiting for OC",I138&amp;""&amp;I139&amp;""&amp;J138&amp;""&amp;J137&amp;" "&amp;J139))</f>
        <v xml:space="preserve">Excavation, Plinth Completed </v>
      </c>
      <c r="J137" s="46" t="str">
        <f ca="1">(IF(C143=(D138+F138+H138),"",IF(C143&gt;0,", RCC upto "&amp;C143&amp;" Slab","")))&amp;(IF(C144=H138,"",IF(C144&gt;0,", Brickwork upto "&amp;C144&amp;" Floor","")))&amp;(IF(C145=H138,"",IF(C145&gt;0,", Internal Plaster upto "&amp;C145&amp;" Floor","")))&amp;(IF(C146=H138,"",IF(C146&gt;0,", External Plaster upto "&amp;C146&amp;" Floor","")))&amp;(IF(C147=H138,"",IF(C147&gt;0,", Flooring upto "&amp;C147&amp;" Floor","")))&amp;(IF(C148=H138,"",IF(C148&gt;0,", Painting upto "&amp;C148&amp;" Floor","")))&amp;(IF(C149=H138,"",IF(C149&gt;0,", Finishing upto "&amp;C149&amp;" Floor","")))&amp;(IF(C150=H138,"",IF(C150&gt;0,", Possession upto "&amp;C150&amp;" Floor","")))</f>
        <v/>
      </c>
      <c r="S137"/>
    </row>
    <row r="138" spans="1:19" hidden="1" x14ac:dyDescent="0.35">
      <c r="A138" s="16" t="s">
        <v>137</v>
      </c>
      <c r="B138" s="49">
        <f>IF(AND(ISNUMBER(SEARCH("1B",C137))),1,IF(AND(ISNUMBER(SEARCH("2B",C137))),2,IF(AND(ISNUMBER(SEARCH("3B",C137))),3,IF(AND(ISNUMBER(SEARCH("4B",C137))),4,IF(ISNUMBER(SEARCH("5B",C137)),5,0)))))</f>
        <v>1</v>
      </c>
      <c r="C138" s="49" t="s">
        <v>69</v>
      </c>
      <c r="D138" s="49">
        <v>1</v>
      </c>
      <c r="E138" s="49" t="s">
        <v>68</v>
      </c>
      <c r="F138" s="14">
        <v>0</v>
      </c>
      <c r="G138" s="44" t="s">
        <v>77</v>
      </c>
      <c r="H138" s="17">
        <f ca="1">--TRIM(RIGHT(SUBSTITUTE(LEFT(C137,_xlfn.AGGREGATE(16,6,FIND({0,1,2,3,4,5,6,7,8,9},C137,ROW(INDIRECT("1:"&amp;LEN(C137)))),1))," ",REPT(" ",LEN(C137))),LEN(C137)))</f>
        <v>20</v>
      </c>
      <c r="I138" s="47" t="str">
        <f ca="1">IF(D141=100%,"Excavation","")&amp;IF(D142=100%,", Plinth","")&amp;IF(D143=100%,", RCC Slab","")&amp;IF(D144=100%,", Brickwork","")&amp;IF(D145=100%,", Internal Plaster","")&amp;IF(D146=100%,", External Plaster","")&amp;IF(D147=100%,", Flooring","")&amp;IF(D148=100%,", Painting","")&amp;IF(D149=100%,", Building common Amenities","")</f>
        <v>Excavation, Plinth</v>
      </c>
      <c r="J138" s="48" t="str">
        <f ca="1">(IF(C141=0,"Work not yet Started.",IF(D141=25%,"Piling work in process",IF(D141=50%,"Excavation work in process",IF(D141=100%,"","0")))))&amp;(IF(C142=0%,"",IF(C142=J143,", Footing work is process",IF(C142=J144,", Footing work Completed",IF(C142=J145,", 1st Basement Completed",IF(C142=J146,", 1st &amp; 2nd Basement Completed",IF(C142=J147,", 1st to 3rd Basement Completed",IF(C142=J148,", 1st to 4th Basement Completed",IF(C142=J149,", Plinth work is process",IF(C142=J150,"","0"))))))))))</f>
        <v/>
      </c>
      <c r="S138"/>
    </row>
    <row r="139" spans="1:19" ht="36.75" hidden="1" customHeight="1" x14ac:dyDescent="0.35">
      <c r="A139" s="299" t="s">
        <v>87</v>
      </c>
      <c r="B139" s="209"/>
      <c r="C139" s="137" t="str">
        <f ca="1">I137</f>
        <v xml:space="preserve">Excavation, Plinth Completed </v>
      </c>
      <c r="D139" s="137"/>
      <c r="E139" s="137"/>
      <c r="F139" s="137"/>
      <c r="G139" s="137"/>
      <c r="H139" s="300"/>
      <c r="I139" s="47" t="str">
        <f ca="1">IF(I138&lt;&gt;""," Completed","")</f>
        <v xml:space="preserve"> Completed</v>
      </c>
      <c r="J139" s="48" t="str">
        <f ca="1">IF(J137&lt;&gt;"","Completed","")</f>
        <v/>
      </c>
      <c r="S139"/>
    </row>
    <row r="140" spans="1:19" ht="15.75" hidden="1" customHeight="1" x14ac:dyDescent="0.35">
      <c r="A140" s="138" t="s">
        <v>47</v>
      </c>
      <c r="B140" s="139"/>
      <c r="C140" s="78" t="s">
        <v>134</v>
      </c>
      <c r="D140" s="78" t="s">
        <v>80</v>
      </c>
      <c r="E140" s="139" t="s">
        <v>82</v>
      </c>
      <c r="F140" s="139"/>
      <c r="G140" s="139" t="s">
        <v>81</v>
      </c>
      <c r="H140" s="230"/>
      <c r="I140" s="13" t="s">
        <v>136</v>
      </c>
      <c r="J140" s="27">
        <f ca="1">H138*25%</f>
        <v>5</v>
      </c>
      <c r="S140"/>
    </row>
    <row r="141" spans="1:19" hidden="1" x14ac:dyDescent="0.35">
      <c r="A141" s="138" t="s">
        <v>123</v>
      </c>
      <c r="B141" s="139"/>
      <c r="C141" s="60">
        <f ca="1">J142</f>
        <v>20</v>
      </c>
      <c r="D141" s="19">
        <f ca="1">((100/H138)*C141)/100</f>
        <v>1</v>
      </c>
      <c r="E141" s="198">
        <f ca="1">(((C142/H138*10)+(40/(D138+F138+H138)*C143)+(7.5/(H138)*C144)+(7.5/(H138)*C145)+(10/H138*C146)+(10/H138*C147)+(5/H138*C148)+(5/H138*C149)+(5/H138*C150))/100)</f>
        <v>0.1</v>
      </c>
      <c r="F141" s="199"/>
      <c r="G141" s="198">
        <f ca="1">((((C141/H138)*20)+((C142/H138)*25)+(30/(H138+F138+D138)*C143)+(5/H138*C144)+(5/H138*C145)+(5/H138*C146)+(5/H138*C147)+(0/H138*C148)+(0/H138*C149)+(5/H138*C150))/100)</f>
        <v>0.45</v>
      </c>
      <c r="H141" s="202"/>
      <c r="I141" s="13" t="s">
        <v>97</v>
      </c>
      <c r="J141" s="28">
        <f ca="1">H138*50%</f>
        <v>10</v>
      </c>
    </row>
    <row r="142" spans="1:19" hidden="1" x14ac:dyDescent="0.35">
      <c r="A142" s="138" t="s">
        <v>48</v>
      </c>
      <c r="B142" s="139"/>
      <c r="C142" s="78">
        <f ca="1">J150</f>
        <v>20</v>
      </c>
      <c r="D142" s="19">
        <f ca="1">((100/H138)*C142)/100</f>
        <v>1</v>
      </c>
      <c r="E142" s="200"/>
      <c r="F142" s="201"/>
      <c r="G142" s="200"/>
      <c r="H142" s="203"/>
      <c r="I142" s="13" t="s">
        <v>98</v>
      </c>
      <c r="J142" s="28">
        <f ca="1">H138</f>
        <v>20</v>
      </c>
      <c r="S142"/>
    </row>
    <row r="143" spans="1:19" ht="15.75" hidden="1" customHeight="1" x14ac:dyDescent="0.35">
      <c r="A143" s="138" t="s">
        <v>124</v>
      </c>
      <c r="B143" s="139"/>
      <c r="C143" s="78">
        <v>0</v>
      </c>
      <c r="D143" s="19">
        <f ca="1">((100/(D138+F138+H138))*C143)/100</f>
        <v>0</v>
      </c>
      <c r="E143" s="200"/>
      <c r="F143" s="201"/>
      <c r="G143" s="200"/>
      <c r="H143" s="203"/>
      <c r="I143" s="13" t="s">
        <v>99</v>
      </c>
      <c r="J143" s="29">
        <f ca="1">(IF(B138&gt;1,(H138/(B138+2)),H138/4))</f>
        <v>5</v>
      </c>
      <c r="S143"/>
    </row>
    <row r="144" spans="1:19" ht="15.75" hidden="1" customHeight="1" x14ac:dyDescent="0.35">
      <c r="A144" s="138" t="s">
        <v>131</v>
      </c>
      <c r="B144" s="139" t="s">
        <v>125</v>
      </c>
      <c r="C144" s="78">
        <v>0</v>
      </c>
      <c r="D144" s="19">
        <f ca="1">((100/H138)*C144)/100</f>
        <v>0</v>
      </c>
      <c r="E144" s="200"/>
      <c r="F144" s="201"/>
      <c r="G144" s="200"/>
      <c r="H144" s="203"/>
      <c r="I144" s="13" t="s">
        <v>100</v>
      </c>
      <c r="J144" s="29">
        <f ca="1">(IF(B138&gt;1,(H138/(B138+2)+J143),H138/4+J143))</f>
        <v>10</v>
      </c>
    </row>
    <row r="145" spans="1:22" ht="15.75" hidden="1" customHeight="1" x14ac:dyDescent="0.35">
      <c r="A145" s="138" t="s">
        <v>132</v>
      </c>
      <c r="B145" s="139" t="s">
        <v>125</v>
      </c>
      <c r="C145" s="78">
        <v>0</v>
      </c>
      <c r="D145" s="19">
        <f ca="1">((100/H138)*C145)/100</f>
        <v>0</v>
      </c>
      <c r="E145" s="200"/>
      <c r="F145" s="201"/>
      <c r="G145" s="200"/>
      <c r="H145" s="203"/>
      <c r="I145" s="13" t="s">
        <v>143</v>
      </c>
      <c r="J145" s="29">
        <f>(IF(B138&gt;1,(H138/(B138+2)+J144),0))</f>
        <v>0</v>
      </c>
    </row>
    <row r="146" spans="1:22" ht="15" hidden="1" customHeight="1" x14ac:dyDescent="0.35">
      <c r="A146" s="138" t="s">
        <v>130</v>
      </c>
      <c r="B146" s="139" t="s">
        <v>127</v>
      </c>
      <c r="C146" s="78">
        <v>0</v>
      </c>
      <c r="D146" s="19">
        <f ca="1">((100/(H138))*C146)/100</f>
        <v>0</v>
      </c>
      <c r="E146" s="200"/>
      <c r="F146" s="201"/>
      <c r="G146" s="200"/>
      <c r="H146" s="203"/>
      <c r="I146" s="13" t="s">
        <v>138</v>
      </c>
      <c r="J146" s="29">
        <f>(IF(B138&gt;2,(H138/(B138+2)+J145),0))</f>
        <v>0</v>
      </c>
    </row>
    <row r="147" spans="1:22" ht="15.75" hidden="1" customHeight="1" x14ac:dyDescent="0.35">
      <c r="A147" s="138" t="s">
        <v>126</v>
      </c>
      <c r="B147" s="139" t="s">
        <v>126</v>
      </c>
      <c r="C147" s="78">
        <v>0</v>
      </c>
      <c r="D147" s="19">
        <f ca="1">((100/H138)*C147)/100</f>
        <v>0</v>
      </c>
      <c r="E147" s="200"/>
      <c r="F147" s="201"/>
      <c r="G147" s="200"/>
      <c r="H147" s="203"/>
      <c r="I147" s="13" t="s">
        <v>139</v>
      </c>
      <c r="J147" s="30">
        <f>(IF(B138&gt;3,(H138/(B138+2)+J146),0))</f>
        <v>0</v>
      </c>
    </row>
    <row r="148" spans="1:22" ht="15.75" hidden="1" customHeight="1" x14ac:dyDescent="0.35">
      <c r="A148" s="138" t="s">
        <v>133</v>
      </c>
      <c r="B148" s="139"/>
      <c r="C148" s="78">
        <v>0</v>
      </c>
      <c r="D148" s="19">
        <f ca="1">((100/H138)*C148)/100</f>
        <v>0</v>
      </c>
      <c r="E148" s="200"/>
      <c r="F148" s="201"/>
      <c r="G148" s="200"/>
      <c r="H148" s="203"/>
      <c r="I148" s="13" t="s">
        <v>140</v>
      </c>
      <c r="J148" s="29">
        <f>(IF(B138&gt;4,(H138/(B138+2)+J147),0))</f>
        <v>0</v>
      </c>
    </row>
    <row r="149" spans="1:22" ht="15.75" hidden="1" customHeight="1" x14ac:dyDescent="0.35">
      <c r="A149" s="138" t="s">
        <v>128</v>
      </c>
      <c r="B149" s="139" t="s">
        <v>128</v>
      </c>
      <c r="C149" s="78">
        <v>0</v>
      </c>
      <c r="D149" s="19">
        <f ca="1">((100/(H138))*C149)/100</f>
        <v>0</v>
      </c>
      <c r="E149" s="200"/>
      <c r="F149" s="201"/>
      <c r="G149" s="200"/>
      <c r="H149" s="203"/>
      <c r="I149" s="13" t="s">
        <v>144</v>
      </c>
      <c r="J149" s="29">
        <f ca="1">(IF(B138=1,(H138/(B138+3)+J144),IF(B138=0,(H138/4+J144),IF(B138&gt;1,0))))</f>
        <v>15</v>
      </c>
    </row>
    <row r="150" spans="1:22" ht="16" hidden="1" thickBot="1" x14ac:dyDescent="0.4">
      <c r="A150" s="173" t="s">
        <v>129</v>
      </c>
      <c r="B150" s="174"/>
      <c r="C150" s="77">
        <v>0</v>
      </c>
      <c r="D150" s="20">
        <f ca="1">((100/(H138))*C150)/100</f>
        <v>0</v>
      </c>
      <c r="E150" s="296"/>
      <c r="F150" s="297"/>
      <c r="G150" s="296"/>
      <c r="H150" s="298"/>
      <c r="I150" s="15" t="s">
        <v>101</v>
      </c>
      <c r="J150" s="31">
        <f ca="1">(IF(B138&gt;1.5,(H138/(B138+2)+J144+MAX(0,J145-J144)+MAX(0,J146-J145)+MAX(0,J147-J146)+MAX(0,J148-J147)+MAX(0,J149-J148)),IF(B138=1,(H138/(B138+3)+J149),IF(B138=0,H138/4+J149))))</f>
        <v>20</v>
      </c>
    </row>
    <row r="151" spans="1:22" x14ac:dyDescent="0.35">
      <c r="A151" s="258" t="s">
        <v>155</v>
      </c>
      <c r="B151" s="258"/>
      <c r="C151" s="258"/>
      <c r="D151" s="258"/>
      <c r="E151" s="258"/>
      <c r="F151" s="231" t="s">
        <v>159</v>
      </c>
      <c r="G151" s="231"/>
      <c r="H151" s="231"/>
      <c r="R151" t="s">
        <v>254</v>
      </c>
      <c r="S151" t="s">
        <v>172</v>
      </c>
      <c r="T151" t="s">
        <v>179</v>
      </c>
      <c r="U151" t="s">
        <v>193</v>
      </c>
      <c r="V151" t="s">
        <v>188</v>
      </c>
    </row>
    <row r="152" spans="1:22" x14ac:dyDescent="0.35">
      <c r="A152" s="149" t="s">
        <v>157</v>
      </c>
      <c r="B152" s="149"/>
      <c r="C152" s="149"/>
      <c r="D152" s="149"/>
      <c r="E152" s="149"/>
      <c r="F152" s="194">
        <v>7400</v>
      </c>
      <c r="G152" s="194"/>
      <c r="H152" s="194"/>
      <c r="I152" s="97"/>
      <c r="J152" s="98" t="s">
        <v>399</v>
      </c>
      <c r="K152" s="98"/>
      <c r="R152"/>
      <c r="S152">
        <v>800000</v>
      </c>
      <c r="T152">
        <v>150000</v>
      </c>
      <c r="U152">
        <v>100000</v>
      </c>
      <c r="V152">
        <v>100000</v>
      </c>
    </row>
    <row r="153" spans="1:22" x14ac:dyDescent="0.35">
      <c r="A153" s="149" t="s">
        <v>156</v>
      </c>
      <c r="B153" s="149"/>
      <c r="C153" s="149"/>
      <c r="D153" s="149"/>
      <c r="E153" s="149"/>
      <c r="F153" s="194">
        <v>10000</v>
      </c>
      <c r="G153" s="194"/>
      <c r="H153" s="194"/>
      <c r="I153" s="97"/>
      <c r="J153" s="98" t="s">
        <v>400</v>
      </c>
      <c r="K153" s="98"/>
      <c r="R153"/>
      <c r="S153">
        <v>900000</v>
      </c>
      <c r="T153">
        <v>200000</v>
      </c>
      <c r="U153">
        <v>150000</v>
      </c>
      <c r="V153">
        <v>150000</v>
      </c>
    </row>
    <row r="154" spans="1:22" ht="15.65" hidden="1" customHeight="1" x14ac:dyDescent="0.35">
      <c r="A154" s="149" t="s">
        <v>158</v>
      </c>
      <c r="B154" s="149"/>
      <c r="C154" s="149"/>
      <c r="D154" s="149"/>
      <c r="E154" s="149"/>
      <c r="F154" s="194"/>
      <c r="G154" s="194"/>
      <c r="H154" s="194"/>
      <c r="I154" s="97"/>
      <c r="J154" s="98"/>
      <c r="K154" s="98"/>
      <c r="R154"/>
      <c r="S154">
        <v>1000000</v>
      </c>
      <c r="T154">
        <v>250000</v>
      </c>
      <c r="U154">
        <v>200000</v>
      </c>
      <c r="V154">
        <v>200000</v>
      </c>
    </row>
    <row r="155" spans="1:22" s="32" customFormat="1" hidden="1" x14ac:dyDescent="0.35">
      <c r="A155" s="149" t="s">
        <v>175</v>
      </c>
      <c r="B155" s="149"/>
      <c r="C155" s="149"/>
      <c r="D155" s="149"/>
      <c r="E155" s="149"/>
      <c r="F155" s="194"/>
      <c r="G155" s="194"/>
      <c r="H155" s="194"/>
      <c r="I155" s="97"/>
      <c r="J155" s="98"/>
      <c r="K155" s="98"/>
      <c r="R155"/>
      <c r="S155">
        <v>1100000</v>
      </c>
      <c r="T155">
        <v>300000</v>
      </c>
      <c r="U155">
        <v>250000</v>
      </c>
      <c r="V155" s="23">
        <v>250000</v>
      </c>
    </row>
    <row r="156" spans="1:22" s="96" customFormat="1" x14ac:dyDescent="0.35">
      <c r="A156" s="195" t="s">
        <v>395</v>
      </c>
      <c r="B156" s="196"/>
      <c r="C156" s="196"/>
      <c r="D156" s="196"/>
      <c r="E156" s="197"/>
      <c r="F156" s="234">
        <v>25000</v>
      </c>
      <c r="G156" s="235"/>
      <c r="H156" s="236"/>
      <c r="I156" s="97"/>
      <c r="J156" s="98" t="s">
        <v>401</v>
      </c>
      <c r="K156" s="98"/>
      <c r="L156" s="32"/>
      <c r="M156" s="32"/>
      <c r="N156" s="32"/>
      <c r="O156" s="32"/>
    </row>
    <row r="157" spans="1:22" s="96" customFormat="1" x14ac:dyDescent="0.35">
      <c r="A157" s="195" t="s">
        <v>96</v>
      </c>
      <c r="B157" s="196"/>
      <c r="C157" s="196"/>
      <c r="D157" s="196"/>
      <c r="E157" s="197"/>
      <c r="F157" s="234">
        <v>107000</v>
      </c>
      <c r="G157" s="235"/>
      <c r="H157" s="236"/>
      <c r="I157" s="97"/>
      <c r="J157" s="98"/>
      <c r="K157" s="98"/>
    </row>
    <row r="158" spans="1:22" s="96" customFormat="1" x14ac:dyDescent="0.35">
      <c r="A158" s="195" t="s">
        <v>95</v>
      </c>
      <c r="B158" s="196"/>
      <c r="C158" s="196"/>
      <c r="D158" s="196"/>
      <c r="E158" s="197"/>
      <c r="F158" s="234">
        <v>5000</v>
      </c>
      <c r="G158" s="235"/>
      <c r="H158" s="236"/>
      <c r="I158" s="97"/>
      <c r="J158" s="98"/>
      <c r="K158" s="98"/>
    </row>
    <row r="159" spans="1:22" s="96" customFormat="1" x14ac:dyDescent="0.35">
      <c r="A159" s="195" t="s">
        <v>396</v>
      </c>
      <c r="B159" s="196"/>
      <c r="C159" s="196"/>
      <c r="D159" s="196"/>
      <c r="E159" s="197"/>
      <c r="F159" s="234">
        <v>70000</v>
      </c>
      <c r="G159" s="235"/>
      <c r="H159" s="236"/>
      <c r="I159" s="97"/>
      <c r="J159" s="98"/>
      <c r="K159" s="98"/>
    </row>
    <row r="160" spans="1:22" s="96" customFormat="1" x14ac:dyDescent="0.35">
      <c r="A160" s="195" t="s">
        <v>397</v>
      </c>
      <c r="B160" s="196"/>
      <c r="C160" s="196"/>
      <c r="D160" s="196"/>
      <c r="E160" s="197"/>
      <c r="F160" s="234">
        <v>1000</v>
      </c>
      <c r="G160" s="235"/>
      <c r="H160" s="236"/>
      <c r="I160" s="97"/>
      <c r="J160" s="98"/>
      <c r="K160" s="98"/>
    </row>
    <row r="161" spans="1:22" s="96" customFormat="1" x14ac:dyDescent="0.35">
      <c r="A161" s="195" t="s">
        <v>398</v>
      </c>
      <c r="B161" s="196"/>
      <c r="C161" s="196"/>
      <c r="D161" s="196"/>
      <c r="E161" s="197"/>
      <c r="F161" s="234">
        <v>59000</v>
      </c>
      <c r="G161" s="235"/>
      <c r="H161" s="236"/>
      <c r="I161" s="97"/>
      <c r="J161" s="98"/>
      <c r="K161" s="98"/>
    </row>
    <row r="162" spans="1:22" s="32" customFormat="1" hidden="1" x14ac:dyDescent="0.35">
      <c r="A162" s="149" t="s">
        <v>91</v>
      </c>
      <c r="B162" s="149"/>
      <c r="C162" s="149"/>
      <c r="D162" s="149"/>
      <c r="E162" s="149"/>
      <c r="F162" s="194"/>
      <c r="G162" s="194"/>
      <c r="H162" s="194"/>
      <c r="I162" s="97"/>
      <c r="J162" s="98"/>
      <c r="K162" s="98"/>
      <c r="R162"/>
      <c r="S162">
        <v>1200000</v>
      </c>
      <c r="T162">
        <v>350000</v>
      </c>
      <c r="U162">
        <v>300000</v>
      </c>
      <c r="V162">
        <v>300000</v>
      </c>
    </row>
    <row r="163" spans="1:22" s="32" customFormat="1" hidden="1" x14ac:dyDescent="0.35">
      <c r="A163" s="149" t="s">
        <v>92</v>
      </c>
      <c r="B163" s="149"/>
      <c r="C163" s="149"/>
      <c r="D163" s="149"/>
      <c r="E163" s="149"/>
      <c r="F163" s="194"/>
      <c r="G163" s="194"/>
      <c r="H163" s="194"/>
      <c r="I163" s="97"/>
      <c r="J163" s="98"/>
      <c r="K163" s="98"/>
      <c r="R163"/>
      <c r="S163">
        <v>1300000</v>
      </c>
      <c r="T163">
        <v>400000</v>
      </c>
      <c r="U163">
        <v>350000</v>
      </c>
      <c r="V163" s="23">
        <v>400000</v>
      </c>
    </row>
    <row r="164" spans="1:22" s="32" customFormat="1" hidden="1" x14ac:dyDescent="0.35">
      <c r="A164" s="149" t="s">
        <v>93</v>
      </c>
      <c r="B164" s="149"/>
      <c r="C164" s="149"/>
      <c r="D164" s="149"/>
      <c r="E164" s="149"/>
      <c r="F164" s="194"/>
      <c r="G164" s="194"/>
      <c r="H164" s="194"/>
      <c r="R164"/>
      <c r="S164">
        <v>1400000</v>
      </c>
      <c r="T164">
        <v>500000</v>
      </c>
      <c r="U164">
        <v>400000</v>
      </c>
      <c r="V164"/>
    </row>
    <row r="165" spans="1:22" s="32" customFormat="1" hidden="1" x14ac:dyDescent="0.35">
      <c r="A165" s="149" t="s">
        <v>94</v>
      </c>
      <c r="B165" s="149"/>
      <c r="C165" s="149"/>
      <c r="D165" s="149"/>
      <c r="E165" s="149"/>
      <c r="F165" s="194"/>
      <c r="G165" s="194"/>
      <c r="H165" s="194"/>
      <c r="R165"/>
      <c r="S165">
        <v>1500000</v>
      </c>
      <c r="T165">
        <v>600000</v>
      </c>
      <c r="U165">
        <v>500000</v>
      </c>
      <c r="V165" s="23"/>
    </row>
    <row r="166" spans="1:22" s="32" customFormat="1" hidden="1" x14ac:dyDescent="0.35">
      <c r="A166" s="149" t="s">
        <v>95</v>
      </c>
      <c r="B166" s="149"/>
      <c r="C166" s="149"/>
      <c r="D166" s="149"/>
      <c r="E166" s="149"/>
      <c r="F166" s="194"/>
      <c r="G166" s="194"/>
      <c r="H166" s="194"/>
      <c r="R166"/>
      <c r="S166">
        <v>1600000</v>
      </c>
      <c r="T166">
        <v>700000</v>
      </c>
      <c r="U166">
        <v>600000</v>
      </c>
      <c r="V166"/>
    </row>
    <row r="167" spans="1:22" s="32" customFormat="1" hidden="1" x14ac:dyDescent="0.35">
      <c r="A167" s="149" t="s">
        <v>96</v>
      </c>
      <c r="B167" s="149"/>
      <c r="C167" s="149"/>
      <c r="D167" s="149"/>
      <c r="E167" s="149"/>
      <c r="F167" s="194"/>
      <c r="G167" s="194"/>
      <c r="H167" s="194"/>
      <c r="R167"/>
      <c r="S167">
        <v>1700000</v>
      </c>
      <c r="T167">
        <v>800000</v>
      </c>
      <c r="U167"/>
      <c r="V167" s="23"/>
    </row>
    <row r="168" spans="1:22" s="32" customFormat="1" hidden="1" x14ac:dyDescent="0.35">
      <c r="A168" s="181" t="s">
        <v>390</v>
      </c>
      <c r="B168" s="181"/>
      <c r="C168" s="181"/>
      <c r="D168" s="181"/>
      <c r="E168" s="181"/>
      <c r="F168" s="237">
        <v>167274</v>
      </c>
      <c r="G168" s="237"/>
      <c r="H168" s="237"/>
      <c r="R168"/>
      <c r="S168">
        <v>1600000</v>
      </c>
      <c r="T168">
        <v>700000</v>
      </c>
      <c r="U168">
        <v>600000</v>
      </c>
      <c r="V168"/>
    </row>
    <row r="169" spans="1:22" x14ac:dyDescent="0.35">
      <c r="A169" s="149" t="s">
        <v>49</v>
      </c>
      <c r="B169" s="149"/>
      <c r="C169" s="149"/>
      <c r="D169" s="149"/>
      <c r="E169" s="149"/>
      <c r="F169" s="194">
        <v>400000</v>
      </c>
      <c r="G169" s="194"/>
      <c r="H169" s="194"/>
      <c r="R169"/>
      <c r="S169">
        <v>1800000</v>
      </c>
      <c r="T169">
        <v>900000</v>
      </c>
      <c r="U169"/>
    </row>
    <row r="170" spans="1:22" s="33" customFormat="1" x14ac:dyDescent="0.35">
      <c r="A170" s="262" t="s">
        <v>50</v>
      </c>
      <c r="B170" s="262"/>
      <c r="C170" s="262"/>
      <c r="D170" s="262"/>
      <c r="E170" s="262"/>
      <c r="F170" s="194">
        <f>F152*0.8</f>
        <v>5920</v>
      </c>
      <c r="G170" s="194"/>
      <c r="H170" s="194"/>
      <c r="R170" s="21"/>
      <c r="S170" s="21"/>
      <c r="T170">
        <v>1000000</v>
      </c>
      <c r="U170"/>
      <c r="V170" s="21"/>
    </row>
    <row r="171" spans="1:22" s="34" customFormat="1" ht="15.75" customHeight="1" x14ac:dyDescent="0.35">
      <c r="A171" s="248" t="s">
        <v>72</v>
      </c>
      <c r="B171" s="248"/>
      <c r="C171" s="248"/>
      <c r="D171" s="248"/>
      <c r="E171" s="248"/>
      <c r="F171" s="248"/>
      <c r="G171" s="248"/>
      <c r="H171" s="248"/>
      <c r="R171"/>
      <c r="S171" s="21"/>
      <c r="T171"/>
      <c r="U171"/>
      <c r="V171" s="21"/>
    </row>
    <row r="172" spans="1:22" s="34" customFormat="1" ht="15.75" customHeight="1" x14ac:dyDescent="0.35">
      <c r="A172" s="259" t="s">
        <v>51</v>
      </c>
      <c r="B172" s="259"/>
      <c r="C172" s="250" t="s">
        <v>75</v>
      </c>
      <c r="D172" s="250"/>
      <c r="E172" s="239" t="s">
        <v>52</v>
      </c>
      <c r="F172" s="239"/>
      <c r="G172" s="259" t="s">
        <v>53</v>
      </c>
      <c r="H172" s="259"/>
      <c r="R172"/>
      <c r="S172" s="21"/>
      <c r="T172"/>
      <c r="U172" s="21"/>
      <c r="V172" s="21"/>
    </row>
    <row r="173" spans="1:22" s="34" customFormat="1" x14ac:dyDescent="0.35">
      <c r="A173" s="285" t="s">
        <v>386</v>
      </c>
      <c r="B173" s="285"/>
      <c r="C173" s="157">
        <f>COUNT(F187:F198)</f>
        <v>12</v>
      </c>
      <c r="D173" s="287"/>
      <c r="E173" s="157">
        <f>SUM(F187:F198)</f>
        <v>2463.1530299999999</v>
      </c>
      <c r="F173" s="287"/>
      <c r="G173" s="157">
        <f>SUM(H187:H198)</f>
        <v>3817.8871964999994</v>
      </c>
      <c r="H173" s="287"/>
      <c r="R173"/>
      <c r="S173" s="21"/>
      <c r="T173"/>
      <c r="U173" s="21"/>
      <c r="V173" s="21"/>
    </row>
    <row r="174" spans="1:22" s="34" customFormat="1" x14ac:dyDescent="0.35">
      <c r="A174" s="248" t="s">
        <v>148</v>
      </c>
      <c r="B174" s="248"/>
      <c r="C174" s="249">
        <f>SUM(C173)</f>
        <v>12</v>
      </c>
      <c r="D174" s="250"/>
      <c r="E174" s="251">
        <f>SUM(E173)</f>
        <v>2463.1530299999999</v>
      </c>
      <c r="F174" s="239"/>
      <c r="G174" s="259">
        <f>SUM(G173)</f>
        <v>3817.8871964999994</v>
      </c>
      <c r="H174" s="259"/>
      <c r="R174"/>
      <c r="S174" s="21"/>
      <c r="T174"/>
      <c r="U174" s="21"/>
      <c r="V174" s="21"/>
    </row>
    <row r="175" spans="1:22" s="34" customFormat="1" x14ac:dyDescent="0.35">
      <c r="A175" s="248" t="s">
        <v>67</v>
      </c>
      <c r="B175" s="248"/>
      <c r="C175" s="248"/>
      <c r="D175" s="248"/>
      <c r="E175" s="248"/>
      <c r="F175" s="248"/>
      <c r="G175" s="248"/>
      <c r="H175" s="248"/>
      <c r="T175"/>
    </row>
    <row r="176" spans="1:22" s="34" customFormat="1" ht="15.75" customHeight="1" x14ac:dyDescent="0.35">
      <c r="A176" s="259" t="s">
        <v>51</v>
      </c>
      <c r="B176" s="259"/>
      <c r="C176" s="250" t="s">
        <v>75</v>
      </c>
      <c r="D176" s="250"/>
      <c r="E176" s="239" t="s">
        <v>52</v>
      </c>
      <c r="F176" s="239"/>
      <c r="G176" s="259" t="s">
        <v>53</v>
      </c>
      <c r="H176" s="259"/>
      <c r="T176"/>
    </row>
    <row r="177" spans="1:20" s="34" customFormat="1" x14ac:dyDescent="0.35">
      <c r="A177" s="106" t="s">
        <v>442</v>
      </c>
      <c r="B177" s="160" t="s">
        <v>387</v>
      </c>
      <c r="C177" s="238">
        <f>COUNT(F204:F222)+COUNT(F224:F242)*11+COUNT(F244:F262)*8</f>
        <v>380</v>
      </c>
      <c r="D177" s="238"/>
      <c r="E177" s="238">
        <f>SUM(F204:F222)+SUM(F224:F242)*11+SUM(F244:F262)*8</f>
        <v>143432.4528</v>
      </c>
      <c r="F177" s="238"/>
      <c r="G177" s="238">
        <f>SUM(H204:H222)+SUM(H224:H242)*11+SUM(H244:H262)*8</f>
        <v>216043.07610599993</v>
      </c>
      <c r="H177" s="238"/>
      <c r="T177"/>
    </row>
    <row r="178" spans="1:20" s="34" customFormat="1" x14ac:dyDescent="0.35">
      <c r="A178" s="112" t="s">
        <v>435</v>
      </c>
      <c r="B178" s="161"/>
      <c r="C178" s="157">
        <f>COUNT(F265:F272)+COUNT(F274:F281)*14+COUNT(F283:F290)*8</f>
        <v>184</v>
      </c>
      <c r="D178" s="157"/>
      <c r="E178" s="157">
        <f>SUM(F265:F272)+SUM(F274:F281)*14+SUM(F283:F290)*8</f>
        <v>94078.474073999998</v>
      </c>
      <c r="F178" s="157"/>
      <c r="G178" s="157">
        <f>SUM(H265:H272)+SUM(H274:H281)*14+SUM(H283:H290)*8</f>
        <v>141117.71111100001</v>
      </c>
      <c r="H178" s="157"/>
      <c r="T178"/>
    </row>
    <row r="179" spans="1:20" s="34" customFormat="1" ht="16" thickBot="1" x14ac:dyDescent="0.4">
      <c r="A179" s="245" t="s">
        <v>148</v>
      </c>
      <c r="B179" s="245"/>
      <c r="C179" s="288">
        <f>SUM(C177:C178)</f>
        <v>564</v>
      </c>
      <c r="D179" s="289"/>
      <c r="E179" s="246">
        <f>SUM(E177:E178)</f>
        <v>237510.926874</v>
      </c>
      <c r="F179" s="247"/>
      <c r="G179" s="159">
        <f>SUM(G177:G178)</f>
        <v>357160.78721699992</v>
      </c>
      <c r="H179" s="159"/>
      <c r="T179"/>
    </row>
    <row r="180" spans="1:20" s="34" customFormat="1" ht="16" thickBot="1" x14ac:dyDescent="0.4">
      <c r="A180" s="240" t="s">
        <v>165</v>
      </c>
      <c r="B180" s="241"/>
      <c r="C180" s="242">
        <f>C174+C179</f>
        <v>576</v>
      </c>
      <c r="D180" s="243"/>
      <c r="E180" s="244">
        <f>E174+E179</f>
        <v>239974.07990399998</v>
      </c>
      <c r="F180" s="244"/>
      <c r="G180" s="232">
        <f>G174+G179</f>
        <v>360978.67441349989</v>
      </c>
      <c r="H180" s="233"/>
      <c r="T180"/>
    </row>
    <row r="181" spans="1:20" s="33" customFormat="1" x14ac:dyDescent="0.35">
      <c r="A181" s="260" t="s">
        <v>54</v>
      </c>
      <c r="B181" s="260"/>
      <c r="C181" s="260"/>
      <c r="D181" s="260"/>
      <c r="E181" s="260"/>
      <c r="F181" s="260"/>
      <c r="G181" s="260"/>
      <c r="H181" s="260"/>
      <c r="T181" s="34"/>
    </row>
    <row r="182" spans="1:20" x14ac:dyDescent="0.35">
      <c r="A182" s="280" t="s">
        <v>174</v>
      </c>
      <c r="B182" s="280"/>
      <c r="C182" s="280"/>
      <c r="D182" s="280"/>
      <c r="E182" s="280"/>
      <c r="F182" s="280"/>
      <c r="G182" s="280"/>
      <c r="H182" s="280"/>
      <c r="T182" s="34"/>
    </row>
    <row r="183" spans="1:20" ht="47.25" customHeight="1" x14ac:dyDescent="0.35">
      <c r="A183" s="155" t="s">
        <v>388</v>
      </c>
      <c r="B183" s="155" t="s">
        <v>176</v>
      </c>
      <c r="C183" s="155" t="s">
        <v>55</v>
      </c>
      <c r="D183" s="155" t="s">
        <v>232</v>
      </c>
      <c r="E183" s="168" t="s">
        <v>154</v>
      </c>
      <c r="F183" s="155" t="s">
        <v>56</v>
      </c>
      <c r="G183" s="168" t="s">
        <v>57</v>
      </c>
      <c r="H183" s="90" t="s">
        <v>146</v>
      </c>
      <c r="T183" s="34"/>
    </row>
    <row r="184" spans="1:20" s="36" customFormat="1" x14ac:dyDescent="0.35">
      <c r="A184" s="156"/>
      <c r="B184" s="156"/>
      <c r="C184" s="156"/>
      <c r="D184" s="156"/>
      <c r="E184" s="169"/>
      <c r="F184" s="156"/>
      <c r="G184" s="169"/>
      <c r="H184" s="91">
        <v>0.55000000000000004</v>
      </c>
      <c r="T184" s="34"/>
    </row>
    <row r="185" spans="1:20" s="82" customFormat="1" x14ac:dyDescent="0.35">
      <c r="A185" s="162" t="s">
        <v>372</v>
      </c>
      <c r="B185" s="163"/>
      <c r="C185" s="163"/>
      <c r="D185" s="163"/>
      <c r="E185" s="163"/>
      <c r="F185" s="163"/>
      <c r="G185" s="163"/>
      <c r="H185" s="164"/>
      <c r="J185" s="35"/>
      <c r="T185" s="34"/>
    </row>
    <row r="186" spans="1:20" s="36" customFormat="1" x14ac:dyDescent="0.35">
      <c r="A186" s="257" t="s">
        <v>374</v>
      </c>
      <c r="B186" s="257"/>
      <c r="C186" s="257"/>
      <c r="D186" s="257"/>
      <c r="E186" s="257"/>
      <c r="F186" s="257"/>
      <c r="G186" s="257"/>
      <c r="H186" s="257"/>
      <c r="J186" s="94">
        <v>10.763999999999999</v>
      </c>
      <c r="T186" s="34"/>
    </row>
    <row r="187" spans="1:20" s="36" customFormat="1" ht="15.75" customHeight="1" x14ac:dyDescent="0.35">
      <c r="A187" s="158">
        <v>1</v>
      </c>
      <c r="B187" s="158"/>
      <c r="C187" s="92" t="s">
        <v>373</v>
      </c>
      <c r="D187" s="94">
        <f>(3*6.64+1.84*1.33)*10.764</f>
        <v>240.76054079999994</v>
      </c>
      <c r="E187" s="92">
        <v>0</v>
      </c>
      <c r="F187" s="92">
        <f>D187+(IF(E187&lt;201,E187,IF(E187&lt;301,E187/2,E187/3)))</f>
        <v>240.76054079999994</v>
      </c>
      <c r="G187" s="93">
        <v>0</v>
      </c>
      <c r="H187" s="92">
        <f>(F187+(IF(G187&lt;101,G187,IF(G187&lt;201,G187/2,IF(G187&lt;=301,G187/3,G187/4)))))*(($H$184)+1)</f>
        <v>373.17883823999995</v>
      </c>
      <c r="I187" s="35"/>
      <c r="L187" s="121"/>
      <c r="M187" s="121"/>
      <c r="N187" s="35"/>
      <c r="T187" s="34"/>
    </row>
    <row r="188" spans="1:20" s="36" customFormat="1" ht="15.75" customHeight="1" x14ac:dyDescent="0.35">
      <c r="A188" s="158">
        <f t="shared" ref="A188:A198" si="0">A187+1</f>
        <v>2</v>
      </c>
      <c r="B188" s="158"/>
      <c r="C188" s="92" t="s">
        <v>373</v>
      </c>
      <c r="D188" s="94">
        <f>(2.75*5.16)*10.764</f>
        <v>152.74116000000001</v>
      </c>
      <c r="E188" s="92">
        <v>0</v>
      </c>
      <c r="F188" s="92">
        <f t="shared" ref="F188:F190" si="1">D188+(IF(E188&lt;201,E188,IF(E188&lt;301,E188/2,E188/3)))</f>
        <v>152.74116000000001</v>
      </c>
      <c r="G188" s="92">
        <v>0</v>
      </c>
      <c r="H188" s="92">
        <f t="shared" ref="H188:H190" si="2">(F188+(IF(G188&lt;101,G188,IF(G188&lt;201,G188/2,IF(G188&lt;=301,G188/3,G188/4)))))*(($H$184)+1)</f>
        <v>236.74879800000002</v>
      </c>
      <c r="I188" s="35"/>
      <c r="L188" s="121"/>
      <c r="M188" s="121"/>
      <c r="N188" s="35"/>
      <c r="T188" s="33"/>
    </row>
    <row r="189" spans="1:20" s="36" customFormat="1" ht="15.75" customHeight="1" x14ac:dyDescent="0.35">
      <c r="A189" s="127">
        <f t="shared" si="0"/>
        <v>3</v>
      </c>
      <c r="B189" s="127"/>
      <c r="C189" s="107" t="s">
        <v>373</v>
      </c>
      <c r="D189" s="94">
        <f>(3.05*6.64+1.06*1.23)*10.764</f>
        <v>232.02663119999997</v>
      </c>
      <c r="E189" s="107">
        <v>0</v>
      </c>
      <c r="F189" s="107">
        <f t="shared" si="1"/>
        <v>232.02663119999997</v>
      </c>
      <c r="G189" s="107">
        <v>0</v>
      </c>
      <c r="H189" s="107">
        <f t="shared" si="2"/>
        <v>359.64127835999994</v>
      </c>
      <c r="I189" s="35"/>
      <c r="L189" s="121"/>
      <c r="M189" s="121"/>
      <c r="N189" s="35"/>
      <c r="T189" s="21"/>
    </row>
    <row r="190" spans="1:20" s="36" customFormat="1" ht="15.75" customHeight="1" x14ac:dyDescent="0.35">
      <c r="A190" s="127">
        <f t="shared" si="0"/>
        <v>4</v>
      </c>
      <c r="B190" s="127"/>
      <c r="C190" s="107" t="s">
        <v>373</v>
      </c>
      <c r="D190" s="94">
        <f>(2.91*6.64)*10.764</f>
        <v>207.98631359999996</v>
      </c>
      <c r="E190" s="107">
        <v>0</v>
      </c>
      <c r="F190" s="107">
        <f t="shared" si="1"/>
        <v>207.98631359999996</v>
      </c>
      <c r="G190" s="107">
        <v>0</v>
      </c>
      <c r="H190" s="107">
        <f t="shared" si="2"/>
        <v>322.37878607999994</v>
      </c>
      <c r="I190" s="35"/>
      <c r="L190" s="121"/>
      <c r="M190" s="121"/>
      <c r="N190" s="35"/>
      <c r="T190" s="21"/>
    </row>
    <row r="191" spans="1:20" s="82" customFormat="1" ht="15.75" customHeight="1" x14ac:dyDescent="0.35">
      <c r="A191" s="127">
        <f t="shared" si="0"/>
        <v>5</v>
      </c>
      <c r="B191" s="127"/>
      <c r="C191" s="107" t="s">
        <v>373</v>
      </c>
      <c r="D191" s="94">
        <f>(2.55*1.325+2.17*4.675)*10.764</f>
        <v>145.56695399999998</v>
      </c>
      <c r="E191" s="107">
        <v>0</v>
      </c>
      <c r="F191" s="107">
        <f t="shared" ref="F191:F196" si="3">D191+(IF(E191&lt;201,E191,IF(E191&lt;301,E191/2,E191/3)))</f>
        <v>145.56695399999998</v>
      </c>
      <c r="G191" s="107">
        <v>0</v>
      </c>
      <c r="H191" s="107">
        <f t="shared" ref="H191:H196" si="4">(F191+(IF(G191&lt;101,G191,IF(G191&lt;201,G191/2,IF(G191&lt;=301,G191/3,G191/4)))))*(($H$184)+1)</f>
        <v>225.62877869999997</v>
      </c>
      <c r="I191" s="35"/>
      <c r="L191" s="121"/>
      <c r="M191" s="121"/>
      <c r="N191" s="35"/>
      <c r="T191" s="33"/>
    </row>
    <row r="192" spans="1:20" s="82" customFormat="1" ht="15.75" customHeight="1" x14ac:dyDescent="0.35">
      <c r="A192" s="127">
        <f t="shared" si="0"/>
        <v>6</v>
      </c>
      <c r="B192" s="127"/>
      <c r="C192" s="107" t="s">
        <v>373</v>
      </c>
      <c r="D192" s="94">
        <f>(2.28*1.48+2.71*5.16)*10.764</f>
        <v>186.84151199999999</v>
      </c>
      <c r="E192" s="107">
        <v>0</v>
      </c>
      <c r="F192" s="107">
        <f t="shared" si="3"/>
        <v>186.84151199999999</v>
      </c>
      <c r="G192" s="107">
        <v>0</v>
      </c>
      <c r="H192" s="107">
        <f t="shared" si="4"/>
        <v>289.60434359999999</v>
      </c>
      <c r="I192" s="35"/>
      <c r="L192" s="121"/>
      <c r="M192" s="121"/>
      <c r="N192" s="35"/>
      <c r="T192" s="21"/>
    </row>
    <row r="193" spans="1:20" s="82" customFormat="1" ht="15.75" customHeight="1" x14ac:dyDescent="0.35">
      <c r="A193" s="127">
        <f t="shared" si="0"/>
        <v>7</v>
      </c>
      <c r="B193" s="127"/>
      <c r="C193" s="107" t="s">
        <v>373</v>
      </c>
      <c r="D193" s="94">
        <f>(2.28*1.48+2.7*5.16)*10.764</f>
        <v>186.28608960000003</v>
      </c>
      <c r="E193" s="107">
        <v>0</v>
      </c>
      <c r="F193" s="107">
        <f t="shared" si="3"/>
        <v>186.28608960000003</v>
      </c>
      <c r="G193" s="107">
        <v>0</v>
      </c>
      <c r="H193" s="107">
        <f t="shared" si="4"/>
        <v>288.74343888000004</v>
      </c>
      <c r="I193" s="35"/>
      <c r="L193" s="121"/>
      <c r="M193" s="121"/>
      <c r="N193" s="35"/>
      <c r="T193" s="21"/>
    </row>
    <row r="194" spans="1:20" s="82" customFormat="1" ht="15.75" customHeight="1" x14ac:dyDescent="0.35">
      <c r="A194" s="127">
        <f t="shared" si="0"/>
        <v>8</v>
      </c>
      <c r="B194" s="127"/>
      <c r="C194" s="107" t="s">
        <v>373</v>
      </c>
      <c r="D194" s="94">
        <f>(2.18*6)*10.764</f>
        <v>140.79312000000002</v>
      </c>
      <c r="E194" s="107">
        <v>0</v>
      </c>
      <c r="F194" s="107">
        <f t="shared" si="3"/>
        <v>140.79312000000002</v>
      </c>
      <c r="G194" s="107">
        <v>0</v>
      </c>
      <c r="H194" s="107">
        <f t="shared" si="4"/>
        <v>218.22933600000002</v>
      </c>
      <c r="I194" s="35"/>
      <c r="L194" s="121"/>
      <c r="M194" s="121"/>
      <c r="N194" s="35"/>
      <c r="T194" s="33"/>
    </row>
    <row r="195" spans="1:20" s="82" customFormat="1" ht="15.75" customHeight="1" x14ac:dyDescent="0.35">
      <c r="A195" s="127">
        <f t="shared" si="0"/>
        <v>9</v>
      </c>
      <c r="B195" s="127"/>
      <c r="C195" s="107" t="s">
        <v>373</v>
      </c>
      <c r="D195" s="94">
        <f>(2.91*6.59)*10.764</f>
        <v>206.4201516</v>
      </c>
      <c r="E195" s="107">
        <v>0</v>
      </c>
      <c r="F195" s="107">
        <f t="shared" si="3"/>
        <v>206.4201516</v>
      </c>
      <c r="G195" s="107">
        <v>0</v>
      </c>
      <c r="H195" s="107">
        <f t="shared" si="4"/>
        <v>319.95123497999998</v>
      </c>
      <c r="I195" s="35"/>
      <c r="L195" s="121"/>
      <c r="M195" s="121"/>
      <c r="N195" s="35"/>
      <c r="T195" s="21"/>
    </row>
    <row r="196" spans="1:20" s="82" customFormat="1" ht="15.75" customHeight="1" x14ac:dyDescent="0.35">
      <c r="A196" s="127">
        <f t="shared" si="0"/>
        <v>10</v>
      </c>
      <c r="B196" s="127"/>
      <c r="C196" s="107" t="s">
        <v>373</v>
      </c>
      <c r="D196" s="94">
        <f>(3.05*6.54+1.02*1.25+2.15*0.25+6.05*2.08)*10.764</f>
        <v>369.67343399999999</v>
      </c>
      <c r="E196" s="107">
        <v>0</v>
      </c>
      <c r="F196" s="107">
        <f t="shared" si="3"/>
        <v>369.67343399999999</v>
      </c>
      <c r="G196" s="107">
        <v>0</v>
      </c>
      <c r="H196" s="107">
        <f t="shared" si="4"/>
        <v>572.99382270000001</v>
      </c>
      <c r="I196" s="35"/>
      <c r="L196" s="121"/>
      <c r="M196" s="121"/>
      <c r="N196" s="35"/>
      <c r="T196" s="21"/>
    </row>
    <row r="197" spans="1:20" s="82" customFormat="1" ht="15.75" customHeight="1" x14ac:dyDescent="0.35">
      <c r="A197" s="127">
        <f t="shared" si="0"/>
        <v>11</v>
      </c>
      <c r="B197" s="127"/>
      <c r="C197" s="107" t="s">
        <v>373</v>
      </c>
      <c r="D197" s="94">
        <f>(2.76*5.16)*10.764</f>
        <v>153.29658239999998</v>
      </c>
      <c r="E197" s="107">
        <v>0</v>
      </c>
      <c r="F197" s="107">
        <f t="shared" ref="F197:F198" si="5">D197+(IF(E197&lt;201,E197,IF(E197&lt;301,E197/2,E197/3)))</f>
        <v>153.29658239999998</v>
      </c>
      <c r="G197" s="107">
        <v>0</v>
      </c>
      <c r="H197" s="107">
        <f t="shared" ref="H197:H198" si="6">(F197+(IF(G197&lt;101,G197,IF(G197&lt;201,G197/2,IF(G197&lt;=301,G197/3,G197/4)))))*(($H$184)+1)</f>
        <v>237.60970271999997</v>
      </c>
      <c r="I197" s="35"/>
      <c r="L197" s="121"/>
      <c r="M197" s="121"/>
      <c r="N197" s="35"/>
      <c r="T197" s="33"/>
    </row>
    <row r="198" spans="1:20" s="82" customFormat="1" ht="15.75" customHeight="1" x14ac:dyDescent="0.35">
      <c r="A198" s="119">
        <f t="shared" si="0"/>
        <v>12</v>
      </c>
      <c r="B198" s="120"/>
      <c r="C198" s="83" t="s">
        <v>373</v>
      </c>
      <c r="D198" s="94">
        <f>(3*6.64+1.84*1.33)*10.764</f>
        <v>240.76054079999994</v>
      </c>
      <c r="E198" s="83">
        <v>0</v>
      </c>
      <c r="F198" s="83">
        <f t="shared" si="5"/>
        <v>240.76054079999994</v>
      </c>
      <c r="G198" s="83">
        <v>0</v>
      </c>
      <c r="H198" s="83">
        <f t="shared" si="6"/>
        <v>373.17883823999995</v>
      </c>
      <c r="I198" s="35"/>
      <c r="L198" s="121"/>
      <c r="M198" s="121"/>
      <c r="N198" s="35"/>
      <c r="T198" s="21"/>
    </row>
    <row r="199" spans="1:20" s="36" customFormat="1" x14ac:dyDescent="0.35">
      <c r="A199" s="119"/>
      <c r="B199" s="302"/>
      <c r="C199" s="302"/>
      <c r="D199" s="302"/>
      <c r="E199" s="302"/>
      <c r="F199" s="302"/>
      <c r="G199" s="302"/>
      <c r="H199" s="120"/>
      <c r="I199" s="35"/>
      <c r="N199" s="35"/>
    </row>
    <row r="200" spans="1:20" ht="47.25" customHeight="1" x14ac:dyDescent="0.35">
      <c r="A200" s="170" t="s">
        <v>389</v>
      </c>
      <c r="B200" s="155" t="s">
        <v>177</v>
      </c>
      <c r="C200" s="155" t="s">
        <v>55</v>
      </c>
      <c r="D200" s="155" t="s">
        <v>232</v>
      </c>
      <c r="E200" s="155" t="s">
        <v>231</v>
      </c>
      <c r="F200" s="155" t="s">
        <v>56</v>
      </c>
      <c r="G200" s="168" t="s">
        <v>57</v>
      </c>
      <c r="H200" s="90" t="s">
        <v>146</v>
      </c>
      <c r="I200" s="35"/>
      <c r="T200" s="36"/>
    </row>
    <row r="201" spans="1:20" s="36" customFormat="1" x14ac:dyDescent="0.35">
      <c r="A201" s="171"/>
      <c r="B201" s="156"/>
      <c r="C201" s="156"/>
      <c r="D201" s="156"/>
      <c r="E201" s="156"/>
      <c r="F201" s="156"/>
      <c r="G201" s="169"/>
      <c r="H201" s="91">
        <v>0.5</v>
      </c>
      <c r="I201" s="35"/>
    </row>
    <row r="202" spans="1:20" s="101" customFormat="1" x14ac:dyDescent="0.35">
      <c r="A202" s="162" t="s">
        <v>437</v>
      </c>
      <c r="B202" s="163"/>
      <c r="C202" s="163"/>
      <c r="D202" s="163"/>
      <c r="E202" s="163"/>
      <c r="F202" s="163"/>
      <c r="G202" s="163"/>
      <c r="H202" s="164"/>
      <c r="J202" s="35"/>
      <c r="T202" s="34"/>
    </row>
    <row r="203" spans="1:20" s="101" customFormat="1" x14ac:dyDescent="0.35">
      <c r="A203" s="128" t="s">
        <v>377</v>
      </c>
      <c r="B203" s="129"/>
      <c r="C203" s="129"/>
      <c r="D203" s="129"/>
      <c r="E203" s="129"/>
      <c r="F203" s="129"/>
      <c r="G203" s="129"/>
      <c r="H203" s="130"/>
      <c r="J203" s="94">
        <v>10.763999999999999</v>
      </c>
    </row>
    <row r="204" spans="1:20" s="101" customFormat="1" ht="15.75" customHeight="1" x14ac:dyDescent="0.35">
      <c r="A204" s="122" t="s">
        <v>413</v>
      </c>
      <c r="B204" s="123"/>
      <c r="C204" s="92" t="s">
        <v>376</v>
      </c>
      <c r="D204" s="94">
        <f>(36.06)*10.764</f>
        <v>388.14983999999998</v>
      </c>
      <c r="E204" s="92">
        <v>0</v>
      </c>
      <c r="F204" s="92">
        <f t="shared" ref="F204:F211" si="7">D204+E204</f>
        <v>388.14983999999998</v>
      </c>
      <c r="G204" s="94">
        <f>(1.37*4.55)*10.764</f>
        <v>67.097393999999994</v>
      </c>
      <c r="H204" s="92">
        <f t="shared" ref="H204:H211" si="8">F204*(($H$201)+1)+(IF(G204&lt;101,G204,IF(G204&lt;201,G204/2,IF(G204&lt;=301,G204/3,G204/4))))</f>
        <v>649.32215399999995</v>
      </c>
      <c r="I204" s="111">
        <f>2.75*5.45+1.82*3.9+2.825*3.6+1.22*2.125+1.1*1.1</f>
        <v>36.058</v>
      </c>
      <c r="L204" s="121"/>
      <c r="M204" s="121"/>
      <c r="N204" s="35"/>
    </row>
    <row r="205" spans="1:20" s="101" customFormat="1" ht="15.75" customHeight="1" x14ac:dyDescent="0.35">
      <c r="A205" s="122" t="s">
        <v>414</v>
      </c>
      <c r="B205" s="123"/>
      <c r="C205" s="92" t="s">
        <v>376</v>
      </c>
      <c r="D205" s="94">
        <f>(36.06)*10.764</f>
        <v>388.14983999999998</v>
      </c>
      <c r="E205" s="92">
        <v>0</v>
      </c>
      <c r="F205" s="92">
        <f t="shared" si="7"/>
        <v>388.14983999999998</v>
      </c>
      <c r="G205" s="94">
        <f>(1.4*4.9)*10.764</f>
        <v>73.841039999999992</v>
      </c>
      <c r="H205" s="92">
        <f t="shared" si="8"/>
        <v>656.06579999999997</v>
      </c>
      <c r="I205" s="35"/>
      <c r="L205" s="121"/>
      <c r="M205" s="121"/>
      <c r="N205" s="35"/>
    </row>
    <row r="206" spans="1:20" s="101" customFormat="1" ht="15.75" customHeight="1" x14ac:dyDescent="0.35">
      <c r="A206" s="119" t="s">
        <v>415</v>
      </c>
      <c r="B206" s="120"/>
      <c r="C206" s="92" t="s">
        <v>376</v>
      </c>
      <c r="D206" s="94">
        <f>(33.46)*10.764</f>
        <v>360.16343999999998</v>
      </c>
      <c r="E206" s="107">
        <v>0</v>
      </c>
      <c r="F206" s="107">
        <f t="shared" si="7"/>
        <v>360.16343999999998</v>
      </c>
      <c r="G206" s="94">
        <f>(1.4*4.9)*10.764</f>
        <v>73.841039999999992</v>
      </c>
      <c r="H206" s="107">
        <f t="shared" si="8"/>
        <v>614.08619999999996</v>
      </c>
      <c r="I206" s="35"/>
      <c r="L206" s="121"/>
      <c r="M206" s="121"/>
      <c r="N206" s="35"/>
    </row>
    <row r="207" spans="1:20" s="101" customFormat="1" ht="15.75" customHeight="1" x14ac:dyDescent="0.35">
      <c r="A207" s="122" t="s">
        <v>416</v>
      </c>
      <c r="B207" s="123"/>
      <c r="C207" s="92" t="s">
        <v>376</v>
      </c>
      <c r="D207" s="94">
        <f>(33.46)*10.764</f>
        <v>360.16343999999998</v>
      </c>
      <c r="E207" s="107">
        <v>0</v>
      </c>
      <c r="F207" s="107">
        <f t="shared" si="7"/>
        <v>360.16343999999998</v>
      </c>
      <c r="G207" s="94">
        <f>(1.4*4.55)*10.764</f>
        <v>68.566679999999991</v>
      </c>
      <c r="H207" s="107">
        <f t="shared" si="8"/>
        <v>608.81183999999996</v>
      </c>
      <c r="I207" s="35"/>
      <c r="L207" s="121"/>
      <c r="M207" s="121"/>
      <c r="N207" s="35"/>
      <c r="T207" s="21"/>
    </row>
    <row r="208" spans="1:20" s="101" customFormat="1" ht="15.75" customHeight="1" x14ac:dyDescent="0.35">
      <c r="A208" s="119" t="s">
        <v>417</v>
      </c>
      <c r="B208" s="120"/>
      <c r="C208" s="92" t="s">
        <v>376</v>
      </c>
      <c r="D208" s="94">
        <f>(36.11)*10.764</f>
        <v>388.68803999999994</v>
      </c>
      <c r="E208" s="107">
        <v>0</v>
      </c>
      <c r="F208" s="107">
        <f t="shared" si="7"/>
        <v>388.68803999999994</v>
      </c>
      <c r="G208" s="94">
        <f>(2.75*0.7)*10.764</f>
        <v>20.720699999999997</v>
      </c>
      <c r="H208" s="107">
        <f t="shared" si="8"/>
        <v>603.75275999999985</v>
      </c>
      <c r="I208" s="35"/>
      <c r="L208" s="121"/>
      <c r="M208" s="121"/>
      <c r="N208" s="35"/>
    </row>
    <row r="209" spans="1:20" s="101" customFormat="1" ht="15.75" customHeight="1" x14ac:dyDescent="0.35">
      <c r="A209" s="122" t="s">
        <v>418</v>
      </c>
      <c r="B209" s="123"/>
      <c r="C209" s="92" t="s">
        <v>376</v>
      </c>
      <c r="D209" s="94">
        <f>(36.11)*10.764</f>
        <v>388.68803999999994</v>
      </c>
      <c r="E209" s="107">
        <v>0</v>
      </c>
      <c r="F209" s="107">
        <f t="shared" si="7"/>
        <v>388.68803999999994</v>
      </c>
      <c r="G209" s="94">
        <f>(2.75*0.7)*10.764</f>
        <v>20.720699999999997</v>
      </c>
      <c r="H209" s="107">
        <f t="shared" si="8"/>
        <v>603.75275999999985</v>
      </c>
      <c r="I209" s="35"/>
      <c r="L209" s="121"/>
      <c r="M209" s="121"/>
      <c r="N209" s="35"/>
    </row>
    <row r="210" spans="1:20" s="101" customFormat="1" ht="15.75" customHeight="1" x14ac:dyDescent="0.35">
      <c r="A210" s="119" t="s">
        <v>419</v>
      </c>
      <c r="B210" s="120"/>
      <c r="C210" s="92" t="s">
        <v>376</v>
      </c>
      <c r="D210" s="94">
        <f>(36.43)*10.764</f>
        <v>392.13252</v>
      </c>
      <c r="E210" s="107">
        <v>0</v>
      </c>
      <c r="F210" s="107">
        <f t="shared" si="7"/>
        <v>392.13252</v>
      </c>
      <c r="G210" s="94">
        <f>(1.6*4.4)*10.764</f>
        <v>75.778559999999999</v>
      </c>
      <c r="H210" s="107">
        <f t="shared" si="8"/>
        <v>663.97733999999991</v>
      </c>
      <c r="I210" s="35"/>
      <c r="L210" s="121"/>
      <c r="M210" s="121"/>
      <c r="N210" s="35"/>
      <c r="T210" s="21"/>
    </row>
    <row r="211" spans="1:20" s="101" customFormat="1" ht="15.75" customHeight="1" x14ac:dyDescent="0.35">
      <c r="A211" s="122" t="s">
        <v>420</v>
      </c>
      <c r="B211" s="123"/>
      <c r="C211" s="92" t="s">
        <v>376</v>
      </c>
      <c r="D211" s="94">
        <f>(36.43)*10.764</f>
        <v>392.13252</v>
      </c>
      <c r="E211" s="107">
        <v>0</v>
      </c>
      <c r="F211" s="107">
        <f t="shared" si="7"/>
        <v>392.13252</v>
      </c>
      <c r="G211" s="94">
        <f>(1.6*4.4)*10.764</f>
        <v>75.778559999999999</v>
      </c>
      <c r="H211" s="107">
        <f t="shared" si="8"/>
        <v>663.97733999999991</v>
      </c>
      <c r="I211" s="35"/>
      <c r="L211" s="121"/>
      <c r="M211" s="121"/>
      <c r="N211" s="35"/>
      <c r="T211" s="21"/>
    </row>
    <row r="212" spans="1:20" s="101" customFormat="1" ht="15.75" customHeight="1" x14ac:dyDescent="0.35">
      <c r="A212" s="119" t="s">
        <v>421</v>
      </c>
      <c r="B212" s="120"/>
      <c r="C212" s="92" t="s">
        <v>376</v>
      </c>
      <c r="D212" s="94">
        <f>(36.11)*10.764</f>
        <v>388.68803999999994</v>
      </c>
      <c r="E212" s="107">
        <v>0</v>
      </c>
      <c r="F212" s="107">
        <f t="shared" ref="F212:F220" si="9">D212+E212</f>
        <v>388.68803999999994</v>
      </c>
      <c r="G212" s="94">
        <f>(2.75*0.7)*10.764</f>
        <v>20.720699999999997</v>
      </c>
      <c r="H212" s="107">
        <f t="shared" ref="H212:H220" si="10">F212*(($H$201)+1)+(IF(G212&lt;101,G212,IF(G212&lt;201,G212/2,IF(G212&lt;=301,G212/3,G212/4))))</f>
        <v>603.75275999999985</v>
      </c>
      <c r="I212" s="35"/>
      <c r="L212" s="121"/>
      <c r="M212" s="121"/>
      <c r="N212" s="35"/>
      <c r="T212" s="21"/>
    </row>
    <row r="213" spans="1:20" s="101" customFormat="1" ht="15.75" customHeight="1" x14ac:dyDescent="0.35">
      <c r="A213" s="122" t="s">
        <v>422</v>
      </c>
      <c r="B213" s="123"/>
      <c r="C213" s="92" t="s">
        <v>376</v>
      </c>
      <c r="D213" s="94">
        <f>(36.11)*10.764</f>
        <v>388.68803999999994</v>
      </c>
      <c r="E213" s="107">
        <v>0</v>
      </c>
      <c r="F213" s="107">
        <f t="shared" si="9"/>
        <v>388.68803999999994</v>
      </c>
      <c r="G213" s="94">
        <f>(2.75*0.7)*10.764</f>
        <v>20.720699999999997</v>
      </c>
      <c r="H213" s="107">
        <f t="shared" si="10"/>
        <v>603.75275999999985</v>
      </c>
      <c r="I213" s="35"/>
      <c r="L213" s="121"/>
      <c r="M213" s="121"/>
      <c r="N213" s="35"/>
      <c r="T213" s="21"/>
    </row>
    <row r="214" spans="1:20" s="101" customFormat="1" ht="15.75" customHeight="1" x14ac:dyDescent="0.35">
      <c r="A214" s="122" t="s">
        <v>423</v>
      </c>
      <c r="B214" s="123"/>
      <c r="C214" s="92" t="s">
        <v>376</v>
      </c>
      <c r="D214" s="94">
        <f>(33.46)*10.764</f>
        <v>360.16343999999998</v>
      </c>
      <c r="E214" s="92">
        <v>0</v>
      </c>
      <c r="F214" s="92">
        <f t="shared" si="9"/>
        <v>360.16343999999998</v>
      </c>
      <c r="G214" s="94">
        <f>(1.4*4.9)*10.764</f>
        <v>73.841039999999992</v>
      </c>
      <c r="H214" s="92">
        <f t="shared" si="10"/>
        <v>614.08619999999996</v>
      </c>
      <c r="I214" s="35"/>
      <c r="L214" s="121"/>
      <c r="M214" s="121"/>
      <c r="N214" s="35"/>
    </row>
    <row r="215" spans="1:20" s="101" customFormat="1" ht="15.75" customHeight="1" x14ac:dyDescent="0.35">
      <c r="A215" s="119" t="s">
        <v>424</v>
      </c>
      <c r="B215" s="120"/>
      <c r="C215" s="92" t="s">
        <v>376</v>
      </c>
      <c r="D215" s="94">
        <f>(33.46)*10.764</f>
        <v>360.16343999999998</v>
      </c>
      <c r="E215" s="107">
        <v>0</v>
      </c>
      <c r="F215" s="107">
        <f t="shared" si="9"/>
        <v>360.16343999999998</v>
      </c>
      <c r="G215" s="94">
        <f>(1.4*4.9)*10.764</f>
        <v>73.841039999999992</v>
      </c>
      <c r="H215" s="107">
        <f t="shared" si="10"/>
        <v>614.08619999999996</v>
      </c>
      <c r="I215" s="35"/>
      <c r="L215" s="121"/>
      <c r="M215" s="121"/>
      <c r="N215" s="35"/>
    </row>
    <row r="216" spans="1:20" s="101" customFormat="1" ht="15.75" customHeight="1" x14ac:dyDescent="0.35">
      <c r="A216" s="122" t="s">
        <v>425</v>
      </c>
      <c r="B216" s="123"/>
      <c r="C216" s="107" t="s">
        <v>432</v>
      </c>
      <c r="D216" s="94">
        <f>(26.44)*10.764</f>
        <v>284.60016000000002</v>
      </c>
      <c r="E216" s="107">
        <v>0</v>
      </c>
      <c r="F216" s="107">
        <f t="shared" si="9"/>
        <v>284.60016000000002</v>
      </c>
      <c r="G216" s="94">
        <f>(0.8*2.75)*10.764</f>
        <v>23.680800000000001</v>
      </c>
      <c r="H216" s="107">
        <f t="shared" si="10"/>
        <v>450.58104000000003</v>
      </c>
      <c r="I216" s="35"/>
      <c r="L216" s="121"/>
      <c r="M216" s="121"/>
      <c r="N216" s="35"/>
      <c r="T216" s="21"/>
    </row>
    <row r="217" spans="1:20" s="101" customFormat="1" ht="15.75" customHeight="1" x14ac:dyDescent="0.35">
      <c r="A217" s="119" t="s">
        <v>426</v>
      </c>
      <c r="B217" s="120"/>
      <c r="C217" s="92" t="s">
        <v>376</v>
      </c>
      <c r="D217" s="94">
        <f>(36.06)*10.764</f>
        <v>388.14983999999998</v>
      </c>
      <c r="E217" s="107">
        <v>0</v>
      </c>
      <c r="F217" s="107">
        <f t="shared" si="9"/>
        <v>388.14983999999998</v>
      </c>
      <c r="G217" s="94">
        <f>(1.4*4.9)*10.764</f>
        <v>73.841039999999992</v>
      </c>
      <c r="H217" s="107">
        <f t="shared" si="10"/>
        <v>656.06579999999997</v>
      </c>
      <c r="I217" s="35"/>
      <c r="L217" s="121"/>
      <c r="M217" s="121"/>
      <c r="N217" s="35"/>
    </row>
    <row r="218" spans="1:20" s="101" customFormat="1" ht="15.75" customHeight="1" x14ac:dyDescent="0.35">
      <c r="A218" s="122" t="s">
        <v>427</v>
      </c>
      <c r="B218" s="123"/>
      <c r="C218" s="92" t="s">
        <v>376</v>
      </c>
      <c r="D218" s="94">
        <f>(36.06)*10.764</f>
        <v>388.14983999999998</v>
      </c>
      <c r="E218" s="107">
        <v>0</v>
      </c>
      <c r="F218" s="107">
        <f t="shared" si="9"/>
        <v>388.14983999999998</v>
      </c>
      <c r="G218" s="94">
        <f>(0.92*4.9)*10.764</f>
        <v>48.524112000000009</v>
      </c>
      <c r="H218" s="107">
        <f t="shared" si="10"/>
        <v>630.74887200000001</v>
      </c>
      <c r="I218" s="35"/>
      <c r="L218" s="121"/>
      <c r="M218" s="121"/>
      <c r="N218" s="35"/>
    </row>
    <row r="219" spans="1:20" s="101" customFormat="1" ht="15.75" customHeight="1" x14ac:dyDescent="0.35">
      <c r="A219" s="119" t="s">
        <v>428</v>
      </c>
      <c r="B219" s="120"/>
      <c r="C219" s="92" t="s">
        <v>376</v>
      </c>
      <c r="D219" s="94">
        <f>(36.11)*10.764</f>
        <v>388.68803999999994</v>
      </c>
      <c r="E219" s="107">
        <v>0</v>
      </c>
      <c r="F219" s="107">
        <f t="shared" si="9"/>
        <v>388.68803999999994</v>
      </c>
      <c r="G219" s="94">
        <f>(0.7*2.75)*10.764</f>
        <v>20.720699999999997</v>
      </c>
      <c r="H219" s="107">
        <f t="shared" si="10"/>
        <v>603.75275999999985</v>
      </c>
      <c r="I219" s="35"/>
      <c r="L219" s="121"/>
      <c r="M219" s="121"/>
      <c r="N219" s="35"/>
      <c r="T219" s="21"/>
    </row>
    <row r="220" spans="1:20" s="101" customFormat="1" ht="15.75" customHeight="1" x14ac:dyDescent="0.35">
      <c r="A220" s="122" t="s">
        <v>429</v>
      </c>
      <c r="B220" s="123"/>
      <c r="C220" s="92" t="s">
        <v>376</v>
      </c>
      <c r="D220" s="94">
        <f>(36.11)*10.764</f>
        <v>388.68803999999994</v>
      </c>
      <c r="E220" s="107">
        <v>0</v>
      </c>
      <c r="F220" s="107">
        <f t="shared" si="9"/>
        <v>388.68803999999994</v>
      </c>
      <c r="G220" s="94">
        <f>(0.7*2.75)*10.764</f>
        <v>20.720699999999997</v>
      </c>
      <c r="H220" s="107">
        <f t="shared" si="10"/>
        <v>603.75275999999985</v>
      </c>
      <c r="I220" s="35"/>
      <c r="L220" s="121"/>
      <c r="M220" s="121"/>
      <c r="N220" s="35"/>
      <c r="T220" s="21"/>
    </row>
    <row r="221" spans="1:20" s="101" customFormat="1" ht="15.75" customHeight="1" x14ac:dyDescent="0.35">
      <c r="A221" s="119" t="s">
        <v>430</v>
      </c>
      <c r="B221" s="120"/>
      <c r="C221" s="92" t="s">
        <v>376</v>
      </c>
      <c r="D221" s="94">
        <f>(36.11)*10.764</f>
        <v>388.68803999999994</v>
      </c>
      <c r="E221" s="107">
        <v>0</v>
      </c>
      <c r="F221" s="107">
        <f t="shared" ref="F221:F222" si="11">D221+E221</f>
        <v>388.68803999999994</v>
      </c>
      <c r="G221" s="94">
        <f>(0.7*2.75)*10.764</f>
        <v>20.720699999999997</v>
      </c>
      <c r="H221" s="107">
        <f t="shared" ref="H221:H222" si="12">F221*(($H$201)+1)+(IF(G221&lt;101,G221,IF(G221&lt;201,G221/2,IF(G221&lt;=301,G221/3,G221/4))))</f>
        <v>603.75275999999985</v>
      </c>
      <c r="I221" s="35"/>
      <c r="L221" s="121"/>
      <c r="M221" s="121"/>
      <c r="N221" s="35"/>
      <c r="T221" s="21"/>
    </row>
    <row r="222" spans="1:20" s="101" customFormat="1" ht="15.75" customHeight="1" x14ac:dyDescent="0.35">
      <c r="A222" s="122" t="s">
        <v>431</v>
      </c>
      <c r="B222" s="123"/>
      <c r="C222" s="92" t="s">
        <v>376</v>
      </c>
      <c r="D222" s="94">
        <f>(36.11)*10.764</f>
        <v>388.68803999999994</v>
      </c>
      <c r="E222" s="107">
        <v>0</v>
      </c>
      <c r="F222" s="107">
        <f t="shared" si="11"/>
        <v>388.68803999999994</v>
      </c>
      <c r="G222" s="94">
        <f>(0.7*2.75)*10.764</f>
        <v>20.720699999999997</v>
      </c>
      <c r="H222" s="107">
        <f t="shared" si="12"/>
        <v>603.75275999999985</v>
      </c>
      <c r="I222" s="35"/>
      <c r="L222" s="121"/>
      <c r="M222" s="121"/>
      <c r="N222" s="35"/>
      <c r="T222" s="21"/>
    </row>
    <row r="223" spans="1:20" s="101" customFormat="1" x14ac:dyDescent="0.35">
      <c r="A223" s="128" t="s">
        <v>433</v>
      </c>
      <c r="B223" s="129"/>
      <c r="C223" s="129"/>
      <c r="D223" s="129"/>
      <c r="E223" s="129"/>
      <c r="F223" s="129"/>
      <c r="G223" s="129"/>
      <c r="H223" s="130"/>
      <c r="J223" s="35"/>
    </row>
    <row r="224" spans="1:20" s="101" customFormat="1" ht="15.75" customHeight="1" x14ac:dyDescent="0.35">
      <c r="A224" s="122" t="s">
        <v>413</v>
      </c>
      <c r="B224" s="123"/>
      <c r="C224" s="92" t="s">
        <v>376</v>
      </c>
      <c r="D224" s="94">
        <f>(36.06)*10.764</f>
        <v>388.14983999999998</v>
      </c>
      <c r="E224" s="92">
        <v>0</v>
      </c>
      <c r="F224" s="92">
        <f t="shared" ref="F224:F242" si="13">D224+E224</f>
        <v>388.14983999999998</v>
      </c>
      <c r="G224" s="92">
        <v>0</v>
      </c>
      <c r="H224" s="92">
        <f t="shared" ref="H224:H242" si="14">F224*(($H$201)+1)+(IF(G224&lt;101,G224,IF(G224&lt;201,G224/2,IF(G224&lt;=301,G224/3,G224/4))))</f>
        <v>582.22475999999995</v>
      </c>
      <c r="I224" s="35"/>
      <c r="L224" s="121"/>
      <c r="M224" s="121"/>
      <c r="N224" s="35"/>
    </row>
    <row r="225" spans="1:20" s="101" customFormat="1" ht="15.75" customHeight="1" x14ac:dyDescent="0.35">
      <c r="A225" s="122" t="s">
        <v>414</v>
      </c>
      <c r="B225" s="123"/>
      <c r="C225" s="92" t="s">
        <v>376</v>
      </c>
      <c r="D225" s="94">
        <f>(36.06)*10.764</f>
        <v>388.14983999999998</v>
      </c>
      <c r="E225" s="92">
        <v>0</v>
      </c>
      <c r="F225" s="92">
        <f t="shared" si="13"/>
        <v>388.14983999999998</v>
      </c>
      <c r="G225" s="92">
        <v>0</v>
      </c>
      <c r="H225" s="92">
        <f t="shared" si="14"/>
        <v>582.22475999999995</v>
      </c>
      <c r="I225" s="35"/>
      <c r="L225" s="121"/>
      <c r="M225" s="121"/>
      <c r="N225" s="35"/>
    </row>
    <row r="226" spans="1:20" s="101" customFormat="1" ht="15.75" customHeight="1" x14ac:dyDescent="0.35">
      <c r="A226" s="119" t="s">
        <v>415</v>
      </c>
      <c r="B226" s="120"/>
      <c r="C226" s="92" t="s">
        <v>376</v>
      </c>
      <c r="D226" s="94">
        <f>(33.46)*10.764</f>
        <v>360.16343999999998</v>
      </c>
      <c r="E226" s="107">
        <v>0</v>
      </c>
      <c r="F226" s="107">
        <f t="shared" si="13"/>
        <v>360.16343999999998</v>
      </c>
      <c r="G226" s="107">
        <v>0</v>
      </c>
      <c r="H226" s="107">
        <f t="shared" si="14"/>
        <v>540.24515999999994</v>
      </c>
      <c r="I226" s="35"/>
      <c r="L226" s="121"/>
      <c r="M226" s="121"/>
      <c r="N226" s="35"/>
    </row>
    <row r="227" spans="1:20" s="101" customFormat="1" ht="15.75" customHeight="1" x14ac:dyDescent="0.35">
      <c r="A227" s="122" t="s">
        <v>416</v>
      </c>
      <c r="B227" s="123"/>
      <c r="C227" s="92" t="s">
        <v>376</v>
      </c>
      <c r="D227" s="94">
        <f>(33.46)*10.764</f>
        <v>360.16343999999998</v>
      </c>
      <c r="E227" s="107">
        <v>0</v>
      </c>
      <c r="F227" s="107">
        <f t="shared" si="13"/>
        <v>360.16343999999998</v>
      </c>
      <c r="G227" s="107">
        <v>0</v>
      </c>
      <c r="H227" s="107">
        <f t="shared" si="14"/>
        <v>540.24515999999994</v>
      </c>
      <c r="I227" s="35"/>
      <c r="L227" s="121"/>
      <c r="M227" s="121"/>
      <c r="N227" s="35"/>
      <c r="T227" s="21"/>
    </row>
    <row r="228" spans="1:20" s="101" customFormat="1" ht="15.75" customHeight="1" x14ac:dyDescent="0.35">
      <c r="A228" s="119" t="s">
        <v>417</v>
      </c>
      <c r="B228" s="120"/>
      <c r="C228" s="92" t="s">
        <v>376</v>
      </c>
      <c r="D228" s="94">
        <f>(36.11)*10.764</f>
        <v>388.68803999999994</v>
      </c>
      <c r="E228" s="107">
        <v>0</v>
      </c>
      <c r="F228" s="107">
        <f t="shared" si="13"/>
        <v>388.68803999999994</v>
      </c>
      <c r="G228" s="107">
        <v>0</v>
      </c>
      <c r="H228" s="107">
        <f t="shared" si="14"/>
        <v>583.03205999999989</v>
      </c>
      <c r="I228" s="35"/>
      <c r="L228" s="121"/>
      <c r="M228" s="121"/>
      <c r="N228" s="35"/>
    </row>
    <row r="229" spans="1:20" s="101" customFormat="1" ht="15.75" customHeight="1" x14ac:dyDescent="0.35">
      <c r="A229" s="122" t="s">
        <v>418</v>
      </c>
      <c r="B229" s="123"/>
      <c r="C229" s="92" t="s">
        <v>376</v>
      </c>
      <c r="D229" s="94">
        <f>(36.11)*10.764</f>
        <v>388.68803999999994</v>
      </c>
      <c r="E229" s="107">
        <v>0</v>
      </c>
      <c r="F229" s="107">
        <f t="shared" si="13"/>
        <v>388.68803999999994</v>
      </c>
      <c r="G229" s="107">
        <v>0</v>
      </c>
      <c r="H229" s="107">
        <f t="shared" si="14"/>
        <v>583.03205999999989</v>
      </c>
      <c r="I229" s="35"/>
      <c r="L229" s="121"/>
      <c r="M229" s="121"/>
      <c r="N229" s="35"/>
    </row>
    <row r="230" spans="1:20" s="101" customFormat="1" ht="15.75" customHeight="1" x14ac:dyDescent="0.35">
      <c r="A230" s="119" t="s">
        <v>419</v>
      </c>
      <c r="B230" s="120"/>
      <c r="C230" s="92" t="s">
        <v>376</v>
      </c>
      <c r="D230" s="94">
        <f>(36.43)*10.764</f>
        <v>392.13252</v>
      </c>
      <c r="E230" s="107">
        <v>0</v>
      </c>
      <c r="F230" s="107">
        <f t="shared" si="13"/>
        <v>392.13252</v>
      </c>
      <c r="G230" s="107">
        <v>0</v>
      </c>
      <c r="H230" s="107">
        <f t="shared" si="14"/>
        <v>588.19877999999994</v>
      </c>
      <c r="I230" s="35"/>
      <c r="L230" s="121"/>
      <c r="M230" s="121"/>
      <c r="N230" s="35"/>
      <c r="T230" s="21"/>
    </row>
    <row r="231" spans="1:20" s="101" customFormat="1" ht="15.75" customHeight="1" x14ac:dyDescent="0.35">
      <c r="A231" s="122" t="s">
        <v>420</v>
      </c>
      <c r="B231" s="123"/>
      <c r="C231" s="92" t="s">
        <v>376</v>
      </c>
      <c r="D231" s="94">
        <f>(36.43)*10.764</f>
        <v>392.13252</v>
      </c>
      <c r="E231" s="107">
        <v>0</v>
      </c>
      <c r="F231" s="107">
        <f t="shared" si="13"/>
        <v>392.13252</v>
      </c>
      <c r="G231" s="107">
        <v>0</v>
      </c>
      <c r="H231" s="107">
        <f t="shared" si="14"/>
        <v>588.19877999999994</v>
      </c>
      <c r="I231" s="35"/>
      <c r="L231" s="121"/>
      <c r="M231" s="121"/>
      <c r="N231" s="35"/>
      <c r="T231" s="21"/>
    </row>
    <row r="232" spans="1:20" s="101" customFormat="1" ht="15.75" customHeight="1" x14ac:dyDescent="0.35">
      <c r="A232" s="119" t="s">
        <v>421</v>
      </c>
      <c r="B232" s="120"/>
      <c r="C232" s="92" t="s">
        <v>376</v>
      </c>
      <c r="D232" s="94">
        <f>(36.11)*10.764</f>
        <v>388.68803999999994</v>
      </c>
      <c r="E232" s="107">
        <v>0</v>
      </c>
      <c r="F232" s="107">
        <f t="shared" si="13"/>
        <v>388.68803999999994</v>
      </c>
      <c r="G232" s="107">
        <v>0</v>
      </c>
      <c r="H232" s="107">
        <f t="shared" si="14"/>
        <v>583.03205999999989</v>
      </c>
      <c r="I232" s="35"/>
      <c r="L232" s="121"/>
      <c r="M232" s="121"/>
      <c r="N232" s="35"/>
      <c r="T232" s="21"/>
    </row>
    <row r="233" spans="1:20" s="101" customFormat="1" ht="15.75" customHeight="1" x14ac:dyDescent="0.35">
      <c r="A233" s="122" t="s">
        <v>422</v>
      </c>
      <c r="B233" s="123"/>
      <c r="C233" s="92" t="s">
        <v>376</v>
      </c>
      <c r="D233" s="94">
        <f>(36.11)*10.764</f>
        <v>388.68803999999994</v>
      </c>
      <c r="E233" s="107">
        <v>0</v>
      </c>
      <c r="F233" s="107">
        <f t="shared" si="13"/>
        <v>388.68803999999994</v>
      </c>
      <c r="G233" s="107">
        <v>0</v>
      </c>
      <c r="H233" s="107">
        <f t="shared" si="14"/>
        <v>583.03205999999989</v>
      </c>
      <c r="I233" s="35"/>
      <c r="L233" s="121"/>
      <c r="M233" s="121"/>
      <c r="N233" s="35"/>
      <c r="T233" s="21"/>
    </row>
    <row r="234" spans="1:20" s="101" customFormat="1" ht="15.75" customHeight="1" x14ac:dyDescent="0.35">
      <c r="A234" s="122" t="s">
        <v>423</v>
      </c>
      <c r="B234" s="123"/>
      <c r="C234" s="92" t="s">
        <v>376</v>
      </c>
      <c r="D234" s="94">
        <f>(33.46)*10.764</f>
        <v>360.16343999999998</v>
      </c>
      <c r="E234" s="92">
        <v>0</v>
      </c>
      <c r="F234" s="92">
        <f t="shared" si="13"/>
        <v>360.16343999999998</v>
      </c>
      <c r="G234" s="92">
        <v>0</v>
      </c>
      <c r="H234" s="92">
        <f t="shared" si="14"/>
        <v>540.24515999999994</v>
      </c>
      <c r="I234" s="35"/>
      <c r="L234" s="121"/>
      <c r="M234" s="121"/>
      <c r="N234" s="35"/>
    </row>
    <row r="235" spans="1:20" s="101" customFormat="1" ht="15.75" customHeight="1" x14ac:dyDescent="0.35">
      <c r="A235" s="119" t="s">
        <v>424</v>
      </c>
      <c r="B235" s="120"/>
      <c r="C235" s="92" t="s">
        <v>376</v>
      </c>
      <c r="D235" s="94">
        <f>(33.46)*10.764</f>
        <v>360.16343999999998</v>
      </c>
      <c r="E235" s="107">
        <v>0</v>
      </c>
      <c r="F235" s="107">
        <f t="shared" si="13"/>
        <v>360.16343999999998</v>
      </c>
      <c r="G235" s="107">
        <v>0</v>
      </c>
      <c r="H235" s="107">
        <f t="shared" si="14"/>
        <v>540.24515999999994</v>
      </c>
      <c r="I235" s="35"/>
      <c r="L235" s="121"/>
      <c r="M235" s="121"/>
      <c r="N235" s="35"/>
    </row>
    <row r="236" spans="1:20" s="101" customFormat="1" ht="15.75" customHeight="1" x14ac:dyDescent="0.35">
      <c r="A236" s="122" t="s">
        <v>425</v>
      </c>
      <c r="B236" s="123"/>
      <c r="C236" s="107" t="s">
        <v>432</v>
      </c>
      <c r="D236" s="94">
        <f>(26.44)*10.764</f>
        <v>284.60016000000002</v>
      </c>
      <c r="E236" s="107">
        <v>0</v>
      </c>
      <c r="F236" s="107">
        <f t="shared" si="13"/>
        <v>284.60016000000002</v>
      </c>
      <c r="G236" s="107">
        <v>0</v>
      </c>
      <c r="H236" s="107">
        <f t="shared" si="14"/>
        <v>426.90024000000005</v>
      </c>
      <c r="I236" s="35"/>
      <c r="L236" s="121"/>
      <c r="M236" s="121"/>
      <c r="N236" s="35"/>
      <c r="T236" s="21"/>
    </row>
    <row r="237" spans="1:20" s="101" customFormat="1" ht="15.75" customHeight="1" x14ac:dyDescent="0.35">
      <c r="A237" s="119" t="s">
        <v>426</v>
      </c>
      <c r="B237" s="120"/>
      <c r="C237" s="92" t="s">
        <v>376</v>
      </c>
      <c r="D237" s="94">
        <f>(36.06)*10.764</f>
        <v>388.14983999999998</v>
      </c>
      <c r="E237" s="107">
        <v>0</v>
      </c>
      <c r="F237" s="107">
        <f t="shared" si="13"/>
        <v>388.14983999999998</v>
      </c>
      <c r="G237" s="107">
        <v>0</v>
      </c>
      <c r="H237" s="107">
        <f t="shared" si="14"/>
        <v>582.22475999999995</v>
      </c>
      <c r="I237" s="35"/>
      <c r="L237" s="121"/>
      <c r="M237" s="121"/>
      <c r="N237" s="35"/>
    </row>
    <row r="238" spans="1:20" s="101" customFormat="1" ht="15.75" customHeight="1" x14ac:dyDescent="0.35">
      <c r="A238" s="122" t="s">
        <v>427</v>
      </c>
      <c r="B238" s="123"/>
      <c r="C238" s="92" t="s">
        <v>376</v>
      </c>
      <c r="D238" s="94">
        <f>(36.06)*10.764</f>
        <v>388.14983999999998</v>
      </c>
      <c r="E238" s="107">
        <v>0</v>
      </c>
      <c r="F238" s="107">
        <f t="shared" si="13"/>
        <v>388.14983999999998</v>
      </c>
      <c r="G238" s="107">
        <v>0</v>
      </c>
      <c r="H238" s="107">
        <f t="shared" si="14"/>
        <v>582.22475999999995</v>
      </c>
      <c r="I238" s="35"/>
      <c r="L238" s="121"/>
      <c r="M238" s="121"/>
      <c r="N238" s="35"/>
    </row>
    <row r="239" spans="1:20" s="101" customFormat="1" ht="15.75" customHeight="1" x14ac:dyDescent="0.35">
      <c r="A239" s="119" t="s">
        <v>428</v>
      </c>
      <c r="B239" s="120"/>
      <c r="C239" s="92" t="s">
        <v>376</v>
      </c>
      <c r="D239" s="94">
        <f>(36.11)*10.764</f>
        <v>388.68803999999994</v>
      </c>
      <c r="E239" s="107">
        <v>0</v>
      </c>
      <c r="F239" s="107">
        <f t="shared" si="13"/>
        <v>388.68803999999994</v>
      </c>
      <c r="G239" s="107">
        <v>0</v>
      </c>
      <c r="H239" s="107">
        <f t="shared" si="14"/>
        <v>583.03205999999989</v>
      </c>
      <c r="I239" s="35"/>
      <c r="L239" s="121"/>
      <c r="M239" s="121"/>
      <c r="N239" s="35"/>
      <c r="T239" s="21"/>
    </row>
    <row r="240" spans="1:20" s="101" customFormat="1" ht="15.75" customHeight="1" x14ac:dyDescent="0.35">
      <c r="A240" s="122" t="s">
        <v>429</v>
      </c>
      <c r="B240" s="123"/>
      <c r="C240" s="92" t="s">
        <v>376</v>
      </c>
      <c r="D240" s="94">
        <f>(36.11)*10.764</f>
        <v>388.68803999999994</v>
      </c>
      <c r="E240" s="107">
        <v>0</v>
      </c>
      <c r="F240" s="107">
        <f t="shared" si="13"/>
        <v>388.68803999999994</v>
      </c>
      <c r="G240" s="107">
        <v>0</v>
      </c>
      <c r="H240" s="107">
        <f t="shared" si="14"/>
        <v>583.03205999999989</v>
      </c>
      <c r="I240" s="35"/>
      <c r="L240" s="121"/>
      <c r="M240" s="121"/>
      <c r="N240" s="35"/>
      <c r="T240" s="21"/>
    </row>
    <row r="241" spans="1:20" s="101" customFormat="1" ht="15.75" customHeight="1" x14ac:dyDescent="0.35">
      <c r="A241" s="119" t="s">
        <v>430</v>
      </c>
      <c r="B241" s="120"/>
      <c r="C241" s="92" t="s">
        <v>376</v>
      </c>
      <c r="D241" s="94">
        <f>(36.11)*10.764</f>
        <v>388.68803999999994</v>
      </c>
      <c r="E241" s="107">
        <v>0</v>
      </c>
      <c r="F241" s="107">
        <f t="shared" si="13"/>
        <v>388.68803999999994</v>
      </c>
      <c r="G241" s="107">
        <v>0</v>
      </c>
      <c r="H241" s="107">
        <f t="shared" si="14"/>
        <v>583.03205999999989</v>
      </c>
      <c r="I241" s="35"/>
      <c r="L241" s="121"/>
      <c r="M241" s="121"/>
      <c r="N241" s="35"/>
      <c r="T241" s="21"/>
    </row>
    <row r="242" spans="1:20" s="101" customFormat="1" ht="15.75" customHeight="1" x14ac:dyDescent="0.35">
      <c r="A242" s="122" t="s">
        <v>431</v>
      </c>
      <c r="B242" s="123"/>
      <c r="C242" s="92" t="s">
        <v>376</v>
      </c>
      <c r="D242" s="94">
        <f>(36.11)*10.764</f>
        <v>388.68803999999994</v>
      </c>
      <c r="E242" s="107">
        <v>0</v>
      </c>
      <c r="F242" s="107">
        <f t="shared" si="13"/>
        <v>388.68803999999994</v>
      </c>
      <c r="G242" s="107">
        <v>0</v>
      </c>
      <c r="H242" s="107">
        <f t="shared" si="14"/>
        <v>583.03205999999989</v>
      </c>
      <c r="I242" s="35"/>
      <c r="L242" s="121"/>
      <c r="M242" s="121"/>
      <c r="N242" s="35"/>
      <c r="T242" s="21"/>
    </row>
    <row r="243" spans="1:20" s="101" customFormat="1" x14ac:dyDescent="0.35">
      <c r="A243" s="128" t="s">
        <v>434</v>
      </c>
      <c r="B243" s="129"/>
      <c r="C243" s="129"/>
      <c r="D243" s="129"/>
      <c r="E243" s="129"/>
      <c r="F243" s="129"/>
      <c r="G243" s="129"/>
      <c r="H243" s="130"/>
      <c r="J243" s="35"/>
    </row>
    <row r="244" spans="1:20" s="101" customFormat="1" ht="15.75" customHeight="1" x14ac:dyDescent="0.35">
      <c r="A244" s="122" t="s">
        <v>413</v>
      </c>
      <c r="B244" s="123"/>
      <c r="C244" s="92" t="s">
        <v>376</v>
      </c>
      <c r="D244" s="94">
        <f>(36.06)*10.764</f>
        <v>388.14983999999998</v>
      </c>
      <c r="E244" s="92">
        <v>0</v>
      </c>
      <c r="F244" s="92">
        <f t="shared" ref="F244:F262" si="15">D244+E244</f>
        <v>388.14983999999998</v>
      </c>
      <c r="G244" s="92">
        <v>0</v>
      </c>
      <c r="H244" s="92">
        <f t="shared" ref="H244:H262" si="16">F244*(($H$201)+1)+(IF(G244&lt;101,G244,IF(G244&lt;201,G244/2,IF(G244&lt;=301,G244/3,G244/4))))</f>
        <v>582.22475999999995</v>
      </c>
      <c r="I244" s="35"/>
      <c r="L244" s="121"/>
      <c r="M244" s="121"/>
      <c r="N244" s="35"/>
    </row>
    <row r="245" spans="1:20" s="101" customFormat="1" ht="15.75" customHeight="1" x14ac:dyDescent="0.35">
      <c r="A245" s="122" t="s">
        <v>414</v>
      </c>
      <c r="B245" s="123"/>
      <c r="C245" s="92" t="s">
        <v>376</v>
      </c>
      <c r="D245" s="94">
        <f>(36.06)*10.764</f>
        <v>388.14983999999998</v>
      </c>
      <c r="E245" s="92">
        <v>0</v>
      </c>
      <c r="F245" s="92">
        <f t="shared" si="15"/>
        <v>388.14983999999998</v>
      </c>
      <c r="G245" s="92">
        <v>0</v>
      </c>
      <c r="H245" s="92">
        <f t="shared" si="16"/>
        <v>582.22475999999995</v>
      </c>
      <c r="I245" s="35"/>
      <c r="L245" s="121"/>
      <c r="M245" s="121"/>
      <c r="N245" s="35"/>
    </row>
    <row r="246" spans="1:20" s="101" customFormat="1" ht="15.75" customHeight="1" x14ac:dyDescent="0.35">
      <c r="A246" s="119" t="s">
        <v>415</v>
      </c>
      <c r="B246" s="120"/>
      <c r="C246" s="92" t="s">
        <v>376</v>
      </c>
      <c r="D246" s="94">
        <f>(33.46)*10.764</f>
        <v>360.16343999999998</v>
      </c>
      <c r="E246" s="107">
        <v>0</v>
      </c>
      <c r="F246" s="107">
        <f t="shared" si="15"/>
        <v>360.16343999999998</v>
      </c>
      <c r="G246" s="107">
        <v>0</v>
      </c>
      <c r="H246" s="107">
        <f t="shared" si="16"/>
        <v>540.24515999999994</v>
      </c>
      <c r="I246" s="35"/>
      <c r="L246" s="121"/>
      <c r="M246" s="121"/>
      <c r="N246" s="35"/>
    </row>
    <row r="247" spans="1:20" s="101" customFormat="1" ht="15.75" customHeight="1" x14ac:dyDescent="0.35">
      <c r="A247" s="122" t="s">
        <v>416</v>
      </c>
      <c r="B247" s="123"/>
      <c r="C247" s="92" t="s">
        <v>376</v>
      </c>
      <c r="D247" s="94">
        <f>(33.46)*10.764</f>
        <v>360.16343999999998</v>
      </c>
      <c r="E247" s="107">
        <v>0</v>
      </c>
      <c r="F247" s="107">
        <f t="shared" si="15"/>
        <v>360.16343999999998</v>
      </c>
      <c r="G247" s="107">
        <v>0</v>
      </c>
      <c r="H247" s="107">
        <f t="shared" si="16"/>
        <v>540.24515999999994</v>
      </c>
      <c r="I247" s="35"/>
      <c r="L247" s="121"/>
      <c r="M247" s="121"/>
      <c r="N247" s="35"/>
      <c r="T247" s="21"/>
    </row>
    <row r="248" spans="1:20" s="101" customFormat="1" ht="15.75" customHeight="1" x14ac:dyDescent="0.35">
      <c r="A248" s="119" t="s">
        <v>417</v>
      </c>
      <c r="B248" s="120"/>
      <c r="C248" s="92" t="s">
        <v>376</v>
      </c>
      <c r="D248" s="94">
        <f>(36.11)*10.764</f>
        <v>388.68803999999994</v>
      </c>
      <c r="E248" s="107">
        <v>0</v>
      </c>
      <c r="F248" s="107">
        <f t="shared" si="15"/>
        <v>388.68803999999994</v>
      </c>
      <c r="G248" s="107">
        <v>0</v>
      </c>
      <c r="H248" s="107">
        <f t="shared" si="16"/>
        <v>583.03205999999989</v>
      </c>
      <c r="I248" s="35"/>
      <c r="L248" s="121"/>
      <c r="M248" s="121"/>
      <c r="N248" s="35"/>
    </row>
    <row r="249" spans="1:20" s="101" customFormat="1" ht="15.75" customHeight="1" x14ac:dyDescent="0.35">
      <c r="A249" s="122" t="s">
        <v>418</v>
      </c>
      <c r="B249" s="123"/>
      <c r="C249" s="92" t="s">
        <v>376</v>
      </c>
      <c r="D249" s="94">
        <f>(36.11)*10.764</f>
        <v>388.68803999999994</v>
      </c>
      <c r="E249" s="107">
        <v>0</v>
      </c>
      <c r="F249" s="107">
        <f t="shared" si="15"/>
        <v>388.68803999999994</v>
      </c>
      <c r="G249" s="107">
        <v>0</v>
      </c>
      <c r="H249" s="107">
        <f t="shared" si="16"/>
        <v>583.03205999999989</v>
      </c>
      <c r="I249" s="35"/>
      <c r="L249" s="121"/>
      <c r="M249" s="121"/>
      <c r="N249" s="35"/>
    </row>
    <row r="250" spans="1:20" s="101" customFormat="1" ht="15.75" customHeight="1" x14ac:dyDescent="0.35">
      <c r="A250" s="119" t="s">
        <v>419</v>
      </c>
      <c r="B250" s="120"/>
      <c r="C250" s="92" t="s">
        <v>376</v>
      </c>
      <c r="D250" s="94">
        <f>(36.43)*10.764</f>
        <v>392.13252</v>
      </c>
      <c r="E250" s="107">
        <v>0</v>
      </c>
      <c r="F250" s="107">
        <f t="shared" si="15"/>
        <v>392.13252</v>
      </c>
      <c r="G250" s="107">
        <v>0</v>
      </c>
      <c r="H250" s="107">
        <f t="shared" si="16"/>
        <v>588.19877999999994</v>
      </c>
      <c r="I250" s="35"/>
      <c r="L250" s="121"/>
      <c r="M250" s="121"/>
      <c r="N250" s="35"/>
      <c r="T250" s="21"/>
    </row>
    <row r="251" spans="1:20" s="101" customFormat="1" ht="15.75" customHeight="1" x14ac:dyDescent="0.35">
      <c r="A251" s="122" t="s">
        <v>420</v>
      </c>
      <c r="B251" s="123"/>
      <c r="C251" s="92" t="s">
        <v>376</v>
      </c>
      <c r="D251" s="94">
        <f>(36.43)*10.764</f>
        <v>392.13252</v>
      </c>
      <c r="E251" s="107">
        <v>0</v>
      </c>
      <c r="F251" s="107">
        <f t="shared" si="15"/>
        <v>392.13252</v>
      </c>
      <c r="G251" s="107">
        <v>0</v>
      </c>
      <c r="H251" s="107">
        <f t="shared" si="16"/>
        <v>588.19877999999994</v>
      </c>
      <c r="I251" s="35"/>
      <c r="L251" s="121"/>
      <c r="M251" s="121"/>
      <c r="N251" s="35"/>
      <c r="T251" s="21"/>
    </row>
    <row r="252" spans="1:20" s="101" customFormat="1" ht="15.75" customHeight="1" x14ac:dyDescent="0.35">
      <c r="A252" s="119" t="s">
        <v>421</v>
      </c>
      <c r="B252" s="120"/>
      <c r="C252" s="92" t="s">
        <v>376</v>
      </c>
      <c r="D252" s="94">
        <f>(36.11)*10.764</f>
        <v>388.68803999999994</v>
      </c>
      <c r="E252" s="107">
        <v>0</v>
      </c>
      <c r="F252" s="107">
        <f t="shared" si="15"/>
        <v>388.68803999999994</v>
      </c>
      <c r="G252" s="107">
        <v>0</v>
      </c>
      <c r="H252" s="107">
        <f t="shared" si="16"/>
        <v>583.03205999999989</v>
      </c>
      <c r="I252" s="35"/>
      <c r="L252" s="121"/>
      <c r="M252" s="121"/>
      <c r="N252" s="35"/>
      <c r="T252" s="21"/>
    </row>
    <row r="253" spans="1:20" s="101" customFormat="1" ht="15.75" customHeight="1" x14ac:dyDescent="0.35">
      <c r="A253" s="122" t="s">
        <v>422</v>
      </c>
      <c r="B253" s="123"/>
      <c r="C253" s="92" t="s">
        <v>376</v>
      </c>
      <c r="D253" s="94">
        <f>(36.11)*10.764</f>
        <v>388.68803999999994</v>
      </c>
      <c r="E253" s="107">
        <v>0</v>
      </c>
      <c r="F253" s="107">
        <f t="shared" si="15"/>
        <v>388.68803999999994</v>
      </c>
      <c r="G253" s="107">
        <v>0</v>
      </c>
      <c r="H253" s="107">
        <f t="shared" si="16"/>
        <v>583.03205999999989</v>
      </c>
      <c r="I253" s="35"/>
      <c r="L253" s="121"/>
      <c r="M253" s="121"/>
      <c r="N253" s="35"/>
      <c r="T253" s="21"/>
    </row>
    <row r="254" spans="1:20" s="101" customFormat="1" ht="15.75" customHeight="1" x14ac:dyDescent="0.35">
      <c r="A254" s="122" t="s">
        <v>423</v>
      </c>
      <c r="B254" s="123"/>
      <c r="C254" s="92" t="s">
        <v>376</v>
      </c>
      <c r="D254" s="94">
        <f>(33.46)*10.764</f>
        <v>360.16343999999998</v>
      </c>
      <c r="E254" s="92">
        <v>0</v>
      </c>
      <c r="F254" s="92">
        <f t="shared" si="15"/>
        <v>360.16343999999998</v>
      </c>
      <c r="G254" s="92">
        <v>0</v>
      </c>
      <c r="H254" s="92">
        <f t="shared" si="16"/>
        <v>540.24515999999994</v>
      </c>
      <c r="I254" s="35"/>
      <c r="L254" s="121"/>
      <c r="M254" s="121"/>
      <c r="N254" s="35"/>
    </row>
    <row r="255" spans="1:20" s="101" customFormat="1" ht="15.75" customHeight="1" x14ac:dyDescent="0.35">
      <c r="A255" s="119" t="s">
        <v>424</v>
      </c>
      <c r="B255" s="120"/>
      <c r="C255" s="92" t="s">
        <v>376</v>
      </c>
      <c r="D255" s="94">
        <f>(33.46)*10.764</f>
        <v>360.16343999999998</v>
      </c>
      <c r="E255" s="107">
        <v>0</v>
      </c>
      <c r="F255" s="107">
        <f t="shared" si="15"/>
        <v>360.16343999999998</v>
      </c>
      <c r="G255" s="107">
        <v>0</v>
      </c>
      <c r="H255" s="107">
        <f t="shared" si="16"/>
        <v>540.24515999999994</v>
      </c>
      <c r="I255" s="35"/>
      <c r="L255" s="121"/>
      <c r="M255" s="121"/>
      <c r="N255" s="35"/>
    </row>
    <row r="256" spans="1:20" s="101" customFormat="1" ht="15.75" customHeight="1" x14ac:dyDescent="0.35">
      <c r="A256" s="122" t="s">
        <v>425</v>
      </c>
      <c r="B256" s="123"/>
      <c r="C256" s="107" t="s">
        <v>432</v>
      </c>
      <c r="D256" s="94">
        <f>(26.44)*10.764</f>
        <v>284.60016000000002</v>
      </c>
      <c r="E256" s="107">
        <v>0</v>
      </c>
      <c r="F256" s="107">
        <f t="shared" si="15"/>
        <v>284.60016000000002</v>
      </c>
      <c r="G256" s="107">
        <v>0</v>
      </c>
      <c r="H256" s="107">
        <f t="shared" si="16"/>
        <v>426.90024000000005</v>
      </c>
      <c r="I256" s="35"/>
      <c r="L256" s="121"/>
      <c r="M256" s="121"/>
      <c r="N256" s="35"/>
      <c r="T256" s="21"/>
    </row>
    <row r="257" spans="1:20" s="101" customFormat="1" ht="15.75" customHeight="1" x14ac:dyDescent="0.35">
      <c r="A257" s="119" t="s">
        <v>426</v>
      </c>
      <c r="B257" s="120"/>
      <c r="C257" s="92" t="s">
        <v>376</v>
      </c>
      <c r="D257" s="94">
        <f>(36.06)*10.764</f>
        <v>388.14983999999998</v>
      </c>
      <c r="E257" s="107">
        <v>0</v>
      </c>
      <c r="F257" s="107">
        <f t="shared" si="15"/>
        <v>388.14983999999998</v>
      </c>
      <c r="G257" s="107">
        <v>0</v>
      </c>
      <c r="H257" s="107">
        <f t="shared" si="16"/>
        <v>582.22475999999995</v>
      </c>
      <c r="I257" s="35"/>
      <c r="L257" s="121"/>
      <c r="M257" s="121"/>
      <c r="N257" s="35"/>
    </row>
    <row r="258" spans="1:20" s="101" customFormat="1" ht="15.75" customHeight="1" x14ac:dyDescent="0.35">
      <c r="A258" s="122" t="s">
        <v>427</v>
      </c>
      <c r="B258" s="123"/>
      <c r="C258" s="92" t="s">
        <v>376</v>
      </c>
      <c r="D258" s="94">
        <f>(36.06)*10.764</f>
        <v>388.14983999999998</v>
      </c>
      <c r="E258" s="107">
        <v>0</v>
      </c>
      <c r="F258" s="107">
        <f t="shared" si="15"/>
        <v>388.14983999999998</v>
      </c>
      <c r="G258" s="107">
        <v>0</v>
      </c>
      <c r="H258" s="107">
        <f t="shared" si="16"/>
        <v>582.22475999999995</v>
      </c>
      <c r="I258" s="35"/>
      <c r="L258" s="121"/>
      <c r="M258" s="121"/>
      <c r="N258" s="35"/>
    </row>
    <row r="259" spans="1:20" s="101" customFormat="1" ht="15.75" customHeight="1" x14ac:dyDescent="0.35">
      <c r="A259" s="119" t="s">
        <v>428</v>
      </c>
      <c r="B259" s="120"/>
      <c r="C259" s="92" t="s">
        <v>376</v>
      </c>
      <c r="D259" s="94">
        <f>(36.11)*10.764</f>
        <v>388.68803999999994</v>
      </c>
      <c r="E259" s="107">
        <v>0</v>
      </c>
      <c r="F259" s="107">
        <f t="shared" si="15"/>
        <v>388.68803999999994</v>
      </c>
      <c r="G259" s="107">
        <v>0</v>
      </c>
      <c r="H259" s="107">
        <f t="shared" si="16"/>
        <v>583.03205999999989</v>
      </c>
      <c r="I259" s="35"/>
      <c r="L259" s="121"/>
      <c r="M259" s="121"/>
      <c r="N259" s="35"/>
      <c r="T259" s="21"/>
    </row>
    <row r="260" spans="1:20" s="101" customFormat="1" ht="15.75" customHeight="1" x14ac:dyDescent="0.35">
      <c r="A260" s="122" t="s">
        <v>429</v>
      </c>
      <c r="B260" s="123"/>
      <c r="C260" s="92" t="s">
        <v>376</v>
      </c>
      <c r="D260" s="94">
        <f>(36.11)*10.764</f>
        <v>388.68803999999994</v>
      </c>
      <c r="E260" s="107">
        <v>0</v>
      </c>
      <c r="F260" s="107">
        <f t="shared" si="15"/>
        <v>388.68803999999994</v>
      </c>
      <c r="G260" s="107">
        <v>0</v>
      </c>
      <c r="H260" s="107">
        <f t="shared" si="16"/>
        <v>583.03205999999989</v>
      </c>
      <c r="I260" s="35"/>
      <c r="L260" s="121"/>
      <c r="M260" s="121"/>
      <c r="N260" s="35"/>
      <c r="T260" s="21"/>
    </row>
    <row r="261" spans="1:20" s="101" customFormat="1" ht="15.75" customHeight="1" x14ac:dyDescent="0.35">
      <c r="A261" s="119" t="s">
        <v>430</v>
      </c>
      <c r="B261" s="120"/>
      <c r="C261" s="92" t="s">
        <v>376</v>
      </c>
      <c r="D261" s="94">
        <f>(36.11)*10.764</f>
        <v>388.68803999999994</v>
      </c>
      <c r="E261" s="107">
        <v>0</v>
      </c>
      <c r="F261" s="107">
        <f t="shared" si="15"/>
        <v>388.68803999999994</v>
      </c>
      <c r="G261" s="107">
        <v>0</v>
      </c>
      <c r="H261" s="107">
        <f t="shared" si="16"/>
        <v>583.03205999999989</v>
      </c>
      <c r="I261" s="35"/>
      <c r="L261" s="121"/>
      <c r="M261" s="121"/>
      <c r="N261" s="35"/>
      <c r="T261" s="21"/>
    </row>
    <row r="262" spans="1:20" s="101" customFormat="1" ht="15.75" customHeight="1" x14ac:dyDescent="0.35">
      <c r="A262" s="122" t="s">
        <v>431</v>
      </c>
      <c r="B262" s="123"/>
      <c r="C262" s="92" t="s">
        <v>376</v>
      </c>
      <c r="D262" s="94">
        <f>(36.11)*10.764</f>
        <v>388.68803999999994</v>
      </c>
      <c r="E262" s="107">
        <v>0</v>
      </c>
      <c r="F262" s="107">
        <f t="shared" si="15"/>
        <v>388.68803999999994</v>
      </c>
      <c r="G262" s="107">
        <v>0</v>
      </c>
      <c r="H262" s="107">
        <f t="shared" si="16"/>
        <v>583.03205999999989</v>
      </c>
      <c r="I262" s="35"/>
      <c r="L262" s="121"/>
      <c r="M262" s="121"/>
      <c r="N262" s="35"/>
      <c r="T262" s="21"/>
    </row>
    <row r="263" spans="1:20" s="82" customFormat="1" x14ac:dyDescent="0.35">
      <c r="A263" s="162" t="s">
        <v>372</v>
      </c>
      <c r="B263" s="163"/>
      <c r="C263" s="163"/>
      <c r="D263" s="163"/>
      <c r="E263" s="163"/>
      <c r="F263" s="163"/>
      <c r="G263" s="163"/>
      <c r="H263" s="164"/>
      <c r="J263" s="35"/>
      <c r="T263" s="34"/>
    </row>
    <row r="264" spans="1:20" s="87" customFormat="1" x14ac:dyDescent="0.35">
      <c r="A264" s="128" t="s">
        <v>377</v>
      </c>
      <c r="B264" s="129"/>
      <c r="C264" s="129"/>
      <c r="D264" s="129"/>
      <c r="E264" s="129"/>
      <c r="F264" s="129"/>
      <c r="G264" s="129"/>
      <c r="H264" s="130"/>
      <c r="J264" s="35"/>
    </row>
    <row r="265" spans="1:20" s="87" customFormat="1" ht="15.75" customHeight="1" x14ac:dyDescent="0.35">
      <c r="A265" s="122">
        <v>1</v>
      </c>
      <c r="B265" s="123"/>
      <c r="C265" s="92" t="s">
        <v>375</v>
      </c>
      <c r="D265" s="95">
        <f>(3.05*5.175+3.55*2.125+1.06*2.425+2.75*3.59+3.05*4.275+2.275*1.375+2.275*1.375+0.95*1+0.85*1)*10.764</f>
        <v>612.10024199999998</v>
      </c>
      <c r="E265" s="92">
        <v>0</v>
      </c>
      <c r="F265" s="92">
        <f t="shared" ref="F265:F272" si="17">D265+E265</f>
        <v>612.10024199999998</v>
      </c>
      <c r="G265" s="92">
        <v>0</v>
      </c>
      <c r="H265" s="92">
        <f t="shared" ref="H265:H272" si="18">F265*(($H$201)+1)+(IF(G265&lt;101,G265,IF(G265&lt;201,G265/2,IF(G265&lt;=301,G265/3,G265/4))))</f>
        <v>918.15036299999997</v>
      </c>
      <c r="I265" s="35"/>
      <c r="L265" s="121"/>
      <c r="M265" s="121"/>
      <c r="N265" s="35"/>
    </row>
    <row r="266" spans="1:20" s="87" customFormat="1" ht="15.75" customHeight="1" x14ac:dyDescent="0.35">
      <c r="A266" s="122">
        <f t="shared" ref="A266:A272" si="19">A265+1</f>
        <v>2</v>
      </c>
      <c r="B266" s="123"/>
      <c r="C266" s="92" t="s">
        <v>376</v>
      </c>
      <c r="D266" s="95">
        <f>(2.9*5.175+2.125*2.975+1.525*0.4+2.75*3.35+2.275*0.6+1.25*1.375+1.2*1.375+2.25*1)*10.764</f>
        <v>410.49186749999996</v>
      </c>
      <c r="E266" s="92">
        <v>0</v>
      </c>
      <c r="F266" s="92">
        <f t="shared" si="17"/>
        <v>410.49186749999996</v>
      </c>
      <c r="G266" s="92">
        <v>0</v>
      </c>
      <c r="H266" s="92">
        <f t="shared" si="18"/>
        <v>615.73780124999996</v>
      </c>
      <c r="I266" s="35"/>
      <c r="L266" s="121"/>
      <c r="M266" s="121"/>
      <c r="N266" s="35"/>
    </row>
    <row r="267" spans="1:20" s="87" customFormat="1" ht="15.75" customHeight="1" x14ac:dyDescent="0.35">
      <c r="A267" s="119">
        <f t="shared" si="19"/>
        <v>3</v>
      </c>
      <c r="B267" s="120"/>
      <c r="C267" s="86" t="s">
        <v>376</v>
      </c>
      <c r="D267" s="94">
        <f>(2.9*5.175+2.125*2.975+1.525*0.4+2.75*3.35+2.275*0.6+1.25*1.375+1.2*1.375+2.25*1)*10.764</f>
        <v>410.49186749999996</v>
      </c>
      <c r="E267" s="86">
        <v>0</v>
      </c>
      <c r="F267" s="86">
        <f t="shared" si="17"/>
        <v>410.49186749999996</v>
      </c>
      <c r="G267" s="86">
        <v>0</v>
      </c>
      <c r="H267" s="86">
        <f t="shared" si="18"/>
        <v>615.73780124999996</v>
      </c>
      <c r="I267" s="35"/>
      <c r="L267" s="121"/>
      <c r="M267" s="121"/>
      <c r="N267" s="35"/>
    </row>
    <row r="268" spans="1:20" s="87" customFormat="1" ht="15.75" customHeight="1" x14ac:dyDescent="0.35">
      <c r="A268" s="119">
        <f t="shared" si="19"/>
        <v>4</v>
      </c>
      <c r="B268" s="120"/>
      <c r="C268" s="86" t="s">
        <v>375</v>
      </c>
      <c r="D268" s="94">
        <f>(3.05*5.175+3.55*2.125+1.06*2.425+2.75*3.59+3.05*4.275+2.275*1.375+2.275*1.375+0.95*1+0.85*1)*10.764</f>
        <v>612.10024199999998</v>
      </c>
      <c r="E268" s="86">
        <v>0</v>
      </c>
      <c r="F268" s="86">
        <f t="shared" si="17"/>
        <v>612.10024199999998</v>
      </c>
      <c r="G268" s="86">
        <v>0</v>
      </c>
      <c r="H268" s="86">
        <f t="shared" si="18"/>
        <v>918.15036299999997</v>
      </c>
      <c r="I268" s="35"/>
      <c r="L268" s="121"/>
      <c r="M268" s="121"/>
      <c r="N268" s="35"/>
      <c r="T268" s="21"/>
    </row>
    <row r="269" spans="1:20" s="87" customFormat="1" ht="15.75" customHeight="1" x14ac:dyDescent="0.35">
      <c r="A269" s="119">
        <f t="shared" si="19"/>
        <v>5</v>
      </c>
      <c r="B269" s="120"/>
      <c r="C269" s="86" t="s">
        <v>375</v>
      </c>
      <c r="D269" s="94">
        <f>(3.05*5.175+3.55*2.125+1.06*2.425+2.75*3.59+3.05*4.275+2.275*1.375+2.275*1.375+0.95*1+0.85*1)*10.764</f>
        <v>612.10024199999998</v>
      </c>
      <c r="E269" s="86">
        <v>0</v>
      </c>
      <c r="F269" s="86">
        <f t="shared" si="17"/>
        <v>612.10024199999998</v>
      </c>
      <c r="G269" s="86">
        <v>0</v>
      </c>
      <c r="H269" s="86">
        <f t="shared" si="18"/>
        <v>918.15036299999997</v>
      </c>
      <c r="I269" s="35"/>
      <c r="L269" s="121"/>
      <c r="M269" s="121"/>
      <c r="N269" s="35"/>
    </row>
    <row r="270" spans="1:20" s="87" customFormat="1" ht="15.75" customHeight="1" x14ac:dyDescent="0.35">
      <c r="A270" s="119">
        <f t="shared" si="19"/>
        <v>6</v>
      </c>
      <c r="B270" s="120"/>
      <c r="C270" s="86" t="s">
        <v>376</v>
      </c>
      <c r="D270" s="94">
        <f>(2.9*5.175+2.125*2.975+1.525*0.4+2.75*3.35+2.275*0.6+1.25*1.375+1.2*1.375+2.25*1)*10.764</f>
        <v>410.49186749999996</v>
      </c>
      <c r="E270" s="86">
        <v>0</v>
      </c>
      <c r="F270" s="86">
        <f t="shared" si="17"/>
        <v>410.49186749999996</v>
      </c>
      <c r="G270" s="86">
        <v>0</v>
      </c>
      <c r="H270" s="86">
        <f t="shared" si="18"/>
        <v>615.73780124999996</v>
      </c>
      <c r="I270" s="35"/>
      <c r="L270" s="121"/>
      <c r="M270" s="121"/>
      <c r="N270" s="35"/>
    </row>
    <row r="271" spans="1:20" s="87" customFormat="1" ht="15.75" customHeight="1" x14ac:dyDescent="0.35">
      <c r="A271" s="119">
        <f t="shared" si="19"/>
        <v>7</v>
      </c>
      <c r="B271" s="120"/>
      <c r="C271" s="86" t="s">
        <v>376</v>
      </c>
      <c r="D271" s="94">
        <f>(2.9*5.175+2.125*2.975+1.525*0.4+2.75*3.35+2.275*0.6+1.25*1.375+1.2*1.375+2.25*1)*10.764</f>
        <v>410.49186749999996</v>
      </c>
      <c r="E271" s="86">
        <v>0</v>
      </c>
      <c r="F271" s="86">
        <f t="shared" si="17"/>
        <v>410.49186749999996</v>
      </c>
      <c r="G271" s="86">
        <v>0</v>
      </c>
      <c r="H271" s="86">
        <f t="shared" si="18"/>
        <v>615.73780124999996</v>
      </c>
      <c r="I271" s="35"/>
      <c r="L271" s="121"/>
      <c r="M271" s="121"/>
      <c r="N271" s="35"/>
      <c r="T271" s="21"/>
    </row>
    <row r="272" spans="1:20" s="87" customFormat="1" ht="15.75" customHeight="1" x14ac:dyDescent="0.35">
      <c r="A272" s="119">
        <f t="shared" si="19"/>
        <v>8</v>
      </c>
      <c r="B272" s="120"/>
      <c r="C272" s="86" t="s">
        <v>375</v>
      </c>
      <c r="D272" s="94">
        <f>(3.05*5.175+3.55*2.125+1.06*2.425+2.75*3.59+3.05*4.275+2.275*1.375+2.275*1.375+0.95*1+0.85*1)*10.764</f>
        <v>612.10024199999998</v>
      </c>
      <c r="E272" s="86">
        <v>0</v>
      </c>
      <c r="F272" s="86">
        <f t="shared" si="17"/>
        <v>612.10024199999998</v>
      </c>
      <c r="G272" s="86">
        <v>0</v>
      </c>
      <c r="H272" s="86">
        <f t="shared" si="18"/>
        <v>918.15036299999997</v>
      </c>
      <c r="I272" s="35"/>
      <c r="L272" s="121"/>
      <c r="M272" s="121"/>
      <c r="N272" s="35"/>
      <c r="T272" s="21"/>
    </row>
    <row r="273" spans="1:20" s="87" customFormat="1" x14ac:dyDescent="0.35">
      <c r="A273" s="124" t="s">
        <v>378</v>
      </c>
      <c r="B273" s="125"/>
      <c r="C273" s="125"/>
      <c r="D273" s="125"/>
      <c r="E273" s="125"/>
      <c r="F273" s="125"/>
      <c r="G273" s="125"/>
      <c r="H273" s="126"/>
      <c r="J273" s="35"/>
    </row>
    <row r="274" spans="1:20" s="87" customFormat="1" ht="15.75" customHeight="1" x14ac:dyDescent="0.35">
      <c r="A274" s="119">
        <v>1</v>
      </c>
      <c r="B274" s="120"/>
      <c r="C274" s="86" t="s">
        <v>375</v>
      </c>
      <c r="D274" s="94">
        <f>(3.05*5.175+3.55*2.125+1.06*2.425+2.75*3.59+3.05*4.275+2.275*1.375+2.275*1.375+0.95*1+0.85*1)*10.764</f>
        <v>612.10024199999998</v>
      </c>
      <c r="E274" s="86">
        <v>0</v>
      </c>
      <c r="F274" s="86">
        <f t="shared" ref="F274:F281" si="20">D274+E274</f>
        <v>612.10024199999998</v>
      </c>
      <c r="G274" s="86">
        <v>0</v>
      </c>
      <c r="H274" s="86">
        <f t="shared" ref="H274:H281" si="21">F274*(($H$201)+1)+(IF(G274&lt;101,G274,IF(G274&lt;201,G274/2,IF(G274&lt;=301,G274/3,G274/4))))</f>
        <v>918.15036299999997</v>
      </c>
      <c r="I274" s="35"/>
      <c r="L274" s="121"/>
      <c r="M274" s="121"/>
      <c r="N274" s="35"/>
    </row>
    <row r="275" spans="1:20" s="87" customFormat="1" ht="15.75" customHeight="1" x14ac:dyDescent="0.35">
      <c r="A275" s="119">
        <f t="shared" ref="A275:A281" si="22">A274+1</f>
        <v>2</v>
      </c>
      <c r="B275" s="120"/>
      <c r="C275" s="86" t="s">
        <v>376</v>
      </c>
      <c r="D275" s="94">
        <f>(2.9*5.175+2.125*2.975+1.525*0.4+2.75*3.35+2.275*0.6+1.25*1.375+1.2*1.375+2.25*1)*10.764</f>
        <v>410.49186749999996</v>
      </c>
      <c r="E275" s="86">
        <v>0</v>
      </c>
      <c r="F275" s="86">
        <f t="shared" si="20"/>
        <v>410.49186749999996</v>
      </c>
      <c r="G275" s="86">
        <v>0</v>
      </c>
      <c r="H275" s="86">
        <f t="shared" si="21"/>
        <v>615.73780124999996</v>
      </c>
      <c r="I275" s="35"/>
      <c r="L275" s="121"/>
      <c r="M275" s="121"/>
      <c r="N275" s="35"/>
    </row>
    <row r="276" spans="1:20" s="87" customFormat="1" ht="15.75" customHeight="1" x14ac:dyDescent="0.35">
      <c r="A276" s="119">
        <f t="shared" si="22"/>
        <v>3</v>
      </c>
      <c r="B276" s="120"/>
      <c r="C276" s="86" t="s">
        <v>376</v>
      </c>
      <c r="D276" s="94">
        <f>(2.9*5.175+2.125*2.975+1.525*0.4+2.75*3.35+2.275*0.6+1.25*1.375+1.2*1.375+2.25*1)*10.764</f>
        <v>410.49186749999996</v>
      </c>
      <c r="E276" s="86">
        <v>0</v>
      </c>
      <c r="F276" s="86">
        <f t="shared" si="20"/>
        <v>410.49186749999996</v>
      </c>
      <c r="G276" s="86">
        <v>0</v>
      </c>
      <c r="H276" s="86">
        <f t="shared" si="21"/>
        <v>615.73780124999996</v>
      </c>
      <c r="I276" s="35"/>
      <c r="L276" s="121"/>
      <c r="M276" s="121"/>
      <c r="N276" s="35"/>
    </row>
    <row r="277" spans="1:20" s="87" customFormat="1" ht="15.75" customHeight="1" x14ac:dyDescent="0.35">
      <c r="A277" s="119">
        <f t="shared" si="22"/>
        <v>4</v>
      </c>
      <c r="B277" s="120"/>
      <c r="C277" s="86" t="s">
        <v>375</v>
      </c>
      <c r="D277" s="94">
        <f>(3.05*5.175+3.55*2.125+1.06*2.425+2.75*3.59+3.05*4.275+2.275*1.375+2.275*1.375+0.95*1+0.85*1)*10.764</f>
        <v>612.10024199999998</v>
      </c>
      <c r="E277" s="86">
        <v>0</v>
      </c>
      <c r="F277" s="86">
        <f t="shared" si="20"/>
        <v>612.10024199999998</v>
      </c>
      <c r="G277" s="86">
        <v>0</v>
      </c>
      <c r="H277" s="86">
        <f t="shared" si="21"/>
        <v>918.15036299999997</v>
      </c>
      <c r="I277" s="35"/>
      <c r="L277" s="121"/>
      <c r="M277" s="121"/>
      <c r="N277" s="35"/>
      <c r="T277" s="21"/>
    </row>
    <row r="278" spans="1:20" s="87" customFormat="1" ht="15.75" customHeight="1" x14ac:dyDescent="0.35">
      <c r="A278" s="119">
        <f t="shared" si="22"/>
        <v>5</v>
      </c>
      <c r="B278" s="120"/>
      <c r="C278" s="86" t="s">
        <v>375</v>
      </c>
      <c r="D278" s="94">
        <f>(3.05*5.175+3.55*2.125+1.06*2.425+2.75*3.59+3.05*4.275+2.275*1.375+2.275*1.375+0.95*1+0.85*1)*10.764</f>
        <v>612.10024199999998</v>
      </c>
      <c r="E278" s="86">
        <v>0</v>
      </c>
      <c r="F278" s="86">
        <f t="shared" si="20"/>
        <v>612.10024199999998</v>
      </c>
      <c r="G278" s="86">
        <v>0</v>
      </c>
      <c r="H278" s="86">
        <f t="shared" si="21"/>
        <v>918.15036299999997</v>
      </c>
      <c r="I278" s="35"/>
      <c r="L278" s="121"/>
      <c r="M278" s="121"/>
      <c r="N278" s="35"/>
    </row>
    <row r="279" spans="1:20" s="87" customFormat="1" ht="15.75" customHeight="1" x14ac:dyDescent="0.35">
      <c r="A279" s="119">
        <f t="shared" si="22"/>
        <v>6</v>
      </c>
      <c r="B279" s="120"/>
      <c r="C279" s="86" t="s">
        <v>376</v>
      </c>
      <c r="D279" s="94">
        <f>(2.9*5.175+2.125*2.975+1.525*0.4+2.75*3.35+2.275*0.6+1.25*1.375+1.2*1.375+2.25*1)*10.764</f>
        <v>410.49186749999996</v>
      </c>
      <c r="E279" s="86">
        <v>0</v>
      </c>
      <c r="F279" s="86">
        <f t="shared" si="20"/>
        <v>410.49186749999996</v>
      </c>
      <c r="G279" s="86">
        <v>0</v>
      </c>
      <c r="H279" s="86">
        <f t="shared" si="21"/>
        <v>615.73780124999996</v>
      </c>
      <c r="I279" s="35"/>
      <c r="L279" s="121"/>
      <c r="M279" s="121"/>
      <c r="N279" s="35"/>
    </row>
    <row r="280" spans="1:20" s="87" customFormat="1" ht="15.75" customHeight="1" x14ac:dyDescent="0.35">
      <c r="A280" s="119">
        <f t="shared" si="22"/>
        <v>7</v>
      </c>
      <c r="B280" s="120"/>
      <c r="C280" s="86" t="s">
        <v>376</v>
      </c>
      <c r="D280" s="94">
        <f>(2.9*5.175+2.125*2.975+1.525*0.4+2.75*3.35+2.275*0.6+1.25*1.375+1.2*1.375+2.25*1)*10.764</f>
        <v>410.49186749999996</v>
      </c>
      <c r="E280" s="86">
        <v>0</v>
      </c>
      <c r="F280" s="86">
        <f t="shared" si="20"/>
        <v>410.49186749999996</v>
      </c>
      <c r="G280" s="86">
        <v>0</v>
      </c>
      <c r="H280" s="86">
        <f t="shared" si="21"/>
        <v>615.73780124999996</v>
      </c>
      <c r="I280" s="35"/>
      <c r="L280" s="121"/>
      <c r="M280" s="121"/>
      <c r="N280" s="35"/>
      <c r="T280" s="21"/>
    </row>
    <row r="281" spans="1:20" s="87" customFormat="1" ht="15.75" customHeight="1" x14ac:dyDescent="0.35">
      <c r="A281" s="119">
        <f t="shared" si="22"/>
        <v>8</v>
      </c>
      <c r="B281" s="120"/>
      <c r="C281" s="86" t="s">
        <v>375</v>
      </c>
      <c r="D281" s="94">
        <f>(3.05*5.175+3.55*2.125+1.06*2.425+2.75*3.59+3.05*4.275+2.275*1.375+2.275*1.375+0.95*1+0.85*1)*10.764</f>
        <v>612.10024199999998</v>
      </c>
      <c r="E281" s="86">
        <v>0</v>
      </c>
      <c r="F281" s="86">
        <f t="shared" si="20"/>
        <v>612.10024199999998</v>
      </c>
      <c r="G281" s="86">
        <v>0</v>
      </c>
      <c r="H281" s="86">
        <f t="shared" si="21"/>
        <v>918.15036299999997</v>
      </c>
      <c r="I281" s="35"/>
      <c r="L281" s="121"/>
      <c r="M281" s="121"/>
      <c r="N281" s="35"/>
      <c r="T281" s="21"/>
    </row>
    <row r="282" spans="1:20" s="87" customFormat="1" x14ac:dyDescent="0.35">
      <c r="A282" s="124" t="s">
        <v>379</v>
      </c>
      <c r="B282" s="125"/>
      <c r="C282" s="125"/>
      <c r="D282" s="125"/>
      <c r="E282" s="125"/>
      <c r="F282" s="125"/>
      <c r="G282" s="125"/>
      <c r="H282" s="126"/>
      <c r="J282" s="35"/>
    </row>
    <row r="283" spans="1:20" s="87" customFormat="1" ht="15.75" customHeight="1" x14ac:dyDescent="0.35">
      <c r="A283" s="119">
        <v>1</v>
      </c>
      <c r="B283" s="120"/>
      <c r="C283" s="86" t="s">
        <v>375</v>
      </c>
      <c r="D283" s="94">
        <f>(3.05*5.175+3.55*2.125+1.06*2.425+2.75*3.59+3.05*4.275+2.275*1.375+2.275*1.375+0.95*1+0.85*1)*10.764</f>
        <v>612.10024199999998</v>
      </c>
      <c r="E283" s="86">
        <v>0</v>
      </c>
      <c r="F283" s="86">
        <f t="shared" ref="F283:F290" si="23">D283+E283</f>
        <v>612.10024199999998</v>
      </c>
      <c r="G283" s="86">
        <v>0</v>
      </c>
      <c r="H283" s="86">
        <f t="shared" ref="H283:H290" si="24">F283*(($H$201)+1)+(IF(G283&lt;101,G283,IF(G283&lt;201,G283/2,IF(G283&lt;=301,G283/3,G283/4))))</f>
        <v>918.15036299999997</v>
      </c>
      <c r="I283" s="35"/>
      <c r="L283" s="121"/>
      <c r="M283" s="121"/>
      <c r="N283" s="35"/>
    </row>
    <row r="284" spans="1:20" s="87" customFormat="1" ht="15.75" customHeight="1" x14ac:dyDescent="0.35">
      <c r="A284" s="119">
        <f t="shared" ref="A284:A290" si="25">A283+1</f>
        <v>2</v>
      </c>
      <c r="B284" s="120"/>
      <c r="C284" s="86" t="s">
        <v>376</v>
      </c>
      <c r="D284" s="94">
        <f>(2.9*5.175+2.125*2.975+1.525*0.4+2.75*3.35+2.275*0.6+1.25*1.375+1.2*1.375+2.25*1)*10.764</f>
        <v>410.49186749999996</v>
      </c>
      <c r="E284" s="86">
        <v>0</v>
      </c>
      <c r="F284" s="86">
        <f t="shared" si="23"/>
        <v>410.49186749999996</v>
      </c>
      <c r="G284" s="86">
        <v>0</v>
      </c>
      <c r="H284" s="86">
        <f t="shared" si="24"/>
        <v>615.73780124999996</v>
      </c>
      <c r="I284" s="35"/>
      <c r="L284" s="121"/>
      <c r="M284" s="121"/>
      <c r="N284" s="35"/>
    </row>
    <row r="285" spans="1:20" s="87" customFormat="1" ht="15.75" customHeight="1" x14ac:dyDescent="0.35">
      <c r="A285" s="119">
        <f t="shared" si="25"/>
        <v>3</v>
      </c>
      <c r="B285" s="120"/>
      <c r="C285" s="86" t="s">
        <v>376</v>
      </c>
      <c r="D285" s="94">
        <f>(2.9*5.175+2.125*2.975+1.525*0.4+2.75*3.35+2.275*0.6+1.25*1.375+1.2*1.375+2.25*1)*10.764</f>
        <v>410.49186749999996</v>
      </c>
      <c r="E285" s="86">
        <v>0</v>
      </c>
      <c r="F285" s="86">
        <f t="shared" si="23"/>
        <v>410.49186749999996</v>
      </c>
      <c r="G285" s="86">
        <v>0</v>
      </c>
      <c r="H285" s="86">
        <f t="shared" si="24"/>
        <v>615.73780124999996</v>
      </c>
      <c r="I285" s="35"/>
      <c r="L285" s="121"/>
      <c r="M285" s="121"/>
      <c r="N285" s="35"/>
    </row>
    <row r="286" spans="1:20" s="87" customFormat="1" ht="15.75" customHeight="1" x14ac:dyDescent="0.35">
      <c r="A286" s="119">
        <f t="shared" si="25"/>
        <v>4</v>
      </c>
      <c r="B286" s="120"/>
      <c r="C286" s="86" t="s">
        <v>375</v>
      </c>
      <c r="D286" s="94">
        <f>(3.05*5.175+3.55*2.125+1.06*2.425+2.75*3.59+3.05*4.275+2.275*1.375+2.275*1.375+0.95*1+0.85*1)*10.764</f>
        <v>612.10024199999998</v>
      </c>
      <c r="E286" s="86">
        <v>0</v>
      </c>
      <c r="F286" s="86">
        <f t="shared" si="23"/>
        <v>612.10024199999998</v>
      </c>
      <c r="G286" s="86">
        <v>0</v>
      </c>
      <c r="H286" s="86">
        <f t="shared" si="24"/>
        <v>918.15036299999997</v>
      </c>
      <c r="I286" s="35"/>
      <c r="L286" s="121"/>
      <c r="M286" s="121"/>
      <c r="N286" s="35"/>
      <c r="T286" s="21"/>
    </row>
    <row r="287" spans="1:20" s="87" customFormat="1" ht="15.75" customHeight="1" x14ac:dyDescent="0.35">
      <c r="A287" s="119">
        <f t="shared" si="25"/>
        <v>5</v>
      </c>
      <c r="B287" s="120"/>
      <c r="C287" s="86" t="s">
        <v>375</v>
      </c>
      <c r="D287" s="94">
        <f>(3.05*5.175+3.55*2.125+1.06*2.425+2.75*3.59+3.05*4.275+2.275*1.375+2.275*1.375+0.95*1+0.85*1)*10.764</f>
        <v>612.10024199999998</v>
      </c>
      <c r="E287" s="86">
        <v>0</v>
      </c>
      <c r="F287" s="86">
        <f t="shared" si="23"/>
        <v>612.10024199999998</v>
      </c>
      <c r="G287" s="86">
        <v>0</v>
      </c>
      <c r="H287" s="86">
        <f t="shared" si="24"/>
        <v>918.15036299999997</v>
      </c>
      <c r="I287" s="35"/>
      <c r="L287" s="121"/>
      <c r="M287" s="121"/>
      <c r="N287" s="35"/>
    </row>
    <row r="288" spans="1:20" s="87" customFormat="1" ht="15.75" customHeight="1" x14ac:dyDescent="0.35">
      <c r="A288" s="119">
        <f t="shared" si="25"/>
        <v>6</v>
      </c>
      <c r="B288" s="120"/>
      <c r="C288" s="86" t="s">
        <v>376</v>
      </c>
      <c r="D288" s="94">
        <f>(2.9*5.175+2.125*2.975+1.525*0.4+2.75*3.35+2.275*0.6+1.25*1.375+1.2*1.375+2.25*1)*10.764</f>
        <v>410.49186749999996</v>
      </c>
      <c r="E288" s="86">
        <v>0</v>
      </c>
      <c r="F288" s="86">
        <f t="shared" si="23"/>
        <v>410.49186749999996</v>
      </c>
      <c r="G288" s="86">
        <v>0</v>
      </c>
      <c r="H288" s="86">
        <f t="shared" si="24"/>
        <v>615.73780124999996</v>
      </c>
      <c r="I288" s="35"/>
      <c r="L288" s="121"/>
      <c r="M288" s="121"/>
      <c r="N288" s="35"/>
    </row>
    <row r="289" spans="1:20" s="87" customFormat="1" ht="15.75" customHeight="1" x14ac:dyDescent="0.35">
      <c r="A289" s="119">
        <f t="shared" si="25"/>
        <v>7</v>
      </c>
      <c r="B289" s="120"/>
      <c r="C289" s="86" t="s">
        <v>376</v>
      </c>
      <c r="D289" s="94">
        <f>(2.9*5.175+2.125*2.975+1.525*0.4+2.75*3.35+2.275*0.6+1.25*1.375+1.2*1.375+2.25*1)*10.764</f>
        <v>410.49186749999996</v>
      </c>
      <c r="E289" s="86">
        <v>0</v>
      </c>
      <c r="F289" s="86">
        <f t="shared" si="23"/>
        <v>410.49186749999996</v>
      </c>
      <c r="G289" s="86">
        <v>0</v>
      </c>
      <c r="H289" s="86">
        <f t="shared" si="24"/>
        <v>615.73780124999996</v>
      </c>
      <c r="I289" s="35"/>
      <c r="L289" s="121"/>
      <c r="M289" s="121"/>
      <c r="N289" s="35"/>
      <c r="T289" s="21"/>
    </row>
    <row r="290" spans="1:20" s="87" customFormat="1" ht="15.75" customHeight="1" x14ac:dyDescent="0.35">
      <c r="A290" s="119">
        <f t="shared" si="25"/>
        <v>8</v>
      </c>
      <c r="B290" s="120"/>
      <c r="C290" s="86" t="s">
        <v>375</v>
      </c>
      <c r="D290" s="94">
        <f>(3.05*5.175+3.55*2.125+1.06*2.425+2.75*3.59+3.05*4.275+2.275*1.375+2.275*1.375+0.95*1+0.85*1)*10.764</f>
        <v>612.10024199999998</v>
      </c>
      <c r="E290" s="86">
        <v>0</v>
      </c>
      <c r="F290" s="86">
        <f t="shared" si="23"/>
        <v>612.10024199999998</v>
      </c>
      <c r="G290" s="86">
        <v>0</v>
      </c>
      <c r="H290" s="86">
        <f t="shared" si="24"/>
        <v>918.15036299999997</v>
      </c>
      <c r="I290" s="35"/>
      <c r="L290" s="121"/>
      <c r="M290" s="121"/>
      <c r="N290" s="35"/>
      <c r="T290" s="21"/>
    </row>
    <row r="291" spans="1:20" s="36" customFormat="1" hidden="1" x14ac:dyDescent="0.35">
      <c r="A291" s="124" t="s">
        <v>115</v>
      </c>
      <c r="B291" s="125"/>
      <c r="C291" s="125"/>
      <c r="D291" s="125"/>
      <c r="E291" s="125"/>
      <c r="F291" s="125"/>
      <c r="G291" s="125"/>
      <c r="H291" s="126"/>
      <c r="J291" s="35"/>
    </row>
    <row r="292" spans="1:20" s="36" customFormat="1" ht="15.75" hidden="1" customHeight="1" x14ac:dyDescent="0.35">
      <c r="A292" s="119">
        <v>1</v>
      </c>
      <c r="B292" s="120"/>
      <c r="C292" s="41"/>
      <c r="D292" s="41"/>
      <c r="E292" s="41">
        <v>0</v>
      </c>
      <c r="F292" s="41">
        <f>D292+E292</f>
        <v>0</v>
      </c>
      <c r="G292" s="53">
        <v>0</v>
      </c>
      <c r="H292" s="53">
        <f>F292*(($H$201)+1)+(IF(G292&lt;101,G292,IF(G292&lt;201,G292/2,IF(G292&lt;=301,G292/3,G292/4))))</f>
        <v>0</v>
      </c>
      <c r="I292" s="35"/>
      <c r="L292" s="121"/>
      <c r="M292" s="121"/>
      <c r="N292" s="35"/>
    </row>
    <row r="293" spans="1:20" s="36" customFormat="1" ht="15.75" hidden="1" customHeight="1" x14ac:dyDescent="0.35">
      <c r="A293" s="119">
        <f>A292+1</f>
        <v>2</v>
      </c>
      <c r="B293" s="120"/>
      <c r="C293" s="41"/>
      <c r="D293" s="41"/>
      <c r="E293" s="41">
        <v>0</v>
      </c>
      <c r="F293" s="53">
        <f>D293+E293</f>
        <v>0</v>
      </c>
      <c r="G293" s="53">
        <v>0</v>
      </c>
      <c r="H293" s="53">
        <f>F293*(($H$201)+1)+(IF(G293&lt;101,G293,IF(G293&lt;201,G293/2,IF(G293&lt;=301,G293/3,G293/4))))</f>
        <v>0</v>
      </c>
      <c r="I293" s="35"/>
      <c r="L293" s="121"/>
      <c r="M293" s="121"/>
      <c r="N293" s="35"/>
    </row>
    <row r="294" spans="1:20" s="36" customFormat="1" ht="15.75" hidden="1" customHeight="1" x14ac:dyDescent="0.35">
      <c r="A294" s="119">
        <f>A293+1</f>
        <v>3</v>
      </c>
      <c r="B294" s="120"/>
      <c r="C294" s="41"/>
      <c r="D294" s="41"/>
      <c r="E294" s="41">
        <v>0</v>
      </c>
      <c r="F294" s="53">
        <f>D294+E294</f>
        <v>0</v>
      </c>
      <c r="G294" s="53">
        <v>0</v>
      </c>
      <c r="H294" s="53">
        <f>F294*(($H$201)+1)+(IF(G294&lt;101,G294,IF(G294&lt;201,G294/2,IF(G294&lt;=301,G294/3,G294/4))))</f>
        <v>0</v>
      </c>
      <c r="I294" s="35"/>
      <c r="L294" s="121"/>
      <c r="M294" s="121"/>
      <c r="N294" s="35"/>
    </row>
    <row r="295" spans="1:20" s="36" customFormat="1" ht="15.75" hidden="1" customHeight="1" x14ac:dyDescent="0.35">
      <c r="A295" s="119">
        <f>A294+1</f>
        <v>4</v>
      </c>
      <c r="B295" s="120"/>
      <c r="C295" s="41"/>
      <c r="D295" s="41"/>
      <c r="E295" s="41">
        <v>0</v>
      </c>
      <c r="F295" s="53">
        <f>D295+E295</f>
        <v>0</v>
      </c>
      <c r="G295" s="53">
        <v>0</v>
      </c>
      <c r="H295" s="53">
        <f>F295*(($H$201)+1)+(IF(G295&lt;101,G295,IF(G295&lt;201,G295/2,IF(G295&lt;=301,G295/3,G295/4))))</f>
        <v>0</v>
      </c>
      <c r="I295" s="35"/>
      <c r="L295" s="121"/>
      <c r="M295" s="121"/>
      <c r="N295" s="35"/>
      <c r="T295" s="21"/>
    </row>
    <row r="296" spans="1:20" s="36" customFormat="1" hidden="1" x14ac:dyDescent="0.35">
      <c r="A296" s="284" t="s">
        <v>116</v>
      </c>
      <c r="B296" s="284"/>
      <c r="C296" s="284"/>
      <c r="D296" s="284"/>
      <c r="E296" s="284"/>
      <c r="F296" s="284"/>
      <c r="G296" s="284"/>
      <c r="H296" s="284"/>
      <c r="I296" s="35"/>
      <c r="L296" s="121"/>
      <c r="M296" s="121"/>
    </row>
    <row r="297" spans="1:20" s="36" customFormat="1" hidden="1" x14ac:dyDescent="0.35">
      <c r="A297" s="127">
        <f>LEFT(A296,SUM(LEN(A296)-LEN(SUBSTITUTE(A296,{"0","1","2","3","4","5","6","7","8","9"},""))))*100+1</f>
        <v>201</v>
      </c>
      <c r="B297" s="127"/>
      <c r="C297" s="41"/>
      <c r="D297" s="41"/>
      <c r="E297" s="53">
        <v>0</v>
      </c>
      <c r="F297" s="53">
        <f>D297+E297</f>
        <v>0</v>
      </c>
      <c r="G297" s="53">
        <v>0</v>
      </c>
      <c r="H297" s="53">
        <f>F297*(($H$201)+1)+(IF(G297&lt;101,G297,IF(G297&lt;201,G297/2,IF(G297&lt;=301,G297/3,G297/4))))</f>
        <v>0</v>
      </c>
      <c r="I297" s="35"/>
      <c r="N297" s="35"/>
    </row>
    <row r="298" spans="1:20" s="36" customFormat="1" hidden="1" x14ac:dyDescent="0.35">
      <c r="A298" s="127">
        <f>A297+1</f>
        <v>202</v>
      </c>
      <c r="B298" s="127"/>
      <c r="C298" s="41"/>
      <c r="D298" s="41"/>
      <c r="E298" s="53">
        <v>0</v>
      </c>
      <c r="F298" s="53">
        <f>D298+E298</f>
        <v>0</v>
      </c>
      <c r="G298" s="53">
        <v>0</v>
      </c>
      <c r="H298" s="53">
        <f>F298*(($H$201)+1)+(IF(G298&lt;101,G298,IF(G298&lt;201,G298/2,IF(G298&lt;=301,G298/3,G298/4))))</f>
        <v>0</v>
      </c>
      <c r="I298" s="35"/>
      <c r="N298" s="35"/>
    </row>
    <row r="299" spans="1:20" s="36" customFormat="1" hidden="1" x14ac:dyDescent="0.35">
      <c r="A299" s="127">
        <f>A298+1</f>
        <v>203</v>
      </c>
      <c r="B299" s="127"/>
      <c r="C299" s="41"/>
      <c r="D299" s="41"/>
      <c r="E299" s="53">
        <v>0</v>
      </c>
      <c r="F299" s="53">
        <f>D299+E299</f>
        <v>0</v>
      </c>
      <c r="G299" s="53">
        <v>0</v>
      </c>
      <c r="H299" s="53">
        <f>F299*(($H$201)+1)+(IF(G299&lt;101,G299,IF(G299&lt;201,G299/2,IF(G299&lt;=301,G299/3,G299/4))))</f>
        <v>0</v>
      </c>
      <c r="I299" s="35"/>
      <c r="N299" s="35"/>
    </row>
    <row r="300" spans="1:20" s="36" customFormat="1" hidden="1" x14ac:dyDescent="0.35">
      <c r="A300" s="127">
        <f>A299+1</f>
        <v>204</v>
      </c>
      <c r="B300" s="127"/>
      <c r="C300" s="41"/>
      <c r="D300" s="41"/>
      <c r="E300" s="53">
        <v>0</v>
      </c>
      <c r="F300" s="53">
        <f>D300+E300</f>
        <v>0</v>
      </c>
      <c r="G300" s="53">
        <v>0</v>
      </c>
      <c r="H300" s="53">
        <f>F300*(($H$201)+1)+(IF(G300&lt;101,G300,IF(G300&lt;201,G300/2,IF(G300&lt;=301,G300/3,G300/4))))</f>
        <v>0</v>
      </c>
      <c r="I300" s="35"/>
      <c r="N300" s="35"/>
    </row>
    <row r="301" spans="1:20" s="36" customFormat="1" hidden="1" x14ac:dyDescent="0.35">
      <c r="A301" s="127">
        <f>A300+1</f>
        <v>205</v>
      </c>
      <c r="B301" s="127"/>
      <c r="C301" s="41"/>
      <c r="D301" s="41"/>
      <c r="E301" s="53">
        <v>0</v>
      </c>
      <c r="F301" s="53">
        <f>D301+E301</f>
        <v>0</v>
      </c>
      <c r="G301" s="53">
        <v>0</v>
      </c>
      <c r="H301" s="53">
        <f>F301*(($H$201)+1)+(IF(G301&lt;101,G301,IF(G301&lt;201,G301/2,IF(G301&lt;=301,G301/3,G301/4))))</f>
        <v>0</v>
      </c>
      <c r="I301" s="35"/>
      <c r="N301" s="35"/>
    </row>
    <row r="302" spans="1:20" s="36" customFormat="1" ht="15.75" hidden="1" customHeight="1" x14ac:dyDescent="0.35">
      <c r="A302" s="124" t="s">
        <v>147</v>
      </c>
      <c r="B302" s="125"/>
      <c r="C302" s="125"/>
      <c r="D302" s="125"/>
      <c r="E302" s="125"/>
      <c r="F302" s="125"/>
      <c r="G302" s="125"/>
      <c r="H302" s="126"/>
      <c r="I302" s="35"/>
    </row>
    <row r="303" spans="1:20" s="36" customFormat="1" ht="15.75" hidden="1" customHeight="1" x14ac:dyDescent="0.35">
      <c r="A303" s="119" t="str">
        <f ca="1">(SUMPRODUCT(MID(0&amp;(LEFT(A302,SUM(LEN(A302)-LEN(SUBSTITUTE(A302,{"0","1","2"},""))))), LARGE(INDEX(ISNUMBER(--MID((LEFT(A302,SUM(LEN(A302)-LEN(SUBSTITUTE(A302,{"0","1","2"},""))))), ROW(INDIRECT("1:"&amp;LEN((LEFT(A302,SUM(LEN(A302)-LEN(SUBSTITUTE(A302,{"0","1","2"},"")))))))), 1)) * ROW(INDIRECT("1:"&amp;LEN((LEFT(A302,SUM(LEN(A302)-LEN(SUBSTITUTE(A302,{"0","1","2"},"")))))))), 0), ROW(INDIRECT("1:"&amp;LEN((LEFT(A302,SUM(LEN(A302)-LEN(SUBSTITUTE(A302,{"0","1","2"},"")))))))))+1, 1) * 10^ROW(INDIRECT("1:"&amp;LEN((LEFT(A302,SUM(LEN(A302)-LEN(SUBSTITUTE(A302,{"0","1","2"},""))))))))/10))*100+1&amp;""&amp;" ,.., "&amp;""&amp;(SUMPRODUCT(MID(0&amp;(--TRIM(RIGHT(SUBSTITUTE(LEFT(A302,_xlfn.AGGREGATE(16,6,FIND({0,1,2,3,4,5,6,7,8,9},A302,ROW(INDIRECT("1:"&amp;LEN(A302)))),1))," ",REPT(" ",LEN(A302))),LEN(A302)))), LARGE(INDEX(ISNUMBER(--MID((--TRIM(RIGHT(SUBSTITUTE(LEFT(A302,_xlfn.AGGREGATE(16,6,FIND({0,1,2,3,4,5,6,7,8,9},A302,ROW(INDIRECT("1:"&amp;LEN(A302)))),1))," ",REPT(" ",LEN(A302))),LEN(A302)))), ROW(INDIRECT("1:"&amp;LEN((--TRIM(RIGHT(SUBSTITUTE(LEFT(A302,_xlfn.AGGREGATE(16,6,FIND({0,1,2,3,4,5,6,7,8,9},A302,ROW(INDIRECT("1:"&amp;LEN(A302)))),1))," ",REPT(" ",LEN(A302))),LEN(A302))))))), 1)) * ROW(INDIRECT("1:"&amp;LEN((--TRIM(RIGHT(SUBSTITUTE(LEFT(A302,_xlfn.AGGREGATE(16,6,FIND({0,1,2,3,4,5,6,7,8,9},A302,ROW(INDIRECT("1:"&amp;LEN(A302)))),1))," ",REPT(" ",LEN(A302))),LEN(A302))))))), 0), ROW(INDIRECT("1:"&amp;LEN((--TRIM(RIGHT(SUBSTITUTE(LEFT(A302,_xlfn.AGGREGATE(16,6,FIND({0,1,2,3,4,5,6,7,8,9},A302,ROW(INDIRECT("1:"&amp;LEN(A302)))),1))," ",REPT(" ",LEN(A302))),LEN(A302))))))))+1, 1) * 10^ROW(INDIRECT("1:"&amp;LEN((--TRIM(RIGHT(SUBSTITUTE(LEFT(A302,_xlfn.AGGREGATE(16,6,FIND({0,1,2,3,4,5,6,7,8,9},A302,ROW(INDIRECT("1:"&amp;LEN(A302)))),1))," ",REPT(" ",LEN(A302))),LEN(A302)))))))/10))*100+1</f>
        <v>301 ,.., 1501</v>
      </c>
      <c r="B303" s="120"/>
      <c r="C303" s="41"/>
      <c r="D303" s="41"/>
      <c r="E303" s="53">
        <v>0</v>
      </c>
      <c r="F303" s="53">
        <f>D303+E303</f>
        <v>0</v>
      </c>
      <c r="G303" s="53">
        <v>0</v>
      </c>
      <c r="H303" s="53">
        <f>F303*(($H$201)+1)+(IF(G303&lt;101,G303,IF(G303&lt;201,G303/2,IF(G303&lt;=301,G303/3,G303/4))))</f>
        <v>0</v>
      </c>
      <c r="I303" s="35"/>
    </row>
    <row r="304" spans="1:20" s="36" customFormat="1" ht="15.75" hidden="1" customHeight="1" x14ac:dyDescent="0.35">
      <c r="A304" s="119" t="str">
        <f ca="1">(SUMPRODUCT(MID(0&amp;(LEFT(A303,SUM(LEN(A303)-LEN(SUBSTITUTE(A303,{"0","1","2"},""))))), LARGE(INDEX(ISNUMBER(--MID((LEFT(A303,SUM(LEN(A303)-LEN(SUBSTITUTE(A303,{"0","1","2"},""))))), ROW(INDIRECT("1:"&amp;LEN((LEFT(A303,SUM(LEN(A303)-LEN(SUBSTITUTE(A303,{"0","1","2"},"")))))))), 1)) * ROW(INDIRECT("1:"&amp;LEN((LEFT(A303,SUM(LEN(A303)-LEN(SUBSTITUTE(A303,{"0","1","2"},"")))))))), 0), ROW(INDIRECT("1:"&amp;LEN((LEFT(A303,SUM(LEN(A303)-LEN(SUBSTITUTE(A303,{"0","1","2"},"")))))))))+1, 1) * 10^ROW(INDIRECT("1:"&amp;LEN((LEFT(A303,SUM(LEN(A303)-LEN(SUBSTITUTE(A303,{"0","1","2"},""))))))))/10))*1+1&amp;""&amp;" ,.., "&amp;""&amp;(SUMPRODUCT(MID(0&amp;(--TRIM(RIGHT(SUBSTITUTE(LEFT(A303,_xlfn.AGGREGATE(16,6,FIND({0,1,2,3,4,5,6,7,8,9},A303,ROW(INDIRECT("1:"&amp;LEN(A303)))),1))," ",REPT(" ",LEN(A303))),LEN(A303)))), LARGE(INDEX(ISNUMBER(--MID((--TRIM(RIGHT(SUBSTITUTE(LEFT(A303,_xlfn.AGGREGATE(16,6,FIND({0,1,2,3,4,5,6,7,8,9},A303,ROW(INDIRECT("1:"&amp;LEN(A303)))),1))," ",REPT(" ",LEN(A303))),LEN(A303)))), ROW(INDIRECT("1:"&amp;LEN((--TRIM(RIGHT(SUBSTITUTE(LEFT(A303,_xlfn.AGGREGATE(16,6,FIND({0,1,2,3,4,5,6,7,8,9},A303,ROW(INDIRECT("1:"&amp;LEN(A303)))),1))," ",REPT(" ",LEN(A303))),LEN(A303))))))), 1)) * ROW(INDIRECT("1:"&amp;LEN((--TRIM(RIGHT(SUBSTITUTE(LEFT(A303,_xlfn.AGGREGATE(16,6,FIND({0,1,2,3,4,5,6,7,8,9},A303,ROW(INDIRECT("1:"&amp;LEN(A303)))),1))," ",REPT(" ",LEN(A303))),LEN(A303))))))), 0), ROW(INDIRECT("1:"&amp;LEN((--TRIM(RIGHT(SUBSTITUTE(LEFT(A303,_xlfn.AGGREGATE(16,6,FIND({0,1,2,3,4,5,6,7,8,9},A303,ROW(INDIRECT("1:"&amp;LEN(A303)))),1))," ",REPT(" ",LEN(A303))),LEN(A303))))))))+1, 1) * 10^ROW(INDIRECT("1:"&amp;LEN((--TRIM(RIGHT(SUBSTITUTE(LEFT(A303,_xlfn.AGGREGATE(16,6,FIND({0,1,2,3,4,5,6,7,8,9},A303,ROW(INDIRECT("1:"&amp;LEN(A303)))),1))," ",REPT(" ",LEN(A303))),LEN(A303)))))))/10))*1+1</f>
        <v>302 ,.., 1502</v>
      </c>
      <c r="B304" s="120"/>
      <c r="C304" s="41"/>
      <c r="D304" s="41"/>
      <c r="E304" s="53">
        <v>0</v>
      </c>
      <c r="F304" s="53">
        <f>D304+E304</f>
        <v>0</v>
      </c>
      <c r="G304" s="53">
        <v>0</v>
      </c>
      <c r="H304" s="53">
        <f>F304*(($H$201)+1)+(IF(G304&lt;101,G304,IF(G304&lt;201,G304/2,IF(G304&lt;=301,G304/3,G304/4))))</f>
        <v>0</v>
      </c>
      <c r="I304" s="35"/>
    </row>
    <row r="305" spans="1:20" s="36" customFormat="1" ht="15.75" hidden="1" customHeight="1" x14ac:dyDescent="0.35">
      <c r="A305" s="119" t="str">
        <f ca="1">(SUMPRODUCT(MID(0&amp;(LEFT(A304,SUM(LEN(A304)-LEN(SUBSTITUTE(A304,{"0","1","2"},""))))), LARGE(INDEX(ISNUMBER(--MID((LEFT(A304,SUM(LEN(A304)-LEN(SUBSTITUTE(A304,{"0","1","2"},""))))), ROW(INDIRECT("1:"&amp;LEN((LEFT(A304,SUM(LEN(A304)-LEN(SUBSTITUTE(A304,{"0","1","2"},"")))))))), 1)) * ROW(INDIRECT("1:"&amp;LEN((LEFT(A304,SUM(LEN(A304)-LEN(SUBSTITUTE(A304,{"0","1","2"},"")))))))), 0), ROW(INDIRECT("1:"&amp;LEN((LEFT(A304,SUM(LEN(A304)-LEN(SUBSTITUTE(A304,{"0","1","2"},"")))))))))+1, 1) * 10^ROW(INDIRECT("1:"&amp;LEN((LEFT(A304,SUM(LEN(A304)-LEN(SUBSTITUTE(A304,{"0","1","2"},""))))))))/10))*1+1&amp;""&amp;" ,.., "&amp;""&amp;(SUMPRODUCT(MID(0&amp;(--TRIM(RIGHT(SUBSTITUTE(LEFT(A304,_xlfn.AGGREGATE(16,6,FIND({0,1,2,3,4,5,6,7,8,9},A304,ROW(INDIRECT("1:"&amp;LEN(A304)))),1))," ",REPT(" ",LEN(A304))),LEN(A304)))), LARGE(INDEX(ISNUMBER(--MID((--TRIM(RIGHT(SUBSTITUTE(LEFT(A304,_xlfn.AGGREGATE(16,6,FIND({0,1,2,3,4,5,6,7,8,9},A304,ROW(INDIRECT("1:"&amp;LEN(A304)))),1))," ",REPT(" ",LEN(A304))),LEN(A304)))), ROW(INDIRECT("1:"&amp;LEN((--TRIM(RIGHT(SUBSTITUTE(LEFT(A304,_xlfn.AGGREGATE(16,6,FIND({0,1,2,3,4,5,6,7,8,9},A304,ROW(INDIRECT("1:"&amp;LEN(A304)))),1))," ",REPT(" ",LEN(A304))),LEN(A304))))))), 1)) * ROW(INDIRECT("1:"&amp;LEN((--TRIM(RIGHT(SUBSTITUTE(LEFT(A304,_xlfn.AGGREGATE(16,6,FIND({0,1,2,3,4,5,6,7,8,9},A304,ROW(INDIRECT("1:"&amp;LEN(A304)))),1))," ",REPT(" ",LEN(A304))),LEN(A304))))))), 0), ROW(INDIRECT("1:"&amp;LEN((--TRIM(RIGHT(SUBSTITUTE(LEFT(A304,_xlfn.AGGREGATE(16,6,FIND({0,1,2,3,4,5,6,7,8,9},A304,ROW(INDIRECT("1:"&amp;LEN(A304)))),1))," ",REPT(" ",LEN(A304))),LEN(A304))))))))+1, 1) * 10^ROW(INDIRECT("1:"&amp;LEN((--TRIM(RIGHT(SUBSTITUTE(LEFT(A304,_xlfn.AGGREGATE(16,6,FIND({0,1,2,3,4,5,6,7,8,9},A304,ROW(INDIRECT("1:"&amp;LEN(A304)))),1))," ",REPT(" ",LEN(A304))),LEN(A304)))))))/10))*1+1</f>
        <v>303 ,.., 1503</v>
      </c>
      <c r="B305" s="120"/>
      <c r="C305" s="41"/>
      <c r="D305" s="41"/>
      <c r="E305" s="53">
        <v>0</v>
      </c>
      <c r="F305" s="53">
        <f>D305+E305</f>
        <v>0</v>
      </c>
      <c r="G305" s="53">
        <v>0</v>
      </c>
      <c r="H305" s="53">
        <f>F305*(($H$201)+1)+(IF(G305&lt;101,G305,IF(G305&lt;201,G305/2,IF(G305&lt;=301,G305/3,G305/4))))</f>
        <v>0</v>
      </c>
      <c r="I305" s="35"/>
    </row>
    <row r="306" spans="1:20" s="36" customFormat="1" ht="15.75" hidden="1" customHeight="1" x14ac:dyDescent="0.35">
      <c r="A306" s="119" t="str">
        <f ca="1">(SUMPRODUCT(MID(0&amp;(LEFT(A305,SUM(LEN(A305)-LEN(SUBSTITUTE(A305,{"0","1","2"},""))))), LARGE(INDEX(ISNUMBER(--MID((LEFT(A305,SUM(LEN(A305)-LEN(SUBSTITUTE(A305,{"0","1","2"},""))))), ROW(INDIRECT("1:"&amp;LEN((LEFT(A305,SUM(LEN(A305)-LEN(SUBSTITUTE(A305,{"0","1","2"},"")))))))), 1)) * ROW(INDIRECT("1:"&amp;LEN((LEFT(A305,SUM(LEN(A305)-LEN(SUBSTITUTE(A305,{"0","1","2"},"")))))))), 0), ROW(INDIRECT("1:"&amp;LEN((LEFT(A305,SUM(LEN(A305)-LEN(SUBSTITUTE(A305,{"0","1","2"},"")))))))))+1, 1) * 10^ROW(INDIRECT("1:"&amp;LEN((LEFT(A305,SUM(LEN(A305)-LEN(SUBSTITUTE(A305,{"0","1","2"},""))))))))/10))*1+1&amp;""&amp;" ,.., "&amp;""&amp;(SUMPRODUCT(MID(0&amp;(--TRIM(RIGHT(SUBSTITUTE(LEFT(A305,_xlfn.AGGREGATE(16,6,FIND({0,1,2,3,4,5,6,7,8,9},A305,ROW(INDIRECT("1:"&amp;LEN(A305)))),1))," ",REPT(" ",LEN(A305))),LEN(A305)))), LARGE(INDEX(ISNUMBER(--MID((--TRIM(RIGHT(SUBSTITUTE(LEFT(A305,_xlfn.AGGREGATE(16,6,FIND({0,1,2,3,4,5,6,7,8,9},A305,ROW(INDIRECT("1:"&amp;LEN(A305)))),1))," ",REPT(" ",LEN(A305))),LEN(A305)))), ROW(INDIRECT("1:"&amp;LEN((--TRIM(RIGHT(SUBSTITUTE(LEFT(A305,_xlfn.AGGREGATE(16,6,FIND({0,1,2,3,4,5,6,7,8,9},A305,ROW(INDIRECT("1:"&amp;LEN(A305)))),1))," ",REPT(" ",LEN(A305))),LEN(A305))))))), 1)) * ROW(INDIRECT("1:"&amp;LEN((--TRIM(RIGHT(SUBSTITUTE(LEFT(A305,_xlfn.AGGREGATE(16,6,FIND({0,1,2,3,4,5,6,7,8,9},A305,ROW(INDIRECT("1:"&amp;LEN(A305)))),1))," ",REPT(" ",LEN(A305))),LEN(A305))))))), 0), ROW(INDIRECT("1:"&amp;LEN((--TRIM(RIGHT(SUBSTITUTE(LEFT(A305,_xlfn.AGGREGATE(16,6,FIND({0,1,2,3,4,5,6,7,8,9},A305,ROW(INDIRECT("1:"&amp;LEN(A305)))),1))," ",REPT(" ",LEN(A305))),LEN(A305))))))))+1, 1) * 10^ROW(INDIRECT("1:"&amp;LEN((--TRIM(RIGHT(SUBSTITUTE(LEFT(A305,_xlfn.AGGREGATE(16,6,FIND({0,1,2,3,4,5,6,7,8,9},A305,ROW(INDIRECT("1:"&amp;LEN(A305)))),1))," ",REPT(" ",LEN(A305))),LEN(A305)))))))/10))*1+1</f>
        <v>304 ,.., 1504</v>
      </c>
      <c r="B306" s="120"/>
      <c r="C306" s="41"/>
      <c r="D306" s="41"/>
      <c r="E306" s="53">
        <v>0</v>
      </c>
      <c r="F306" s="53">
        <f>D306+E306</f>
        <v>0</v>
      </c>
      <c r="G306" s="53">
        <v>0</v>
      </c>
      <c r="H306" s="53">
        <f>F306*(($H$201)+1)+(IF(G306&lt;101,G306,IF(G306&lt;201,G306/2,IF(G306&lt;=301,G306/3,G306/4))))</f>
        <v>0</v>
      </c>
      <c r="I306" s="35"/>
    </row>
    <row r="307" spans="1:20" s="36" customFormat="1" ht="15.75" hidden="1" customHeight="1" x14ac:dyDescent="0.35">
      <c r="A307" s="119" t="str">
        <f ca="1">(SUMPRODUCT(MID(0&amp;(LEFT(A306,SUM(LEN(A306)-LEN(SUBSTITUTE(A306,{"0","1","2"},""))))), LARGE(INDEX(ISNUMBER(--MID((LEFT(A306,SUM(LEN(A306)-LEN(SUBSTITUTE(A306,{"0","1","2"},""))))), ROW(INDIRECT("1:"&amp;LEN((LEFT(A306,SUM(LEN(A306)-LEN(SUBSTITUTE(A306,{"0","1","2"},"")))))))), 1)) * ROW(INDIRECT("1:"&amp;LEN((LEFT(A306,SUM(LEN(A306)-LEN(SUBSTITUTE(A306,{"0","1","2"},"")))))))), 0), ROW(INDIRECT("1:"&amp;LEN((LEFT(A306,SUM(LEN(A306)-LEN(SUBSTITUTE(A306,{"0","1","2"},"")))))))))+1, 1) * 10^ROW(INDIRECT("1:"&amp;LEN((LEFT(A306,SUM(LEN(A306)-LEN(SUBSTITUTE(A306,{"0","1","2"},""))))))))/10))*1+1&amp;""&amp;" ,.., "&amp;""&amp;(SUMPRODUCT(MID(0&amp;(--TRIM(RIGHT(SUBSTITUTE(LEFT(A306,_xlfn.AGGREGATE(16,6,FIND({0,1,2,3,4,5,6,7,8,9},A306,ROW(INDIRECT("1:"&amp;LEN(A306)))),1))," ",REPT(" ",LEN(A306))),LEN(A306)))), LARGE(INDEX(ISNUMBER(--MID((--TRIM(RIGHT(SUBSTITUTE(LEFT(A306,_xlfn.AGGREGATE(16,6,FIND({0,1,2,3,4,5,6,7,8,9},A306,ROW(INDIRECT("1:"&amp;LEN(A306)))),1))," ",REPT(" ",LEN(A306))),LEN(A306)))), ROW(INDIRECT("1:"&amp;LEN((--TRIM(RIGHT(SUBSTITUTE(LEFT(A306,_xlfn.AGGREGATE(16,6,FIND({0,1,2,3,4,5,6,7,8,9},A306,ROW(INDIRECT("1:"&amp;LEN(A306)))),1))," ",REPT(" ",LEN(A306))),LEN(A306))))))), 1)) * ROW(INDIRECT("1:"&amp;LEN((--TRIM(RIGHT(SUBSTITUTE(LEFT(A306,_xlfn.AGGREGATE(16,6,FIND({0,1,2,3,4,5,6,7,8,9},A306,ROW(INDIRECT("1:"&amp;LEN(A306)))),1))," ",REPT(" ",LEN(A306))),LEN(A306))))))), 0), ROW(INDIRECT("1:"&amp;LEN((--TRIM(RIGHT(SUBSTITUTE(LEFT(A306,_xlfn.AGGREGATE(16,6,FIND({0,1,2,3,4,5,6,7,8,9},A306,ROW(INDIRECT("1:"&amp;LEN(A306)))),1))," ",REPT(" ",LEN(A306))),LEN(A306))))))))+1, 1) * 10^ROW(INDIRECT("1:"&amp;LEN((--TRIM(RIGHT(SUBSTITUTE(LEFT(A306,_xlfn.AGGREGATE(16,6,FIND({0,1,2,3,4,5,6,7,8,9},A306,ROW(INDIRECT("1:"&amp;LEN(A306)))),1))," ",REPT(" ",LEN(A306))),LEN(A306)))))))/10))*1+1</f>
        <v>305 ,.., 1505</v>
      </c>
      <c r="B307" s="120"/>
      <c r="C307" s="41"/>
      <c r="D307" s="41"/>
      <c r="E307" s="53">
        <v>0</v>
      </c>
      <c r="F307" s="53">
        <f>D307+E307</f>
        <v>0</v>
      </c>
      <c r="G307" s="53">
        <v>0</v>
      </c>
      <c r="H307" s="53">
        <f>F307*(($H$201)+1)+(IF(G307&lt;101,G307,IF(G307&lt;201,G307/2,IF(G307&lt;=301,G307/3,G307/4))))</f>
        <v>0</v>
      </c>
      <c r="I307" s="35"/>
    </row>
    <row r="308" spans="1:20" s="36" customFormat="1" hidden="1" x14ac:dyDescent="0.35">
      <c r="A308" s="124" t="s">
        <v>141</v>
      </c>
      <c r="B308" s="125"/>
      <c r="C308" s="125"/>
      <c r="D308" s="125"/>
      <c r="E308" s="125"/>
      <c r="F308" s="125"/>
      <c r="G308" s="125"/>
      <c r="H308" s="126"/>
      <c r="I308" s="35"/>
    </row>
    <row r="309" spans="1:20" s="36" customFormat="1" ht="15.75" hidden="1" customHeight="1" x14ac:dyDescent="0.35">
      <c r="A309" s="119" t="str">
        <f ca="1">(SUMPRODUCT(MID(0&amp;(LEFT(A308,SUM(LEN(A308)-LEN(SUBSTITUTE(A308,{"0","1","2"},""))))), LARGE(INDEX(ISNUMBER(--MID((LEFT(A308,SUM(LEN(A308)-LEN(SUBSTITUTE(A308,{"0","1","2"},""))))), ROW(INDIRECT("1:"&amp;LEN((LEFT(A308,SUM(LEN(A308)-LEN(SUBSTITUTE(A308,{"0","1","2"},"")))))))), 1)) * ROW(INDIRECT("1:"&amp;LEN((LEFT(A308,SUM(LEN(A308)-LEN(SUBSTITUTE(A308,{"0","1","2"},"")))))))), 0), ROW(INDIRECT("1:"&amp;LEN((LEFT(A308,SUM(LEN(A308)-LEN(SUBSTITUTE(A308,{"0","1","2"},"")))))))))+1, 1) * 10^ROW(INDIRECT("1:"&amp;LEN((LEFT(A308,SUM(LEN(A308)-LEN(SUBSTITUTE(A308,{"0","1","2"},""))))))))/10))*100+1&amp;""&amp;" to "&amp;""&amp;(SUMPRODUCT(MID(0&amp;(--TRIM(RIGHT(SUBSTITUTE(LEFT(A308,_xlfn.AGGREGATE(16,6,FIND({0,1,2,3,4,5,6,7,8,9},A308,ROW(INDIRECT("1:"&amp;LEN(A308)))),1))," ",REPT(" ",LEN(A308))),LEN(A308)))), LARGE(INDEX(ISNUMBER(--MID((--TRIM(RIGHT(SUBSTITUTE(LEFT(A308,_xlfn.AGGREGATE(16,6,FIND({0,1,2,3,4,5,6,7,8,9},A308,ROW(INDIRECT("1:"&amp;LEN(A308)))),1))," ",REPT(" ",LEN(A308))),LEN(A308)))), ROW(INDIRECT("1:"&amp;LEN((--TRIM(RIGHT(SUBSTITUTE(LEFT(A308,_xlfn.AGGREGATE(16,6,FIND({0,1,2,3,4,5,6,7,8,9},A308,ROW(INDIRECT("1:"&amp;LEN(A308)))),1))," ",REPT(" ",LEN(A308))),LEN(A308))))))), 1)) * ROW(INDIRECT("1:"&amp;LEN((--TRIM(RIGHT(SUBSTITUTE(LEFT(A308,_xlfn.AGGREGATE(16,6,FIND({0,1,2,3,4,5,6,7,8,9},A308,ROW(INDIRECT("1:"&amp;LEN(A308)))),1))," ",REPT(" ",LEN(A308))),LEN(A308))))))), 0), ROW(INDIRECT("1:"&amp;LEN((--TRIM(RIGHT(SUBSTITUTE(LEFT(A308,_xlfn.AGGREGATE(16,6,FIND({0,1,2,3,4,5,6,7,8,9},A308,ROW(INDIRECT("1:"&amp;LEN(A308)))),1))," ",REPT(" ",LEN(A308))),LEN(A308))))))))+1, 1) * 10^ROW(INDIRECT("1:"&amp;LEN((--TRIM(RIGHT(SUBSTITUTE(LEFT(A308,_xlfn.AGGREGATE(16,6,FIND({0,1,2,3,4,5,6,7,8,9},A308,ROW(INDIRECT("1:"&amp;LEN(A308)))),1))," ",REPT(" ",LEN(A308))),LEN(A308)))))))/10))*100+1</f>
        <v>201 to 501</v>
      </c>
      <c r="B309" s="120"/>
      <c r="C309" s="41"/>
      <c r="D309" s="41"/>
      <c r="E309" s="53">
        <v>0</v>
      </c>
      <c r="F309" s="53">
        <f>D309+E309</f>
        <v>0</v>
      </c>
      <c r="G309" s="53">
        <v>0</v>
      </c>
      <c r="H309" s="53">
        <f>F309*(($H$201)+1)+(IF(G309&lt;101,G309,IF(G309&lt;201,G309/2,IF(G309&lt;=301,G309/3,G309/4))))</f>
        <v>0</v>
      </c>
      <c r="I309" s="35"/>
    </row>
    <row r="310" spans="1:20" s="36" customFormat="1" ht="15.75" hidden="1" customHeight="1" x14ac:dyDescent="0.35">
      <c r="A310" s="119" t="str">
        <f ca="1">(SUMPRODUCT(MID(0&amp;(LEFT(A309,SUM(LEN(A309)-LEN(SUBSTITUTE(A309,{"0","1","2"},""))))), LARGE(INDEX(ISNUMBER(--MID((LEFT(A309,SUM(LEN(A309)-LEN(SUBSTITUTE(A309,{"0","1","2"},""))))), ROW(INDIRECT("1:"&amp;LEN((LEFT(A309,SUM(LEN(A309)-LEN(SUBSTITUTE(A309,{"0","1","2"},"")))))))), 1)) * ROW(INDIRECT("1:"&amp;LEN((LEFT(A309,SUM(LEN(A309)-LEN(SUBSTITUTE(A309,{"0","1","2"},"")))))))), 0), ROW(INDIRECT("1:"&amp;LEN((LEFT(A309,SUM(LEN(A309)-LEN(SUBSTITUTE(A309,{"0","1","2"},"")))))))))+1, 1) * 10^ROW(INDIRECT("1:"&amp;LEN((LEFT(A309,SUM(LEN(A309)-LEN(SUBSTITUTE(A309,{"0","1","2"},""))))))))/10))*1+1&amp;""&amp;" to "&amp;""&amp;(SUMPRODUCT(MID(0&amp;(--TRIM(RIGHT(SUBSTITUTE(LEFT(A309,_xlfn.AGGREGATE(16,6,FIND({0,1,2,3,4,5,6,7,8,9},A309,ROW(INDIRECT("1:"&amp;LEN(A309)))),1))," ",REPT(" ",LEN(A309))),LEN(A309)))), LARGE(INDEX(ISNUMBER(--MID((--TRIM(RIGHT(SUBSTITUTE(LEFT(A309,_xlfn.AGGREGATE(16,6,FIND({0,1,2,3,4,5,6,7,8,9},A309,ROW(INDIRECT("1:"&amp;LEN(A309)))),1))," ",REPT(" ",LEN(A309))),LEN(A309)))), ROW(INDIRECT("1:"&amp;LEN((--TRIM(RIGHT(SUBSTITUTE(LEFT(A309,_xlfn.AGGREGATE(16,6,FIND({0,1,2,3,4,5,6,7,8,9},A309,ROW(INDIRECT("1:"&amp;LEN(A309)))),1))," ",REPT(" ",LEN(A309))),LEN(A309))))))), 1)) * ROW(INDIRECT("1:"&amp;LEN((--TRIM(RIGHT(SUBSTITUTE(LEFT(A309,_xlfn.AGGREGATE(16,6,FIND({0,1,2,3,4,5,6,7,8,9},A309,ROW(INDIRECT("1:"&amp;LEN(A309)))),1))," ",REPT(" ",LEN(A309))),LEN(A309))))))), 0), ROW(INDIRECT("1:"&amp;LEN((--TRIM(RIGHT(SUBSTITUTE(LEFT(A309,_xlfn.AGGREGATE(16,6,FIND({0,1,2,3,4,5,6,7,8,9},A309,ROW(INDIRECT("1:"&amp;LEN(A309)))),1))," ",REPT(" ",LEN(A309))),LEN(A309))))))))+1, 1) * 10^ROW(INDIRECT("1:"&amp;LEN((--TRIM(RIGHT(SUBSTITUTE(LEFT(A309,_xlfn.AGGREGATE(16,6,FIND({0,1,2,3,4,5,6,7,8,9},A309,ROW(INDIRECT("1:"&amp;LEN(A309)))),1))," ",REPT(" ",LEN(A309))),LEN(A309)))))))/10))*1+1</f>
        <v>202 to 502</v>
      </c>
      <c r="B310" s="120"/>
      <c r="C310" s="41"/>
      <c r="D310" s="41"/>
      <c r="E310" s="53">
        <v>0</v>
      </c>
      <c r="F310" s="53">
        <f>D310+E310</f>
        <v>0</v>
      </c>
      <c r="G310" s="53">
        <v>0</v>
      </c>
      <c r="H310" s="53">
        <f>F310*(($H$201)+1)+(IF(G310&lt;101,G310,IF(G310&lt;201,G310/2,IF(G310&lt;=301,G310/3,G310/4))))</f>
        <v>0</v>
      </c>
      <c r="I310" s="35"/>
    </row>
    <row r="311" spans="1:20" s="36" customFormat="1" ht="15.75" hidden="1" customHeight="1" x14ac:dyDescent="0.35">
      <c r="A311" s="119" t="str">
        <f ca="1">(SUMPRODUCT(MID(0&amp;(LEFT(A310,SUM(LEN(A310)-LEN(SUBSTITUTE(A310,{"0","1","2"},""))))), LARGE(INDEX(ISNUMBER(--MID((LEFT(A310,SUM(LEN(A310)-LEN(SUBSTITUTE(A310,{"0","1","2"},""))))), ROW(INDIRECT("1:"&amp;LEN((LEFT(A310,SUM(LEN(A310)-LEN(SUBSTITUTE(A310,{"0","1","2"},"")))))))), 1)) * ROW(INDIRECT("1:"&amp;LEN((LEFT(A310,SUM(LEN(A310)-LEN(SUBSTITUTE(A310,{"0","1","2"},"")))))))), 0), ROW(INDIRECT("1:"&amp;LEN((LEFT(A310,SUM(LEN(A310)-LEN(SUBSTITUTE(A310,{"0","1","2"},"")))))))))+1, 1) * 10^ROW(INDIRECT("1:"&amp;LEN((LEFT(A310,SUM(LEN(A310)-LEN(SUBSTITUTE(A310,{"0","1","2"},""))))))))/10))*1+1&amp;""&amp;" to "&amp;""&amp;(SUMPRODUCT(MID(0&amp;(--TRIM(RIGHT(SUBSTITUTE(LEFT(A310,_xlfn.AGGREGATE(16,6,FIND({0,1,2,3,4,5,6,7,8,9},A310,ROW(INDIRECT("1:"&amp;LEN(A310)))),1))," ",REPT(" ",LEN(A310))),LEN(A310)))), LARGE(INDEX(ISNUMBER(--MID((--TRIM(RIGHT(SUBSTITUTE(LEFT(A310,_xlfn.AGGREGATE(16,6,FIND({0,1,2,3,4,5,6,7,8,9},A310,ROW(INDIRECT("1:"&amp;LEN(A310)))),1))," ",REPT(" ",LEN(A310))),LEN(A310)))), ROW(INDIRECT("1:"&amp;LEN((--TRIM(RIGHT(SUBSTITUTE(LEFT(A310,_xlfn.AGGREGATE(16,6,FIND({0,1,2,3,4,5,6,7,8,9},A310,ROW(INDIRECT("1:"&amp;LEN(A310)))),1))," ",REPT(" ",LEN(A310))),LEN(A310))))))), 1)) * ROW(INDIRECT("1:"&amp;LEN((--TRIM(RIGHT(SUBSTITUTE(LEFT(A310,_xlfn.AGGREGATE(16,6,FIND({0,1,2,3,4,5,6,7,8,9},A310,ROW(INDIRECT("1:"&amp;LEN(A310)))),1))," ",REPT(" ",LEN(A310))),LEN(A310))))))), 0), ROW(INDIRECT("1:"&amp;LEN((--TRIM(RIGHT(SUBSTITUTE(LEFT(A310,_xlfn.AGGREGATE(16,6,FIND({0,1,2,3,4,5,6,7,8,9},A310,ROW(INDIRECT("1:"&amp;LEN(A310)))),1))," ",REPT(" ",LEN(A310))),LEN(A310))))))))+1, 1) * 10^ROW(INDIRECT("1:"&amp;LEN((--TRIM(RIGHT(SUBSTITUTE(LEFT(A310,_xlfn.AGGREGATE(16,6,FIND({0,1,2,3,4,5,6,7,8,9},A310,ROW(INDIRECT("1:"&amp;LEN(A310)))),1))," ",REPT(" ",LEN(A310))),LEN(A310)))))))/10))*1+1</f>
        <v>203 to 503</v>
      </c>
      <c r="B311" s="120"/>
      <c r="C311" s="41"/>
      <c r="D311" s="41"/>
      <c r="E311" s="53">
        <v>0</v>
      </c>
      <c r="F311" s="53">
        <f>D311+E311</f>
        <v>0</v>
      </c>
      <c r="G311" s="53">
        <v>0</v>
      </c>
      <c r="H311" s="53">
        <f>F311*(($H$201)+1)+(IF(G311&lt;101,G311,IF(G311&lt;201,G311/2,IF(G311&lt;=301,G311/3,G311/4))))</f>
        <v>0</v>
      </c>
      <c r="I311" s="35"/>
    </row>
    <row r="312" spans="1:20" s="36" customFormat="1" ht="15.75" hidden="1" customHeight="1" x14ac:dyDescent="0.35">
      <c r="A312" s="119" t="str">
        <f ca="1">(SUMPRODUCT(MID(0&amp;(LEFT(A311,SUM(LEN(A311)-LEN(SUBSTITUTE(A311,{"0","1","2"},""))))), LARGE(INDEX(ISNUMBER(--MID((LEFT(A311,SUM(LEN(A311)-LEN(SUBSTITUTE(A311,{"0","1","2"},""))))), ROW(INDIRECT("1:"&amp;LEN((LEFT(A311,SUM(LEN(A311)-LEN(SUBSTITUTE(A311,{"0","1","2"},"")))))))), 1)) * ROW(INDIRECT("1:"&amp;LEN((LEFT(A311,SUM(LEN(A311)-LEN(SUBSTITUTE(A311,{"0","1","2"},"")))))))), 0), ROW(INDIRECT("1:"&amp;LEN((LEFT(A311,SUM(LEN(A311)-LEN(SUBSTITUTE(A311,{"0","1","2"},"")))))))))+1, 1) * 10^ROW(INDIRECT("1:"&amp;LEN((LEFT(A311,SUM(LEN(A311)-LEN(SUBSTITUTE(A311,{"0","1","2"},""))))))))/10))*1+1&amp;""&amp;" to "&amp;""&amp;(SUMPRODUCT(MID(0&amp;(--TRIM(RIGHT(SUBSTITUTE(LEFT(A311,_xlfn.AGGREGATE(16,6,FIND({0,1,2,3,4,5,6,7,8,9},A311,ROW(INDIRECT("1:"&amp;LEN(A311)))),1))," ",REPT(" ",LEN(A311))),LEN(A311)))), LARGE(INDEX(ISNUMBER(--MID((--TRIM(RIGHT(SUBSTITUTE(LEFT(A311,_xlfn.AGGREGATE(16,6,FIND({0,1,2,3,4,5,6,7,8,9},A311,ROW(INDIRECT("1:"&amp;LEN(A311)))),1))," ",REPT(" ",LEN(A311))),LEN(A311)))), ROW(INDIRECT("1:"&amp;LEN((--TRIM(RIGHT(SUBSTITUTE(LEFT(A311,_xlfn.AGGREGATE(16,6,FIND({0,1,2,3,4,5,6,7,8,9},A311,ROW(INDIRECT("1:"&amp;LEN(A311)))),1))," ",REPT(" ",LEN(A311))),LEN(A311))))))), 1)) * ROW(INDIRECT("1:"&amp;LEN((--TRIM(RIGHT(SUBSTITUTE(LEFT(A311,_xlfn.AGGREGATE(16,6,FIND({0,1,2,3,4,5,6,7,8,9},A311,ROW(INDIRECT("1:"&amp;LEN(A311)))),1))," ",REPT(" ",LEN(A311))),LEN(A311))))))), 0), ROW(INDIRECT("1:"&amp;LEN((--TRIM(RIGHT(SUBSTITUTE(LEFT(A311,_xlfn.AGGREGATE(16,6,FIND({0,1,2,3,4,5,6,7,8,9},A311,ROW(INDIRECT("1:"&amp;LEN(A311)))),1))," ",REPT(" ",LEN(A311))),LEN(A311))))))))+1, 1) * 10^ROW(INDIRECT("1:"&amp;LEN((--TRIM(RIGHT(SUBSTITUTE(LEFT(A311,_xlfn.AGGREGATE(16,6,FIND({0,1,2,3,4,5,6,7,8,9},A311,ROW(INDIRECT("1:"&amp;LEN(A311)))),1))," ",REPT(" ",LEN(A311))),LEN(A311)))))))/10))*1+1</f>
        <v>204 to 504</v>
      </c>
      <c r="B312" s="120"/>
      <c r="C312" s="41"/>
      <c r="D312" s="41"/>
      <c r="E312" s="53">
        <v>0</v>
      </c>
      <c r="F312" s="53">
        <f>D312+E312</f>
        <v>0</v>
      </c>
      <c r="G312" s="53">
        <v>0</v>
      </c>
      <c r="H312" s="53">
        <f>F312*(($H$201)+1)+(IF(G312&lt;101,G312,IF(G312&lt;201,G312/2,IF(G312&lt;=301,G312/3,G312/4))))</f>
        <v>0</v>
      </c>
      <c r="I312" s="35"/>
    </row>
    <row r="313" spans="1:20" s="36" customFormat="1" ht="15.75" hidden="1" customHeight="1" x14ac:dyDescent="0.35">
      <c r="A313" s="119" t="str">
        <f ca="1">(SUMPRODUCT(MID(0&amp;(LEFT(A312,SUM(LEN(A312)-LEN(SUBSTITUTE(A312,{"0","1","2"},""))))), LARGE(INDEX(ISNUMBER(--MID((LEFT(A312,SUM(LEN(A312)-LEN(SUBSTITUTE(A312,{"0","1","2"},""))))), ROW(INDIRECT("1:"&amp;LEN((LEFT(A312,SUM(LEN(A312)-LEN(SUBSTITUTE(A312,{"0","1","2"},"")))))))), 1)) * ROW(INDIRECT("1:"&amp;LEN((LEFT(A312,SUM(LEN(A312)-LEN(SUBSTITUTE(A312,{"0","1","2"},"")))))))), 0), ROW(INDIRECT("1:"&amp;LEN((LEFT(A312,SUM(LEN(A312)-LEN(SUBSTITUTE(A312,{"0","1","2"},"")))))))))+1, 1) * 10^ROW(INDIRECT("1:"&amp;LEN((LEFT(A312,SUM(LEN(A312)-LEN(SUBSTITUTE(A312,{"0","1","2"},""))))))))/10))*1+1&amp;""&amp;" to "&amp;""&amp;(SUMPRODUCT(MID(0&amp;(--TRIM(RIGHT(SUBSTITUTE(LEFT(A312,_xlfn.AGGREGATE(16,6,FIND({0,1,2,3,4,5,6,7,8,9},A312,ROW(INDIRECT("1:"&amp;LEN(A312)))),1))," ",REPT(" ",LEN(A312))),LEN(A312)))), LARGE(INDEX(ISNUMBER(--MID((--TRIM(RIGHT(SUBSTITUTE(LEFT(A312,_xlfn.AGGREGATE(16,6,FIND({0,1,2,3,4,5,6,7,8,9},A312,ROW(INDIRECT("1:"&amp;LEN(A312)))),1))," ",REPT(" ",LEN(A312))),LEN(A312)))), ROW(INDIRECT("1:"&amp;LEN((--TRIM(RIGHT(SUBSTITUTE(LEFT(A312,_xlfn.AGGREGATE(16,6,FIND({0,1,2,3,4,5,6,7,8,9},A312,ROW(INDIRECT("1:"&amp;LEN(A312)))),1))," ",REPT(" ",LEN(A312))),LEN(A312))))))), 1)) * ROW(INDIRECT("1:"&amp;LEN((--TRIM(RIGHT(SUBSTITUTE(LEFT(A312,_xlfn.AGGREGATE(16,6,FIND({0,1,2,3,4,5,6,7,8,9},A312,ROW(INDIRECT("1:"&amp;LEN(A312)))),1))," ",REPT(" ",LEN(A312))),LEN(A312))))))), 0), ROW(INDIRECT("1:"&amp;LEN((--TRIM(RIGHT(SUBSTITUTE(LEFT(A312,_xlfn.AGGREGATE(16,6,FIND({0,1,2,3,4,5,6,7,8,9},A312,ROW(INDIRECT("1:"&amp;LEN(A312)))),1))," ",REPT(" ",LEN(A312))),LEN(A312))))))))+1, 1) * 10^ROW(INDIRECT("1:"&amp;LEN((--TRIM(RIGHT(SUBSTITUTE(LEFT(A312,_xlfn.AGGREGATE(16,6,FIND({0,1,2,3,4,5,6,7,8,9},A312,ROW(INDIRECT("1:"&amp;LEN(A312)))),1))," ",REPT(" ",LEN(A312))),LEN(A312)))))))/10))*1+1</f>
        <v>205 to 505</v>
      </c>
      <c r="B313" s="120"/>
      <c r="C313" s="41"/>
      <c r="D313" s="41"/>
      <c r="E313" s="53">
        <v>0</v>
      </c>
      <c r="F313" s="53">
        <f>D313+E313</f>
        <v>0</v>
      </c>
      <c r="G313" s="53">
        <v>0</v>
      </c>
      <c r="H313" s="53">
        <f>F313*(($H$201)+1)+(IF(G313&lt;101,G313,IF(G313&lt;201,G313/2,IF(G313&lt;=301,G313/3,G313/4))))</f>
        <v>0</v>
      </c>
      <c r="I313" s="35"/>
    </row>
    <row r="314" spans="1:20" s="36" customFormat="1" hidden="1" x14ac:dyDescent="0.35">
      <c r="A314" s="124" t="s">
        <v>142</v>
      </c>
      <c r="B314" s="125"/>
      <c r="C314" s="125"/>
      <c r="D314" s="125"/>
      <c r="E314" s="125"/>
      <c r="F314" s="125"/>
      <c r="G314" s="125"/>
      <c r="H314" s="126"/>
      <c r="I314" s="35"/>
    </row>
    <row r="315" spans="1:20" s="36" customFormat="1" ht="15.75" hidden="1" customHeight="1" x14ac:dyDescent="0.35">
      <c r="A315" s="119" t="str">
        <f ca="1">(SUMPRODUCT(MID(0&amp;(LEFT(A314,SUM(LEN(A314)-LEN(SUBSTITUTE(A314,{"0","1","2"},""))))), LARGE(INDEX(ISNUMBER(--MID((LEFT(A314,SUM(LEN(A314)-LEN(SUBSTITUTE(A314,{"0","1","2"},""))))), ROW(INDIRECT("1:"&amp;LEN((LEFT(A314,SUM(LEN(A314)-LEN(SUBSTITUTE(A314,{"0","1","2"},"")))))))), 1)) * ROW(INDIRECT("1:"&amp;LEN((LEFT(A314,SUM(LEN(A314)-LEN(SUBSTITUTE(A314,{"0","1","2"},"")))))))), 0), ROW(INDIRECT("1:"&amp;LEN((LEFT(A314,SUM(LEN(A314)-LEN(SUBSTITUTE(A314,{"0","1","2"},"")))))))))+1, 1) * 10^ROW(INDIRECT("1:"&amp;LEN((LEFT(A314,SUM(LEN(A314)-LEN(SUBSTITUTE(A314,{"0","1","2"},""))))))))/10))*100+1&amp;""&amp;" &amp; "&amp;""&amp;(SUMPRODUCT(MID(0&amp;(--TRIM(RIGHT(SUBSTITUTE(LEFT(A314,_xlfn.AGGREGATE(16,6,FIND({0,1,2,3,4,5,6,7,8,9},A314,ROW(INDIRECT("1:"&amp;LEN(A314)))),1))," ",REPT(" ",LEN(A314))),LEN(A314)))), LARGE(INDEX(ISNUMBER(--MID((--TRIM(RIGHT(SUBSTITUTE(LEFT(A314,_xlfn.AGGREGATE(16,6,FIND({0,1,2,3,4,5,6,7,8,9},A314,ROW(INDIRECT("1:"&amp;LEN(A314)))),1))," ",REPT(" ",LEN(A314))),LEN(A314)))), ROW(INDIRECT("1:"&amp;LEN((--TRIM(RIGHT(SUBSTITUTE(LEFT(A314,_xlfn.AGGREGATE(16,6,FIND({0,1,2,3,4,5,6,7,8,9},A314,ROW(INDIRECT("1:"&amp;LEN(A314)))),1))," ",REPT(" ",LEN(A314))),LEN(A314))))))), 1)) * ROW(INDIRECT("1:"&amp;LEN((--TRIM(RIGHT(SUBSTITUTE(LEFT(A314,_xlfn.AGGREGATE(16,6,FIND({0,1,2,3,4,5,6,7,8,9},A314,ROW(INDIRECT("1:"&amp;LEN(A314)))),1))," ",REPT(" ",LEN(A314))),LEN(A314))))))), 0), ROW(INDIRECT("1:"&amp;LEN((--TRIM(RIGHT(SUBSTITUTE(LEFT(A314,_xlfn.AGGREGATE(16,6,FIND({0,1,2,3,4,5,6,7,8,9},A314,ROW(INDIRECT("1:"&amp;LEN(A314)))),1))," ",REPT(" ",LEN(A314))),LEN(A314))))))))+1, 1) * 10^ROW(INDIRECT("1:"&amp;LEN((--TRIM(RIGHT(SUBSTITUTE(LEFT(A314,_xlfn.AGGREGATE(16,6,FIND({0,1,2,3,4,5,6,7,8,9},A314,ROW(INDIRECT("1:"&amp;LEN(A314)))),1))," ",REPT(" ",LEN(A314))),LEN(A314)))))))/10))*100+1</f>
        <v>201 &amp; 501</v>
      </c>
      <c r="B315" s="120"/>
      <c r="C315" s="41"/>
      <c r="D315" s="41"/>
      <c r="E315" s="53">
        <v>0</v>
      </c>
      <c r="F315" s="53">
        <f>D315+E315</f>
        <v>0</v>
      </c>
      <c r="G315" s="53">
        <v>0</v>
      </c>
      <c r="H315" s="53">
        <f>F315*(($H$201)+1)+(IF(G315&lt;101,G315,IF(G315&lt;201,G315/2,IF(G315&lt;=301,G315/3,G315/4))))</f>
        <v>0</v>
      </c>
      <c r="I315" s="35"/>
    </row>
    <row r="316" spans="1:20" s="36" customFormat="1" ht="15.75" hidden="1" customHeight="1" x14ac:dyDescent="0.35">
      <c r="A316" s="119" t="str">
        <f ca="1">(SUMPRODUCT(MID(0&amp;(LEFT(A315,SUM(LEN(A315)-LEN(SUBSTITUTE(A315,{"0","1","2"},""))))), LARGE(INDEX(ISNUMBER(--MID((LEFT(A315,SUM(LEN(A315)-LEN(SUBSTITUTE(A315,{"0","1","2"},""))))), ROW(INDIRECT("1:"&amp;LEN((LEFT(A315,SUM(LEN(A315)-LEN(SUBSTITUTE(A315,{"0","1","2"},"")))))))), 1)) * ROW(INDIRECT("1:"&amp;LEN((LEFT(A315,SUM(LEN(A315)-LEN(SUBSTITUTE(A315,{"0","1","2"},"")))))))), 0), ROW(INDIRECT("1:"&amp;LEN((LEFT(A315,SUM(LEN(A315)-LEN(SUBSTITUTE(A315,{"0","1","2"},"")))))))))+1, 1) * 10^ROW(INDIRECT("1:"&amp;LEN((LEFT(A315,SUM(LEN(A315)-LEN(SUBSTITUTE(A315,{"0","1","2"},""))))))))/10))*1+1&amp;""&amp;" &amp; "&amp;""&amp;(SUMPRODUCT(MID(0&amp;(--TRIM(RIGHT(SUBSTITUTE(LEFT(A315,_xlfn.AGGREGATE(16,6,FIND({0,1,2,3,4,5,6,7,8,9},A315,ROW(INDIRECT("1:"&amp;LEN(A315)))),1))," ",REPT(" ",LEN(A315))),LEN(A315)))), LARGE(INDEX(ISNUMBER(--MID((--TRIM(RIGHT(SUBSTITUTE(LEFT(A315,_xlfn.AGGREGATE(16,6,FIND({0,1,2,3,4,5,6,7,8,9},A315,ROW(INDIRECT("1:"&amp;LEN(A315)))),1))," ",REPT(" ",LEN(A315))),LEN(A315)))), ROW(INDIRECT("1:"&amp;LEN((--TRIM(RIGHT(SUBSTITUTE(LEFT(A315,_xlfn.AGGREGATE(16,6,FIND({0,1,2,3,4,5,6,7,8,9},A315,ROW(INDIRECT("1:"&amp;LEN(A315)))),1))," ",REPT(" ",LEN(A315))),LEN(A315))))))), 1)) * ROW(INDIRECT("1:"&amp;LEN((--TRIM(RIGHT(SUBSTITUTE(LEFT(A315,_xlfn.AGGREGATE(16,6,FIND({0,1,2,3,4,5,6,7,8,9},A315,ROW(INDIRECT("1:"&amp;LEN(A315)))),1))," ",REPT(" ",LEN(A315))),LEN(A315))))))), 0), ROW(INDIRECT("1:"&amp;LEN((--TRIM(RIGHT(SUBSTITUTE(LEFT(A315,_xlfn.AGGREGATE(16,6,FIND({0,1,2,3,4,5,6,7,8,9},A315,ROW(INDIRECT("1:"&amp;LEN(A315)))),1))," ",REPT(" ",LEN(A315))),LEN(A315))))))))+1, 1) * 10^ROW(INDIRECT("1:"&amp;LEN((--TRIM(RIGHT(SUBSTITUTE(LEFT(A315,_xlfn.AGGREGATE(16,6,FIND({0,1,2,3,4,5,6,7,8,9},A315,ROW(INDIRECT("1:"&amp;LEN(A315)))),1))," ",REPT(" ",LEN(A315))),LEN(A315)))))))/10))*1+1</f>
        <v>202 &amp; 502</v>
      </c>
      <c r="B316" s="120"/>
      <c r="C316" s="41"/>
      <c r="D316" s="41"/>
      <c r="E316" s="53">
        <v>0</v>
      </c>
      <c r="F316" s="53">
        <f>D316+E316</f>
        <v>0</v>
      </c>
      <c r="G316" s="53">
        <v>0</v>
      </c>
      <c r="H316" s="53">
        <f>F316*(($H$201)+1)+(IF(G316&lt;101,G316,IF(G316&lt;201,G316/2,IF(G316&lt;=301,G316/3,G316/4))))</f>
        <v>0</v>
      </c>
      <c r="I316" s="35"/>
    </row>
    <row r="317" spans="1:20" s="36" customFormat="1" ht="15.75" hidden="1" customHeight="1" x14ac:dyDescent="0.35">
      <c r="A317" s="119" t="str">
        <f ca="1">(SUMPRODUCT(MID(0&amp;(LEFT(A316,SUM(LEN(A316)-LEN(SUBSTITUTE(A316,{"0","1","2"},""))))), LARGE(INDEX(ISNUMBER(--MID((LEFT(A316,SUM(LEN(A316)-LEN(SUBSTITUTE(A316,{"0","1","2"},""))))), ROW(INDIRECT("1:"&amp;LEN((LEFT(A316,SUM(LEN(A316)-LEN(SUBSTITUTE(A316,{"0","1","2"},"")))))))), 1)) * ROW(INDIRECT("1:"&amp;LEN((LEFT(A316,SUM(LEN(A316)-LEN(SUBSTITUTE(A316,{"0","1","2"},"")))))))), 0), ROW(INDIRECT("1:"&amp;LEN((LEFT(A316,SUM(LEN(A316)-LEN(SUBSTITUTE(A316,{"0","1","2"},"")))))))))+1, 1) * 10^ROW(INDIRECT("1:"&amp;LEN((LEFT(A316,SUM(LEN(A316)-LEN(SUBSTITUTE(A316,{"0","1","2"},""))))))))/10))*1+1&amp;""&amp;" &amp; "&amp;""&amp;(SUMPRODUCT(MID(0&amp;(--TRIM(RIGHT(SUBSTITUTE(LEFT(A316,_xlfn.AGGREGATE(16,6,FIND({0,1,2,3,4,5,6,7,8,9},A316,ROW(INDIRECT("1:"&amp;LEN(A316)))),1))," ",REPT(" ",LEN(A316))),LEN(A316)))), LARGE(INDEX(ISNUMBER(--MID((--TRIM(RIGHT(SUBSTITUTE(LEFT(A316,_xlfn.AGGREGATE(16,6,FIND({0,1,2,3,4,5,6,7,8,9},A316,ROW(INDIRECT("1:"&amp;LEN(A316)))),1))," ",REPT(" ",LEN(A316))),LEN(A316)))), ROW(INDIRECT("1:"&amp;LEN((--TRIM(RIGHT(SUBSTITUTE(LEFT(A316,_xlfn.AGGREGATE(16,6,FIND({0,1,2,3,4,5,6,7,8,9},A316,ROW(INDIRECT("1:"&amp;LEN(A316)))),1))," ",REPT(" ",LEN(A316))),LEN(A316))))))), 1)) * ROW(INDIRECT("1:"&amp;LEN((--TRIM(RIGHT(SUBSTITUTE(LEFT(A316,_xlfn.AGGREGATE(16,6,FIND({0,1,2,3,4,5,6,7,8,9},A316,ROW(INDIRECT("1:"&amp;LEN(A316)))),1))," ",REPT(" ",LEN(A316))),LEN(A316))))))), 0), ROW(INDIRECT("1:"&amp;LEN((--TRIM(RIGHT(SUBSTITUTE(LEFT(A316,_xlfn.AGGREGATE(16,6,FIND({0,1,2,3,4,5,6,7,8,9},A316,ROW(INDIRECT("1:"&amp;LEN(A316)))),1))," ",REPT(" ",LEN(A316))),LEN(A316))))))))+1, 1) * 10^ROW(INDIRECT("1:"&amp;LEN((--TRIM(RIGHT(SUBSTITUTE(LEFT(A316,_xlfn.AGGREGATE(16,6,FIND({0,1,2,3,4,5,6,7,8,9},A316,ROW(INDIRECT("1:"&amp;LEN(A316)))),1))," ",REPT(" ",LEN(A316))),LEN(A316)))))))/10))*1+1</f>
        <v>203 &amp; 503</v>
      </c>
      <c r="B317" s="120"/>
      <c r="C317" s="41"/>
      <c r="D317" s="41"/>
      <c r="E317" s="53">
        <v>0</v>
      </c>
      <c r="F317" s="53">
        <f>D317+E317</f>
        <v>0</v>
      </c>
      <c r="G317" s="53">
        <v>0</v>
      </c>
      <c r="H317" s="53">
        <f>F317*(($H$201)+1)+(IF(G317&lt;101,G317,IF(G317&lt;201,G317/2,IF(G317&lt;=301,G317/3,G317/4))))</f>
        <v>0</v>
      </c>
      <c r="I317" s="35"/>
    </row>
    <row r="318" spans="1:20" s="36" customFormat="1" ht="15.75" hidden="1" customHeight="1" x14ac:dyDescent="0.35">
      <c r="A318" s="119" t="str">
        <f ca="1">(SUMPRODUCT(MID(0&amp;(LEFT(A317,SUM(LEN(A317)-LEN(SUBSTITUTE(A317,{"0","1","2"},""))))), LARGE(INDEX(ISNUMBER(--MID((LEFT(A317,SUM(LEN(A317)-LEN(SUBSTITUTE(A317,{"0","1","2"},""))))), ROW(INDIRECT("1:"&amp;LEN((LEFT(A317,SUM(LEN(A317)-LEN(SUBSTITUTE(A317,{"0","1","2"},"")))))))), 1)) * ROW(INDIRECT("1:"&amp;LEN((LEFT(A317,SUM(LEN(A317)-LEN(SUBSTITUTE(A317,{"0","1","2"},"")))))))), 0), ROW(INDIRECT("1:"&amp;LEN((LEFT(A317,SUM(LEN(A317)-LEN(SUBSTITUTE(A317,{"0","1","2"},"")))))))))+1, 1) * 10^ROW(INDIRECT("1:"&amp;LEN((LEFT(A317,SUM(LEN(A317)-LEN(SUBSTITUTE(A317,{"0","1","2"},""))))))))/10))*1+1&amp;""&amp;" &amp; "&amp;""&amp;(SUMPRODUCT(MID(0&amp;(--TRIM(RIGHT(SUBSTITUTE(LEFT(A317,_xlfn.AGGREGATE(16,6,FIND({0,1,2,3,4,5,6,7,8,9},A317,ROW(INDIRECT("1:"&amp;LEN(A317)))),1))," ",REPT(" ",LEN(A317))),LEN(A317)))), LARGE(INDEX(ISNUMBER(--MID((--TRIM(RIGHT(SUBSTITUTE(LEFT(A317,_xlfn.AGGREGATE(16,6,FIND({0,1,2,3,4,5,6,7,8,9},A317,ROW(INDIRECT("1:"&amp;LEN(A317)))),1))," ",REPT(" ",LEN(A317))),LEN(A317)))), ROW(INDIRECT("1:"&amp;LEN((--TRIM(RIGHT(SUBSTITUTE(LEFT(A317,_xlfn.AGGREGATE(16,6,FIND({0,1,2,3,4,5,6,7,8,9},A317,ROW(INDIRECT("1:"&amp;LEN(A317)))),1))," ",REPT(" ",LEN(A317))),LEN(A317))))))), 1)) * ROW(INDIRECT("1:"&amp;LEN((--TRIM(RIGHT(SUBSTITUTE(LEFT(A317,_xlfn.AGGREGATE(16,6,FIND({0,1,2,3,4,5,6,7,8,9},A317,ROW(INDIRECT("1:"&amp;LEN(A317)))),1))," ",REPT(" ",LEN(A317))),LEN(A317))))))), 0), ROW(INDIRECT("1:"&amp;LEN((--TRIM(RIGHT(SUBSTITUTE(LEFT(A317,_xlfn.AGGREGATE(16,6,FIND({0,1,2,3,4,5,6,7,8,9},A317,ROW(INDIRECT("1:"&amp;LEN(A317)))),1))," ",REPT(" ",LEN(A317))),LEN(A317))))))))+1, 1) * 10^ROW(INDIRECT("1:"&amp;LEN((--TRIM(RIGHT(SUBSTITUTE(LEFT(A317,_xlfn.AGGREGATE(16,6,FIND({0,1,2,3,4,5,6,7,8,9},A317,ROW(INDIRECT("1:"&amp;LEN(A317)))),1))," ",REPT(" ",LEN(A317))),LEN(A317)))))))/10))*1+1</f>
        <v>204 &amp; 504</v>
      </c>
      <c r="B318" s="120"/>
      <c r="C318" s="41"/>
      <c r="D318" s="41"/>
      <c r="E318" s="53">
        <v>0</v>
      </c>
      <c r="F318" s="53">
        <f>D318+E318</f>
        <v>0</v>
      </c>
      <c r="G318" s="53">
        <v>0</v>
      </c>
      <c r="H318" s="53">
        <f>F318*(($H$201)+1)+(IF(G318&lt;101,G318,IF(G318&lt;201,G318/2,IF(G318&lt;=301,G318/3,G318/4))))</f>
        <v>0</v>
      </c>
      <c r="I318" s="35"/>
    </row>
    <row r="319" spans="1:20" s="36" customFormat="1" ht="15.75" hidden="1" customHeight="1" x14ac:dyDescent="0.35">
      <c r="A319" s="119" t="str">
        <f ca="1">(SUMPRODUCT(MID(0&amp;(LEFT(A318,SUM(LEN(A318)-LEN(SUBSTITUTE(A318,{"0","1","2"},""))))), LARGE(INDEX(ISNUMBER(--MID((LEFT(A318,SUM(LEN(A318)-LEN(SUBSTITUTE(A318,{"0","1","2"},""))))), ROW(INDIRECT("1:"&amp;LEN((LEFT(A318,SUM(LEN(A318)-LEN(SUBSTITUTE(A318,{"0","1","2"},"")))))))), 1)) * ROW(INDIRECT("1:"&amp;LEN((LEFT(A318,SUM(LEN(A318)-LEN(SUBSTITUTE(A318,{"0","1","2"},"")))))))), 0), ROW(INDIRECT("1:"&amp;LEN((LEFT(A318,SUM(LEN(A318)-LEN(SUBSTITUTE(A318,{"0","1","2"},"")))))))))+1, 1) * 10^ROW(INDIRECT("1:"&amp;LEN((LEFT(A318,SUM(LEN(A318)-LEN(SUBSTITUTE(A318,{"0","1","2"},""))))))))/10))*1+1&amp;""&amp;" &amp; "&amp;""&amp;(SUMPRODUCT(MID(0&amp;(--TRIM(RIGHT(SUBSTITUTE(LEFT(A318,_xlfn.AGGREGATE(16,6,FIND({0,1,2,3,4,5,6,7,8,9},A318,ROW(INDIRECT("1:"&amp;LEN(A318)))),1))," ",REPT(" ",LEN(A318))),LEN(A318)))), LARGE(INDEX(ISNUMBER(--MID((--TRIM(RIGHT(SUBSTITUTE(LEFT(A318,_xlfn.AGGREGATE(16,6,FIND({0,1,2,3,4,5,6,7,8,9},A318,ROW(INDIRECT("1:"&amp;LEN(A318)))),1))," ",REPT(" ",LEN(A318))),LEN(A318)))), ROW(INDIRECT("1:"&amp;LEN((--TRIM(RIGHT(SUBSTITUTE(LEFT(A318,_xlfn.AGGREGATE(16,6,FIND({0,1,2,3,4,5,6,7,8,9},A318,ROW(INDIRECT("1:"&amp;LEN(A318)))),1))," ",REPT(" ",LEN(A318))),LEN(A318))))))), 1)) * ROW(INDIRECT("1:"&amp;LEN((--TRIM(RIGHT(SUBSTITUTE(LEFT(A318,_xlfn.AGGREGATE(16,6,FIND({0,1,2,3,4,5,6,7,8,9},A318,ROW(INDIRECT("1:"&amp;LEN(A318)))),1))," ",REPT(" ",LEN(A318))),LEN(A318))))))), 0), ROW(INDIRECT("1:"&amp;LEN((--TRIM(RIGHT(SUBSTITUTE(LEFT(A318,_xlfn.AGGREGATE(16,6,FIND({0,1,2,3,4,5,6,7,8,9},A318,ROW(INDIRECT("1:"&amp;LEN(A318)))),1))," ",REPT(" ",LEN(A318))),LEN(A318))))))))+1, 1) * 10^ROW(INDIRECT("1:"&amp;LEN((--TRIM(RIGHT(SUBSTITUTE(LEFT(A318,_xlfn.AGGREGATE(16,6,FIND({0,1,2,3,4,5,6,7,8,9},A318,ROW(INDIRECT("1:"&amp;LEN(A318)))),1))," ",REPT(" ",LEN(A318))),LEN(A318)))))))/10))*1+1</f>
        <v>205 &amp; 505</v>
      </c>
      <c r="B319" s="120"/>
      <c r="C319" s="41"/>
      <c r="D319" s="41"/>
      <c r="E319" s="53">
        <v>0</v>
      </c>
      <c r="F319" s="53">
        <f>D319+E319</f>
        <v>0</v>
      </c>
      <c r="G319" s="53">
        <v>0</v>
      </c>
      <c r="H319" s="53">
        <f>F319*(($H$201)+1)+(IF(G319&lt;101,G319,IF(G319&lt;201,G319/2,IF(G319&lt;=301,G319/3,G319/4))))</f>
        <v>0</v>
      </c>
      <c r="I319" s="35"/>
    </row>
    <row r="320" spans="1:20" s="34" customFormat="1" x14ac:dyDescent="0.35">
      <c r="A320" s="301" t="s">
        <v>65</v>
      </c>
      <c r="B320" s="301"/>
      <c r="C320" s="301"/>
      <c r="D320" s="301"/>
      <c r="E320" s="301"/>
      <c r="F320" s="301"/>
      <c r="G320" s="301"/>
      <c r="H320" s="301"/>
      <c r="T320" s="36"/>
    </row>
    <row r="321" spans="1:20" s="34" customFormat="1" x14ac:dyDescent="0.35">
      <c r="A321" s="43" t="s">
        <v>151</v>
      </c>
      <c r="B321" s="116" t="s">
        <v>438</v>
      </c>
      <c r="C321" s="117"/>
      <c r="D321" s="117"/>
      <c r="E321" s="117"/>
      <c r="F321" s="117"/>
      <c r="G321" s="117"/>
      <c r="H321" s="118"/>
      <c r="I321" s="34" t="s">
        <v>403</v>
      </c>
      <c r="T321" s="36"/>
    </row>
    <row r="322" spans="1:20" s="34" customFormat="1" x14ac:dyDescent="0.35">
      <c r="A322" s="43" t="s">
        <v>151</v>
      </c>
      <c r="B322" s="116" t="str">
        <f>(IF(H200="Saleable area Loading :","We have considered Saleable area of Flats as per our Calculation.","We considered Saleable area of Flat as per Builder area Sheet."))</f>
        <v>We have considered Saleable area of Flats as per our Calculation.</v>
      </c>
      <c r="C322" s="117"/>
      <c r="D322" s="117"/>
      <c r="E322" s="117"/>
      <c r="F322" s="117"/>
      <c r="G322" s="117"/>
      <c r="H322" s="118"/>
      <c r="T322" s="36"/>
    </row>
    <row r="323" spans="1:20" s="34" customFormat="1" x14ac:dyDescent="0.35">
      <c r="A323" s="43" t="s">
        <v>151</v>
      </c>
      <c r="B323" s="116" t="str">
        <f>(IF(H183="Saleable area Loading :","We have considered Saleable area of Commercial as per our Calculation.","We considered Saleable area of Commercial as per Builder area Sheet."))</f>
        <v>We have considered Saleable area of Commercial as per our Calculation.</v>
      </c>
      <c r="C323" s="117"/>
      <c r="D323" s="117"/>
      <c r="E323" s="117"/>
      <c r="F323" s="117"/>
      <c r="G323" s="117"/>
      <c r="H323" s="118"/>
      <c r="T323" s="36"/>
    </row>
    <row r="324" spans="1:20" s="34" customFormat="1" x14ac:dyDescent="0.35">
      <c r="A324" s="43" t="s">
        <v>151</v>
      </c>
      <c r="B324" s="165" t="s">
        <v>118</v>
      </c>
      <c r="C324" s="166"/>
      <c r="D324" s="166"/>
      <c r="E324" s="166"/>
      <c r="F324" s="166"/>
      <c r="G324" s="166"/>
      <c r="H324" s="167"/>
      <c r="T324" s="36"/>
    </row>
    <row r="325" spans="1:20" s="34" customFormat="1" x14ac:dyDescent="0.35">
      <c r="A325" s="43" t="s">
        <v>151</v>
      </c>
      <c r="B325" s="165" t="s">
        <v>383</v>
      </c>
      <c r="C325" s="166"/>
      <c r="D325" s="166"/>
      <c r="E325" s="166"/>
      <c r="F325" s="166"/>
      <c r="G325" s="166"/>
      <c r="H325" s="167"/>
      <c r="T325" s="36"/>
    </row>
    <row r="326" spans="1:20" s="34" customFormat="1" x14ac:dyDescent="0.35">
      <c r="A326" s="43" t="s">
        <v>151</v>
      </c>
      <c r="B326" s="116" t="s">
        <v>150</v>
      </c>
      <c r="C326" s="117"/>
      <c r="D326" s="117"/>
      <c r="E326" s="117"/>
      <c r="F326" s="117"/>
      <c r="G326" s="117"/>
      <c r="H326" s="118"/>
    </row>
    <row r="327" spans="1:20" s="34" customFormat="1" x14ac:dyDescent="0.35">
      <c r="A327" s="43" t="s">
        <v>151</v>
      </c>
      <c r="B327" s="165" t="s">
        <v>119</v>
      </c>
      <c r="C327" s="166"/>
      <c r="D327" s="166"/>
      <c r="E327" s="166"/>
      <c r="F327" s="166"/>
      <c r="G327" s="166"/>
      <c r="H327" s="167"/>
    </row>
    <row r="328" spans="1:20" s="34" customFormat="1" ht="34.5" customHeight="1" x14ac:dyDescent="0.35">
      <c r="A328" s="43" t="s">
        <v>151</v>
      </c>
      <c r="B328" s="165" t="s">
        <v>152</v>
      </c>
      <c r="C328" s="166"/>
      <c r="D328" s="166"/>
      <c r="E328" s="166"/>
      <c r="F328" s="166"/>
      <c r="G328" s="166"/>
      <c r="H328" s="167"/>
    </row>
    <row r="329" spans="1:20" s="34" customFormat="1" x14ac:dyDescent="0.35">
      <c r="A329" s="43" t="s">
        <v>151</v>
      </c>
      <c r="B329" s="165" t="s">
        <v>120</v>
      </c>
      <c r="C329" s="166"/>
      <c r="D329" s="166"/>
      <c r="E329" s="166"/>
      <c r="F329" s="166"/>
      <c r="G329" s="166"/>
      <c r="H329" s="167"/>
    </row>
    <row r="330" spans="1:20" s="34" customFormat="1" x14ac:dyDescent="0.35">
      <c r="A330" s="50" t="s">
        <v>151</v>
      </c>
      <c r="B330" s="116" t="s">
        <v>394</v>
      </c>
      <c r="C330" s="117"/>
      <c r="D330" s="117"/>
      <c r="E330" s="117"/>
      <c r="F330" s="117"/>
      <c r="G330" s="117"/>
      <c r="H330" s="118"/>
    </row>
    <row r="331" spans="1:20" s="34" customFormat="1" x14ac:dyDescent="0.35">
      <c r="A331" s="54" t="s">
        <v>151</v>
      </c>
      <c r="B331" s="116" t="s">
        <v>233</v>
      </c>
      <c r="C331" s="117"/>
      <c r="D331" s="117"/>
      <c r="E331" s="117"/>
      <c r="F331" s="117"/>
      <c r="G331" s="117"/>
      <c r="H331" s="118"/>
    </row>
    <row r="332" spans="1:20" s="34" customFormat="1" x14ac:dyDescent="0.35">
      <c r="A332" s="85" t="s">
        <v>151</v>
      </c>
      <c r="B332" s="116" t="s">
        <v>382</v>
      </c>
      <c r="C332" s="117"/>
      <c r="D332" s="117"/>
      <c r="E332" s="117"/>
      <c r="F332" s="117"/>
      <c r="G332" s="117"/>
      <c r="H332" s="118"/>
    </row>
    <row r="333" spans="1:20" s="34" customFormat="1" ht="31.5" hidden="1" customHeight="1" x14ac:dyDescent="0.35">
      <c r="A333" s="99" t="s">
        <v>151</v>
      </c>
      <c r="B333" s="116" t="s">
        <v>391</v>
      </c>
      <c r="C333" s="117"/>
      <c r="D333" s="117"/>
      <c r="E333" s="117"/>
      <c r="F333" s="117"/>
      <c r="G333" s="117"/>
      <c r="H333" s="118"/>
    </row>
    <row r="334" spans="1:20" s="34" customFormat="1" x14ac:dyDescent="0.35">
      <c r="A334" s="85" t="s">
        <v>151</v>
      </c>
      <c r="B334" s="116" t="s">
        <v>402</v>
      </c>
      <c r="C334" s="117"/>
      <c r="D334" s="117"/>
      <c r="E334" s="117"/>
      <c r="F334" s="117"/>
      <c r="G334" s="117"/>
      <c r="H334" s="118"/>
    </row>
    <row r="335" spans="1:20" s="34" customFormat="1" x14ac:dyDescent="0.35">
      <c r="A335" s="100" t="s">
        <v>151</v>
      </c>
      <c r="B335" s="116" t="s">
        <v>404</v>
      </c>
      <c r="C335" s="117"/>
      <c r="D335" s="117"/>
      <c r="E335" s="117"/>
      <c r="F335" s="117"/>
      <c r="G335" s="117"/>
      <c r="H335" s="118"/>
    </row>
    <row r="336" spans="1:20" s="34" customFormat="1" ht="20" customHeight="1" x14ac:dyDescent="0.35">
      <c r="A336" s="106" t="s">
        <v>151</v>
      </c>
      <c r="B336" s="116" t="s">
        <v>449</v>
      </c>
      <c r="C336" s="117"/>
      <c r="D336" s="117"/>
      <c r="E336" s="117"/>
      <c r="F336" s="117"/>
      <c r="G336" s="117"/>
      <c r="H336" s="118"/>
    </row>
    <row r="337" spans="1:20" s="34" customFormat="1" ht="33.75" customHeight="1" x14ac:dyDescent="0.35">
      <c r="A337" s="106" t="s">
        <v>151</v>
      </c>
      <c r="B337" s="116" t="s">
        <v>450</v>
      </c>
      <c r="C337" s="117"/>
      <c r="D337" s="117"/>
      <c r="E337" s="117"/>
      <c r="F337" s="117"/>
      <c r="G337" s="117"/>
      <c r="H337" s="118"/>
    </row>
    <row r="338" spans="1:20" s="34" customFormat="1" ht="33.75" customHeight="1" x14ac:dyDescent="0.35">
      <c r="A338" s="115" t="s">
        <v>151</v>
      </c>
      <c r="B338" s="116" t="s">
        <v>451</v>
      </c>
      <c r="C338" s="117"/>
      <c r="D338" s="117"/>
      <c r="E338" s="117"/>
      <c r="F338" s="117"/>
      <c r="G338" s="117"/>
      <c r="H338" s="118"/>
    </row>
    <row r="339" spans="1:20" x14ac:dyDescent="0.35">
      <c r="A339" s="179" t="s">
        <v>58</v>
      </c>
      <c r="B339" s="179"/>
      <c r="C339" s="179"/>
      <c r="D339" s="179"/>
      <c r="E339" s="179"/>
      <c r="F339" s="179"/>
      <c r="G339" s="179"/>
      <c r="H339" s="179"/>
      <c r="T339" s="34"/>
    </row>
    <row r="340" spans="1:20" x14ac:dyDescent="0.35">
      <c r="A340" s="149" t="s">
        <v>59</v>
      </c>
      <c r="B340" s="149"/>
      <c r="C340" s="149"/>
      <c r="D340" s="149"/>
      <c r="E340" s="149"/>
      <c r="F340" s="149"/>
      <c r="G340" s="149"/>
      <c r="H340" s="149"/>
      <c r="T340" s="34"/>
    </row>
    <row r="341" spans="1:20" ht="15.75" customHeight="1" x14ac:dyDescent="0.35">
      <c r="A341" s="286" t="s">
        <v>60</v>
      </c>
      <c r="B341" s="286"/>
      <c r="C341" s="286"/>
      <c r="D341" s="286"/>
      <c r="E341" s="286"/>
      <c r="F341" s="286"/>
      <c r="G341" s="286"/>
      <c r="H341" s="286"/>
      <c r="T341" s="34"/>
    </row>
    <row r="342" spans="1:20" x14ac:dyDescent="0.35">
      <c r="A342" s="149" t="s">
        <v>61</v>
      </c>
      <c r="B342" s="149"/>
      <c r="C342" s="149"/>
      <c r="D342" s="149"/>
      <c r="E342" s="149"/>
      <c r="F342" s="149"/>
      <c r="G342" s="149"/>
      <c r="H342" s="149"/>
      <c r="T342" s="34"/>
    </row>
    <row r="343" spans="1:20" x14ac:dyDescent="0.35">
      <c r="A343" s="149" t="s">
        <v>62</v>
      </c>
      <c r="B343" s="149"/>
      <c r="C343" s="149"/>
      <c r="D343" s="149"/>
      <c r="E343" s="149"/>
      <c r="F343" s="149"/>
      <c r="G343" s="149"/>
      <c r="H343" s="149"/>
      <c r="T343" s="34"/>
    </row>
    <row r="344" spans="1:20" x14ac:dyDescent="0.35">
      <c r="A344" s="181" t="s">
        <v>121</v>
      </c>
      <c r="B344" s="181"/>
      <c r="C344" s="181"/>
      <c r="D344" s="181"/>
      <c r="E344" s="181"/>
      <c r="F344" s="181"/>
      <c r="G344" s="181"/>
      <c r="H344" s="181"/>
      <c r="T344" s="34"/>
    </row>
    <row r="345" spans="1:20" hidden="1" x14ac:dyDescent="0.35">
      <c r="A345" s="180" t="s">
        <v>122</v>
      </c>
      <c r="B345" s="180"/>
      <c r="C345" s="180"/>
      <c r="D345" s="180"/>
      <c r="E345" s="180"/>
      <c r="F345" s="180"/>
      <c r="G345" s="180"/>
      <c r="H345" s="180"/>
    </row>
    <row r="346" spans="1:20" x14ac:dyDescent="0.35">
      <c r="A346" s="283" t="s">
        <v>74</v>
      </c>
      <c r="B346" s="283"/>
      <c r="C346" s="283" t="s">
        <v>380</v>
      </c>
      <c r="D346" s="283"/>
      <c r="E346" s="283" t="s">
        <v>102</v>
      </c>
      <c r="F346" s="283"/>
      <c r="G346" s="283" t="s">
        <v>439</v>
      </c>
      <c r="H346" s="283"/>
    </row>
    <row r="347" spans="1:20" x14ac:dyDescent="0.35">
      <c r="A347" s="282" t="s">
        <v>76</v>
      </c>
      <c r="B347" s="282"/>
      <c r="C347" s="282"/>
      <c r="D347" s="282"/>
      <c r="E347" s="282"/>
      <c r="F347" s="282"/>
      <c r="G347" s="282"/>
      <c r="H347" s="282"/>
    </row>
    <row r="348" spans="1:20" x14ac:dyDescent="0.35">
      <c r="A348" s="282"/>
      <c r="B348" s="282"/>
      <c r="C348" s="282"/>
      <c r="D348" s="282"/>
      <c r="E348" s="282"/>
      <c r="F348" s="282"/>
      <c r="G348" s="282"/>
      <c r="H348" s="282"/>
    </row>
    <row r="349" spans="1:20" x14ac:dyDescent="0.35">
      <c r="A349" s="282"/>
      <c r="B349" s="282"/>
      <c r="C349" s="282"/>
      <c r="D349" s="282"/>
      <c r="E349" s="282"/>
      <c r="F349" s="282"/>
      <c r="G349" s="282"/>
      <c r="H349" s="282"/>
    </row>
    <row r="350" spans="1:20" x14ac:dyDescent="0.35">
      <c r="A350" s="282"/>
      <c r="B350" s="282"/>
      <c r="C350" s="282"/>
      <c r="D350" s="282"/>
      <c r="E350" s="282"/>
      <c r="F350" s="282"/>
      <c r="G350" s="282"/>
      <c r="H350" s="282"/>
    </row>
    <row r="351" spans="1:20" x14ac:dyDescent="0.35">
      <c r="A351" s="37" t="s">
        <v>63</v>
      </c>
      <c r="B351" s="38"/>
      <c r="C351" s="38"/>
      <c r="D351" s="37" t="str">
        <f>E9</f>
        <v>Joyville Virar Phase 3 &amp; 6</v>
      </c>
      <c r="F351" s="38"/>
      <c r="G351" s="38"/>
      <c r="H351" s="38"/>
    </row>
    <row r="352" spans="1:20" x14ac:dyDescent="0.35">
      <c r="A352" s="38"/>
      <c r="B352" s="38"/>
      <c r="C352" s="38"/>
      <c r="D352" s="38"/>
      <c r="E352" s="38"/>
      <c r="F352" s="38"/>
      <c r="G352" s="38"/>
      <c r="H352" s="38"/>
    </row>
    <row r="353" spans="1:8" x14ac:dyDescent="0.35">
      <c r="A353" s="38"/>
      <c r="B353" s="38"/>
      <c r="C353" s="38"/>
      <c r="D353" s="38"/>
      <c r="E353" s="38"/>
      <c r="F353" s="38"/>
      <c r="G353" s="38"/>
      <c r="H353" s="38"/>
    </row>
    <row r="354" spans="1:8" ht="15" customHeight="1" x14ac:dyDescent="0.35"/>
    <row r="394" spans="1:1" x14ac:dyDescent="0.35">
      <c r="A394" s="40" t="s">
        <v>162</v>
      </c>
    </row>
    <row r="437" spans="1:1" x14ac:dyDescent="0.35">
      <c r="A437" s="40" t="s">
        <v>381</v>
      </c>
    </row>
    <row r="480" spans="1:1" x14ac:dyDescent="0.35">
      <c r="A480" s="40" t="s">
        <v>64</v>
      </c>
    </row>
  </sheetData>
  <mergeCells count="630">
    <mergeCell ref="B338:H338"/>
    <mergeCell ref="B327:H327"/>
    <mergeCell ref="G183:G184"/>
    <mergeCell ref="A196:B196"/>
    <mergeCell ref="A276:B276"/>
    <mergeCell ref="A281:B281"/>
    <mergeCell ref="A287:B287"/>
    <mergeCell ref="C173:D173"/>
    <mergeCell ref="E173:F173"/>
    <mergeCell ref="B324:H324"/>
    <mergeCell ref="B200:B201"/>
    <mergeCell ref="A199:H199"/>
    <mergeCell ref="A195:B195"/>
    <mergeCell ref="E177:F177"/>
    <mergeCell ref="G177:H177"/>
    <mergeCell ref="B335:H335"/>
    <mergeCell ref="I85:M85"/>
    <mergeCell ref="A301:B301"/>
    <mergeCell ref="A298:B298"/>
    <mergeCell ref="A299:B299"/>
    <mergeCell ref="A309:B309"/>
    <mergeCell ref="L265:M265"/>
    <mergeCell ref="A266:B266"/>
    <mergeCell ref="L266:M266"/>
    <mergeCell ref="A267:B267"/>
    <mergeCell ref="B334:H334"/>
    <mergeCell ref="L287:M287"/>
    <mergeCell ref="A288:B288"/>
    <mergeCell ref="L288:M288"/>
    <mergeCell ref="A289:B289"/>
    <mergeCell ref="L289:M289"/>
    <mergeCell ref="A290:B290"/>
    <mergeCell ref="L290:M290"/>
    <mergeCell ref="B332:H332"/>
    <mergeCell ref="A320:H320"/>
    <mergeCell ref="A312:B312"/>
    <mergeCell ref="A313:B313"/>
    <mergeCell ref="A308:H308"/>
    <mergeCell ref="A302:H302"/>
    <mergeCell ref="L294:M294"/>
    <mergeCell ref="A295:B295"/>
    <mergeCell ref="A310:B310"/>
    <mergeCell ref="L270:M270"/>
    <mergeCell ref="A271:B271"/>
    <mergeCell ref="L271:M271"/>
    <mergeCell ref="A272:B272"/>
    <mergeCell ref="L272:M272"/>
    <mergeCell ref="A273:H273"/>
    <mergeCell ref="A274:B274"/>
    <mergeCell ref="L274:M274"/>
    <mergeCell ref="A275:B275"/>
    <mergeCell ref="L275:M275"/>
    <mergeCell ref="A270:B270"/>
    <mergeCell ref="L276:M276"/>
    <mergeCell ref="A277:B277"/>
    <mergeCell ref="L277:M277"/>
    <mergeCell ref="A278:B278"/>
    <mergeCell ref="L278:M278"/>
    <mergeCell ref="A279:B279"/>
    <mergeCell ref="A280:B280"/>
    <mergeCell ref="L284:M284"/>
    <mergeCell ref="G141:H150"/>
    <mergeCell ref="A142:B142"/>
    <mergeCell ref="A117:B117"/>
    <mergeCell ref="C200:C201"/>
    <mergeCell ref="A191:B191"/>
    <mergeCell ref="F183:F184"/>
    <mergeCell ref="A139:B139"/>
    <mergeCell ref="C139:H139"/>
    <mergeCell ref="A140:B140"/>
    <mergeCell ref="A61:B61"/>
    <mergeCell ref="D84:H84"/>
    <mergeCell ref="C63:E63"/>
    <mergeCell ref="A89:C89"/>
    <mergeCell ref="D90:H90"/>
    <mergeCell ref="A112:B112"/>
    <mergeCell ref="G111:H111"/>
    <mergeCell ref="A120:B120"/>
    <mergeCell ref="A72:B73"/>
    <mergeCell ref="C72:E72"/>
    <mergeCell ref="A80:C80"/>
    <mergeCell ref="D80:H80"/>
    <mergeCell ref="G63:H63"/>
    <mergeCell ref="C62:E62"/>
    <mergeCell ref="C61:E61"/>
    <mergeCell ref="G61:H61"/>
    <mergeCell ref="A85:C85"/>
    <mergeCell ref="C64:H64"/>
    <mergeCell ref="A76:B76"/>
    <mergeCell ref="C76:E76"/>
    <mergeCell ref="G76:H76"/>
    <mergeCell ref="D81:H81"/>
    <mergeCell ref="A66:H66"/>
    <mergeCell ref="A67:B67"/>
    <mergeCell ref="I15:P15"/>
    <mergeCell ref="F167:H167"/>
    <mergeCell ref="F165:H165"/>
    <mergeCell ref="A304:B304"/>
    <mergeCell ref="A182:H182"/>
    <mergeCell ref="G172:H172"/>
    <mergeCell ref="A166:E166"/>
    <mergeCell ref="A188:B188"/>
    <mergeCell ref="A65:B65"/>
    <mergeCell ref="C65:E65"/>
    <mergeCell ref="D78:H78"/>
    <mergeCell ref="F166:H166"/>
    <mergeCell ref="E172:F172"/>
    <mergeCell ref="A172:B172"/>
    <mergeCell ref="C176:D176"/>
    <mergeCell ref="D89:H89"/>
    <mergeCell ref="D79:H79"/>
    <mergeCell ref="G65:H65"/>
    <mergeCell ref="A70:B71"/>
    <mergeCell ref="C70:E70"/>
    <mergeCell ref="G70:H70"/>
    <mergeCell ref="L268:M268"/>
    <mergeCell ref="A19:B19"/>
    <mergeCell ref="C19:D19"/>
    <mergeCell ref="A341:H341"/>
    <mergeCell ref="A297:B297"/>
    <mergeCell ref="A176:B176"/>
    <mergeCell ref="D200:D201"/>
    <mergeCell ref="E200:E201"/>
    <mergeCell ref="A130:B130"/>
    <mergeCell ref="A132:B132"/>
    <mergeCell ref="F152:H152"/>
    <mergeCell ref="G173:H173"/>
    <mergeCell ref="A135:B135"/>
    <mergeCell ref="F164:H164"/>
    <mergeCell ref="C172:D172"/>
    <mergeCell ref="C179:D179"/>
    <mergeCell ref="A291:H291"/>
    <mergeCell ref="A306:B306"/>
    <mergeCell ref="B325:H325"/>
    <mergeCell ref="A315:B315"/>
    <mergeCell ref="A316:B316"/>
    <mergeCell ref="A319:B319"/>
    <mergeCell ref="A318:B318"/>
    <mergeCell ref="B321:H321"/>
    <mergeCell ref="B322:H322"/>
    <mergeCell ref="A293:B293"/>
    <mergeCell ref="A269:B269"/>
    <mergeCell ref="A347:H350"/>
    <mergeCell ref="A346:B346"/>
    <mergeCell ref="E346:F346"/>
    <mergeCell ref="C346:D346"/>
    <mergeCell ref="G346:H346"/>
    <mergeCell ref="A171:H171"/>
    <mergeCell ref="A169:E169"/>
    <mergeCell ref="F169:H169"/>
    <mergeCell ref="A170:E170"/>
    <mergeCell ref="F170:H170"/>
    <mergeCell ref="A296:H296"/>
    <mergeCell ref="A305:B305"/>
    <mergeCell ref="A173:B173"/>
    <mergeCell ref="A342:H342"/>
    <mergeCell ref="A175:H175"/>
    <mergeCell ref="A345:H345"/>
    <mergeCell ref="A343:H343"/>
    <mergeCell ref="A339:H339"/>
    <mergeCell ref="G176:H176"/>
    <mergeCell ref="B326:H326"/>
    <mergeCell ref="A340:H340"/>
    <mergeCell ref="A292:B292"/>
    <mergeCell ref="A190:B190"/>
    <mergeCell ref="A344:H34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E19:F19"/>
    <mergeCell ref="G19:H19"/>
    <mergeCell ref="A20:B20"/>
    <mergeCell ref="C20:D20"/>
    <mergeCell ref="E20:F20"/>
    <mergeCell ref="G20:H20"/>
    <mergeCell ref="E14:H14"/>
    <mergeCell ref="A15:D15"/>
    <mergeCell ref="E27:H27"/>
    <mergeCell ref="A29:D29"/>
    <mergeCell ref="E29:H29"/>
    <mergeCell ref="A26:D26"/>
    <mergeCell ref="E26:H26"/>
    <mergeCell ref="A25:D25"/>
    <mergeCell ref="E25:H25"/>
    <mergeCell ref="A30:D30"/>
    <mergeCell ref="E30:H30"/>
    <mergeCell ref="A27:D27"/>
    <mergeCell ref="A28:D28"/>
    <mergeCell ref="E28:H28"/>
    <mergeCell ref="A31:D31"/>
    <mergeCell ref="E31:H31"/>
    <mergeCell ref="A32:D32"/>
    <mergeCell ref="E32:H32"/>
    <mergeCell ref="A36:B36"/>
    <mergeCell ref="C36:E36"/>
    <mergeCell ref="E43:H43"/>
    <mergeCell ref="A43:D43"/>
    <mergeCell ref="A44:D44"/>
    <mergeCell ref="E44:H44"/>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G51:H51"/>
    <mergeCell ref="A52:B52"/>
    <mergeCell ref="C52:E52"/>
    <mergeCell ref="G52:H52"/>
    <mergeCell ref="A48:H48"/>
    <mergeCell ref="F37:H37"/>
    <mergeCell ref="A45:D45"/>
    <mergeCell ref="A49:B49"/>
    <mergeCell ref="C49:H49"/>
    <mergeCell ref="E45:H45"/>
    <mergeCell ref="E46:H46"/>
    <mergeCell ref="E47:H47"/>
    <mergeCell ref="A39:B39"/>
    <mergeCell ref="C39:H39"/>
    <mergeCell ref="A46:D46"/>
    <mergeCell ref="A47:D47"/>
    <mergeCell ref="A40:B40"/>
    <mergeCell ref="C40:H40"/>
    <mergeCell ref="A50:H50"/>
    <mergeCell ref="A51:B51"/>
    <mergeCell ref="C51:E51"/>
    <mergeCell ref="A55:B56"/>
    <mergeCell ref="C55:E55"/>
    <mergeCell ref="G55:H55"/>
    <mergeCell ref="C56:H56"/>
    <mergeCell ref="A57:B58"/>
    <mergeCell ref="C57:E57"/>
    <mergeCell ref="A53:B54"/>
    <mergeCell ref="C53:E53"/>
    <mergeCell ref="G53:H53"/>
    <mergeCell ref="C54:H54"/>
    <mergeCell ref="G57:H57"/>
    <mergeCell ref="C58:H58"/>
    <mergeCell ref="A59:B59"/>
    <mergeCell ref="C59:E59"/>
    <mergeCell ref="G59:H59"/>
    <mergeCell ref="A122:B122"/>
    <mergeCell ref="C122:H122"/>
    <mergeCell ref="A186:H186"/>
    <mergeCell ref="E183:E184"/>
    <mergeCell ref="A126:B126"/>
    <mergeCell ref="C124:H124"/>
    <mergeCell ref="A127:B127"/>
    <mergeCell ref="A128:B128"/>
    <mergeCell ref="G126:H135"/>
    <mergeCell ref="A129:B129"/>
    <mergeCell ref="F153:H153"/>
    <mergeCell ref="A153:E153"/>
    <mergeCell ref="D183:D184"/>
    <mergeCell ref="A155:E155"/>
    <mergeCell ref="A131:B131"/>
    <mergeCell ref="A151:E151"/>
    <mergeCell ref="F155:H155"/>
    <mergeCell ref="G125:H125"/>
    <mergeCell ref="G174:H174"/>
    <mergeCell ref="A181:H181"/>
    <mergeCell ref="A185:H185"/>
    <mergeCell ref="A148:B148"/>
    <mergeCell ref="C177:D177"/>
    <mergeCell ref="L196:M196"/>
    <mergeCell ref="A197:B197"/>
    <mergeCell ref="L197:M197"/>
    <mergeCell ref="A198:B198"/>
    <mergeCell ref="L198:M198"/>
    <mergeCell ref="L191:M191"/>
    <mergeCell ref="L190:M190"/>
    <mergeCell ref="L189:M189"/>
    <mergeCell ref="A152:E152"/>
    <mergeCell ref="A164:E164"/>
    <mergeCell ref="E176:F176"/>
    <mergeCell ref="A180:B180"/>
    <mergeCell ref="C180:D180"/>
    <mergeCell ref="E180:F180"/>
    <mergeCell ref="A192:B192"/>
    <mergeCell ref="A179:B179"/>
    <mergeCell ref="E179:F179"/>
    <mergeCell ref="A174:B174"/>
    <mergeCell ref="C174:D174"/>
    <mergeCell ref="E174:F174"/>
    <mergeCell ref="A167:E167"/>
    <mergeCell ref="L195:M195"/>
    <mergeCell ref="F151:H151"/>
    <mergeCell ref="F162:H162"/>
    <mergeCell ref="A163:E163"/>
    <mergeCell ref="F163:H163"/>
    <mergeCell ref="A165:E165"/>
    <mergeCell ref="G180:H180"/>
    <mergeCell ref="A154:E154"/>
    <mergeCell ref="F156:H156"/>
    <mergeCell ref="F157:H157"/>
    <mergeCell ref="F158:H158"/>
    <mergeCell ref="F159:H159"/>
    <mergeCell ref="F160:H160"/>
    <mergeCell ref="F161:H161"/>
    <mergeCell ref="A156:E156"/>
    <mergeCell ref="A162:E162"/>
    <mergeCell ref="F168:H168"/>
    <mergeCell ref="A107:B107"/>
    <mergeCell ref="C107:H107"/>
    <mergeCell ref="A87:C87"/>
    <mergeCell ref="A111:B111"/>
    <mergeCell ref="A119:B119"/>
    <mergeCell ref="E96:F96"/>
    <mergeCell ref="G96:H96"/>
    <mergeCell ref="A81:C84"/>
    <mergeCell ref="A92:B92"/>
    <mergeCell ref="C92:H92"/>
    <mergeCell ref="A88:C88"/>
    <mergeCell ref="D88:H88"/>
    <mergeCell ref="A91:C91"/>
    <mergeCell ref="D91:H91"/>
    <mergeCell ref="A90:C90"/>
    <mergeCell ref="A116:B116"/>
    <mergeCell ref="A113:B113"/>
    <mergeCell ref="A115:B115"/>
    <mergeCell ref="E111:F111"/>
    <mergeCell ref="A118:B118"/>
    <mergeCell ref="A168:E168"/>
    <mergeCell ref="F154:H154"/>
    <mergeCell ref="A157:E157"/>
    <mergeCell ref="A158:E158"/>
    <mergeCell ref="A159:E159"/>
    <mergeCell ref="A160:E160"/>
    <mergeCell ref="A161:E161"/>
    <mergeCell ref="A97:B97"/>
    <mergeCell ref="E97:F106"/>
    <mergeCell ref="G97:H106"/>
    <mergeCell ref="A98:B98"/>
    <mergeCell ref="A99:B99"/>
    <mergeCell ref="A100:B100"/>
    <mergeCell ref="A101:B101"/>
    <mergeCell ref="A102:B102"/>
    <mergeCell ref="A103:B103"/>
    <mergeCell ref="A104:B104"/>
    <mergeCell ref="A105:B105"/>
    <mergeCell ref="A106:B106"/>
    <mergeCell ref="A125:B125"/>
    <mergeCell ref="E125:F125"/>
    <mergeCell ref="E126:F135"/>
    <mergeCell ref="A137:B137"/>
    <mergeCell ref="A124:B124"/>
    <mergeCell ref="A60:H60"/>
    <mergeCell ref="A150:B150"/>
    <mergeCell ref="A149:B149"/>
    <mergeCell ref="A62:B62"/>
    <mergeCell ref="G72:H72"/>
    <mergeCell ref="A74:B75"/>
    <mergeCell ref="C74:E74"/>
    <mergeCell ref="G74:H74"/>
    <mergeCell ref="G62:H62"/>
    <mergeCell ref="A63:B64"/>
    <mergeCell ref="A77:H77"/>
    <mergeCell ref="A78:C78"/>
    <mergeCell ref="A79:C79"/>
    <mergeCell ref="C73:H73"/>
    <mergeCell ref="C75:H75"/>
    <mergeCell ref="A143:B143"/>
    <mergeCell ref="A144:B144"/>
    <mergeCell ref="A94:B94"/>
    <mergeCell ref="C94:H94"/>
    <mergeCell ref="A95:B95"/>
    <mergeCell ref="C95:D95"/>
    <mergeCell ref="E95:F95"/>
    <mergeCell ref="G95:H95"/>
    <mergeCell ref="A96:B96"/>
    <mergeCell ref="B329:H329"/>
    <mergeCell ref="B331:H331"/>
    <mergeCell ref="B328:H328"/>
    <mergeCell ref="B323:H323"/>
    <mergeCell ref="G200:G201"/>
    <mergeCell ref="A200:A201"/>
    <mergeCell ref="F200:F201"/>
    <mergeCell ref="A303:B303"/>
    <mergeCell ref="B330:H330"/>
    <mergeCell ref="A284:B284"/>
    <mergeCell ref="A317:B317"/>
    <mergeCell ref="A202:H202"/>
    <mergeCell ref="A203:H203"/>
    <mergeCell ref="A204:B204"/>
    <mergeCell ref="A209:B209"/>
    <mergeCell ref="A214:B214"/>
    <mergeCell ref="A219:B219"/>
    <mergeCell ref="A225:B225"/>
    <mergeCell ref="A230:B230"/>
    <mergeCell ref="A242:B242"/>
    <mergeCell ref="A257:B257"/>
    <mergeCell ref="A244:B244"/>
    <mergeCell ref="A264:H264"/>
    <mergeCell ref="A265:B265"/>
    <mergeCell ref="L267:M267"/>
    <mergeCell ref="A263:H263"/>
    <mergeCell ref="L279:M279"/>
    <mergeCell ref="L269:M269"/>
    <mergeCell ref="L280:M280"/>
    <mergeCell ref="L281:M281"/>
    <mergeCell ref="A282:H282"/>
    <mergeCell ref="A283:B283"/>
    <mergeCell ref="L283:M283"/>
    <mergeCell ref="A268:B268"/>
    <mergeCell ref="L193:M193"/>
    <mergeCell ref="A194:B194"/>
    <mergeCell ref="L194:M194"/>
    <mergeCell ref="B183:B184"/>
    <mergeCell ref="A183:A184"/>
    <mergeCell ref="C178:D178"/>
    <mergeCell ref="E178:F178"/>
    <mergeCell ref="G178:H178"/>
    <mergeCell ref="A187:B187"/>
    <mergeCell ref="G179:H179"/>
    <mergeCell ref="B177:B178"/>
    <mergeCell ref="L188:M188"/>
    <mergeCell ref="L187:M187"/>
    <mergeCell ref="A189:B189"/>
    <mergeCell ref="C183:C184"/>
    <mergeCell ref="L192:M192"/>
    <mergeCell ref="A193:B193"/>
    <mergeCell ref="C67:E67"/>
    <mergeCell ref="G67:H67"/>
    <mergeCell ref="A68:B69"/>
    <mergeCell ref="C68:E68"/>
    <mergeCell ref="G68:H68"/>
    <mergeCell ref="C69:H69"/>
    <mergeCell ref="A86:C86"/>
    <mergeCell ref="D85:H85"/>
    <mergeCell ref="D87:H87"/>
    <mergeCell ref="C71:H71"/>
    <mergeCell ref="D86:H86"/>
    <mergeCell ref="D82:H82"/>
    <mergeCell ref="D83:H83"/>
    <mergeCell ref="C137:H137"/>
    <mergeCell ref="A110:B110"/>
    <mergeCell ref="C110:D110"/>
    <mergeCell ref="E110:F110"/>
    <mergeCell ref="G110:H110"/>
    <mergeCell ref="C109:H109"/>
    <mergeCell ref="A145:B145"/>
    <mergeCell ref="A146:B146"/>
    <mergeCell ref="A147:B147"/>
    <mergeCell ref="A133:B133"/>
    <mergeCell ref="A114:B114"/>
    <mergeCell ref="E112:F121"/>
    <mergeCell ref="G112:H121"/>
    <mergeCell ref="A109:B109"/>
    <mergeCell ref="E140:F140"/>
    <mergeCell ref="G140:H140"/>
    <mergeCell ref="A121:B121"/>
    <mergeCell ref="A134:B134"/>
    <mergeCell ref="A136:B136"/>
    <mergeCell ref="C136:D136"/>
    <mergeCell ref="E136:F136"/>
    <mergeCell ref="G136:H136"/>
    <mergeCell ref="A141:B141"/>
    <mergeCell ref="E141:F150"/>
    <mergeCell ref="L204:M204"/>
    <mergeCell ref="A205:B205"/>
    <mergeCell ref="L205:M205"/>
    <mergeCell ref="A206:B206"/>
    <mergeCell ref="L206:M206"/>
    <mergeCell ref="A207:B207"/>
    <mergeCell ref="L207:M207"/>
    <mergeCell ref="A208:B208"/>
    <mergeCell ref="L208:M208"/>
    <mergeCell ref="L209:M209"/>
    <mergeCell ref="A210:B210"/>
    <mergeCell ref="L210:M210"/>
    <mergeCell ref="A211:B211"/>
    <mergeCell ref="L211:M211"/>
    <mergeCell ref="A212:B212"/>
    <mergeCell ref="L212:M212"/>
    <mergeCell ref="A213:B213"/>
    <mergeCell ref="L213:M213"/>
    <mergeCell ref="L214:M214"/>
    <mergeCell ref="A215:B215"/>
    <mergeCell ref="L215:M215"/>
    <mergeCell ref="A216:B216"/>
    <mergeCell ref="L216:M216"/>
    <mergeCell ref="A217:B217"/>
    <mergeCell ref="L217:M217"/>
    <mergeCell ref="A218:B218"/>
    <mergeCell ref="L218:M218"/>
    <mergeCell ref="L219:M219"/>
    <mergeCell ref="A220:B220"/>
    <mergeCell ref="L220:M220"/>
    <mergeCell ref="A221:B221"/>
    <mergeCell ref="L221:M221"/>
    <mergeCell ref="A222:B222"/>
    <mergeCell ref="L222:M222"/>
    <mergeCell ref="A223:H223"/>
    <mergeCell ref="A224:B224"/>
    <mergeCell ref="L224:M224"/>
    <mergeCell ref="L225:M225"/>
    <mergeCell ref="A226:B226"/>
    <mergeCell ref="L226:M226"/>
    <mergeCell ref="A227:B227"/>
    <mergeCell ref="L227:M227"/>
    <mergeCell ref="A228:B228"/>
    <mergeCell ref="L228:M228"/>
    <mergeCell ref="A229:B229"/>
    <mergeCell ref="L229:M229"/>
    <mergeCell ref="L230:M230"/>
    <mergeCell ref="A231:B231"/>
    <mergeCell ref="L231:M231"/>
    <mergeCell ref="A232:B232"/>
    <mergeCell ref="L232:M232"/>
    <mergeCell ref="A233:B233"/>
    <mergeCell ref="L233:M233"/>
    <mergeCell ref="A241:B241"/>
    <mergeCell ref="L241:M241"/>
    <mergeCell ref="L242:M242"/>
    <mergeCell ref="A243:H243"/>
    <mergeCell ref="A234:B234"/>
    <mergeCell ref="L234:M234"/>
    <mergeCell ref="A235:B235"/>
    <mergeCell ref="L235:M235"/>
    <mergeCell ref="A236:B236"/>
    <mergeCell ref="L236:M236"/>
    <mergeCell ref="A237:B237"/>
    <mergeCell ref="L237:M237"/>
    <mergeCell ref="A238:B238"/>
    <mergeCell ref="L238:M238"/>
    <mergeCell ref="A239:B239"/>
    <mergeCell ref="L239:M239"/>
    <mergeCell ref="A240:B240"/>
    <mergeCell ref="L240:M240"/>
    <mergeCell ref="L257:M257"/>
    <mergeCell ref="A258:B258"/>
    <mergeCell ref="L258:M258"/>
    <mergeCell ref="A249:B249"/>
    <mergeCell ref="L249:M249"/>
    <mergeCell ref="A250:B250"/>
    <mergeCell ref="L250:M250"/>
    <mergeCell ref="A251:B251"/>
    <mergeCell ref="L251:M251"/>
    <mergeCell ref="A252:B252"/>
    <mergeCell ref="L252:M252"/>
    <mergeCell ref="A253:B253"/>
    <mergeCell ref="L253:M253"/>
    <mergeCell ref="A254:B254"/>
    <mergeCell ref="L254:M254"/>
    <mergeCell ref="A255:B255"/>
    <mergeCell ref="L255:M255"/>
    <mergeCell ref="A256:B256"/>
    <mergeCell ref="L256:M256"/>
    <mergeCell ref="L244:M244"/>
    <mergeCell ref="A245:B245"/>
    <mergeCell ref="L245:M245"/>
    <mergeCell ref="A246:B246"/>
    <mergeCell ref="L246:M246"/>
    <mergeCell ref="A247:B247"/>
    <mergeCell ref="L247:M247"/>
    <mergeCell ref="A248:B248"/>
    <mergeCell ref="L248:M248"/>
    <mergeCell ref="B336:H336"/>
    <mergeCell ref="B337:H337"/>
    <mergeCell ref="A259:B259"/>
    <mergeCell ref="L259:M259"/>
    <mergeCell ref="A260:B260"/>
    <mergeCell ref="L260:M260"/>
    <mergeCell ref="A261:B261"/>
    <mergeCell ref="L261:M261"/>
    <mergeCell ref="A262:B262"/>
    <mergeCell ref="L262:M262"/>
    <mergeCell ref="B333:H333"/>
    <mergeCell ref="A314:H314"/>
    <mergeCell ref="A311:B311"/>
    <mergeCell ref="A300:B300"/>
    <mergeCell ref="A307:B307"/>
    <mergeCell ref="L296:M296"/>
    <mergeCell ref="A286:B286"/>
    <mergeCell ref="L286:M286"/>
    <mergeCell ref="L285:M285"/>
    <mergeCell ref="A285:B285"/>
    <mergeCell ref="L295:M295"/>
    <mergeCell ref="L292:M292"/>
    <mergeCell ref="L293:M293"/>
    <mergeCell ref="A294:B294"/>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83:E184">
      <formula1>"Attached Loft area,Attached Otla area,Attached Mezzanine area"</formula1>
    </dataValidation>
    <dataValidation type="list" allowBlank="1" showInputMessage="1" showErrorMessage="1" sqref="G346:H346">
      <formula1>"Kunal Kadam,Pranita Mhatre,Shruti Fule,Pooja Kawale,Gaurav Panchal,Shruti Tathare, Hitakshi Mhatre, Sachin Sawant"</formula1>
    </dataValidation>
    <dataValidation type="list" allowBlank="1" showInputMessage="1" showErrorMessage="1" sqref="F151:H151">
      <formula1>"On Saleable Area,On Builtup Area,On Carpet Area,On Plot Area"</formula1>
    </dataValidation>
    <dataValidation type="list" allowBlank="1" showInputMessage="1" showErrorMessage="1" sqref="B183:B184">
      <formula1>"Shop No. (Sale Plan),Sale / Rehab,Sale / Mhada"</formula1>
    </dataValidation>
    <dataValidation type="list" allowBlank="1" showInputMessage="1" showErrorMessage="1" sqref="B200:B201">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00:E201">
      <formula1>"Fungible area,Balcony Area,Chajja Area,Cornice Area,AP Area,WS Area"</formula1>
    </dataValidation>
    <dataValidation type="list" allowBlank="1" showInputMessage="1" showErrorMessage="1" sqref="H184 H201">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83 H200">
      <formula1>"Saleable area Loading :,Builder Saleable Area"</formula1>
    </dataValidation>
    <dataValidation type="list" allowBlank="1" showInputMessage="1" showErrorMessage="1" sqref="D183:D184 D200:D201">
      <formula1>"Carpet area,RERA Carpet area"</formula1>
    </dataValidation>
    <dataValidation type="list" allowBlank="1" showInputMessage="1" showErrorMessage="1" sqref="F169:H169">
      <formula1>OFFSET($S$151,1,MATCH($G20,$S$151:$W$151,0)-1,15,1)</formula1>
    </dataValidation>
  </dataValidations>
  <hyperlinks>
    <hyperlink ref="C40" r:id="rId1"/>
  </hyperlinks>
  <printOptions horizontalCentered="1"/>
  <pageMargins left="0.39370078740157483" right="0.39370078740157483" top="0.78740157480314965"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4" manualBreakCount="4">
    <brk id="350" max="16383" man="1"/>
    <brk id="393" max="16383" man="1"/>
    <brk id="436" max="16383" man="1"/>
    <brk id="479"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303" t="s">
        <v>103</v>
      </c>
      <c r="C3" s="303"/>
      <c r="D3" s="303"/>
      <c r="E3" s="303"/>
      <c r="F3" s="303"/>
      <c r="G3" s="303"/>
      <c r="H3" s="303"/>
    </row>
    <row r="4" spans="1:9" x14ac:dyDescent="0.35">
      <c r="A4" s="2"/>
      <c r="B4" s="3" t="s">
        <v>104</v>
      </c>
      <c r="C4" s="3" t="s">
        <v>105</v>
      </c>
      <c r="D4" s="3" t="s">
        <v>66</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1"/>
      <c r="C4" s="51" t="s">
        <v>11</v>
      </c>
      <c r="D4" s="52" t="s">
        <v>178</v>
      </c>
      <c r="E4" s="52" t="s">
        <v>188</v>
      </c>
      <c r="F4" s="52" t="s">
        <v>172</v>
      </c>
      <c r="G4" s="52" t="s">
        <v>193</v>
      </c>
      <c r="H4" s="52" t="s">
        <v>211</v>
      </c>
      <c r="J4" t="s">
        <v>193</v>
      </c>
      <c r="K4" t="s">
        <v>209</v>
      </c>
    </row>
    <row r="5" spans="2:11" x14ac:dyDescent="0.35">
      <c r="B5" s="51"/>
      <c r="C5" s="51"/>
      <c r="D5" s="52" t="s">
        <v>179</v>
      </c>
      <c r="E5" s="52" t="s">
        <v>186</v>
      </c>
      <c r="F5" s="52" t="s">
        <v>208</v>
      </c>
      <c r="G5" s="52" t="s">
        <v>194</v>
      </c>
      <c r="H5" s="52" t="s">
        <v>212</v>
      </c>
    </row>
    <row r="6" spans="2:11" x14ac:dyDescent="0.35">
      <c r="B6" s="51"/>
      <c r="C6" s="51"/>
      <c r="D6" s="52" t="s">
        <v>180</v>
      </c>
      <c r="E6" s="52" t="s">
        <v>187</v>
      </c>
      <c r="F6" s="52" t="s">
        <v>209</v>
      </c>
      <c r="G6" s="52" t="s">
        <v>195</v>
      </c>
      <c r="H6" s="52" t="s">
        <v>225</v>
      </c>
    </row>
    <row r="7" spans="2:11" x14ac:dyDescent="0.35">
      <c r="B7" s="51"/>
      <c r="C7" s="51"/>
      <c r="D7" s="52" t="s">
        <v>181</v>
      </c>
      <c r="E7" s="52" t="s">
        <v>189</v>
      </c>
      <c r="F7" s="52" t="s">
        <v>210</v>
      </c>
      <c r="G7" s="52" t="s">
        <v>196</v>
      </c>
      <c r="H7" s="52" t="s">
        <v>213</v>
      </c>
    </row>
    <row r="8" spans="2:11" x14ac:dyDescent="0.35">
      <c r="B8" s="51"/>
      <c r="C8" s="51"/>
      <c r="D8" s="52" t="s">
        <v>182</v>
      </c>
      <c r="E8" s="52" t="s">
        <v>190</v>
      </c>
      <c r="F8" s="52"/>
      <c r="G8" s="52" t="s">
        <v>197</v>
      </c>
      <c r="H8" s="52" t="s">
        <v>214</v>
      </c>
    </row>
    <row r="9" spans="2:11" x14ac:dyDescent="0.35">
      <c r="B9" s="51"/>
      <c r="C9" s="51"/>
      <c r="D9" s="52" t="s">
        <v>183</v>
      </c>
      <c r="E9" s="52" t="s">
        <v>188</v>
      </c>
      <c r="F9" s="52"/>
      <c r="G9" s="52" t="s">
        <v>198</v>
      </c>
      <c r="H9" s="52" t="s">
        <v>215</v>
      </c>
    </row>
    <row r="10" spans="2:11" x14ac:dyDescent="0.35">
      <c r="B10" s="51"/>
      <c r="C10" s="51"/>
      <c r="D10" s="52" t="s">
        <v>184</v>
      </c>
      <c r="E10" s="52" t="s">
        <v>191</v>
      </c>
      <c r="F10" s="52"/>
      <c r="G10" s="52" t="s">
        <v>199</v>
      </c>
      <c r="H10" s="52" t="s">
        <v>216</v>
      </c>
    </row>
    <row r="11" spans="2:11" x14ac:dyDescent="0.35">
      <c r="B11" s="51"/>
      <c r="C11" s="51"/>
      <c r="D11" s="52" t="s">
        <v>185</v>
      </c>
      <c r="E11" s="52" t="s">
        <v>192</v>
      </c>
      <c r="F11" s="52"/>
      <c r="G11" s="52" t="s">
        <v>200</v>
      </c>
      <c r="H11" s="52" t="s">
        <v>217</v>
      </c>
    </row>
    <row r="12" spans="2:11" x14ac:dyDescent="0.35">
      <c r="B12" s="51"/>
      <c r="C12" s="51"/>
      <c r="D12" s="52"/>
      <c r="E12" s="52"/>
      <c r="F12" s="52"/>
      <c r="G12" s="52" t="s">
        <v>201</v>
      </c>
      <c r="H12" s="52" t="s">
        <v>218</v>
      </c>
    </row>
    <row r="13" spans="2:11" x14ac:dyDescent="0.35">
      <c r="B13" s="51"/>
      <c r="C13" s="51"/>
      <c r="D13" s="52"/>
      <c r="E13" s="52"/>
      <c r="F13" s="52"/>
      <c r="G13" s="52" t="s">
        <v>202</v>
      </c>
      <c r="H13" s="52" t="s">
        <v>219</v>
      </c>
    </row>
    <row r="14" spans="2:11" x14ac:dyDescent="0.35">
      <c r="B14" s="51"/>
      <c r="C14" s="51"/>
      <c r="D14" s="52"/>
      <c r="E14" s="52"/>
      <c r="F14" s="52"/>
      <c r="G14" s="52" t="s">
        <v>203</v>
      </c>
      <c r="H14" s="52" t="s">
        <v>220</v>
      </c>
    </row>
    <row r="15" spans="2:11" x14ac:dyDescent="0.35">
      <c r="B15" s="51"/>
      <c r="C15" s="51"/>
      <c r="D15" s="52"/>
      <c r="E15" s="52"/>
      <c r="F15" s="52"/>
      <c r="G15" s="52" t="s">
        <v>204</v>
      </c>
      <c r="H15" s="52" t="s">
        <v>221</v>
      </c>
    </row>
    <row r="16" spans="2:11" x14ac:dyDescent="0.35">
      <c r="B16" s="51"/>
      <c r="C16" s="51"/>
      <c r="D16" s="52"/>
      <c r="E16" s="52"/>
      <c r="F16" s="52"/>
      <c r="G16" s="52" t="s">
        <v>205</v>
      </c>
      <c r="H16" s="52" t="s">
        <v>222</v>
      </c>
    </row>
    <row r="17" spans="2:8" x14ac:dyDescent="0.35">
      <c r="B17" s="51"/>
      <c r="C17" s="51"/>
      <c r="D17" s="52"/>
      <c r="E17" s="52"/>
      <c r="F17" s="52"/>
      <c r="G17" s="52" t="s">
        <v>206</v>
      </c>
      <c r="H17" s="52" t="s">
        <v>223</v>
      </c>
    </row>
    <row r="18" spans="2:8" x14ac:dyDescent="0.35">
      <c r="B18" s="51"/>
      <c r="C18" s="51"/>
      <c r="D18" s="52"/>
      <c r="E18" s="52"/>
      <c r="F18" s="52"/>
      <c r="G18" s="52" t="s">
        <v>207</v>
      </c>
      <c r="H18" s="52" t="s">
        <v>224</v>
      </c>
    </row>
    <row r="24" spans="2:8" x14ac:dyDescent="0.35">
      <c r="C24" t="s">
        <v>169</v>
      </c>
    </row>
    <row r="25" spans="2:8" x14ac:dyDescent="0.35">
      <c r="C25" t="s">
        <v>226</v>
      </c>
    </row>
    <row r="26" spans="2:8" x14ac:dyDescent="0.35">
      <c r="C26" t="s">
        <v>227</v>
      </c>
    </row>
    <row r="27" spans="2:8" x14ac:dyDescent="0.35">
      <c r="C27" t="s">
        <v>228</v>
      </c>
    </row>
    <row r="28" spans="2:8" x14ac:dyDescent="0.35">
      <c r="C28" t="s">
        <v>229</v>
      </c>
    </row>
    <row r="29" spans="2:8" x14ac:dyDescent="0.35">
      <c r="C29" t="s">
        <v>230</v>
      </c>
    </row>
    <row r="30" spans="2:8" x14ac:dyDescent="0.35">
      <c r="C30" t="s">
        <v>169</v>
      </c>
    </row>
    <row r="33" spans="3:11" x14ac:dyDescent="0.35">
      <c r="J33">
        <v>1</v>
      </c>
      <c r="K33">
        <v>2</v>
      </c>
    </row>
    <row r="34" spans="3:11" x14ac:dyDescent="0.35">
      <c r="C34" s="55" t="s">
        <v>237</v>
      </c>
      <c r="D34" s="52" t="s">
        <v>235</v>
      </c>
      <c r="E34" s="52" t="s">
        <v>240</v>
      </c>
      <c r="F34" s="52" t="s">
        <v>238</v>
      </c>
      <c r="G34" s="52" t="s">
        <v>239</v>
      </c>
      <c r="H34" s="52" t="s">
        <v>241</v>
      </c>
      <c r="J34" t="s">
        <v>193</v>
      </c>
      <c r="K34" t="s">
        <v>209</v>
      </c>
    </row>
    <row r="35" spans="3:11" x14ac:dyDescent="0.35">
      <c r="C35" s="51" t="s">
        <v>236</v>
      </c>
      <c r="D35" s="52" t="s">
        <v>170</v>
      </c>
      <c r="E35" s="52" t="s">
        <v>245</v>
      </c>
      <c r="F35" s="52" t="s">
        <v>247</v>
      </c>
      <c r="G35" s="52" t="s">
        <v>249</v>
      </c>
      <c r="H35" s="52"/>
    </row>
    <row r="36" spans="3:11" x14ac:dyDescent="0.35">
      <c r="C36" s="51"/>
      <c r="D36" s="52" t="s">
        <v>242</v>
      </c>
      <c r="E36" s="52" t="s">
        <v>246</v>
      </c>
      <c r="F36" s="52" t="s">
        <v>248</v>
      </c>
      <c r="G36" s="52" t="s">
        <v>250</v>
      </c>
      <c r="H36" s="52"/>
    </row>
    <row r="37" spans="3:11" x14ac:dyDescent="0.35">
      <c r="C37" s="51"/>
      <c r="D37" s="52" t="s">
        <v>243</v>
      </c>
      <c r="E37" s="52"/>
      <c r="F37" s="52"/>
      <c r="G37" s="52" t="s">
        <v>251</v>
      </c>
      <c r="H37" s="52"/>
    </row>
    <row r="38" spans="3:11" x14ac:dyDescent="0.35">
      <c r="C38" s="51"/>
      <c r="D38" s="52" t="s">
        <v>244</v>
      </c>
      <c r="E38" s="52"/>
      <c r="F38" s="52"/>
      <c r="G38" s="52" t="s">
        <v>251</v>
      </c>
      <c r="H38" s="52"/>
    </row>
    <row r="39" spans="3:11" x14ac:dyDescent="0.35">
      <c r="C39" s="51"/>
      <c r="D39" s="52"/>
      <c r="E39" s="52"/>
      <c r="F39" s="52"/>
      <c r="G39" s="52" t="s">
        <v>252</v>
      </c>
      <c r="H39" s="52"/>
    </row>
    <row r="40" spans="3:11" x14ac:dyDescent="0.35">
      <c r="C40" s="51"/>
      <c r="D40" s="52"/>
      <c r="E40" s="52"/>
      <c r="F40" s="52"/>
      <c r="G40" s="52" t="s">
        <v>253</v>
      </c>
      <c r="H40" s="52"/>
    </row>
    <row r="41" spans="3:11" x14ac:dyDescent="0.35">
      <c r="C41" s="51"/>
      <c r="D41" s="52"/>
      <c r="E41" s="52"/>
      <c r="F41" s="52"/>
      <c r="G41" s="52"/>
      <c r="H41" s="52"/>
    </row>
    <row r="43" spans="3:11" x14ac:dyDescent="0.35">
      <c r="C43" t="s">
        <v>254</v>
      </c>
    </row>
    <row r="44" spans="3:11" x14ac:dyDescent="0.35">
      <c r="C44" t="s">
        <v>172</v>
      </c>
      <c r="D44" t="s">
        <v>255</v>
      </c>
    </row>
    <row r="45" spans="3:11" x14ac:dyDescent="0.35">
      <c r="D45" t="s">
        <v>256</v>
      </c>
    </row>
    <row r="46" spans="3:11" x14ac:dyDescent="0.35">
      <c r="D46" t="s">
        <v>257</v>
      </c>
    </row>
    <row r="47" spans="3:11" x14ac:dyDescent="0.35">
      <c r="D47" t="s">
        <v>258</v>
      </c>
    </row>
    <row r="48" spans="3:11" x14ac:dyDescent="0.35">
      <c r="D48" t="s">
        <v>259</v>
      </c>
    </row>
    <row r="49" spans="3:4" x14ac:dyDescent="0.35">
      <c r="C49" t="s">
        <v>178</v>
      </c>
      <c r="D49" t="s">
        <v>260</v>
      </c>
    </row>
    <row r="50" spans="3:4" x14ac:dyDescent="0.35">
      <c r="D50" t="s">
        <v>261</v>
      </c>
    </row>
    <row r="51" spans="3:4" x14ac:dyDescent="0.35">
      <c r="D51" t="s">
        <v>262</v>
      </c>
    </row>
    <row r="52" spans="3:4" x14ac:dyDescent="0.35">
      <c r="D52" t="s">
        <v>265</v>
      </c>
    </row>
    <row r="53" spans="3:4" x14ac:dyDescent="0.35">
      <c r="D53" t="s">
        <v>263</v>
      </c>
    </row>
    <row r="54" spans="3:4" x14ac:dyDescent="0.35">
      <c r="D54" t="s">
        <v>264</v>
      </c>
    </row>
    <row r="55" spans="3:4" x14ac:dyDescent="0.35">
      <c r="D55" t="s">
        <v>266</v>
      </c>
    </row>
    <row r="56" spans="3:4" x14ac:dyDescent="0.35">
      <c r="D56" t="s">
        <v>267</v>
      </c>
    </row>
    <row r="57" spans="3:4" x14ac:dyDescent="0.35">
      <c r="D57" t="s">
        <v>268</v>
      </c>
    </row>
    <row r="58" spans="3:4" x14ac:dyDescent="0.35">
      <c r="D58" t="s">
        <v>270</v>
      </c>
    </row>
    <row r="59" spans="3:4" x14ac:dyDescent="0.35">
      <c r="D59" t="s">
        <v>279</v>
      </c>
    </row>
    <row r="60" spans="3:4" x14ac:dyDescent="0.35">
      <c r="C60" t="s">
        <v>193</v>
      </c>
      <c r="D60" t="s">
        <v>271</v>
      </c>
    </row>
    <row r="61" spans="3:4" x14ac:dyDescent="0.35">
      <c r="D61" t="s">
        <v>269</v>
      </c>
    </row>
    <row r="62" spans="3:4" x14ac:dyDescent="0.35">
      <c r="D62" t="s">
        <v>259</v>
      </c>
    </row>
    <row r="63" spans="3:4" x14ac:dyDescent="0.35">
      <c r="D63" t="s">
        <v>272</v>
      </c>
    </row>
    <row r="64" spans="3:4" x14ac:dyDescent="0.35">
      <c r="D64" t="s">
        <v>273</v>
      </c>
    </row>
    <row r="65" spans="3:4" x14ac:dyDescent="0.35">
      <c r="D65" t="s">
        <v>274</v>
      </c>
    </row>
    <row r="66" spans="3:4" x14ac:dyDescent="0.35">
      <c r="D66" t="s">
        <v>275</v>
      </c>
    </row>
    <row r="67" spans="3:4" x14ac:dyDescent="0.35">
      <c r="C67" t="s">
        <v>188</v>
      </c>
      <c r="D67" t="s">
        <v>276</v>
      </c>
    </row>
    <row r="68" spans="3:4" x14ac:dyDescent="0.35">
      <c r="D68" t="s">
        <v>277</v>
      </c>
    </row>
    <row r="69" spans="3:4" x14ac:dyDescent="0.35">
      <c r="D69" t="s">
        <v>278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topLeftCell="A22" workbookViewId="0">
      <selection activeCell="C34" sqref="C34"/>
    </sheetView>
  </sheetViews>
  <sheetFormatPr defaultRowHeight="14.5" x14ac:dyDescent="0.35"/>
  <cols>
    <col min="2" max="2" width="3" bestFit="1" customWidth="1"/>
    <col min="3" max="3" width="155.26953125" customWidth="1"/>
  </cols>
  <sheetData>
    <row r="2" spans="2:3" ht="15" customHeight="1" x14ac:dyDescent="0.35">
      <c r="B2" s="56">
        <v>1</v>
      </c>
      <c r="C2" s="59" t="s">
        <v>285</v>
      </c>
    </row>
    <row r="3" spans="2:3" x14ac:dyDescent="0.35">
      <c r="B3" s="56">
        <v>2</v>
      </c>
      <c r="C3" s="57" t="s">
        <v>286</v>
      </c>
    </row>
    <row r="4" spans="2:3" x14ac:dyDescent="0.35">
      <c r="B4" s="56">
        <v>3</v>
      </c>
      <c r="C4" s="58" t="s">
        <v>287</v>
      </c>
    </row>
    <row r="5" spans="2:3" x14ac:dyDescent="0.35">
      <c r="B5" s="56">
        <v>4</v>
      </c>
      <c r="C5" s="57" t="s">
        <v>288</v>
      </c>
    </row>
    <row r="6" spans="2:3" x14ac:dyDescent="0.35">
      <c r="B6" s="56">
        <v>5</v>
      </c>
      <c r="C6" s="58" t="s">
        <v>289</v>
      </c>
    </row>
    <row r="7" spans="2:3" ht="29" x14ac:dyDescent="0.35">
      <c r="B7" s="56">
        <v>6</v>
      </c>
      <c r="C7" s="57" t="s">
        <v>290</v>
      </c>
    </row>
    <row r="8" spans="2:3" ht="72.5" x14ac:dyDescent="0.35">
      <c r="B8" s="56">
        <v>7</v>
      </c>
      <c r="C8" s="57" t="s">
        <v>291</v>
      </c>
    </row>
    <row r="9" spans="2:3" x14ac:dyDescent="0.35">
      <c r="B9" s="56">
        <v>8</v>
      </c>
      <c r="C9" s="58" t="s">
        <v>292</v>
      </c>
    </row>
    <row r="10" spans="2:3" x14ac:dyDescent="0.35">
      <c r="B10" s="56">
        <v>9</v>
      </c>
      <c r="C10" s="58" t="s">
        <v>293</v>
      </c>
    </row>
    <row r="11" spans="2:3" x14ac:dyDescent="0.35">
      <c r="B11" s="56">
        <v>10</v>
      </c>
      <c r="C11" s="58" t="s">
        <v>294</v>
      </c>
    </row>
    <row r="12" spans="2:3" x14ac:dyDescent="0.35">
      <c r="B12" s="56">
        <v>11</v>
      </c>
      <c r="C12" s="58" t="s">
        <v>295</v>
      </c>
    </row>
    <row r="13" spans="2:3" x14ac:dyDescent="0.35">
      <c r="B13" s="56">
        <v>12</v>
      </c>
      <c r="C13" s="58" t="s">
        <v>296</v>
      </c>
    </row>
    <row r="14" spans="2:3" x14ac:dyDescent="0.35">
      <c r="B14" s="56">
        <v>13</v>
      </c>
      <c r="C14" s="58" t="s">
        <v>297</v>
      </c>
    </row>
    <row r="15" spans="2:3" x14ac:dyDescent="0.35">
      <c r="B15" s="56">
        <v>14</v>
      </c>
      <c r="C15" s="58" t="s">
        <v>287</v>
      </c>
    </row>
    <row r="16" spans="2:3" x14ac:dyDescent="0.35">
      <c r="B16" s="56">
        <v>15</v>
      </c>
      <c r="C16" s="58" t="s">
        <v>299</v>
      </c>
    </row>
    <row r="17" spans="2:3" x14ac:dyDescent="0.35">
      <c r="B17" s="80">
        <v>16</v>
      </c>
      <c r="C17" s="63" t="s">
        <v>300</v>
      </c>
    </row>
    <row r="18" spans="2:3" x14ac:dyDescent="0.35">
      <c r="B18" s="62">
        <v>17</v>
      </c>
      <c r="C18" s="63" t="s">
        <v>301</v>
      </c>
    </row>
    <row r="19" spans="2:3" x14ac:dyDescent="0.35">
      <c r="B19" s="61">
        <v>18</v>
      </c>
      <c r="C19" s="56" t="s">
        <v>302</v>
      </c>
    </row>
    <row r="20" spans="2:3" x14ac:dyDescent="0.35">
      <c r="B20" s="62">
        <v>19</v>
      </c>
      <c r="C20" s="56" t="s">
        <v>338</v>
      </c>
    </row>
    <row r="21" spans="2:3" x14ac:dyDescent="0.35">
      <c r="B21" s="64">
        <v>20</v>
      </c>
      <c r="C21" s="56" t="s">
        <v>303</v>
      </c>
    </row>
    <row r="22" spans="2:3" x14ac:dyDescent="0.35">
      <c r="B22" s="62">
        <v>21</v>
      </c>
      <c r="C22" s="56" t="s">
        <v>302</v>
      </c>
    </row>
    <row r="23" spans="2:3" s="72" customFormat="1" ht="29.25" customHeight="1" x14ac:dyDescent="0.35">
      <c r="B23" s="71">
        <v>22</v>
      </c>
      <c r="C23" s="59" t="s">
        <v>330</v>
      </c>
    </row>
    <row r="24" spans="2:3" s="72" customFormat="1" ht="30.75" customHeight="1" x14ac:dyDescent="0.35">
      <c r="B24" s="73">
        <v>23</v>
      </c>
      <c r="C24" s="59" t="s">
        <v>331</v>
      </c>
    </row>
    <row r="25" spans="2:3" x14ac:dyDescent="0.35">
      <c r="B25" s="64">
        <v>24</v>
      </c>
      <c r="C25" s="56" t="s">
        <v>334</v>
      </c>
    </row>
    <row r="26" spans="2:3" x14ac:dyDescent="0.35">
      <c r="B26" s="62">
        <v>25</v>
      </c>
      <c r="C26" s="56" t="s">
        <v>332</v>
      </c>
    </row>
    <row r="27" spans="2:3" x14ac:dyDescent="0.35">
      <c r="B27" s="73">
        <v>26</v>
      </c>
      <c r="C27" s="64" t="s">
        <v>333</v>
      </c>
    </row>
    <row r="28" spans="2:3" x14ac:dyDescent="0.35">
      <c r="B28" s="74">
        <v>27</v>
      </c>
      <c r="C28" s="56" t="s">
        <v>335</v>
      </c>
    </row>
    <row r="29" spans="2:3" ht="43.5" x14ac:dyDescent="0.35">
      <c r="B29" s="79">
        <v>28</v>
      </c>
      <c r="C29" s="57" t="s">
        <v>336</v>
      </c>
    </row>
    <row r="30" spans="2:3" x14ac:dyDescent="0.35">
      <c r="B30" s="73">
        <v>29</v>
      </c>
      <c r="C30" s="56" t="s">
        <v>337</v>
      </c>
    </row>
    <row r="31" spans="2:3" ht="29" x14ac:dyDescent="0.35">
      <c r="B31" s="81">
        <v>30</v>
      </c>
      <c r="C31" s="57" t="s">
        <v>339</v>
      </c>
    </row>
    <row r="32" spans="2:3" x14ac:dyDescent="0.35">
      <c r="B32" s="73">
        <v>31</v>
      </c>
      <c r="C32" s="56" t="s">
        <v>340</v>
      </c>
    </row>
    <row r="33" spans="2:3" x14ac:dyDescent="0.35">
      <c r="B33" s="73">
        <v>32</v>
      </c>
      <c r="C33" s="56" t="s">
        <v>341</v>
      </c>
    </row>
    <row r="34" spans="2:3" ht="36.75" customHeight="1" x14ac:dyDescent="0.35">
      <c r="B34" s="81">
        <v>33</v>
      </c>
      <c r="C34" s="63" t="s">
        <v>342</v>
      </c>
    </row>
    <row r="35" spans="2:3" x14ac:dyDescent="0.35">
      <c r="B35" s="73">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1"/>
    <col min="2" max="2" width="12.26953125" style="51" customWidth="1"/>
    <col min="3" max="16384" width="9.1796875" style="51"/>
  </cols>
  <sheetData>
    <row r="2" spans="1:12" x14ac:dyDescent="0.35">
      <c r="B2" s="65" t="s">
        <v>304</v>
      </c>
      <c r="C2" s="304"/>
      <c r="D2" s="304"/>
    </row>
    <row r="3" spans="1:12" x14ac:dyDescent="0.35">
      <c r="D3" s="66"/>
      <c r="E3" s="66"/>
      <c r="F3" s="66"/>
      <c r="G3" s="66"/>
      <c r="H3" s="66"/>
      <c r="I3" s="66"/>
    </row>
    <row r="4" spans="1:12" x14ac:dyDescent="0.35">
      <c r="A4" s="65" t="s">
        <v>66</v>
      </c>
      <c r="B4" s="67" t="s">
        <v>305</v>
      </c>
      <c r="C4" s="305" t="s">
        <v>306</v>
      </c>
      <c r="D4" s="305"/>
      <c r="E4" s="305"/>
      <c r="F4" s="67"/>
      <c r="G4" s="306" t="s">
        <v>307</v>
      </c>
      <c r="H4" s="306"/>
      <c r="I4" s="306"/>
      <c r="J4" s="307" t="s">
        <v>308</v>
      </c>
      <c r="K4" s="307"/>
      <c r="L4" s="307"/>
    </row>
    <row r="5" spans="1:12" x14ac:dyDescent="0.35">
      <c r="A5" s="65"/>
      <c r="B5" s="67"/>
      <c r="C5" s="67" t="s">
        <v>309</v>
      </c>
      <c r="D5" s="67" t="s">
        <v>310</v>
      </c>
      <c r="E5" s="67" t="s">
        <v>311</v>
      </c>
      <c r="F5" s="67"/>
      <c r="G5" s="67" t="s">
        <v>309</v>
      </c>
      <c r="H5" s="67" t="s">
        <v>310</v>
      </c>
      <c r="I5" s="67" t="s">
        <v>311</v>
      </c>
      <c r="J5" s="67" t="s">
        <v>309</v>
      </c>
      <c r="K5" s="67" t="s">
        <v>310</v>
      </c>
      <c r="L5" s="67" t="s">
        <v>311</v>
      </c>
    </row>
    <row r="6" spans="1:12" x14ac:dyDescent="0.35">
      <c r="B6" s="52" t="s">
        <v>312</v>
      </c>
      <c r="C6" s="52"/>
      <c r="D6" s="52"/>
      <c r="E6" s="52">
        <f>C6*D6</f>
        <v>0</v>
      </c>
      <c r="F6" s="52" t="s">
        <v>329</v>
      </c>
      <c r="G6" s="52"/>
      <c r="H6" s="52"/>
      <c r="I6" s="52">
        <f>G6*H6</f>
        <v>0</v>
      </c>
      <c r="J6" s="52"/>
      <c r="K6" s="52"/>
      <c r="L6" s="52">
        <f>J6*K6</f>
        <v>0</v>
      </c>
    </row>
    <row r="7" spans="1:12" x14ac:dyDescent="0.35">
      <c r="B7" s="52"/>
      <c r="C7" s="52"/>
      <c r="D7" s="52"/>
      <c r="E7" s="52">
        <f t="shared" ref="E7:E41" si="0">C7*D7</f>
        <v>0</v>
      </c>
      <c r="F7" s="52" t="s">
        <v>329</v>
      </c>
      <c r="G7" s="52"/>
      <c r="H7" s="52"/>
      <c r="I7" s="52">
        <f t="shared" ref="I7:I35" si="1">G7*H7</f>
        <v>0</v>
      </c>
      <c r="J7" s="52"/>
      <c r="K7" s="52"/>
      <c r="L7" s="52">
        <f t="shared" ref="L7:L35" si="2">J7*K7</f>
        <v>0</v>
      </c>
    </row>
    <row r="8" spans="1:12" x14ac:dyDescent="0.35">
      <c r="B8" s="52"/>
      <c r="C8" s="52"/>
      <c r="D8" s="52"/>
      <c r="E8" s="52">
        <f t="shared" si="0"/>
        <v>0</v>
      </c>
      <c r="F8" s="52"/>
      <c r="G8" s="52"/>
      <c r="H8" s="52"/>
      <c r="I8" s="52">
        <f t="shared" si="1"/>
        <v>0</v>
      </c>
      <c r="J8" s="52"/>
      <c r="K8" s="52"/>
      <c r="L8" s="52">
        <f t="shared" si="2"/>
        <v>0</v>
      </c>
    </row>
    <row r="9" spans="1:12" x14ac:dyDescent="0.35">
      <c r="B9" s="52"/>
      <c r="C9" s="52"/>
      <c r="D9" s="52"/>
      <c r="E9" s="52">
        <f t="shared" si="0"/>
        <v>0</v>
      </c>
      <c r="F9" s="52" t="s">
        <v>313</v>
      </c>
      <c r="G9" s="52"/>
      <c r="H9" s="52"/>
      <c r="I9" s="52">
        <f t="shared" si="1"/>
        <v>0</v>
      </c>
      <c r="J9" s="52"/>
      <c r="K9" s="52"/>
      <c r="L9" s="52">
        <f t="shared" si="2"/>
        <v>0</v>
      </c>
    </row>
    <row r="10" spans="1:12" x14ac:dyDescent="0.35">
      <c r="B10" s="52" t="s">
        <v>314</v>
      </c>
      <c r="C10" s="52"/>
      <c r="D10" s="52"/>
      <c r="E10" s="52">
        <f t="shared" si="0"/>
        <v>0</v>
      </c>
      <c r="F10" s="52" t="s">
        <v>313</v>
      </c>
      <c r="G10" s="52"/>
      <c r="H10" s="52"/>
      <c r="I10" s="52">
        <f t="shared" si="1"/>
        <v>0</v>
      </c>
      <c r="J10" s="52"/>
      <c r="K10" s="52"/>
      <c r="L10" s="52">
        <f t="shared" si="2"/>
        <v>0</v>
      </c>
    </row>
    <row r="11" spans="1:12" x14ac:dyDescent="0.35">
      <c r="B11" s="52"/>
      <c r="C11" s="52"/>
      <c r="D11" s="52"/>
      <c r="E11" s="52">
        <f t="shared" si="0"/>
        <v>0</v>
      </c>
      <c r="F11" s="52" t="s">
        <v>315</v>
      </c>
      <c r="G11" s="52"/>
      <c r="H11" s="52"/>
      <c r="I11" s="52">
        <f t="shared" si="1"/>
        <v>0</v>
      </c>
      <c r="J11" s="52"/>
      <c r="K11" s="52"/>
      <c r="L11" s="52">
        <f t="shared" si="2"/>
        <v>0</v>
      </c>
    </row>
    <row r="12" spans="1:12" x14ac:dyDescent="0.35">
      <c r="B12" s="52"/>
      <c r="C12" s="52"/>
      <c r="D12" s="52"/>
      <c r="E12" s="52">
        <f t="shared" si="0"/>
        <v>0</v>
      </c>
      <c r="F12" s="52"/>
      <c r="G12" s="52"/>
      <c r="H12" s="52"/>
      <c r="I12" s="52">
        <f t="shared" si="1"/>
        <v>0</v>
      </c>
      <c r="J12" s="52"/>
      <c r="K12" s="52"/>
      <c r="L12" s="52">
        <f t="shared" si="2"/>
        <v>0</v>
      </c>
    </row>
    <row r="13" spans="1:12" x14ac:dyDescent="0.35">
      <c r="B13" s="52"/>
      <c r="C13" s="52"/>
      <c r="D13" s="52"/>
      <c r="E13" s="52">
        <f t="shared" si="0"/>
        <v>0</v>
      </c>
      <c r="F13" s="52"/>
      <c r="G13" s="52"/>
      <c r="H13" s="52"/>
      <c r="I13" s="52">
        <f t="shared" si="1"/>
        <v>0</v>
      </c>
      <c r="J13" s="52"/>
      <c r="K13" s="52"/>
      <c r="L13" s="52">
        <f t="shared" si="2"/>
        <v>0</v>
      </c>
    </row>
    <row r="14" spans="1:12" x14ac:dyDescent="0.35">
      <c r="B14" s="52" t="s">
        <v>316</v>
      </c>
      <c r="C14" s="52"/>
      <c r="D14" s="52"/>
      <c r="E14" s="52">
        <f t="shared" si="0"/>
        <v>0</v>
      </c>
      <c r="F14" s="52" t="s">
        <v>313</v>
      </c>
      <c r="G14" s="52"/>
      <c r="H14" s="52"/>
      <c r="I14" s="52">
        <f t="shared" si="1"/>
        <v>0</v>
      </c>
      <c r="J14" s="52"/>
      <c r="K14" s="52"/>
      <c r="L14" s="52">
        <f t="shared" si="2"/>
        <v>0</v>
      </c>
    </row>
    <row r="15" spans="1:12" x14ac:dyDescent="0.35">
      <c r="B15" s="52"/>
      <c r="C15" s="52"/>
      <c r="D15" s="52"/>
      <c r="E15" s="52">
        <f t="shared" si="0"/>
        <v>0</v>
      </c>
      <c r="F15" s="52" t="s">
        <v>315</v>
      </c>
      <c r="G15" s="52"/>
      <c r="H15" s="52"/>
      <c r="I15" s="52">
        <f t="shared" si="1"/>
        <v>0</v>
      </c>
      <c r="J15" s="52"/>
      <c r="K15" s="52"/>
      <c r="L15" s="52">
        <f t="shared" si="2"/>
        <v>0</v>
      </c>
    </row>
    <row r="16" spans="1:12" x14ac:dyDescent="0.35">
      <c r="B16" s="52"/>
      <c r="C16" s="52"/>
      <c r="D16" s="52"/>
      <c r="E16" s="52">
        <f t="shared" si="0"/>
        <v>0</v>
      </c>
      <c r="F16" s="52"/>
      <c r="G16" s="52"/>
      <c r="H16" s="52"/>
      <c r="I16" s="52">
        <f t="shared" si="1"/>
        <v>0</v>
      </c>
      <c r="J16" s="52"/>
      <c r="K16" s="52"/>
      <c r="L16" s="52">
        <f t="shared" si="2"/>
        <v>0</v>
      </c>
    </row>
    <row r="17" spans="2:12" x14ac:dyDescent="0.35">
      <c r="B17" s="52"/>
      <c r="C17" s="52"/>
      <c r="D17" s="52"/>
      <c r="E17" s="52">
        <f t="shared" si="0"/>
        <v>0</v>
      </c>
      <c r="F17" s="52"/>
      <c r="G17" s="52"/>
      <c r="H17" s="52"/>
      <c r="I17" s="52">
        <f t="shared" si="1"/>
        <v>0</v>
      </c>
      <c r="J17" s="52"/>
      <c r="K17" s="52"/>
      <c r="L17" s="52">
        <f t="shared" si="2"/>
        <v>0</v>
      </c>
    </row>
    <row r="18" spans="2:12" x14ac:dyDescent="0.35">
      <c r="B18" s="52" t="s">
        <v>317</v>
      </c>
      <c r="C18" s="52"/>
      <c r="D18" s="52"/>
      <c r="E18" s="52">
        <f t="shared" si="0"/>
        <v>0</v>
      </c>
      <c r="F18" s="52" t="s">
        <v>313</v>
      </c>
      <c r="G18" s="52"/>
      <c r="H18" s="52"/>
      <c r="I18" s="52">
        <f t="shared" si="1"/>
        <v>0</v>
      </c>
      <c r="J18" s="52"/>
      <c r="K18" s="52"/>
      <c r="L18" s="52">
        <f t="shared" si="2"/>
        <v>0</v>
      </c>
    </row>
    <row r="19" spans="2:12" x14ac:dyDescent="0.35">
      <c r="B19" s="52"/>
      <c r="C19" s="52"/>
      <c r="D19" s="52"/>
      <c r="E19" s="52">
        <f t="shared" si="0"/>
        <v>0</v>
      </c>
      <c r="F19" s="52" t="s">
        <v>315</v>
      </c>
      <c r="G19" s="52"/>
      <c r="H19" s="52"/>
      <c r="I19" s="52">
        <f t="shared" si="1"/>
        <v>0</v>
      </c>
      <c r="J19" s="52"/>
      <c r="K19" s="52"/>
      <c r="L19" s="52">
        <f t="shared" si="2"/>
        <v>0</v>
      </c>
    </row>
    <row r="20" spans="2:12" x14ac:dyDescent="0.35">
      <c r="B20" s="52"/>
      <c r="C20" s="52"/>
      <c r="D20" s="52"/>
      <c r="E20" s="52">
        <f t="shared" si="0"/>
        <v>0</v>
      </c>
      <c r="F20" s="52"/>
      <c r="G20" s="52"/>
      <c r="H20" s="52"/>
      <c r="I20" s="52">
        <f t="shared" si="1"/>
        <v>0</v>
      </c>
      <c r="J20" s="52"/>
      <c r="K20" s="52"/>
      <c r="L20" s="52">
        <f t="shared" si="2"/>
        <v>0</v>
      </c>
    </row>
    <row r="21" spans="2:12" x14ac:dyDescent="0.35">
      <c r="B21" s="52" t="s">
        <v>318</v>
      </c>
      <c r="C21" s="52"/>
      <c r="D21" s="52"/>
      <c r="E21" s="52">
        <f t="shared" si="0"/>
        <v>0</v>
      </c>
      <c r="F21" s="52" t="s">
        <v>313</v>
      </c>
      <c r="G21" s="52"/>
      <c r="H21" s="52"/>
      <c r="I21" s="52">
        <f t="shared" si="1"/>
        <v>0</v>
      </c>
      <c r="J21" s="52"/>
      <c r="K21" s="52"/>
      <c r="L21" s="52">
        <f t="shared" si="2"/>
        <v>0</v>
      </c>
    </row>
    <row r="22" spans="2:12" x14ac:dyDescent="0.35">
      <c r="B22" s="52"/>
      <c r="C22" s="52"/>
      <c r="D22" s="52"/>
      <c r="E22" s="52">
        <f t="shared" si="0"/>
        <v>0</v>
      </c>
      <c r="F22" s="52" t="s">
        <v>315</v>
      </c>
      <c r="G22" s="52"/>
      <c r="H22" s="52"/>
      <c r="I22" s="52">
        <f t="shared" si="1"/>
        <v>0</v>
      </c>
      <c r="J22" s="52"/>
      <c r="K22" s="52"/>
      <c r="L22" s="52">
        <f t="shared" si="2"/>
        <v>0</v>
      </c>
    </row>
    <row r="23" spans="2:12" x14ac:dyDescent="0.35">
      <c r="B23" s="52"/>
      <c r="C23" s="52"/>
      <c r="D23" s="52"/>
      <c r="E23" s="52">
        <f t="shared" si="0"/>
        <v>0</v>
      </c>
      <c r="F23" s="52"/>
      <c r="G23" s="52"/>
      <c r="H23" s="52"/>
      <c r="I23" s="52">
        <f t="shared" si="1"/>
        <v>0</v>
      </c>
      <c r="J23" s="52"/>
      <c r="K23" s="52"/>
      <c r="L23" s="52">
        <f t="shared" si="2"/>
        <v>0</v>
      </c>
    </row>
    <row r="24" spans="2:12" x14ac:dyDescent="0.35">
      <c r="B24" s="52" t="s">
        <v>319</v>
      </c>
      <c r="C24" s="52"/>
      <c r="D24" s="52"/>
      <c r="E24" s="52">
        <f t="shared" si="0"/>
        <v>0</v>
      </c>
      <c r="F24" s="52" t="s">
        <v>320</v>
      </c>
      <c r="G24" s="52"/>
      <c r="H24" s="52"/>
      <c r="I24" s="52">
        <f t="shared" si="1"/>
        <v>0</v>
      </c>
      <c r="J24" s="52"/>
      <c r="K24" s="52"/>
      <c r="L24" s="52">
        <f t="shared" si="2"/>
        <v>0</v>
      </c>
    </row>
    <row r="25" spans="2:12" x14ac:dyDescent="0.35">
      <c r="B25" s="52"/>
      <c r="C25" s="52"/>
      <c r="D25" s="52"/>
      <c r="E25" s="52">
        <f t="shared" ref="E25:E27" si="3">C25*D25</f>
        <v>0</v>
      </c>
      <c r="F25" s="52" t="s">
        <v>320</v>
      </c>
      <c r="G25" s="52"/>
      <c r="H25" s="52"/>
      <c r="I25" s="52">
        <f t="shared" ref="I25:I27" si="4">G25*H25</f>
        <v>0</v>
      </c>
      <c r="J25" s="52"/>
      <c r="K25" s="52"/>
      <c r="L25" s="52">
        <f t="shared" ref="L25:L27" si="5">J25*K25</f>
        <v>0</v>
      </c>
    </row>
    <row r="26" spans="2:12" x14ac:dyDescent="0.35">
      <c r="B26" s="52"/>
      <c r="C26" s="52"/>
      <c r="D26" s="52"/>
      <c r="E26" s="52">
        <f t="shared" si="3"/>
        <v>0</v>
      </c>
      <c r="F26" s="52" t="s">
        <v>320</v>
      </c>
      <c r="G26" s="52"/>
      <c r="H26" s="52"/>
      <c r="I26" s="52">
        <f t="shared" si="4"/>
        <v>0</v>
      </c>
      <c r="J26" s="52"/>
      <c r="K26" s="52"/>
      <c r="L26" s="52">
        <f t="shared" si="5"/>
        <v>0</v>
      </c>
    </row>
    <row r="27" spans="2:12" x14ac:dyDescent="0.35">
      <c r="B27" s="52"/>
      <c r="C27" s="52"/>
      <c r="D27" s="52"/>
      <c r="E27" s="52">
        <f t="shared" si="3"/>
        <v>0</v>
      </c>
      <c r="F27" s="52" t="s">
        <v>320</v>
      </c>
      <c r="G27" s="52"/>
      <c r="H27" s="52"/>
      <c r="I27" s="52">
        <f t="shared" si="4"/>
        <v>0</v>
      </c>
      <c r="J27" s="52"/>
      <c r="K27" s="52"/>
      <c r="L27" s="52">
        <f t="shared" si="5"/>
        <v>0</v>
      </c>
    </row>
    <row r="28" spans="2:12" x14ac:dyDescent="0.35">
      <c r="B28" s="52" t="s">
        <v>321</v>
      </c>
      <c r="C28" s="52"/>
      <c r="D28" s="52"/>
      <c r="E28" s="52">
        <f t="shared" si="0"/>
        <v>0</v>
      </c>
      <c r="F28" s="52" t="s">
        <v>320</v>
      </c>
      <c r="G28" s="52"/>
      <c r="H28" s="52"/>
      <c r="I28" s="52">
        <f t="shared" si="1"/>
        <v>0</v>
      </c>
      <c r="J28" s="52"/>
      <c r="K28" s="52"/>
      <c r="L28" s="52">
        <f t="shared" si="2"/>
        <v>0</v>
      </c>
    </row>
    <row r="29" spans="2:12" x14ac:dyDescent="0.35">
      <c r="B29" s="52" t="s">
        <v>322</v>
      </c>
      <c r="C29" s="52"/>
      <c r="D29" s="52"/>
      <c r="E29" s="52">
        <f t="shared" si="0"/>
        <v>0</v>
      </c>
      <c r="F29" s="52" t="s">
        <v>320</v>
      </c>
      <c r="G29" s="52"/>
      <c r="H29" s="52"/>
      <c r="I29" s="52">
        <f t="shared" si="1"/>
        <v>0</v>
      </c>
      <c r="J29" s="52"/>
      <c r="K29" s="52"/>
      <c r="L29" s="52">
        <f t="shared" si="2"/>
        <v>0</v>
      </c>
    </row>
    <row r="30" spans="2:12" x14ac:dyDescent="0.35">
      <c r="B30" s="52" t="s">
        <v>326</v>
      </c>
      <c r="C30" s="52"/>
      <c r="D30" s="52"/>
      <c r="E30" s="52">
        <f t="shared" si="0"/>
        <v>0</v>
      </c>
      <c r="F30" s="52"/>
      <c r="G30" s="52"/>
      <c r="H30" s="52"/>
      <c r="I30" s="52">
        <f t="shared" si="1"/>
        <v>0</v>
      </c>
      <c r="J30" s="52"/>
      <c r="K30" s="52"/>
      <c r="L30" s="52">
        <f t="shared" si="2"/>
        <v>0</v>
      </c>
    </row>
    <row r="31" spans="2:12" x14ac:dyDescent="0.35">
      <c r="B31" s="52"/>
      <c r="C31" s="52"/>
      <c r="D31" s="52"/>
      <c r="E31" s="52">
        <f t="shared" ref="E31:E32" si="6">C31*D31</f>
        <v>0</v>
      </c>
      <c r="F31" s="52"/>
      <c r="G31" s="52"/>
      <c r="H31" s="52"/>
      <c r="I31" s="52">
        <f t="shared" ref="I31:I32" si="7">G31*H31</f>
        <v>0</v>
      </c>
      <c r="J31" s="52"/>
      <c r="K31" s="52"/>
      <c r="L31" s="52">
        <f t="shared" ref="L31:L32" si="8">J31*K31</f>
        <v>0</v>
      </c>
    </row>
    <row r="32" spans="2:12" x14ac:dyDescent="0.35">
      <c r="B32" s="52"/>
      <c r="C32" s="52"/>
      <c r="D32" s="52"/>
      <c r="E32" s="52">
        <f t="shared" si="6"/>
        <v>0</v>
      </c>
      <c r="F32" s="52"/>
      <c r="G32" s="52"/>
      <c r="H32" s="52"/>
      <c r="I32" s="52">
        <f t="shared" si="7"/>
        <v>0</v>
      </c>
      <c r="J32" s="52"/>
      <c r="K32" s="52"/>
      <c r="L32" s="52">
        <f t="shared" si="8"/>
        <v>0</v>
      </c>
    </row>
    <row r="33" spans="2:12" x14ac:dyDescent="0.35">
      <c r="B33" s="52" t="s">
        <v>323</v>
      </c>
      <c r="C33" s="52"/>
      <c r="D33" s="52"/>
      <c r="E33" s="52">
        <f t="shared" si="0"/>
        <v>0</v>
      </c>
      <c r="F33" s="52"/>
      <c r="G33" s="52"/>
      <c r="H33" s="52"/>
      <c r="I33" s="52">
        <f t="shared" si="1"/>
        <v>0</v>
      </c>
      <c r="J33" s="52"/>
      <c r="K33" s="52"/>
      <c r="L33" s="52">
        <f t="shared" si="2"/>
        <v>0</v>
      </c>
    </row>
    <row r="34" spans="2:12" x14ac:dyDescent="0.35">
      <c r="B34" s="52" t="s">
        <v>327</v>
      </c>
      <c r="C34" s="52"/>
      <c r="D34" s="52"/>
      <c r="E34" s="52">
        <f t="shared" si="0"/>
        <v>0</v>
      </c>
      <c r="F34" s="52"/>
      <c r="G34" s="52"/>
      <c r="H34" s="52"/>
      <c r="I34" s="52">
        <f t="shared" si="1"/>
        <v>0</v>
      </c>
      <c r="J34" s="52"/>
      <c r="K34" s="52"/>
      <c r="L34" s="52">
        <f t="shared" si="2"/>
        <v>0</v>
      </c>
    </row>
    <row r="35" spans="2:12" x14ac:dyDescent="0.35">
      <c r="B35" s="52" t="s">
        <v>324</v>
      </c>
      <c r="C35" s="52"/>
      <c r="D35" s="52"/>
      <c r="E35" s="52">
        <f t="shared" si="0"/>
        <v>0</v>
      </c>
      <c r="F35" s="52"/>
      <c r="G35" s="52"/>
      <c r="H35" s="52"/>
      <c r="I35" s="52">
        <f t="shared" si="1"/>
        <v>0</v>
      </c>
      <c r="J35" s="52"/>
      <c r="K35" s="52"/>
      <c r="L35" s="52">
        <f t="shared" si="2"/>
        <v>0</v>
      </c>
    </row>
    <row r="36" spans="2:12" x14ac:dyDescent="0.35">
      <c r="B36" s="52" t="s">
        <v>325</v>
      </c>
      <c r="C36" s="52"/>
      <c r="D36" s="52"/>
      <c r="E36" s="52">
        <f t="shared" si="0"/>
        <v>0</v>
      </c>
      <c r="F36" s="52"/>
      <c r="G36" s="52"/>
      <c r="H36" s="52"/>
      <c r="I36" s="52">
        <f>G36*H36</f>
        <v>0</v>
      </c>
      <c r="J36" s="52"/>
      <c r="K36" s="52"/>
      <c r="L36" s="52">
        <f>J36*K36</f>
        <v>0</v>
      </c>
    </row>
    <row r="37" spans="2:12" x14ac:dyDescent="0.35">
      <c r="B37" s="52"/>
      <c r="C37" s="52"/>
      <c r="D37" s="52"/>
      <c r="E37" s="52">
        <f t="shared" ref="E37:E38" si="9">C37*D37</f>
        <v>0</v>
      </c>
      <c r="F37" s="52"/>
      <c r="G37" s="52"/>
      <c r="H37" s="52"/>
      <c r="I37" s="52">
        <f t="shared" ref="I37:I38" si="10">G37*H37</f>
        <v>0</v>
      </c>
      <c r="J37" s="52"/>
      <c r="K37" s="52"/>
      <c r="L37" s="52">
        <f t="shared" ref="L37:L38" si="11">J37*K37</f>
        <v>0</v>
      </c>
    </row>
    <row r="38" spans="2:12" x14ac:dyDescent="0.35">
      <c r="B38" s="52" t="s">
        <v>328</v>
      </c>
      <c r="C38" s="52"/>
      <c r="D38" s="52"/>
      <c r="E38" s="52">
        <f t="shared" si="9"/>
        <v>0</v>
      </c>
      <c r="F38" s="52"/>
      <c r="G38" s="52"/>
      <c r="H38" s="52"/>
      <c r="I38" s="52">
        <f t="shared" si="10"/>
        <v>0</v>
      </c>
      <c r="J38" s="52"/>
      <c r="K38" s="52"/>
      <c r="L38" s="52">
        <f t="shared" si="11"/>
        <v>0</v>
      </c>
    </row>
    <row r="39" spans="2:12" x14ac:dyDescent="0.35">
      <c r="B39" s="52"/>
      <c r="C39" s="52"/>
      <c r="D39" s="52"/>
      <c r="E39" s="52">
        <f t="shared" si="0"/>
        <v>0</v>
      </c>
      <c r="F39" s="52"/>
      <c r="G39" s="52"/>
      <c r="H39" s="52"/>
      <c r="I39" s="52">
        <f>G39*H39</f>
        <v>0</v>
      </c>
      <c r="J39" s="52"/>
      <c r="K39" s="52"/>
      <c r="L39" s="52">
        <f>J39*K39</f>
        <v>0</v>
      </c>
    </row>
    <row r="40" spans="2:12" x14ac:dyDescent="0.35">
      <c r="B40" s="52"/>
      <c r="C40" s="52"/>
      <c r="D40" s="52"/>
      <c r="E40" s="52">
        <f t="shared" si="0"/>
        <v>0</v>
      </c>
      <c r="F40" s="52"/>
      <c r="G40" s="52"/>
      <c r="H40" s="52"/>
      <c r="I40" s="52">
        <f>G40*H40</f>
        <v>0</v>
      </c>
      <c r="J40" s="52"/>
      <c r="K40" s="52"/>
      <c r="L40" s="52">
        <f>J40*K40</f>
        <v>0</v>
      </c>
    </row>
    <row r="41" spans="2:12" x14ac:dyDescent="0.35">
      <c r="B41" s="52"/>
      <c r="C41" s="52"/>
      <c r="D41" s="52"/>
      <c r="E41" s="52">
        <f t="shared" si="0"/>
        <v>0</v>
      </c>
      <c r="F41" s="52"/>
      <c r="G41" s="52"/>
      <c r="H41" s="52"/>
      <c r="I41" s="52">
        <f>G41*H41</f>
        <v>0</v>
      </c>
      <c r="J41" s="52"/>
      <c r="K41" s="52"/>
      <c r="L41" s="52">
        <f>J41*K41</f>
        <v>0</v>
      </c>
    </row>
    <row r="42" spans="2:12" x14ac:dyDescent="0.35">
      <c r="B42" s="52" t="s">
        <v>148</v>
      </c>
      <c r="C42" s="52"/>
      <c r="D42" s="52">
        <f>E42*10.764</f>
        <v>0</v>
      </c>
      <c r="E42" s="70">
        <f>SUM(E6:E41)</f>
        <v>0</v>
      </c>
      <c r="F42" s="52"/>
      <c r="G42" s="52"/>
      <c r="H42" s="52">
        <f>I42*10.764</f>
        <v>0</v>
      </c>
      <c r="I42" s="69">
        <f>SUM(I6:I41)</f>
        <v>0</v>
      </c>
      <c r="J42" s="52"/>
      <c r="K42" s="52">
        <f>L42*10.764</f>
        <v>0</v>
      </c>
      <c r="L42" s="68">
        <f>SUM(L6:L41)</f>
        <v>0</v>
      </c>
    </row>
    <row r="44" spans="2:12" x14ac:dyDescent="0.35">
      <c r="D44" s="51">
        <f>D42+H42</f>
        <v>0</v>
      </c>
      <c r="E44" s="51">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2025-05-31T11:32:51Z</cp:lastPrinted>
  <dcterms:created xsi:type="dcterms:W3CDTF">2019-07-16T09:29:46Z</dcterms:created>
  <dcterms:modified xsi:type="dcterms:W3CDTF">2025-09-19T07:12:56Z</dcterms:modified>
</cp:coreProperties>
</file>