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Update\Sept 2025\19468 - I Stay (Tower G &amp; K) - P\New folder\"/>
    </mc:Choice>
  </mc:AlternateContent>
  <bookViews>
    <workbookView xWindow="0" yWindow="0" windowWidth="11480" windowHeight="625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3" i="1" l="1"/>
  <c r="D173" i="1" l="1"/>
  <c r="F173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D166" i="1"/>
  <c r="F166" i="1" s="1"/>
  <c r="D165" i="1"/>
  <c r="F165" i="1" s="1"/>
  <c r="D163" i="1"/>
  <c r="F163" i="1" s="1"/>
  <c r="D162" i="1"/>
  <c r="F162" i="1" s="1"/>
  <c r="D161" i="1"/>
  <c r="F161" i="1" s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F155" i="1" s="1"/>
  <c r="F167" i="1"/>
  <c r="A166" i="1"/>
  <c r="A167" i="1" s="1"/>
  <c r="A168" i="1" s="1"/>
  <c r="A169" i="1" s="1"/>
  <c r="A170" i="1" s="1"/>
  <c r="A171" i="1" s="1"/>
  <c r="A172" i="1" s="1"/>
  <c r="A173" i="1" s="1"/>
  <c r="G165" i="1"/>
  <c r="G155" i="1"/>
  <c r="A156" i="1"/>
  <c r="A157" i="1" s="1"/>
  <c r="A158" i="1" s="1"/>
  <c r="A159" i="1" s="1"/>
  <c r="A160" i="1" s="1"/>
  <c r="A161" i="1" s="1"/>
  <c r="A162" i="1" s="1"/>
  <c r="A163" i="1" s="1"/>
  <c r="G135" i="1" l="1"/>
  <c r="C135" i="1"/>
  <c r="E135" i="1"/>
  <c r="C100" i="1"/>
  <c r="A249" i="1" l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l="1"/>
  <c r="A261" i="1" s="1"/>
  <c r="A262" i="1" s="1"/>
  <c r="I216" i="1" l="1"/>
  <c r="D245" i="1"/>
  <c r="F245" i="1" s="1"/>
  <c r="D244" i="1"/>
  <c r="F244" i="1" s="1"/>
  <c r="D243" i="1"/>
  <c r="F243" i="1" s="1"/>
  <c r="D242" i="1"/>
  <c r="F242" i="1" s="1"/>
  <c r="D241" i="1"/>
  <c r="F241" i="1" s="1"/>
  <c r="D240" i="1"/>
  <c r="F240" i="1" s="1"/>
  <c r="D239" i="1"/>
  <c r="F239" i="1" s="1"/>
  <c r="D238" i="1"/>
  <c r="F238" i="1" s="1"/>
  <c r="D237" i="1"/>
  <c r="F237" i="1" s="1"/>
  <c r="D236" i="1"/>
  <c r="F236" i="1" s="1"/>
  <c r="D233" i="1"/>
  <c r="F233" i="1" s="1"/>
  <c r="A233" i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G232" i="1"/>
  <c r="D232" i="1"/>
  <c r="F232" i="1" s="1"/>
  <c r="D218" i="1"/>
  <c r="D219" i="1"/>
  <c r="D220" i="1"/>
  <c r="D221" i="1"/>
  <c r="D222" i="1"/>
  <c r="F222" i="1" s="1"/>
  <c r="D223" i="1"/>
  <c r="F223" i="1" s="1"/>
  <c r="D224" i="1"/>
  <c r="F224" i="1" s="1"/>
  <c r="D225" i="1"/>
  <c r="F225" i="1" s="1"/>
  <c r="D226" i="1"/>
  <c r="F226" i="1" s="1"/>
  <c r="D227" i="1"/>
  <c r="F227" i="1" s="1"/>
  <c r="D228" i="1"/>
  <c r="F228" i="1" s="1"/>
  <c r="D229" i="1"/>
  <c r="F229" i="1" s="1"/>
  <c r="D230" i="1"/>
  <c r="F230" i="1" s="1"/>
  <c r="D217" i="1"/>
  <c r="A218" i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D205" i="1"/>
  <c r="D204" i="1"/>
  <c r="D203" i="1"/>
  <c r="D202" i="1"/>
  <c r="I187" i="1"/>
  <c r="D187" i="1"/>
  <c r="D188" i="1"/>
  <c r="D189" i="1"/>
  <c r="D190" i="1"/>
  <c r="D194" i="1"/>
  <c r="D193" i="1"/>
  <c r="D197" i="1"/>
  <c r="D198" i="1"/>
  <c r="D199" i="1"/>
  <c r="D200" i="1"/>
  <c r="A203" i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C137" i="1" l="1"/>
  <c r="E137" i="1"/>
  <c r="I186" i="1"/>
  <c r="D182" i="1"/>
  <c r="D179" i="1"/>
  <c r="D178" i="1"/>
  <c r="E136" i="1" s="1"/>
  <c r="J178" i="1"/>
  <c r="I178" i="1"/>
  <c r="E138" i="1" l="1"/>
  <c r="C136" i="1"/>
  <c r="C138" i="1" s="1"/>
  <c r="K187" i="1"/>
  <c r="J187" i="1"/>
  <c r="F189" i="1" l="1"/>
  <c r="F193" i="1"/>
  <c r="F194" i="1"/>
  <c r="F197" i="1"/>
  <c r="F199" i="1"/>
  <c r="F200" i="1"/>
  <c r="F202" i="1"/>
  <c r="G202" i="1"/>
  <c r="F203" i="1"/>
  <c r="F204" i="1"/>
  <c r="F205" i="1"/>
  <c r="F206" i="1"/>
  <c r="F217" i="1"/>
  <c r="G217" i="1"/>
  <c r="F218" i="1"/>
  <c r="F219" i="1"/>
  <c r="F220" i="1"/>
  <c r="F221" i="1"/>
  <c r="F198" i="1"/>
  <c r="F190" i="1"/>
  <c r="A188" i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G187" i="1"/>
  <c r="F187" i="1"/>
  <c r="F179" i="1"/>
  <c r="F178" i="1"/>
  <c r="A179" i="1"/>
  <c r="A181" i="1" s="1"/>
  <c r="G178" i="1"/>
  <c r="F188" i="1" l="1"/>
  <c r="G137" i="1" s="1"/>
  <c r="J188" i="1"/>
  <c r="K179" i="1"/>
  <c r="F145" i="1"/>
  <c r="C139" i="1" l="1"/>
  <c r="E139" i="1"/>
  <c r="E43" i="1" l="1"/>
  <c r="E44" i="1" s="1"/>
  <c r="C15" i="1" l="1"/>
  <c r="E30" i="1" l="1"/>
  <c r="F127" i="1" l="1"/>
  <c r="F146" i="1" l="1"/>
  <c r="F147" i="1"/>
  <c r="F148" i="1"/>
  <c r="B249" i="1" l="1"/>
  <c r="F182" i="1" l="1"/>
  <c r="K180" i="1" l="1"/>
  <c r="G136" i="1"/>
  <c r="B250" i="1"/>
  <c r="G138" i="1" l="1"/>
  <c r="G139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76" i="1"/>
  <c r="A182" i="1"/>
  <c r="A183" i="1" s="1"/>
  <c r="A146" i="1"/>
  <c r="A147" i="1" s="1"/>
  <c r="A148" i="1" s="1"/>
  <c r="G145" i="1"/>
  <c r="G146" i="1" s="1"/>
  <c r="G147" i="1" s="1"/>
  <c r="G148" i="1" s="1"/>
  <c r="C86" i="1"/>
  <c r="B87" i="1" s="1"/>
  <c r="C72" i="1"/>
  <c r="B73" i="1" s="1"/>
  <c r="D59" i="1"/>
  <c r="G50" i="1"/>
  <c r="C50" i="1"/>
  <c r="E27" i="1"/>
  <c r="E25" i="1"/>
  <c r="E7" i="1"/>
  <c r="E3" i="1"/>
  <c r="D66" i="1" l="1"/>
  <c r="H87" i="1"/>
  <c r="H73" i="1"/>
  <c r="D84" i="1" l="1"/>
  <c r="D79" i="1"/>
  <c r="D80" i="1"/>
  <c r="D85" i="1"/>
  <c r="J76" i="1"/>
  <c r="D83" i="1"/>
  <c r="J77" i="1"/>
  <c r="C76" i="1" s="1"/>
  <c r="D76" i="1" s="1"/>
  <c r="D82" i="1"/>
  <c r="J75" i="1"/>
  <c r="D81" i="1"/>
  <c r="J78" i="1"/>
  <c r="J79" i="1" s="1"/>
  <c r="J84" i="1" s="1"/>
  <c r="J72" i="1"/>
  <c r="J74" i="1" s="1"/>
  <c r="D96" i="1"/>
  <c r="D99" i="1"/>
  <c r="D97" i="1"/>
  <c r="D93" i="1"/>
  <c r="J91" i="1"/>
  <c r="C90" i="1" s="1"/>
  <c r="D90" i="1" s="1"/>
  <c r="J89" i="1"/>
  <c r="D94" i="1"/>
  <c r="D95" i="1"/>
  <c r="D98" i="1"/>
  <c r="J86" i="1"/>
  <c r="J88" i="1" s="1"/>
  <c r="J90" i="1"/>
  <c r="J92" i="1"/>
  <c r="J93" i="1" s="1"/>
  <c r="J98" i="1" s="1"/>
  <c r="J94" i="1"/>
  <c r="J95" i="1" s="1"/>
  <c r="J96" i="1" s="1"/>
  <c r="J97" i="1" s="1"/>
  <c r="J80" i="1"/>
  <c r="J81" i="1" s="1"/>
  <c r="J82" i="1" s="1"/>
  <c r="J83" i="1" s="1"/>
  <c r="D92" i="1"/>
  <c r="D78" i="1"/>
  <c r="C77" i="1" l="1"/>
  <c r="J99" i="1"/>
  <c r="C91" i="1" s="1"/>
  <c r="E90" i="1" s="1"/>
  <c r="J85" i="1"/>
  <c r="G76" i="1" l="1"/>
  <c r="G90" i="1"/>
  <c r="J87" i="1"/>
  <c r="D91" i="1"/>
  <c r="I87" i="1" s="1"/>
  <c r="I88" i="1" s="1"/>
  <c r="J73" i="1"/>
  <c r="D77" i="1"/>
  <c r="E76" i="1"/>
  <c r="I73" i="1" l="1"/>
  <c r="I74" i="1" s="1"/>
  <c r="D70" i="1"/>
  <c r="D71" i="1" s="1"/>
  <c r="I86" i="1"/>
  <c r="C88" i="1" s="1"/>
  <c r="I72" i="1" l="1"/>
  <c r="C74" i="1" s="1"/>
  <c r="B101" i="1"/>
  <c r="F71" i="1"/>
  <c r="H101" i="1"/>
  <c r="J105" i="1" l="1"/>
  <c r="C104" i="1" s="1"/>
  <c r="D104" i="1" s="1"/>
  <c r="J103" i="1"/>
  <c r="J100" i="1"/>
  <c r="J102" i="1" s="1"/>
  <c r="D113" i="1"/>
  <c r="D109" i="1"/>
  <c r="D111" i="1"/>
  <c r="D107" i="1"/>
  <c r="D106" i="1"/>
  <c r="D112" i="1"/>
  <c r="D108" i="1"/>
  <c r="J104" i="1"/>
  <c r="D110" i="1"/>
  <c r="J109" i="1"/>
  <c r="J108" i="1"/>
  <c r="J106" i="1"/>
  <c r="J107" i="1" s="1"/>
  <c r="J112" i="1" s="1"/>
  <c r="J110" i="1"/>
  <c r="J111" i="1"/>
  <c r="J113" i="1" l="1"/>
  <c r="C105" i="1"/>
  <c r="G104" i="1" s="1"/>
  <c r="D105" i="1" l="1"/>
  <c r="I101" i="1" s="1"/>
  <c r="I102" i="1" s="1"/>
  <c r="E104" i="1"/>
  <c r="J101" i="1"/>
  <c r="I100" i="1" l="1"/>
  <c r="C102" i="1" s="1"/>
</calcChain>
</file>

<file path=xl/sharedStrings.xml><?xml version="1.0" encoding="utf-8"?>
<sst xmlns="http://schemas.openxmlformats.org/spreadsheetml/2006/main" count="445" uniqueCount="264">
  <si>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</si>
  <si>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</si>
  <si>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</si>
  <si>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</si>
  <si>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</si>
  <si>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</si>
  <si>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</si>
  <si>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</si>
  <si>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</si>
  <si>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</si>
  <si>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</si>
  <si>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</si>
  <si>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</si>
  <si>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</si>
  <si>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</si>
  <si>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</si>
  <si>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</si>
  <si>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</si>
  <si>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</si>
  <si>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</si>
  <si>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</si>
  <si>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</si>
  <si>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</si>
  <si>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</si>
  <si>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</si>
  <si>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</si>
  <si>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</si>
  <si>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</si>
  <si>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</si>
  <si>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</si>
  <si>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</si>
  <si>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</si>
  <si>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</si>
  <si>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</si>
  <si>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</si>
  <si>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</si>
  <si>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</si>
  <si>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</si>
  <si>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</si>
  <si>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</si>
  <si>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</si>
  <si>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</si>
  <si>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</si>
  <si>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</si>
  <si>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</si>
  <si>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</si>
  <si>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</si>
  <si>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</si>
  <si>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</si>
  <si>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</si>
  <si>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</si>
  <si>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</si>
  <si>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</si>
  <si>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</si>
  <si>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</si>
  <si>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</si>
  <si>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</si>
  <si>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</si>
  <si>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</si>
  <si>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</si>
  <si>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</si>
  <si>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</si>
  <si>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</si>
  <si>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</si>
  <si>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</si>
  <si>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</si>
  <si>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</si>
  <si>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</si>
  <si>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</si>
  <si>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</si>
  <si>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</si>
  <si>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</si>
  <si>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</si>
  <si>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</si>
  <si>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</si>
  <si>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</si>
  <si>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</si>
  <si>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</si>
  <si>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</si>
  <si>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</si>
  <si>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</si>
  <si>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</si>
  <si>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</si>
  <si>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</si>
  <si>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</si>
  <si>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</si>
  <si>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</si>
  <si>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</si>
  <si>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</si>
  <si>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</si>
  <si>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</si>
  <si>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</si>
  <si>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</si>
  <si>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</si>
  <si>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</si>
  <si>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</si>
  <si>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</si>
  <si>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</si>
  <si>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</si>
  <si>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</si>
  <si>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</si>
  <si>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</si>
  <si>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</si>
  <si>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</si>
  <si>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</si>
  <si>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</si>
  <si>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</si>
  <si>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</si>
  <si>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</si>
  <si>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</si>
  <si>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</si>
  <si>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</si>
  <si>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</si>
  <si>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</si>
  <si>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</si>
  <si>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</si>
  <si>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</si>
  <si>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</si>
  <si>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</si>
  <si>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</si>
  <si>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</si>
  <si>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</si>
  <si>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</si>
  <si>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</si>
  <si>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</si>
  <si>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</si>
  <si>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</si>
  <si>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</si>
  <si>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</si>
  <si>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</si>
  <si>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</si>
  <si>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</si>
  <si>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</si>
  <si>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</si>
  <si>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</si>
  <si>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</si>
  <si>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</si>
  <si>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</si>
  <si>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</si>
  <si>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</si>
  <si>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</si>
  <si>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</si>
  <si>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</si>
  <si>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</si>
  <si>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</si>
  <si>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</si>
  <si>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</si>
  <si>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</si>
  <si>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</si>
  <si>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</si>
  <si>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</si>
  <si>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</si>
  <si>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</si>
  <si>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</si>
  <si>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</si>
  <si>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</si>
  <si>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</si>
  <si>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</si>
  <si>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</si>
  <si>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</si>
  <si>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</si>
  <si>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</si>
  <si>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</si>
  <si>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</si>
  <si>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</si>
  <si>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</si>
  <si>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</si>
  <si>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</si>
  <si>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</si>
  <si>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</si>
  <si>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</si>
  <si>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</si>
  <si>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</si>
  <si>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Starwing Real Estate Company</t>
  </si>
  <si>
    <t>022-61238888</t>
  </si>
  <si>
    <t>Approved Plans, CC, Sale Plans, Cost Sheet</t>
  </si>
  <si>
    <t>Marol</t>
  </si>
  <si>
    <t>Mumbai</t>
  </si>
  <si>
    <t>Andheri</t>
  </si>
  <si>
    <t>Shivaji Nagar</t>
  </si>
  <si>
    <t>CTS No</t>
  </si>
  <si>
    <t>47, 48, 51/A, 52, 53/A, 1702 &amp; Survey No. 156/7(PT) &amp; 156/11(PT)</t>
  </si>
  <si>
    <t>5.4 KM from Andheri Railway Station</t>
  </si>
  <si>
    <t>Jama Masjid Ln</t>
  </si>
  <si>
    <t>Sevenhills Hospital Residential Block, Staff Quarters</t>
  </si>
  <si>
    <t>Akruti Aneri Society</t>
  </si>
  <si>
    <t>Tashyeed Apartment</t>
  </si>
  <si>
    <t>Slum Area</t>
  </si>
  <si>
    <t>Internal Road</t>
  </si>
  <si>
    <t>https://goo.gl/maps/JfyaFLtjM98MBEW78</t>
  </si>
  <si>
    <t>G Wing = G + 1st to 22nd Floor</t>
  </si>
  <si>
    <t>19.118908, 72.876692</t>
  </si>
  <si>
    <t xml:space="preserve">Slum Rehabilitation Authority (SRA)
</t>
  </si>
  <si>
    <t>KE/MCGM/0029/20060516/AP</t>
  </si>
  <si>
    <t>Walking &amp; Jogging Track, Skyscape Gymnasium, Vertical garden, children's play area, swimming pool, Mini Theater, Boxing Ring, Coffee shop</t>
  </si>
  <si>
    <t>G Wing</t>
  </si>
  <si>
    <t>Ground Floor is for Parking</t>
  </si>
  <si>
    <t>1st Podium Floor</t>
  </si>
  <si>
    <t>1BHK</t>
  </si>
  <si>
    <t>K Wing</t>
  </si>
  <si>
    <t>We considered Gross carpet area = Net carpet.</t>
  </si>
  <si>
    <t>Advance Maintenance Charges (36 Months)</t>
  </si>
  <si>
    <t>Share Money</t>
  </si>
  <si>
    <t>Andheri East</t>
  </si>
  <si>
    <t xml:space="preserve">Kaatyayni Imperial Tower G
</t>
  </si>
  <si>
    <t xml:space="preserve">Previous Name as per RERA </t>
  </si>
  <si>
    <t>Present RERA No &amp; Name.</t>
  </si>
  <si>
    <t>Construction work is in process at the time of the visit.</t>
  </si>
  <si>
    <t>RATE 20K by AKASH MOTE VERBAL on 28/06/2025</t>
  </si>
  <si>
    <t>Recommended Rates of the Property have been revised on 28/06/2025.</t>
  </si>
  <si>
    <t>As per Plan</t>
  </si>
  <si>
    <t>Other Plot</t>
  </si>
  <si>
    <t>27.45 M Wide Proposed Raod (Pipeline)</t>
  </si>
  <si>
    <t xml:space="preserve"> Electric Substation Below</t>
  </si>
  <si>
    <t>STP Pump Room &amp; Control Room</t>
  </si>
  <si>
    <t>Meter Room</t>
  </si>
  <si>
    <t>https://www.magicbricks.com/starwing-i-stay-tower-k-andheri-east-mumbai-pdpid-4d4235343137323739</t>
  </si>
  <si>
    <t>https://www.scribd.com/document/671528329/I-Stay-Brochure</t>
  </si>
  <si>
    <t>All floor plan Brochure</t>
  </si>
  <si>
    <t>3 + 4</t>
  </si>
  <si>
    <t>MP Room</t>
  </si>
  <si>
    <t>Lobby</t>
  </si>
  <si>
    <t>We have updated approved layout and floor plans for Wing G &amp; K (On 30/06/2025).</t>
  </si>
  <si>
    <t>2nd Floor</t>
  </si>
  <si>
    <t>3rd to 7th, 9th to 14th &amp; 16th to 22nd Floor</t>
  </si>
  <si>
    <t>8th &amp; 15th Floor (Part Refuge Area)</t>
  </si>
  <si>
    <t>Refuge Area</t>
  </si>
  <si>
    <t>23rd Floor (Part Terrace &amp; Fitness Center)</t>
  </si>
  <si>
    <t>K Wing = G + 1st Podium + 2nd to 23rd Floor</t>
  </si>
  <si>
    <t>We have considered flat numbering for G &amp; K Wing from the sale plan attached below.</t>
  </si>
  <si>
    <t>Remark No. 14 :</t>
  </si>
  <si>
    <t>Mr. Ganesh</t>
  </si>
  <si>
    <t>Pooja</t>
  </si>
  <si>
    <t>Work not yet started. Please check</t>
  </si>
  <si>
    <t>I Stay Tower D, G &amp; K</t>
  </si>
  <si>
    <t xml:space="preserve">Approved Floor plan No.
(Tower G &amp; K) </t>
  </si>
  <si>
    <t>SRA/ENG/KE/MCGM/0029/20060516/AP/R1</t>
  </si>
  <si>
    <t>D Wing = Gr/St + 1st to 22nd Floor
G Wing = G + 1st Podium Floor
K Wing = G + 1st Podium + 2nd to 23rd Floor</t>
  </si>
  <si>
    <t>D Wing = Gr/St + 1st to 22nd Floor</t>
  </si>
  <si>
    <t>As per RERA - 
G &amp; K Wing = 30/06/2027
D Wing = 31/12/2028</t>
  </si>
  <si>
    <t>D Wing</t>
  </si>
  <si>
    <t>2nd to 7th, 9th, 11th, 13th, 15th, 17th, 19th &amp; 21st Floor for Residential</t>
  </si>
  <si>
    <t>8th, 10th, 12th, 14th, 16th, 18th &amp; 20th Floor (Part Refuge Area at Midlanding)</t>
  </si>
  <si>
    <t>This CC is re endorsed upto plinth level for composite building as per approved amended plans dtd. 13/12/2024.</t>
  </si>
  <si>
    <t>03 Buildings</t>
  </si>
  <si>
    <t>I Stay Tower D (1BHK) - P51800051874
I Stay Tower G (1BHK) - P51800048620
I Stay Tower K (Studio) - P51800048681</t>
  </si>
  <si>
    <t>Flats - 483</t>
  </si>
  <si>
    <t>22nd floor for Fitness Center &amp; Part Terrace Area</t>
  </si>
  <si>
    <t>Pratik niwate</t>
  </si>
  <si>
    <t>Ground Floor for Parking, Electrical Room &amp; Entrance Lobby</t>
  </si>
  <si>
    <t>Approved Floor plan No.
(Tower D)</t>
  </si>
  <si>
    <t xml:space="preserve">We have updated CC &amp; latest approved floor plans of Tower D (On 01/09/2025).
But 1st Floor is missing in Approved plan(dtd.26/08/2025).
</t>
  </si>
  <si>
    <t>As per visit dtd 02/09/2025, we have observed that demolision of plinth slab of Wing K was in process.</t>
  </si>
  <si>
    <t>Tower D, G &amp; K</t>
  </si>
  <si>
    <t xml:space="preserve">Airport Noc No
Valid Up for: 
</t>
  </si>
  <si>
    <t>Nagar Rachana Ani Mulya Nirdharan Vibhag Thane</t>
  </si>
  <si>
    <t>Collector Of Raigad</t>
  </si>
  <si>
    <t xml:space="preserve">Valid upto Dated </t>
  </si>
  <si>
    <t>Bhiwandi Nizampur City Municipal Corporation</t>
  </si>
  <si>
    <t>SNCR/WEST/B/062416/146287</t>
  </si>
  <si>
    <t>Permissible Top Elevation (AMSL) = 86.51 M</t>
  </si>
  <si>
    <t>Site Elevation (AMSL) = NOT GIVEN IN AIRPORT NOC</t>
  </si>
  <si>
    <t>We have updated Airport NOC (On 22/09/2025).</t>
  </si>
  <si>
    <t>Please check for Environmental Clearance Certificate (EC).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</si>
</sst>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24" fillId="2" borderId="23" xfId="0" applyFont="1" applyFill="1" applyBorder="1"/>
    <xf numFmtId="0" fontId="25" fillId="0" borderId="24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24" fillId="0" borderId="1" xfId="0" applyFont="1" applyBorder="1"/>
    <xf numFmtId="0" fontId="24" fillId="0" borderId="5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24" fillId="2" borderId="13" xfId="0" applyFont="1" applyFill="1" applyBorder="1"/>
    <xf numFmtId="0" fontId="24" fillId="0" borderId="9" xfId="0" applyFont="1" applyBorder="1"/>
    <xf numFmtId="0" fontId="25" fillId="0" borderId="9" xfId="0" applyFont="1" applyBorder="1"/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26" fillId="0" borderId="0" xfId="10" applyAlignment="1">
      <alignment horizontal="center" vertical="center"/>
    </xf>
    <xf numFmtId="0" fontId="2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6" fillId="4" borderId="1" xfId="1" applyFont="1" applyFill="1" applyBorder="1" applyAlignment="1" applyProtection="1">
      <alignment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8" fillId="0" borderId="24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9" fontId="7" fillId="0" borderId="7" xfId="8" applyFont="1" applyFill="1" applyBorder="1" applyAlignment="1" applyProtection="1">
      <alignment horizontal="center" vertical="center" wrapText="1"/>
      <protection locked="0"/>
    </xf>
    <xf numFmtId="9" fontId="7" fillId="0" borderId="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4" borderId="8" xfId="1" applyFont="1" applyFill="1" applyBorder="1" applyAlignment="1" applyProtection="1">
      <alignment horizontal="left" vertical="top" wrapText="1"/>
      <protection locked="0"/>
    </xf>
    <xf numFmtId="0" fontId="6" fillId="4" borderId="9" xfId="1" applyFont="1" applyFill="1" applyBorder="1" applyAlignment="1" applyProtection="1">
      <alignment horizontal="left" vertical="top" wrapText="1"/>
      <protection locked="0"/>
    </xf>
    <xf numFmtId="14" fontId="6" fillId="4" borderId="8" xfId="1" applyNumberFormat="1" applyFont="1" applyFill="1" applyBorder="1" applyAlignment="1" applyProtection="1">
      <alignment horizontal="left" vertical="top" wrapText="1"/>
      <protection locked="0"/>
    </xf>
    <xf numFmtId="14" fontId="6" fillId="4" borderId="9" xfId="1" applyNumberFormat="1" applyFont="1" applyFill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4" borderId="19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0" fontId="8" fillId="0" borderId="27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13" fillId="0" borderId="28" xfId="1" applyFont="1" applyBorder="1" applyAlignment="1" applyProtection="1">
      <alignment horizontal="left" vertical="top" wrapText="1"/>
      <protection locked="0"/>
    </xf>
    <xf numFmtId="0" fontId="13" fillId="0" borderId="29" xfId="1" applyFont="1" applyBorder="1" applyAlignment="1" applyProtection="1">
      <alignment horizontal="left" vertical="top" wrapText="1"/>
      <protection locked="0"/>
    </xf>
    <xf numFmtId="0" fontId="13" fillId="0" borderId="30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8" fillId="0" borderId="14" xfId="1" applyFont="1" applyBorder="1" applyAlignment="1" applyProtection="1">
      <alignment horizontal="left" vertical="top"/>
      <protection locked="0"/>
    </xf>
    <xf numFmtId="0" fontId="8" fillId="0" borderId="14" xfId="1" applyFont="1" applyBorder="1" applyAlignment="1" applyProtection="1">
      <alignment horizontal="center" vertical="top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19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0" fontId="7" fillId="0" borderId="1" xfId="1" applyFont="1" applyBorder="1"/>
    <xf numFmtId="0" fontId="0" fillId="0" borderId="1" xfId="0" applyBorder="1"/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385</xdr:row>
      <xdr:rowOff>9525</xdr:rowOff>
    </xdr:from>
    <xdr:to>
      <xdr:col>6</xdr:col>
      <xdr:colOff>533400</xdr:colOff>
      <xdr:row>410</xdr:row>
      <xdr:rowOff>179227</xdr:rowOff>
    </xdr:to>
    <xdr:grpSp>
      <xdr:nvGrpSpPr>
        <xdr:cNvPr id="42" name="Group 41">
          <a:extLst>
            <a:ext uri="{FF2B5EF4-FFF2-40B4-BE49-F238E27FC236}">
              <a16:creationId xmlns:a16="http://schemas.microsoft.com/office/drawing/2014/main" id="{5745EE23-5D6E-ED89-9993-136AFB27BA24}"/>
            </a:ext>
          </a:extLst>
        </xdr:cNvPr>
        <xdr:cNvGrpSpPr/>
      </xdr:nvGrpSpPr>
      <xdr:grpSpPr>
        <a:xfrm>
          <a:off x="1447800" y="77390625"/>
          <a:ext cx="4241800" cy="5090952"/>
          <a:chOff x="1409700" y="77457300"/>
          <a:chExt cx="4038600" cy="5170327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9167" t="22826" r="17500" b="13438"/>
          <a:stretch/>
        </xdr:blipFill>
        <xdr:spPr>
          <a:xfrm>
            <a:off x="1409700" y="77457300"/>
            <a:ext cx="4038600" cy="245744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41" name="Group 40">
            <a:extLst>
              <a:ext uri="{FF2B5EF4-FFF2-40B4-BE49-F238E27FC236}">
                <a16:creationId xmlns:a16="http://schemas.microsoft.com/office/drawing/2014/main" id="{E34273A4-7F38-0BEB-231C-4423A2CA34A7}"/>
              </a:ext>
            </a:extLst>
          </xdr:cNvPr>
          <xdr:cNvGrpSpPr/>
        </xdr:nvGrpSpPr>
        <xdr:grpSpPr>
          <a:xfrm>
            <a:off x="1563300" y="80156503"/>
            <a:ext cx="3693300" cy="2471124"/>
            <a:chOff x="1563300" y="80156503"/>
            <a:chExt cx="3693300" cy="2471124"/>
          </a:xfrm>
        </xdr:grpSpPr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7500" t="25050" r="19305" b="15909"/>
            <a:stretch/>
          </xdr:blipFill>
          <xdr:spPr>
            <a:xfrm>
              <a:off x="1563300" y="80156503"/>
              <a:ext cx="3693300" cy="2471124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cxnSp macro="">
          <xdr:nvCxnSpPr>
            <xdr:cNvPr id="13" name="Straight Connector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CxnSpPr/>
          </xdr:nvCxnSpPr>
          <xdr:spPr>
            <a:xfrm flipH="1">
              <a:off x="2668558" y="80390275"/>
              <a:ext cx="916305" cy="1653540"/>
            </a:xfrm>
            <a:prstGeom prst="line">
              <a:avLst/>
            </a:prstGeom>
            <a:ln w="3810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Straight Connector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CxnSpPr/>
          </xdr:nvCxnSpPr>
          <xdr:spPr>
            <a:xfrm>
              <a:off x="2691419" y="82043815"/>
              <a:ext cx="640080" cy="350520"/>
            </a:xfrm>
            <a:prstGeom prst="line">
              <a:avLst/>
            </a:prstGeom>
            <a:ln w="3810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Straight Connector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CxnSpPr/>
          </xdr:nvCxnSpPr>
          <xdr:spPr>
            <a:xfrm>
              <a:off x="3584863" y="80390275"/>
              <a:ext cx="0" cy="1143000"/>
            </a:xfrm>
            <a:prstGeom prst="line">
              <a:avLst/>
            </a:prstGeom>
            <a:ln w="3810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" name="Straight Connector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CxnSpPr/>
          </xdr:nvCxnSpPr>
          <xdr:spPr>
            <a:xfrm flipH="1">
              <a:off x="3301018" y="81548515"/>
              <a:ext cx="283845" cy="861060"/>
            </a:xfrm>
            <a:prstGeom prst="line">
              <a:avLst/>
            </a:prstGeom>
            <a:ln w="38100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8</xdr:col>
      <xdr:colOff>396875</xdr:colOff>
      <xdr:row>175</xdr:row>
      <xdr:rowOff>50800</xdr:rowOff>
    </xdr:from>
    <xdr:to>
      <xdr:col>13</xdr:col>
      <xdr:colOff>592550</xdr:colOff>
      <xdr:row>189</xdr:row>
      <xdr:rowOff>172169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BC003743-AB86-4261-A3C1-FE571FCACA60}"/>
            </a:ext>
          </a:extLst>
        </xdr:cNvPr>
        <xdr:cNvGrpSpPr/>
      </xdr:nvGrpSpPr>
      <xdr:grpSpPr>
        <a:xfrm>
          <a:off x="7242175" y="35382200"/>
          <a:ext cx="4513675" cy="2877269"/>
          <a:chOff x="6877050" y="24574500"/>
          <a:chExt cx="4320000" cy="2518494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3C5741E6-C813-41EA-B160-06CF963C1A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877050" y="24574500"/>
            <a:ext cx="4320000" cy="251849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FBD8C1A0-3B2C-4B71-A3E7-F5CDD7A26237}"/>
              </a:ext>
            </a:extLst>
          </xdr:cNvPr>
          <xdr:cNvSpPr txBox="1"/>
        </xdr:nvSpPr>
        <xdr:spPr>
          <a:xfrm>
            <a:off x="7086600" y="24593550"/>
            <a:ext cx="728020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/>
              <a:t>G Wing</a:t>
            </a:r>
          </a:p>
        </xdr:txBody>
      </xdr:sp>
    </xdr:grpSp>
    <xdr:clientData/>
  </xdr:twoCellAnchor>
  <xdr:twoCellAnchor editAs="oneCell">
    <xdr:from>
      <xdr:col>8</xdr:col>
      <xdr:colOff>470648</xdr:colOff>
      <xdr:row>56</xdr:row>
      <xdr:rowOff>78441</xdr:rowOff>
    </xdr:from>
    <xdr:to>
      <xdr:col>13</xdr:col>
      <xdr:colOff>655677</xdr:colOff>
      <xdr:row>64</xdr:row>
      <xdr:rowOff>112515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45347AC-7A93-4800-B36D-2F75DDF5F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03677" y="12460941"/>
          <a:ext cx="4320000" cy="2296168"/>
        </a:xfrm>
        <a:prstGeom prst="rect">
          <a:avLst/>
        </a:prstGeom>
      </xdr:spPr>
    </xdr:pic>
    <xdr:clientData/>
  </xdr:twoCellAnchor>
  <xdr:twoCellAnchor editAs="oneCell">
    <xdr:from>
      <xdr:col>8</xdr:col>
      <xdr:colOff>479052</xdr:colOff>
      <xdr:row>56</xdr:row>
      <xdr:rowOff>87966</xdr:rowOff>
    </xdr:from>
    <xdr:to>
      <xdr:col>15</xdr:col>
      <xdr:colOff>117836</xdr:colOff>
      <xdr:row>65</xdr:row>
      <xdr:rowOff>2629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01491D9-D2A6-4FFC-B777-A4951A924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03677" y="12460941"/>
          <a:ext cx="5258534" cy="2781688"/>
        </a:xfrm>
        <a:prstGeom prst="rect">
          <a:avLst/>
        </a:prstGeom>
      </xdr:spPr>
    </xdr:pic>
    <xdr:clientData/>
  </xdr:twoCellAnchor>
  <xdr:twoCellAnchor>
    <xdr:from>
      <xdr:col>1</xdr:col>
      <xdr:colOff>481853</xdr:colOff>
      <xdr:row>319</xdr:row>
      <xdr:rowOff>190500</xdr:rowOff>
    </xdr:from>
    <xdr:to>
      <xdr:col>6</xdr:col>
      <xdr:colOff>655117</xdr:colOff>
      <xdr:row>332</xdr:row>
      <xdr:rowOff>108670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BC003743-AB86-4261-A3C1-FE571FCACA60}"/>
            </a:ext>
          </a:extLst>
        </xdr:cNvPr>
        <xdr:cNvGrpSpPr/>
      </xdr:nvGrpSpPr>
      <xdr:grpSpPr>
        <a:xfrm>
          <a:off x="1281953" y="64579500"/>
          <a:ext cx="4529364" cy="2477220"/>
          <a:chOff x="6877050" y="24574500"/>
          <a:chExt cx="4320000" cy="2518494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3C5741E6-C813-41EA-B160-06CF963C1A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877050" y="24574500"/>
            <a:ext cx="4320000" cy="251849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FBD8C1A0-3B2C-4B71-A3E7-F5CDD7A26237}"/>
              </a:ext>
            </a:extLst>
          </xdr:cNvPr>
          <xdr:cNvSpPr txBox="1"/>
        </xdr:nvSpPr>
        <xdr:spPr>
          <a:xfrm>
            <a:off x="7086600" y="24593550"/>
            <a:ext cx="728020" cy="311496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/>
              <a:t>G Wing</a:t>
            </a:r>
          </a:p>
        </xdr:txBody>
      </xdr:sp>
    </xdr:grpSp>
    <xdr:clientData/>
  </xdr:twoCellAnchor>
  <xdr:twoCellAnchor editAs="oneCell">
    <xdr:from>
      <xdr:col>0</xdr:col>
      <xdr:colOff>78441</xdr:colOff>
      <xdr:row>333</xdr:row>
      <xdr:rowOff>4482</xdr:rowOff>
    </xdr:from>
    <xdr:to>
      <xdr:col>7</xdr:col>
      <xdr:colOff>771213</xdr:colOff>
      <xdr:row>350</xdr:row>
      <xdr:rowOff>175482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441" y="55049457"/>
          <a:ext cx="6388722" cy="35714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537882</xdr:colOff>
      <xdr:row>348</xdr:row>
      <xdr:rowOff>156883</xdr:rowOff>
    </xdr:from>
    <xdr:to>
      <xdr:col>4</xdr:col>
      <xdr:colOff>326402</xdr:colOff>
      <xdr:row>350</xdr:row>
      <xdr:rowOff>67670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BD8C1A0-3B2C-4B71-A3E7-F5CDD7A26237}"/>
            </a:ext>
          </a:extLst>
        </xdr:cNvPr>
        <xdr:cNvSpPr txBox="1"/>
      </xdr:nvSpPr>
      <xdr:spPr>
        <a:xfrm>
          <a:off x="2947707" y="58202233"/>
          <a:ext cx="731495" cy="31083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400" b="1"/>
            <a:t>K Wing</a:t>
          </a:r>
        </a:p>
      </xdr:txBody>
    </xdr:sp>
    <xdr:clientData/>
  </xdr:twoCellAnchor>
  <xdr:twoCellAnchor editAs="oneCell">
    <xdr:from>
      <xdr:col>8</xdr:col>
      <xdr:colOff>292100</xdr:colOff>
      <xdr:row>48</xdr:row>
      <xdr:rowOff>25400</xdr:rowOff>
    </xdr:from>
    <xdr:to>
      <xdr:col>11</xdr:col>
      <xdr:colOff>416200</xdr:colOff>
      <xdr:row>52</xdr:row>
      <xdr:rowOff>121255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37400" y="11252200"/>
          <a:ext cx="2880000" cy="13690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203200</xdr:colOff>
      <xdr:row>276</xdr:row>
      <xdr:rowOff>152400</xdr:rowOff>
    </xdr:from>
    <xdr:to>
      <xdr:col>7</xdr:col>
      <xdr:colOff>608048</xdr:colOff>
      <xdr:row>308</xdr:row>
      <xdr:rowOff>101317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03200" y="56083200"/>
          <a:ext cx="6380198" cy="6241767"/>
          <a:chOff x="203200" y="54356000"/>
          <a:chExt cx="6380198" cy="6241767"/>
        </a:xfrm>
      </xdr:grpSpPr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53299" y="58437767"/>
            <a:ext cx="288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63398" y="58437767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200" y="58437767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279" y="543560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5872" y="543560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1</xdr:col>
      <xdr:colOff>0</xdr:colOff>
      <xdr:row>355</xdr:row>
      <xdr:rowOff>0</xdr:rowOff>
    </xdr:from>
    <xdr:to>
      <xdr:col>7</xdr:col>
      <xdr:colOff>104100</xdr:colOff>
      <xdr:row>370</xdr:row>
      <xdr:rowOff>40499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213CCB90-DAC2-E2B4-82EB-AA518FBEFA86}"/>
            </a:ext>
          </a:extLst>
        </xdr:cNvPr>
        <xdr:cNvGrpSpPr/>
      </xdr:nvGrpSpPr>
      <xdr:grpSpPr>
        <a:xfrm>
          <a:off x="800100" y="71475600"/>
          <a:ext cx="5279350" cy="2993249"/>
          <a:chOff x="762000" y="71447025"/>
          <a:chExt cx="5038050" cy="3040874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BEBA8EAE-BF5A-486C-A8C5-ECC9F3942E4B}">
                <a14:imgProps xmlns:a14="http://schemas.microsoft.com/office/drawing/2010/main">
                  <a14:imgLayer r:embed="rId14">
                    <a14:imgEffect>
                      <a14:brightnessContrast bright="4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16200000">
            <a:off x="1760588" y="70448437"/>
            <a:ext cx="3040874" cy="50380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7D960551-87CD-249E-9581-9350D300504F}"/>
              </a:ext>
            </a:extLst>
          </xdr:cNvPr>
          <xdr:cNvGrpSpPr/>
        </xdr:nvGrpSpPr>
        <xdr:grpSpPr>
          <a:xfrm>
            <a:off x="4509714" y="71724257"/>
            <a:ext cx="879325" cy="964418"/>
            <a:chOff x="4509714" y="71724257"/>
            <a:chExt cx="879325" cy="964418"/>
          </a:xfrm>
        </xdr:grpSpPr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>
            <a:xfrm>
              <a:off x="4665895" y="72093589"/>
              <a:ext cx="566964" cy="595086"/>
            </a:xfrm>
            <a:prstGeom prst="rect">
              <a:avLst/>
            </a:prstGeom>
            <a:noFill/>
            <a:ln w="38100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9" name="Rectangle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>
              <a:off x="4509714" y="71724257"/>
              <a:ext cx="879325" cy="369332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0000"/>
                  </a:solidFill>
                </a:rPr>
                <a:t>G Wing </a:t>
              </a:r>
            </a:p>
          </xdr:txBody>
        </xdr:sp>
      </xdr:grpSp>
      <xdr:grpSp>
        <xdr:nvGrpSpPr>
          <xdr:cNvPr id="21" name="Group 20">
            <a:extLst>
              <a:ext uri="{FF2B5EF4-FFF2-40B4-BE49-F238E27FC236}">
                <a16:creationId xmlns:a16="http://schemas.microsoft.com/office/drawing/2014/main" id="{FE563A09-660D-D726-AC48-7FB66623520A}"/>
              </a:ext>
            </a:extLst>
          </xdr:cNvPr>
          <xdr:cNvGrpSpPr/>
        </xdr:nvGrpSpPr>
        <xdr:grpSpPr>
          <a:xfrm>
            <a:off x="2714060" y="73032777"/>
            <a:ext cx="861784" cy="765459"/>
            <a:chOff x="2714060" y="73032777"/>
            <a:chExt cx="861784" cy="765459"/>
          </a:xfrm>
        </xdr:grpSpPr>
        <xdr:sp macro="" textlink="">
          <xdr:nvSpPr>
            <xdr:cNvPr id="8" name="Rectangle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2714060" y="73032777"/>
              <a:ext cx="642374" cy="396127"/>
            </a:xfrm>
            <a:prstGeom prst="rect">
              <a:avLst/>
            </a:prstGeom>
            <a:noFill/>
            <a:ln w="38100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10" name="Rectangle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2714060" y="73428904"/>
              <a:ext cx="861784" cy="369332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0000"/>
                  </a:solidFill>
                </a:rPr>
                <a:t>K Wing </a:t>
              </a:r>
            </a:p>
          </xdr:txBody>
        </xdr:sp>
      </xdr:grpSp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16787BE7-A7B7-50FA-F7F7-7949F7991E68}"/>
              </a:ext>
            </a:extLst>
          </xdr:cNvPr>
          <xdr:cNvGrpSpPr/>
        </xdr:nvGrpSpPr>
        <xdr:grpSpPr>
          <a:xfrm>
            <a:off x="2409825" y="71828025"/>
            <a:ext cx="1009650" cy="964418"/>
            <a:chOff x="2409825" y="71828025"/>
            <a:chExt cx="1009650" cy="964418"/>
          </a:xfrm>
        </xdr:grpSpPr>
        <xdr:sp macro="" textlink="">
          <xdr:nvSpPr>
            <xdr:cNvPr id="3" name="Rectangle 2">
              <a:extLst>
                <a:ext uri="{FF2B5EF4-FFF2-40B4-BE49-F238E27FC236}">
                  <a16:creationId xmlns:a16="http://schemas.microsoft.com/office/drawing/2014/main" id="{E50AFC67-BEB2-47E0-B92E-D8234FEB21DC}"/>
                </a:ext>
              </a:extLst>
            </xdr:cNvPr>
            <xdr:cNvSpPr/>
          </xdr:nvSpPr>
          <xdr:spPr>
            <a:xfrm>
              <a:off x="2566006" y="72197357"/>
              <a:ext cx="650994" cy="595086"/>
            </a:xfrm>
            <a:prstGeom prst="rect">
              <a:avLst/>
            </a:prstGeom>
            <a:noFill/>
            <a:ln w="38100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18" name="Rectangle 17">
              <a:extLst>
                <a:ext uri="{FF2B5EF4-FFF2-40B4-BE49-F238E27FC236}">
                  <a16:creationId xmlns:a16="http://schemas.microsoft.com/office/drawing/2014/main" id="{C6162FF3-5459-47EC-95D8-79B13D09DD7D}"/>
                </a:ext>
              </a:extLst>
            </xdr:cNvPr>
            <xdr:cNvSpPr/>
          </xdr:nvSpPr>
          <xdr:spPr>
            <a:xfrm>
              <a:off x="2409825" y="71828025"/>
              <a:ext cx="1009650" cy="374141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0000"/>
                  </a:solidFill>
                </a:rPr>
                <a:t>D Wing 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13</xdr:row>
      <xdr:rowOff>168088</xdr:rowOff>
    </xdr:from>
    <xdr:to>
      <xdr:col>3</xdr:col>
      <xdr:colOff>696177</xdr:colOff>
      <xdr:row>29</xdr:row>
      <xdr:rowOff>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2655794"/>
          <a:ext cx="5122500" cy="28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147918</xdr:colOff>
      <xdr:row>13</xdr:row>
      <xdr:rowOff>136712</xdr:rowOff>
    </xdr:from>
    <xdr:to>
      <xdr:col>9</xdr:col>
      <xdr:colOff>563947</xdr:colOff>
      <xdr:row>28</xdr:row>
      <xdr:rowOff>159212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7094" y="2624418"/>
          <a:ext cx="5122500" cy="28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gicbricks.com/starwing-i-stay-tower-k-andheri-east-mumbai-pdpid-4d4235343137323739" TargetMode="External"/><Relationship Id="rId1" Type="http://schemas.openxmlformats.org/officeDocument/2006/relationships/hyperlink" Target="https://goo.gl/maps/JfyaFLtjM98MBEW78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384"/>
  <sheetViews>
    <sheetView tabSelected="1" view="pageBreakPreview" zoomScaleNormal="100" zoomScaleSheetLayoutView="100" workbookViewId="0">
      <selection activeCell="E9" sqref="E8:H9"/>
    </sheetView>
  </sheetViews>
  <sheetFormatPr defaultColWidth="9.1796875" defaultRowHeight="15.5" x14ac:dyDescent="0.35"/>
  <cols>
    <col min="1" max="1" width="11.453125" style="39" customWidth="1"/>
    <col min="2" max="2" width="12" style="39" customWidth="1"/>
    <col min="3" max="3" width="12.7265625" style="39" customWidth="1"/>
    <col min="4" max="4" width="14.1796875" style="39" customWidth="1"/>
    <col min="5" max="7" width="11.7265625" style="39" customWidth="1"/>
    <col min="8" max="8" width="12.453125" style="39" customWidth="1"/>
    <col min="9" max="9" width="17.453125" style="20" customWidth="1"/>
    <col min="10" max="10" width="11.453125" style="20" customWidth="1"/>
    <col min="11" max="11" width="10.54296875" style="20" bestFit="1" customWidth="1"/>
    <col min="12" max="12" width="10.54296875" style="20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7265625" style="20" customWidth="1"/>
    <col min="17" max="247" width="9.1796875" style="20"/>
    <col min="248" max="248" width="8.7265625" style="20" customWidth="1"/>
    <col min="249" max="249" width="9.81640625" style="20" customWidth="1"/>
    <col min="250" max="250" width="14.453125" style="20" customWidth="1"/>
    <col min="251" max="251" width="7.2695312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7265625" style="20" customWidth="1"/>
    <col min="505" max="505" width="9.81640625" style="20" customWidth="1"/>
    <col min="506" max="506" width="14.453125" style="20" customWidth="1"/>
    <col min="507" max="507" width="7.2695312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7265625" style="20" customWidth="1"/>
    <col min="761" max="761" width="9.81640625" style="20" customWidth="1"/>
    <col min="762" max="762" width="14.453125" style="20" customWidth="1"/>
    <col min="763" max="763" width="7.2695312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7265625" style="20" customWidth="1"/>
    <col min="1017" max="1017" width="9.81640625" style="20" customWidth="1"/>
    <col min="1018" max="1018" width="14.453125" style="20" customWidth="1"/>
    <col min="1019" max="1019" width="7.2695312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7265625" style="20" customWidth="1"/>
    <col min="1273" max="1273" width="9.81640625" style="20" customWidth="1"/>
    <col min="1274" max="1274" width="14.453125" style="20" customWidth="1"/>
    <col min="1275" max="1275" width="7.2695312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7265625" style="20" customWidth="1"/>
    <col min="1529" max="1529" width="9.81640625" style="20" customWidth="1"/>
    <col min="1530" max="1530" width="14.453125" style="20" customWidth="1"/>
    <col min="1531" max="1531" width="7.2695312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7265625" style="20" customWidth="1"/>
    <col min="1785" max="1785" width="9.81640625" style="20" customWidth="1"/>
    <col min="1786" max="1786" width="14.453125" style="20" customWidth="1"/>
    <col min="1787" max="1787" width="7.2695312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7265625" style="20" customWidth="1"/>
    <col min="2041" max="2041" width="9.81640625" style="20" customWidth="1"/>
    <col min="2042" max="2042" width="14.453125" style="20" customWidth="1"/>
    <col min="2043" max="2043" width="7.2695312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7265625" style="20" customWidth="1"/>
    <col min="2297" max="2297" width="9.81640625" style="20" customWidth="1"/>
    <col min="2298" max="2298" width="14.453125" style="20" customWidth="1"/>
    <col min="2299" max="2299" width="7.2695312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7265625" style="20" customWidth="1"/>
    <col min="2553" max="2553" width="9.81640625" style="20" customWidth="1"/>
    <col min="2554" max="2554" width="14.453125" style="20" customWidth="1"/>
    <col min="2555" max="2555" width="7.2695312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7265625" style="20" customWidth="1"/>
    <col min="2809" max="2809" width="9.81640625" style="20" customWidth="1"/>
    <col min="2810" max="2810" width="14.453125" style="20" customWidth="1"/>
    <col min="2811" max="2811" width="7.2695312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7265625" style="20" customWidth="1"/>
    <col min="3065" max="3065" width="9.81640625" style="20" customWidth="1"/>
    <col min="3066" max="3066" width="14.453125" style="20" customWidth="1"/>
    <col min="3067" max="3067" width="7.2695312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7265625" style="20" customWidth="1"/>
    <col min="3321" max="3321" width="9.81640625" style="20" customWidth="1"/>
    <col min="3322" max="3322" width="14.453125" style="20" customWidth="1"/>
    <col min="3323" max="3323" width="7.2695312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7265625" style="20" customWidth="1"/>
    <col min="3577" max="3577" width="9.81640625" style="20" customWidth="1"/>
    <col min="3578" max="3578" width="14.453125" style="20" customWidth="1"/>
    <col min="3579" max="3579" width="7.2695312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7265625" style="20" customWidth="1"/>
    <col min="3833" max="3833" width="9.81640625" style="20" customWidth="1"/>
    <col min="3834" max="3834" width="14.453125" style="20" customWidth="1"/>
    <col min="3835" max="3835" width="7.2695312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7265625" style="20" customWidth="1"/>
    <col min="4089" max="4089" width="9.81640625" style="20" customWidth="1"/>
    <col min="4090" max="4090" width="14.453125" style="20" customWidth="1"/>
    <col min="4091" max="4091" width="7.2695312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7265625" style="20" customWidth="1"/>
    <col min="4345" max="4345" width="9.81640625" style="20" customWidth="1"/>
    <col min="4346" max="4346" width="14.453125" style="20" customWidth="1"/>
    <col min="4347" max="4347" width="7.2695312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7265625" style="20" customWidth="1"/>
    <col min="4601" max="4601" width="9.81640625" style="20" customWidth="1"/>
    <col min="4602" max="4602" width="14.453125" style="20" customWidth="1"/>
    <col min="4603" max="4603" width="7.2695312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7265625" style="20" customWidth="1"/>
    <col min="4857" max="4857" width="9.81640625" style="20" customWidth="1"/>
    <col min="4858" max="4858" width="14.453125" style="20" customWidth="1"/>
    <col min="4859" max="4859" width="7.2695312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7265625" style="20" customWidth="1"/>
    <col min="5113" max="5113" width="9.81640625" style="20" customWidth="1"/>
    <col min="5114" max="5114" width="14.453125" style="20" customWidth="1"/>
    <col min="5115" max="5115" width="7.2695312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7265625" style="20" customWidth="1"/>
    <col min="5369" max="5369" width="9.81640625" style="20" customWidth="1"/>
    <col min="5370" max="5370" width="14.453125" style="20" customWidth="1"/>
    <col min="5371" max="5371" width="7.2695312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7265625" style="20" customWidth="1"/>
    <col min="5625" max="5625" width="9.81640625" style="20" customWidth="1"/>
    <col min="5626" max="5626" width="14.453125" style="20" customWidth="1"/>
    <col min="5627" max="5627" width="7.2695312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7265625" style="20" customWidth="1"/>
    <col min="5881" max="5881" width="9.81640625" style="20" customWidth="1"/>
    <col min="5882" max="5882" width="14.453125" style="20" customWidth="1"/>
    <col min="5883" max="5883" width="7.2695312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7265625" style="20" customWidth="1"/>
    <col min="6137" max="6137" width="9.81640625" style="20" customWidth="1"/>
    <col min="6138" max="6138" width="14.453125" style="20" customWidth="1"/>
    <col min="6139" max="6139" width="7.2695312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7265625" style="20" customWidth="1"/>
    <col min="6393" max="6393" width="9.81640625" style="20" customWidth="1"/>
    <col min="6394" max="6394" width="14.453125" style="20" customWidth="1"/>
    <col min="6395" max="6395" width="7.2695312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7265625" style="20" customWidth="1"/>
    <col min="6649" max="6649" width="9.81640625" style="20" customWidth="1"/>
    <col min="6650" max="6650" width="14.453125" style="20" customWidth="1"/>
    <col min="6651" max="6651" width="7.2695312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7265625" style="20" customWidth="1"/>
    <col min="6905" max="6905" width="9.81640625" style="20" customWidth="1"/>
    <col min="6906" max="6906" width="14.453125" style="20" customWidth="1"/>
    <col min="6907" max="6907" width="7.2695312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7265625" style="20" customWidth="1"/>
    <col min="7161" max="7161" width="9.81640625" style="20" customWidth="1"/>
    <col min="7162" max="7162" width="14.453125" style="20" customWidth="1"/>
    <col min="7163" max="7163" width="7.2695312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7265625" style="20" customWidth="1"/>
    <col min="7417" max="7417" width="9.81640625" style="20" customWidth="1"/>
    <col min="7418" max="7418" width="14.453125" style="20" customWidth="1"/>
    <col min="7419" max="7419" width="7.2695312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7265625" style="20" customWidth="1"/>
    <col min="7673" max="7673" width="9.81640625" style="20" customWidth="1"/>
    <col min="7674" max="7674" width="14.453125" style="20" customWidth="1"/>
    <col min="7675" max="7675" width="7.2695312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7265625" style="20" customWidth="1"/>
    <col min="7929" max="7929" width="9.81640625" style="20" customWidth="1"/>
    <col min="7930" max="7930" width="14.453125" style="20" customWidth="1"/>
    <col min="7931" max="7931" width="7.2695312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7265625" style="20" customWidth="1"/>
    <col min="8185" max="8185" width="9.81640625" style="20" customWidth="1"/>
    <col min="8186" max="8186" width="14.453125" style="20" customWidth="1"/>
    <col min="8187" max="8187" width="7.2695312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7265625" style="20" customWidth="1"/>
    <col min="8441" max="8441" width="9.81640625" style="20" customWidth="1"/>
    <col min="8442" max="8442" width="14.453125" style="20" customWidth="1"/>
    <col min="8443" max="8443" width="7.2695312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7265625" style="20" customWidth="1"/>
    <col min="8697" max="8697" width="9.81640625" style="20" customWidth="1"/>
    <col min="8698" max="8698" width="14.453125" style="20" customWidth="1"/>
    <col min="8699" max="8699" width="7.2695312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7265625" style="20" customWidth="1"/>
    <col min="8953" max="8953" width="9.81640625" style="20" customWidth="1"/>
    <col min="8954" max="8954" width="14.453125" style="20" customWidth="1"/>
    <col min="8955" max="8955" width="7.2695312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7265625" style="20" customWidth="1"/>
    <col min="9209" max="9209" width="9.81640625" style="20" customWidth="1"/>
    <col min="9210" max="9210" width="14.453125" style="20" customWidth="1"/>
    <col min="9211" max="9211" width="7.2695312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7265625" style="20" customWidth="1"/>
    <col min="9465" max="9465" width="9.81640625" style="20" customWidth="1"/>
    <col min="9466" max="9466" width="14.453125" style="20" customWidth="1"/>
    <col min="9467" max="9467" width="7.2695312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7265625" style="20" customWidth="1"/>
    <col min="9721" max="9721" width="9.81640625" style="20" customWidth="1"/>
    <col min="9722" max="9722" width="14.453125" style="20" customWidth="1"/>
    <col min="9723" max="9723" width="7.2695312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7265625" style="20" customWidth="1"/>
    <col min="9977" max="9977" width="9.81640625" style="20" customWidth="1"/>
    <col min="9978" max="9978" width="14.453125" style="20" customWidth="1"/>
    <col min="9979" max="9979" width="7.2695312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7265625" style="20" customWidth="1"/>
    <col min="10233" max="10233" width="9.81640625" style="20" customWidth="1"/>
    <col min="10234" max="10234" width="14.453125" style="20" customWidth="1"/>
    <col min="10235" max="10235" width="7.2695312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7265625" style="20" customWidth="1"/>
    <col min="10489" max="10489" width="9.81640625" style="20" customWidth="1"/>
    <col min="10490" max="10490" width="14.453125" style="20" customWidth="1"/>
    <col min="10491" max="10491" width="7.2695312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7265625" style="20" customWidth="1"/>
    <col min="10745" max="10745" width="9.81640625" style="20" customWidth="1"/>
    <col min="10746" max="10746" width="14.453125" style="20" customWidth="1"/>
    <col min="10747" max="10747" width="7.2695312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7265625" style="20" customWidth="1"/>
    <col min="11001" max="11001" width="9.81640625" style="20" customWidth="1"/>
    <col min="11002" max="11002" width="14.453125" style="20" customWidth="1"/>
    <col min="11003" max="11003" width="7.2695312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7265625" style="20" customWidth="1"/>
    <col min="11257" max="11257" width="9.81640625" style="20" customWidth="1"/>
    <col min="11258" max="11258" width="14.453125" style="20" customWidth="1"/>
    <col min="11259" max="11259" width="7.2695312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7265625" style="20" customWidth="1"/>
    <col min="11513" max="11513" width="9.81640625" style="20" customWidth="1"/>
    <col min="11514" max="11514" width="14.453125" style="20" customWidth="1"/>
    <col min="11515" max="11515" width="7.2695312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7265625" style="20" customWidth="1"/>
    <col min="11769" max="11769" width="9.81640625" style="20" customWidth="1"/>
    <col min="11770" max="11770" width="14.453125" style="20" customWidth="1"/>
    <col min="11771" max="11771" width="7.2695312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7265625" style="20" customWidth="1"/>
    <col min="12025" max="12025" width="9.81640625" style="20" customWidth="1"/>
    <col min="12026" max="12026" width="14.453125" style="20" customWidth="1"/>
    <col min="12027" max="12027" width="7.2695312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7265625" style="20" customWidth="1"/>
    <col min="12281" max="12281" width="9.81640625" style="20" customWidth="1"/>
    <col min="12282" max="12282" width="14.453125" style="20" customWidth="1"/>
    <col min="12283" max="12283" width="7.2695312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7265625" style="20" customWidth="1"/>
    <col min="12537" max="12537" width="9.81640625" style="20" customWidth="1"/>
    <col min="12538" max="12538" width="14.453125" style="20" customWidth="1"/>
    <col min="12539" max="12539" width="7.2695312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7265625" style="20" customWidth="1"/>
    <col min="12793" max="12793" width="9.81640625" style="20" customWidth="1"/>
    <col min="12794" max="12794" width="14.453125" style="20" customWidth="1"/>
    <col min="12795" max="12795" width="7.2695312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7265625" style="20" customWidth="1"/>
    <col min="13049" max="13049" width="9.81640625" style="20" customWidth="1"/>
    <col min="13050" max="13050" width="14.453125" style="20" customWidth="1"/>
    <col min="13051" max="13051" width="7.2695312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7265625" style="20" customWidth="1"/>
    <col min="13305" max="13305" width="9.81640625" style="20" customWidth="1"/>
    <col min="13306" max="13306" width="14.453125" style="20" customWidth="1"/>
    <col min="13307" max="13307" width="7.2695312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7265625" style="20" customWidth="1"/>
    <col min="13561" max="13561" width="9.81640625" style="20" customWidth="1"/>
    <col min="13562" max="13562" width="14.453125" style="20" customWidth="1"/>
    <col min="13563" max="13563" width="7.2695312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7265625" style="20" customWidth="1"/>
    <col min="13817" max="13817" width="9.81640625" style="20" customWidth="1"/>
    <col min="13818" max="13818" width="14.453125" style="20" customWidth="1"/>
    <col min="13819" max="13819" width="7.2695312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7265625" style="20" customWidth="1"/>
    <col min="14073" max="14073" width="9.81640625" style="20" customWidth="1"/>
    <col min="14074" max="14074" width="14.453125" style="20" customWidth="1"/>
    <col min="14075" max="14075" width="7.2695312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7265625" style="20" customWidth="1"/>
    <col min="14329" max="14329" width="9.81640625" style="20" customWidth="1"/>
    <col min="14330" max="14330" width="14.453125" style="20" customWidth="1"/>
    <col min="14331" max="14331" width="7.2695312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7265625" style="20" customWidth="1"/>
    <col min="14585" max="14585" width="9.81640625" style="20" customWidth="1"/>
    <col min="14586" max="14586" width="14.453125" style="20" customWidth="1"/>
    <col min="14587" max="14587" width="7.2695312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7265625" style="20" customWidth="1"/>
    <col min="14841" max="14841" width="9.81640625" style="20" customWidth="1"/>
    <col min="14842" max="14842" width="14.453125" style="20" customWidth="1"/>
    <col min="14843" max="14843" width="7.2695312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7265625" style="20" customWidth="1"/>
    <col min="15097" max="15097" width="9.81640625" style="20" customWidth="1"/>
    <col min="15098" max="15098" width="14.453125" style="20" customWidth="1"/>
    <col min="15099" max="15099" width="7.2695312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7265625" style="20" customWidth="1"/>
    <col min="15353" max="15353" width="9.81640625" style="20" customWidth="1"/>
    <col min="15354" max="15354" width="14.453125" style="20" customWidth="1"/>
    <col min="15355" max="15355" width="7.2695312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7265625" style="20" customWidth="1"/>
    <col min="15609" max="15609" width="9.81640625" style="20" customWidth="1"/>
    <col min="15610" max="15610" width="14.453125" style="20" customWidth="1"/>
    <col min="15611" max="15611" width="7.2695312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7265625" style="20" customWidth="1"/>
    <col min="15865" max="15865" width="9.81640625" style="20" customWidth="1"/>
    <col min="15866" max="15866" width="14.453125" style="20" customWidth="1"/>
    <col min="15867" max="15867" width="7.2695312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7265625" style="20" customWidth="1"/>
    <col min="16121" max="16121" width="9.81640625" style="20" customWidth="1"/>
    <col min="16122" max="16122" width="14.453125" style="20" customWidth="1"/>
    <col min="16123" max="16123" width="7.2695312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8" ht="46.5" customHeight="1" x14ac:dyDescent="0.35">
      <c r="A1" s="124" t="s">
        <v>167</v>
      </c>
      <c r="B1" s="124"/>
      <c r="C1" s="124"/>
      <c r="D1" s="124"/>
      <c r="E1" s="124"/>
      <c r="F1" s="124"/>
      <c r="G1" s="124"/>
      <c r="H1" s="124"/>
    </row>
    <row r="2" spans="1:8" ht="16.5" customHeight="1" x14ac:dyDescent="0.35">
      <c r="A2" s="93" t="s">
        <v>0</v>
      </c>
      <c r="B2" s="93"/>
      <c r="C2" s="93"/>
      <c r="D2" s="93"/>
      <c r="E2" s="93"/>
      <c r="F2" s="93"/>
      <c r="G2" s="93"/>
      <c r="H2" s="93"/>
    </row>
    <row r="3" spans="1:8" x14ac:dyDescent="0.35">
      <c r="A3" s="71" t="s">
        <v>1</v>
      </c>
      <c r="B3" s="71"/>
      <c r="C3" s="71"/>
      <c r="D3" s="71"/>
      <c r="E3" s="71" t="str">
        <f ca="1">TEXT(TODAY(),"DD/MM/YYYY")</f>
        <v>22/09/2025</v>
      </c>
      <c r="F3" s="71"/>
      <c r="G3" s="71"/>
      <c r="H3" s="71"/>
    </row>
    <row r="4" spans="1:8" ht="15" customHeight="1" x14ac:dyDescent="0.35">
      <c r="A4" s="71" t="s">
        <v>2</v>
      </c>
      <c r="B4" s="71"/>
      <c r="C4" s="71"/>
      <c r="D4" s="71"/>
      <c r="E4" s="71" t="s">
        <v>172</v>
      </c>
      <c r="F4" s="71"/>
      <c r="G4" s="71"/>
      <c r="H4" s="71"/>
    </row>
    <row r="5" spans="1:8" x14ac:dyDescent="0.35">
      <c r="A5" s="71" t="s">
        <v>3</v>
      </c>
      <c r="B5" s="71"/>
      <c r="C5" s="71"/>
      <c r="D5" s="71"/>
      <c r="E5" s="125">
        <v>45902</v>
      </c>
      <c r="F5" s="71"/>
      <c r="G5" s="71"/>
      <c r="H5" s="71"/>
    </row>
    <row r="6" spans="1:8" ht="16.5" customHeight="1" x14ac:dyDescent="0.35">
      <c r="A6" s="71" t="s">
        <v>4</v>
      </c>
      <c r="B6" s="71"/>
      <c r="C6" s="71"/>
      <c r="D6" s="71"/>
      <c r="E6" s="71" t="s">
        <v>173</v>
      </c>
      <c r="F6" s="71"/>
      <c r="G6" s="71"/>
      <c r="H6" s="71"/>
    </row>
    <row r="7" spans="1:8" ht="15" customHeight="1" x14ac:dyDescent="0.35">
      <c r="A7" s="71" t="s">
        <v>5</v>
      </c>
      <c r="B7" s="71"/>
      <c r="C7" s="71"/>
      <c r="D7" s="71"/>
      <c r="E7" s="71" t="str">
        <f>E6</f>
        <v>Starwing Real Estate Company</v>
      </c>
      <c r="F7" s="71"/>
      <c r="G7" s="71"/>
      <c r="H7" s="71"/>
    </row>
    <row r="8" spans="1:8" x14ac:dyDescent="0.35">
      <c r="A8" s="71" t="s">
        <v>6</v>
      </c>
      <c r="B8" s="71"/>
      <c r="C8" s="71"/>
      <c r="D8" s="71"/>
      <c r="E8" s="81" t="s">
        <v>234</v>
      </c>
      <c r="F8" s="76"/>
      <c r="G8" s="76"/>
      <c r="H8" s="76"/>
    </row>
    <row r="9" spans="1:8" x14ac:dyDescent="0.35">
      <c r="A9" s="71" t="s">
        <v>170</v>
      </c>
      <c r="B9" s="71"/>
      <c r="C9" s="71"/>
      <c r="D9" s="71"/>
      <c r="E9" s="71" t="s">
        <v>174</v>
      </c>
      <c r="F9" s="71"/>
      <c r="G9" s="71"/>
      <c r="H9" s="71"/>
    </row>
    <row r="10" spans="1:8" x14ac:dyDescent="0.35">
      <c r="A10" s="71" t="s">
        <v>171</v>
      </c>
      <c r="B10" s="71"/>
      <c r="C10" s="71"/>
      <c r="D10" s="71"/>
      <c r="E10" s="71" t="s">
        <v>231</v>
      </c>
      <c r="F10" s="71"/>
      <c r="G10" s="71"/>
      <c r="H10" s="71"/>
    </row>
    <row r="11" spans="1:8" x14ac:dyDescent="0.35">
      <c r="A11" s="71" t="s">
        <v>7</v>
      </c>
      <c r="B11" s="71"/>
      <c r="C11" s="71"/>
      <c r="D11" s="71"/>
      <c r="E11" s="69" t="s">
        <v>253</v>
      </c>
      <c r="F11" s="71"/>
      <c r="G11" s="71"/>
      <c r="H11" s="71"/>
    </row>
    <row r="12" spans="1:8" x14ac:dyDescent="0.35">
      <c r="A12" s="80" t="s">
        <v>8</v>
      </c>
      <c r="B12" s="80"/>
      <c r="C12" s="80"/>
      <c r="D12" s="80"/>
      <c r="E12" s="69" t="s">
        <v>175</v>
      </c>
      <c r="F12" s="69"/>
      <c r="G12" s="69"/>
      <c r="H12" s="69"/>
    </row>
    <row r="13" spans="1:8" x14ac:dyDescent="0.35">
      <c r="A13" s="80" t="s">
        <v>205</v>
      </c>
      <c r="B13" s="80"/>
      <c r="C13" s="80"/>
      <c r="D13" s="80"/>
      <c r="E13" s="69" t="s">
        <v>204</v>
      </c>
      <c r="F13" s="71"/>
      <c r="G13" s="71"/>
      <c r="H13" s="71"/>
    </row>
    <row r="14" spans="1:8" ht="51" customHeight="1" x14ac:dyDescent="0.35">
      <c r="A14" s="80" t="s">
        <v>206</v>
      </c>
      <c r="B14" s="80"/>
      <c r="C14" s="80"/>
      <c r="D14" s="80"/>
      <c r="E14" s="69" t="s">
        <v>245</v>
      </c>
      <c r="F14" s="71"/>
      <c r="G14" s="71"/>
      <c r="H14" s="71"/>
    </row>
    <row r="15" spans="1:8" ht="52.5" customHeight="1" x14ac:dyDescent="0.35">
      <c r="A15" s="70" t="s">
        <v>9</v>
      </c>
      <c r="B15" s="70"/>
      <c r="C15" s="70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I Stay Tower D, G &amp; K, CTS No.47, 48, 51/A, 52, 53/A, 1702 &amp; Survey No. 156/7(PT) &amp; 156/11(PT), near Sevenhills Hospital Residential Block, Staff Quarters, Jama Masjid Ln, Shivaji Nagar, Marol, Andheri East, Andheri, Mumbai - 400059.</v>
      </c>
      <c r="D15" s="70"/>
      <c r="E15" s="70"/>
      <c r="F15" s="70"/>
      <c r="G15" s="70"/>
      <c r="H15" s="70"/>
    </row>
    <row r="16" spans="1:8" x14ac:dyDescent="0.35">
      <c r="A16" s="69" t="s">
        <v>180</v>
      </c>
      <c r="B16" s="69"/>
      <c r="C16" s="69" t="s">
        <v>181</v>
      </c>
      <c r="D16" s="69"/>
      <c r="E16" s="69"/>
      <c r="F16" s="69"/>
      <c r="G16" s="69"/>
      <c r="H16" s="69"/>
    </row>
    <row r="17" spans="1:8" ht="15.75" customHeight="1" x14ac:dyDescent="0.35">
      <c r="A17" s="69" t="s">
        <v>165</v>
      </c>
      <c r="B17" s="69"/>
      <c r="C17" s="69" t="s">
        <v>179</v>
      </c>
      <c r="D17" s="69"/>
      <c r="E17" s="69"/>
      <c r="F17" s="69"/>
      <c r="G17" s="69"/>
      <c r="H17" s="69"/>
    </row>
    <row r="18" spans="1:8" ht="15.75" customHeight="1" x14ac:dyDescent="0.35">
      <c r="A18" s="70" t="s">
        <v>10</v>
      </c>
      <c r="B18" s="70"/>
      <c r="C18" s="71" t="s">
        <v>183</v>
      </c>
      <c r="D18" s="71"/>
      <c r="E18" s="70" t="s">
        <v>72</v>
      </c>
      <c r="F18" s="70"/>
      <c r="G18" s="69" t="s">
        <v>176</v>
      </c>
      <c r="H18" s="69"/>
    </row>
    <row r="19" spans="1:8" x14ac:dyDescent="0.35">
      <c r="A19" s="80" t="s">
        <v>12</v>
      </c>
      <c r="B19" s="80"/>
      <c r="C19" s="69" t="s">
        <v>203</v>
      </c>
      <c r="D19" s="69"/>
      <c r="E19" s="70" t="s">
        <v>11</v>
      </c>
      <c r="F19" s="70"/>
      <c r="G19" s="126" t="s">
        <v>177</v>
      </c>
      <c r="H19" s="126"/>
    </row>
    <row r="20" spans="1:8" x14ac:dyDescent="0.35">
      <c r="A20" s="80" t="s">
        <v>73</v>
      </c>
      <c r="B20" s="80"/>
      <c r="C20" s="69" t="s">
        <v>178</v>
      </c>
      <c r="D20" s="69"/>
      <c r="E20" s="70" t="s">
        <v>13</v>
      </c>
      <c r="F20" s="70"/>
      <c r="G20" s="69">
        <v>400059</v>
      </c>
      <c r="H20" s="69"/>
    </row>
    <row r="21" spans="1:8" ht="32.25" customHeight="1" x14ac:dyDescent="0.35">
      <c r="A21" s="80" t="s">
        <v>123</v>
      </c>
      <c r="B21" s="80"/>
      <c r="C21" s="69" t="s">
        <v>184</v>
      </c>
      <c r="D21" s="69"/>
      <c r="E21" s="70" t="s">
        <v>14</v>
      </c>
      <c r="F21" s="70"/>
      <c r="G21" s="69" t="s">
        <v>182</v>
      </c>
      <c r="H21" s="69"/>
    </row>
    <row r="22" spans="1:8" ht="15" customHeight="1" x14ac:dyDescent="0.35">
      <c r="A22" s="70" t="s">
        <v>76</v>
      </c>
      <c r="B22" s="70"/>
      <c r="C22" s="70"/>
      <c r="D22" s="70"/>
      <c r="E22" s="71" t="s">
        <v>15</v>
      </c>
      <c r="F22" s="71"/>
      <c r="G22" s="71"/>
      <c r="H22" s="71"/>
    </row>
    <row r="23" spans="1:8" ht="18.75" customHeight="1" x14ac:dyDescent="0.35">
      <c r="A23" s="70"/>
      <c r="B23" s="70"/>
      <c r="C23" s="70"/>
      <c r="D23" s="70"/>
      <c r="E23" s="71"/>
      <c r="F23" s="71"/>
      <c r="G23" s="71"/>
      <c r="H23" s="71"/>
    </row>
    <row r="24" spans="1:8" ht="15" customHeight="1" x14ac:dyDescent="0.35">
      <c r="A24" s="70" t="s">
        <v>16</v>
      </c>
      <c r="B24" s="70"/>
      <c r="C24" s="70"/>
      <c r="D24" s="70"/>
      <c r="E24" s="69" t="s">
        <v>17</v>
      </c>
      <c r="F24" s="69"/>
      <c r="G24" s="69"/>
      <c r="H24" s="69"/>
    </row>
    <row r="25" spans="1:8" ht="15" customHeight="1" x14ac:dyDescent="0.35">
      <c r="A25" s="80" t="s">
        <v>18</v>
      </c>
      <c r="B25" s="80"/>
      <c r="C25" s="80"/>
      <c r="D25" s="80"/>
      <c r="E25" s="69" t="str">
        <f>IF(AND(G19="Mumbai"),"Upper Class","Middle Class")</f>
        <v>Upper Class</v>
      </c>
      <c r="F25" s="69"/>
      <c r="G25" s="69"/>
      <c r="H25" s="69"/>
    </row>
    <row r="26" spans="1:8" x14ac:dyDescent="0.35">
      <c r="A26" s="80" t="s">
        <v>19</v>
      </c>
      <c r="B26" s="80"/>
      <c r="C26" s="80"/>
      <c r="D26" s="80"/>
      <c r="E26" s="69" t="s">
        <v>20</v>
      </c>
      <c r="F26" s="69"/>
      <c r="G26" s="69"/>
      <c r="H26" s="69"/>
    </row>
    <row r="27" spans="1:8" ht="15.75" customHeight="1" x14ac:dyDescent="0.35">
      <c r="A27" s="80" t="s">
        <v>21</v>
      </c>
      <c r="B27" s="80"/>
      <c r="C27" s="80"/>
      <c r="D27" s="80"/>
      <c r="E27" s="69" t="str">
        <f>IF(AND(G19="Mumbai"),"Developed","Developing")</f>
        <v>Developed</v>
      </c>
      <c r="F27" s="69"/>
      <c r="G27" s="69"/>
      <c r="H27" s="69"/>
    </row>
    <row r="28" spans="1:8" x14ac:dyDescent="0.35">
      <c r="A28" s="80" t="s">
        <v>22</v>
      </c>
      <c r="B28" s="80"/>
      <c r="C28" s="80"/>
      <c r="D28" s="80"/>
      <c r="E28" s="69" t="s">
        <v>23</v>
      </c>
      <c r="F28" s="69"/>
      <c r="G28" s="69"/>
      <c r="H28" s="69"/>
    </row>
    <row r="29" spans="1:8" ht="15.75" customHeight="1" x14ac:dyDescent="0.35">
      <c r="A29" s="80" t="s">
        <v>81</v>
      </c>
      <c r="B29" s="80"/>
      <c r="C29" s="80"/>
      <c r="D29" s="80"/>
      <c r="E29" s="69" t="s">
        <v>82</v>
      </c>
      <c r="F29" s="69"/>
      <c r="G29" s="69"/>
      <c r="H29" s="69"/>
    </row>
    <row r="30" spans="1:8" ht="15" customHeight="1" x14ac:dyDescent="0.35">
      <c r="A30" s="80" t="s">
        <v>31</v>
      </c>
      <c r="B30" s="80"/>
      <c r="C30" s="80"/>
      <c r="D30" s="80"/>
      <c r="E30" s="69" t="str">
        <f>IF(AND(ISNUMBER(SEARCH("Flat",D60)),ISNUMBER(SEARCH("Shop",D60)),ISNUMBER(SEARCH("Office",D60))),"Residential + Commercial",IF(AND(ISNUMBER(SEARCH("Flat",D60)),ISNUMBER(SEARCH("Shop",D60))),"Residential + Commercial",IF(AND(ISNUMBER(SEARCH("Flat",D60)),ISNUMBER(SEARCH("Office",D60))),"Residential + Commercial",IF(AND(ISNUMBER(SEARCH("Shop",D60)),ISNUMBER(SEARCH("Office",D60))),"Commercial",IF(ISNUMBER(SEARCH("Shop",D60)),"Commercial",IF(ISNUMBER(SEARCH("Office",D60)),"Commercial",IF(ISNUMBER(SEARCH("Flat",D60)),"Residential")))))))</f>
        <v>Residential</v>
      </c>
      <c r="F30" s="69"/>
      <c r="G30" s="69"/>
      <c r="H30" s="69"/>
    </row>
    <row r="31" spans="1:8" ht="15.75" customHeight="1" x14ac:dyDescent="0.35">
      <c r="A31" s="80" t="s">
        <v>93</v>
      </c>
      <c r="B31" s="80"/>
      <c r="C31" s="80"/>
      <c r="D31" s="80"/>
      <c r="E31" s="69" t="s">
        <v>32</v>
      </c>
      <c r="F31" s="69"/>
      <c r="G31" s="69"/>
      <c r="H31" s="69"/>
    </row>
    <row r="32" spans="1:8" s="21" customFormat="1" x14ac:dyDescent="0.35">
      <c r="A32" s="130" t="s">
        <v>94</v>
      </c>
      <c r="B32" s="130"/>
      <c r="C32" s="129" t="s">
        <v>210</v>
      </c>
      <c r="D32" s="129"/>
      <c r="E32" s="129"/>
      <c r="F32" s="129" t="s">
        <v>29</v>
      </c>
      <c r="G32" s="129"/>
      <c r="H32" s="129"/>
    </row>
    <row r="33" spans="1:8" s="21" customFormat="1" x14ac:dyDescent="0.35">
      <c r="A33" s="127" t="s">
        <v>24</v>
      </c>
      <c r="B33" s="127" t="s">
        <v>28</v>
      </c>
      <c r="C33" s="128" t="s">
        <v>211</v>
      </c>
      <c r="D33" s="128"/>
      <c r="E33" s="128"/>
      <c r="F33" s="128" t="s">
        <v>185</v>
      </c>
      <c r="G33" s="128"/>
      <c r="H33" s="128"/>
    </row>
    <row r="34" spans="1:8" x14ac:dyDescent="0.35">
      <c r="A34" s="127" t="s">
        <v>25</v>
      </c>
      <c r="B34" s="127" t="s">
        <v>28</v>
      </c>
      <c r="C34" s="128" t="s">
        <v>212</v>
      </c>
      <c r="D34" s="128"/>
      <c r="E34" s="128"/>
      <c r="F34" s="128" t="s">
        <v>187</v>
      </c>
      <c r="G34" s="128"/>
      <c r="H34" s="128"/>
    </row>
    <row r="35" spans="1:8" s="21" customFormat="1" x14ac:dyDescent="0.35">
      <c r="A35" s="127" t="s">
        <v>27</v>
      </c>
      <c r="B35" s="127" t="s">
        <v>28</v>
      </c>
      <c r="C35" s="128" t="s">
        <v>211</v>
      </c>
      <c r="D35" s="128"/>
      <c r="E35" s="128"/>
      <c r="F35" s="128" t="s">
        <v>188</v>
      </c>
      <c r="G35" s="128"/>
      <c r="H35" s="128"/>
    </row>
    <row r="36" spans="1:8" x14ac:dyDescent="0.35">
      <c r="A36" s="127" t="s">
        <v>26</v>
      </c>
      <c r="B36" s="127" t="s">
        <v>28</v>
      </c>
      <c r="C36" s="128" t="s">
        <v>211</v>
      </c>
      <c r="D36" s="128"/>
      <c r="E36" s="128"/>
      <c r="F36" s="128" t="s">
        <v>186</v>
      </c>
      <c r="G36" s="128"/>
      <c r="H36" s="128"/>
    </row>
    <row r="37" spans="1:8" x14ac:dyDescent="0.35">
      <c r="A37" s="80" t="s">
        <v>30</v>
      </c>
      <c r="B37" s="80"/>
      <c r="C37" s="80"/>
      <c r="D37" s="80"/>
      <c r="E37" s="80"/>
      <c r="F37" s="80"/>
      <c r="G37" s="80"/>
      <c r="H37" s="80"/>
    </row>
    <row r="38" spans="1:8" ht="15.75" customHeight="1" x14ac:dyDescent="0.35">
      <c r="A38" s="80" t="s">
        <v>168</v>
      </c>
      <c r="B38" s="80"/>
      <c r="C38" s="120" t="s">
        <v>191</v>
      </c>
      <c r="D38" s="120"/>
      <c r="E38" s="120"/>
      <c r="F38" s="120"/>
      <c r="G38" s="120"/>
      <c r="H38" s="120"/>
    </row>
    <row r="39" spans="1:8" x14ac:dyDescent="0.35">
      <c r="A39" s="80" t="s">
        <v>164</v>
      </c>
      <c r="B39" s="80"/>
      <c r="C39" s="177" t="s">
        <v>189</v>
      </c>
      <c r="D39" s="69"/>
      <c r="E39" s="69"/>
      <c r="F39" s="69"/>
      <c r="G39" s="69"/>
      <c r="H39" s="69"/>
    </row>
    <row r="40" spans="1:8" x14ac:dyDescent="0.35">
      <c r="A40" s="120" t="s">
        <v>33</v>
      </c>
      <c r="B40" s="120"/>
      <c r="C40" s="120"/>
      <c r="D40" s="120"/>
      <c r="E40" s="120"/>
      <c r="F40" s="120"/>
      <c r="G40" s="120"/>
      <c r="H40" s="120"/>
    </row>
    <row r="41" spans="1:8" x14ac:dyDescent="0.35">
      <c r="A41" s="80" t="s">
        <v>34</v>
      </c>
      <c r="B41" s="80"/>
      <c r="C41" s="80"/>
      <c r="D41" s="80"/>
      <c r="E41" s="131">
        <v>12740.68</v>
      </c>
      <c r="F41" s="131"/>
      <c r="G41" s="131"/>
      <c r="H41" s="131"/>
    </row>
    <row r="42" spans="1:8" x14ac:dyDescent="0.35">
      <c r="A42" s="80" t="s">
        <v>35</v>
      </c>
      <c r="B42" s="80"/>
      <c r="C42" s="80"/>
      <c r="D42" s="80"/>
      <c r="E42" s="138">
        <v>1.1000000000000001</v>
      </c>
      <c r="F42" s="138"/>
      <c r="G42" s="138"/>
      <c r="H42" s="138"/>
    </row>
    <row r="43" spans="1:8" x14ac:dyDescent="0.35">
      <c r="A43" s="80" t="s">
        <v>36</v>
      </c>
      <c r="B43" s="80"/>
      <c r="C43" s="80"/>
      <c r="D43" s="80"/>
      <c r="E43" s="138">
        <f>E45/E41-E42</f>
        <v>3.2360511369879785</v>
      </c>
      <c r="F43" s="138"/>
      <c r="G43" s="138"/>
      <c r="H43" s="138"/>
    </row>
    <row r="44" spans="1:8" x14ac:dyDescent="0.35">
      <c r="A44" s="80" t="s">
        <v>37</v>
      </c>
      <c r="B44" s="80"/>
      <c r="C44" s="80"/>
      <c r="D44" s="80"/>
      <c r="E44" s="138">
        <f>E42+E43</f>
        <v>4.3360511369879786</v>
      </c>
      <c r="F44" s="138"/>
      <c r="G44" s="138"/>
      <c r="H44" s="138"/>
    </row>
    <row r="45" spans="1:8" x14ac:dyDescent="0.35">
      <c r="A45" s="80" t="s">
        <v>92</v>
      </c>
      <c r="B45" s="80"/>
      <c r="C45" s="80"/>
      <c r="D45" s="80"/>
      <c r="E45" s="139">
        <v>55244.24</v>
      </c>
      <c r="F45" s="139"/>
      <c r="G45" s="139"/>
      <c r="H45" s="139"/>
    </row>
    <row r="46" spans="1:8" x14ac:dyDescent="0.35">
      <c r="A46" s="71" t="s">
        <v>38</v>
      </c>
      <c r="B46" s="71"/>
      <c r="C46" s="71"/>
      <c r="D46" s="71"/>
      <c r="E46" s="71" t="s">
        <v>244</v>
      </c>
      <c r="F46" s="71"/>
      <c r="G46" s="71"/>
      <c r="H46" s="71"/>
    </row>
    <row r="47" spans="1:8" x14ac:dyDescent="0.35">
      <c r="A47" s="120" t="s">
        <v>39</v>
      </c>
      <c r="B47" s="120"/>
      <c r="C47" s="120"/>
      <c r="D47" s="120"/>
      <c r="E47" s="120"/>
      <c r="F47" s="120"/>
      <c r="G47" s="120"/>
      <c r="H47" s="120"/>
    </row>
    <row r="48" spans="1:8" ht="33.75" customHeight="1" x14ac:dyDescent="0.35">
      <c r="A48" s="147" t="s">
        <v>152</v>
      </c>
      <c r="B48" s="146"/>
      <c r="C48" s="179" t="s">
        <v>192</v>
      </c>
      <c r="D48" s="180"/>
      <c r="E48" s="180"/>
      <c r="F48" s="180"/>
      <c r="G48" s="180"/>
      <c r="H48" s="181"/>
    </row>
    <row r="49" spans="1:24" ht="15.75" customHeight="1" x14ac:dyDescent="0.35">
      <c r="A49" s="147" t="s">
        <v>40</v>
      </c>
      <c r="B49" s="146"/>
      <c r="C49" s="147" t="s">
        <v>193</v>
      </c>
      <c r="D49" s="148"/>
      <c r="E49" s="146"/>
      <c r="F49" s="17" t="s">
        <v>41</v>
      </c>
      <c r="G49" s="145">
        <v>45639</v>
      </c>
      <c r="H49" s="146"/>
    </row>
    <row r="50" spans="1:24" ht="34" customHeight="1" x14ac:dyDescent="0.35">
      <c r="A50" s="147" t="s">
        <v>235</v>
      </c>
      <c r="B50" s="146"/>
      <c r="C50" s="147" t="str">
        <f>C49</f>
        <v>KE/MCGM/0029/20060516/AP</v>
      </c>
      <c r="D50" s="148"/>
      <c r="E50" s="146"/>
      <c r="F50" s="17" t="s">
        <v>41</v>
      </c>
      <c r="G50" s="145">
        <f>G49</f>
        <v>45639</v>
      </c>
      <c r="H50" s="176"/>
    </row>
    <row r="51" spans="1:24" ht="34.5" customHeight="1" x14ac:dyDescent="0.35">
      <c r="A51" s="151" t="s">
        <v>250</v>
      </c>
      <c r="B51" s="152"/>
      <c r="C51" s="151" t="s">
        <v>236</v>
      </c>
      <c r="D51" s="168"/>
      <c r="E51" s="152"/>
      <c r="F51" s="61" t="s">
        <v>41</v>
      </c>
      <c r="G51" s="153">
        <v>45895</v>
      </c>
      <c r="H51" s="154"/>
    </row>
    <row r="52" spans="1:24" s="22" customFormat="1" ht="15.75" customHeight="1" x14ac:dyDescent="0.35">
      <c r="A52" s="164" t="s">
        <v>155</v>
      </c>
      <c r="B52" s="165"/>
      <c r="C52" s="147" t="s">
        <v>193</v>
      </c>
      <c r="D52" s="148"/>
      <c r="E52" s="146"/>
      <c r="F52" s="17" t="s">
        <v>41</v>
      </c>
      <c r="G52" s="145">
        <v>45649</v>
      </c>
      <c r="H52" s="146"/>
    </row>
    <row r="53" spans="1:24" s="22" customFormat="1" ht="33.75" customHeight="1" x14ac:dyDescent="0.35">
      <c r="A53" s="166"/>
      <c r="B53" s="167"/>
      <c r="C53" s="147" t="s">
        <v>243</v>
      </c>
      <c r="D53" s="148"/>
      <c r="E53" s="148"/>
      <c r="F53" s="148"/>
      <c r="G53" s="148"/>
      <c r="H53" s="146"/>
    </row>
    <row r="54" spans="1:24" s="22" customFormat="1" ht="15.75" customHeight="1" x14ac:dyDescent="0.35">
      <c r="A54" s="155" t="s">
        <v>254</v>
      </c>
      <c r="B54" s="157"/>
      <c r="C54" s="164" t="s">
        <v>259</v>
      </c>
      <c r="D54" s="194"/>
      <c r="E54" s="165"/>
      <c r="F54" s="17" t="s">
        <v>41</v>
      </c>
      <c r="G54" s="145">
        <v>43307</v>
      </c>
      <c r="H54" s="176"/>
      <c r="R54"/>
      <c r="S54" s="192"/>
      <c r="T54" s="193" t="s">
        <v>255</v>
      </c>
      <c r="U54" s="192" t="s">
        <v>256</v>
      </c>
      <c r="V54" s="192"/>
      <c r="W54" s="20"/>
      <c r="X54" s="20"/>
    </row>
    <row r="55" spans="1:24" s="22" customFormat="1" ht="33.75" customHeight="1" x14ac:dyDescent="0.35">
      <c r="A55" s="158"/>
      <c r="B55" s="160"/>
      <c r="C55" s="166"/>
      <c r="D55" s="195"/>
      <c r="E55" s="167"/>
      <c r="F55" s="17" t="s">
        <v>257</v>
      </c>
      <c r="G55" s="145">
        <v>46187</v>
      </c>
      <c r="H55" s="176"/>
      <c r="R55"/>
      <c r="S55" s="192"/>
      <c r="T55" s="193" t="s">
        <v>258</v>
      </c>
      <c r="U55" s="192"/>
      <c r="V55" s="192"/>
      <c r="W55" s="20"/>
      <c r="X55" s="20"/>
    </row>
    <row r="56" spans="1:24" s="22" customFormat="1" x14ac:dyDescent="0.35">
      <c r="A56" s="161"/>
      <c r="B56" s="163"/>
      <c r="C56" s="147" t="s">
        <v>260</v>
      </c>
      <c r="D56" s="148"/>
      <c r="E56" s="148"/>
      <c r="F56" s="148"/>
      <c r="G56" s="148"/>
      <c r="H56" s="146"/>
      <c r="J56" s="22" t="s">
        <v>261</v>
      </c>
      <c r="R56"/>
      <c r="S56" s="192"/>
      <c r="T56" s="193"/>
      <c r="U56" s="192"/>
      <c r="V56" s="192"/>
      <c r="W56" s="20"/>
      <c r="X56" s="20"/>
    </row>
    <row r="57" spans="1:24" ht="33" customHeight="1" x14ac:dyDescent="0.35">
      <c r="A57" s="140" t="s">
        <v>42</v>
      </c>
      <c r="B57" s="142"/>
      <c r="C57" s="140" t="s">
        <v>104</v>
      </c>
      <c r="D57" s="141"/>
      <c r="E57" s="142"/>
      <c r="F57" s="44" t="s">
        <v>41</v>
      </c>
      <c r="G57" s="149" t="s">
        <v>28</v>
      </c>
      <c r="H57" s="150"/>
    </row>
    <row r="58" spans="1:24" x14ac:dyDescent="0.35">
      <c r="A58" s="178" t="s">
        <v>44</v>
      </c>
      <c r="B58" s="178"/>
      <c r="C58" s="178"/>
      <c r="D58" s="178"/>
      <c r="E58" s="178"/>
      <c r="F58" s="178"/>
      <c r="G58" s="178"/>
      <c r="H58" s="178"/>
    </row>
    <row r="59" spans="1:24" x14ac:dyDescent="0.35">
      <c r="A59" s="69" t="s">
        <v>91</v>
      </c>
      <c r="B59" s="69"/>
      <c r="C59" s="69"/>
      <c r="D59" s="71">
        <f>E45</f>
        <v>55244.24</v>
      </c>
      <c r="E59" s="71"/>
      <c r="F59" s="71"/>
      <c r="G59" s="71"/>
      <c r="H59" s="71"/>
    </row>
    <row r="60" spans="1:24" x14ac:dyDescent="0.35">
      <c r="A60" s="69" t="s">
        <v>45</v>
      </c>
      <c r="B60" s="71"/>
      <c r="C60" s="71"/>
      <c r="D60" s="71" t="s">
        <v>246</v>
      </c>
      <c r="E60" s="71"/>
      <c r="F60" s="71"/>
      <c r="G60" s="71"/>
      <c r="H60" s="71"/>
      <c r="I60" s="23"/>
    </row>
    <row r="61" spans="1:24" ht="49.5" customHeight="1" x14ac:dyDescent="0.35">
      <c r="A61" s="155" t="s">
        <v>46</v>
      </c>
      <c r="B61" s="156"/>
      <c r="C61" s="157"/>
      <c r="D61" s="144" t="s">
        <v>237</v>
      </c>
      <c r="E61" s="175"/>
      <c r="F61" s="175"/>
      <c r="G61" s="175"/>
      <c r="H61" s="175"/>
    </row>
    <row r="62" spans="1:24" ht="15.75" customHeight="1" x14ac:dyDescent="0.35">
      <c r="A62" s="155" t="s">
        <v>89</v>
      </c>
      <c r="B62" s="156"/>
      <c r="C62" s="157"/>
      <c r="D62" s="71" t="s">
        <v>190</v>
      </c>
      <c r="E62" s="71"/>
      <c r="F62" s="71"/>
      <c r="G62" s="71"/>
      <c r="H62" s="71"/>
    </row>
    <row r="63" spans="1:24" ht="15.75" customHeight="1" x14ac:dyDescent="0.35">
      <c r="A63" s="158"/>
      <c r="B63" s="159"/>
      <c r="C63" s="160"/>
      <c r="D63" s="71" t="s">
        <v>228</v>
      </c>
      <c r="E63" s="71"/>
      <c r="F63" s="71"/>
      <c r="G63" s="71"/>
      <c r="H63" s="71"/>
    </row>
    <row r="64" spans="1:24" ht="15.75" customHeight="1" x14ac:dyDescent="0.35">
      <c r="A64" s="161"/>
      <c r="B64" s="162"/>
      <c r="C64" s="163"/>
      <c r="D64" s="71" t="s">
        <v>238</v>
      </c>
      <c r="E64" s="71"/>
      <c r="F64" s="71"/>
      <c r="G64" s="71"/>
      <c r="H64" s="71"/>
    </row>
    <row r="65" spans="1:14" ht="48" customHeight="1" x14ac:dyDescent="0.35">
      <c r="A65" s="80" t="s">
        <v>43</v>
      </c>
      <c r="B65" s="80"/>
      <c r="C65" s="80"/>
      <c r="D65" s="132" t="s">
        <v>239</v>
      </c>
      <c r="E65" s="132"/>
      <c r="F65" s="132"/>
      <c r="G65" s="132"/>
      <c r="H65" s="132"/>
      <c r="J65" s="24"/>
      <c r="K65" s="23"/>
      <c r="N65" s="23"/>
    </row>
    <row r="66" spans="1:14" ht="15.75" customHeight="1" x14ac:dyDescent="0.35">
      <c r="A66" s="80" t="s">
        <v>87</v>
      </c>
      <c r="B66" s="80"/>
      <c r="C66" s="80"/>
      <c r="D66" s="137" t="str">
        <f>(IF(G57="NA","60 Years After Completion",IF(G57&lt;&gt;"NA",""&amp;60-ROUNDDOWN((E3-G57)/360,0)&amp;" Years"," ")))</f>
        <v>60 Years After Completion</v>
      </c>
      <c r="E66" s="137"/>
      <c r="F66" s="137"/>
      <c r="G66" s="137"/>
      <c r="H66" s="137"/>
      <c r="N66" s="23"/>
    </row>
    <row r="67" spans="1:14" ht="15.75" customHeight="1" x14ac:dyDescent="0.35">
      <c r="A67" s="80" t="s">
        <v>88</v>
      </c>
      <c r="B67" s="80"/>
      <c r="C67" s="80"/>
      <c r="D67" s="70" t="s">
        <v>23</v>
      </c>
      <c r="E67" s="70"/>
      <c r="F67" s="70"/>
      <c r="G67" s="70"/>
      <c r="H67" s="70"/>
      <c r="J67" s="25"/>
      <c r="K67" s="25"/>
    </row>
    <row r="68" spans="1:14" ht="48" customHeight="1" x14ac:dyDescent="0.35">
      <c r="A68" s="80" t="s">
        <v>74</v>
      </c>
      <c r="B68" s="80"/>
      <c r="C68" s="80"/>
      <c r="D68" s="69" t="s">
        <v>194</v>
      </c>
      <c r="E68" s="70"/>
      <c r="F68" s="70"/>
      <c r="G68" s="70"/>
      <c r="H68" s="70"/>
    </row>
    <row r="69" spans="1:14" x14ac:dyDescent="0.35">
      <c r="A69" s="70" t="s">
        <v>149</v>
      </c>
      <c r="B69" s="70"/>
      <c r="C69" s="70"/>
      <c r="D69" s="70" t="s">
        <v>28</v>
      </c>
      <c r="E69" s="70"/>
      <c r="F69" s="70"/>
      <c r="G69" s="70"/>
      <c r="H69" s="70"/>
      <c r="I69" s="26"/>
      <c r="J69" s="26"/>
      <c r="K69" s="26"/>
      <c r="L69" s="26"/>
      <c r="M69" s="26"/>
      <c r="N69" s="26"/>
    </row>
    <row r="70" spans="1:14" ht="15.75" customHeight="1" x14ac:dyDescent="0.35">
      <c r="A70" s="80" t="s">
        <v>86</v>
      </c>
      <c r="B70" s="80"/>
      <c r="C70" s="80"/>
      <c r="D70" s="69" t="str">
        <f ca="1">(IF(G76&gt;95%,"Nothing",IF(G90&gt;0%,"Cement, Aggregate, Steel, etc",IF(G76=0%,"Work not yet Started"))))</f>
        <v>Cement, Aggregate, Steel, etc</v>
      </c>
      <c r="E70" s="69"/>
      <c r="F70" s="69"/>
      <c r="G70" s="69"/>
      <c r="H70" s="69"/>
      <c r="J70" s="25"/>
    </row>
    <row r="71" spans="1:14" ht="33.75" customHeight="1" thickBot="1" x14ac:dyDescent="0.4">
      <c r="A71" s="143" t="s">
        <v>117</v>
      </c>
      <c r="B71" s="143"/>
      <c r="C71" s="143"/>
      <c r="D71" s="144" t="str">
        <f ca="1">(IF(D70="Nothing","Yes",IF(D70="Cement, Aggregate, Steel, etc","Under Construction",IF(D70="Work not yet Started","Work not yet Started"))))</f>
        <v>Under Construction</v>
      </c>
      <c r="E71" s="144"/>
      <c r="F71" s="144" t="str">
        <f ca="1">(IF(D70="Nothing","Yes",IF(D70="Cement, Aggregate, Steel, etc","Under Construction",IF(D70="Work not yet Started","Work not yet Started"))))</f>
        <v>Under Construction</v>
      </c>
      <c r="G71" s="144"/>
      <c r="H71" s="144"/>
    </row>
    <row r="72" spans="1:14" ht="15.75" customHeight="1" x14ac:dyDescent="0.35">
      <c r="A72" s="77" t="s">
        <v>141</v>
      </c>
      <c r="B72" s="78"/>
      <c r="C72" s="78" t="str">
        <f>D62</f>
        <v>G Wing = G + 1st to 22nd Floor</v>
      </c>
      <c r="D72" s="78"/>
      <c r="E72" s="78"/>
      <c r="F72" s="78"/>
      <c r="G72" s="78"/>
      <c r="H72" s="79"/>
      <c r="I72" s="53" t="str">
        <f ca="1">IF(D85=100%,"All work Completed. Possession granted to the Building.",IF(D84=100%,"All work Completed, Waiting for OC",I73&amp;""&amp;I74&amp;""&amp;J73&amp;""&amp;J72&amp;" "&amp;J74))</f>
        <v xml:space="preserve">Excavation Completed, Footing work is process </v>
      </c>
      <c r="J72" s="46" t="str">
        <f ca="1">(IF(C78=(D73+F73+H73),"",IF(C78&gt;0,", RCC upto "&amp;C78&amp;" Slab","")))&amp;(IF(C79=H73,"",IF(C79&gt;0,", Brickwork upto "&amp;C79&amp;" Floor","")))&amp;(IF(C80=H73,"",IF(C80&gt;0,", Internal Plaster upto "&amp;C80&amp;" Floor","")))&amp;(IF(C81=H73,"",IF(C81&gt;0,", External Plaster upto "&amp;C81&amp;" Floor","")))&amp;(IF(C82=H73,"",IF(C82&gt;0,", Flooring upto "&amp;C82&amp;" Floor","")))&amp;(IF(C83=H73,"",IF(C83&gt;0,", Painting upto "&amp;C83&amp;" Floor","")))&amp;(IF(C84=H73,"",IF(C84&gt;0,", Finishing upto "&amp;C84&amp;" Floor","")))&amp;(IF(C85=H73,"",IF(C85&gt;0,", Possession upto "&amp;C85&amp;" Floor","")))</f>
        <v/>
      </c>
    </row>
    <row r="73" spans="1:14" s="22" customFormat="1" x14ac:dyDescent="0.35">
      <c r="A73" s="15" t="s">
        <v>143</v>
      </c>
      <c r="B73" s="49">
        <f>IF(AND(ISNUMBER(SEARCH("1B",C72))),1,IF(AND(ISNUMBER(SEARCH("2B",C72))),2,IF(AND(ISNUMBER(SEARCH("3B",C72))),3,IF(AND(ISNUMBER(SEARCH("4B",C72))),4,IF(ISNUMBER(SEARCH("5B",C72)),5,0)))))</f>
        <v>0</v>
      </c>
      <c r="C73" s="49" t="s">
        <v>71</v>
      </c>
      <c r="D73" s="49">
        <v>1</v>
      </c>
      <c r="E73" s="49" t="s">
        <v>70</v>
      </c>
      <c r="F73" s="49">
        <v>0</v>
      </c>
      <c r="G73" s="49" t="s">
        <v>80</v>
      </c>
      <c r="H73" s="16">
        <f ca="1">--TRIM(RIGHT(SUBSTITUTE(LEFT(C72,_xlfn.AGGREGATE(16,6,FIND({0,1,2,3,4,5,6,7,8,9},C72,ROW(INDIRECT("1:"&amp;LEN(C72)))),1))," ",REPT(" ",LEN(C72))),LEN(C72)))</f>
        <v>22</v>
      </c>
      <c r="I73" s="54" t="str">
        <f ca="1">IF(D76=100%,"Excavation","")&amp;IF(D77=100%,", Plinth","")&amp;IF(D78=100%,", RCC Slab","")&amp;IF(D79=100%,", Brickwork","")&amp;IF(D80=100%,", Internal Plaster","")&amp;IF(D81=100%,", External Plaster","")&amp;IF(D82=100%,", Flooring","")&amp;IF(D83=100%,", Painting","")&amp;IF(D84=100%,", Building common Amenities","")</f>
        <v>Excavation</v>
      </c>
      <c r="J73" s="51" t="str">
        <f ca="1">(IF(C76=0,"Work not yet Started.",IF(D76=25%,"Piling work in process",IF(D76=50%,"Excavation work in process",IF(D76=100%,"","0")))))&amp;(IF(C77=0%,"",IF(C77=J78,", Footing work is process",IF(C77=J79,", Footing work Completed",IF(C77=J80,", 1st Basement Completed",IF(C77=J81,", 1st &amp; 2nd Basement Completed",IF(C77=J82,", 1st to 3rd Basement Completed",IF(C77=J83,", 1st to 4th Basement Completed",IF(C77=J84,", Plinth work is process",IF(C77=J85,"","0"))))))))))</f>
        <v>, Footing work is process</v>
      </c>
    </row>
    <row r="74" spans="1:14" x14ac:dyDescent="0.35">
      <c r="A74" s="75" t="s">
        <v>90</v>
      </c>
      <c r="B74" s="76"/>
      <c r="C74" s="81" t="str">
        <f ca="1">I72</f>
        <v xml:space="preserve">Excavation Completed, Footing work is process </v>
      </c>
      <c r="D74" s="81"/>
      <c r="E74" s="81"/>
      <c r="F74" s="81"/>
      <c r="G74" s="81"/>
      <c r="H74" s="82"/>
      <c r="I74" s="55" t="str">
        <f ca="1">IF(I73&lt;&gt;""," Completed","")</f>
        <v xml:space="preserve"> Completed</v>
      </c>
      <c r="J74" s="48" t="str">
        <f ca="1">IF(J72&lt;&gt;"","Completed","")</f>
        <v/>
      </c>
    </row>
    <row r="75" spans="1:14" ht="15.75" customHeight="1" x14ac:dyDescent="0.35">
      <c r="A75" s="73" t="s">
        <v>47</v>
      </c>
      <c r="B75" s="74"/>
      <c r="C75" s="42" t="s">
        <v>140</v>
      </c>
      <c r="D75" s="42" t="s">
        <v>83</v>
      </c>
      <c r="E75" s="74" t="s">
        <v>85</v>
      </c>
      <c r="F75" s="74"/>
      <c r="G75" s="74" t="s">
        <v>84</v>
      </c>
      <c r="H75" s="182"/>
      <c r="I75" s="13" t="s">
        <v>142</v>
      </c>
      <c r="J75" s="27">
        <f ca="1">H73*25%</f>
        <v>5.5</v>
      </c>
      <c r="K75" s="21" t="s">
        <v>233</v>
      </c>
    </row>
    <row r="76" spans="1:14" x14ac:dyDescent="0.35">
      <c r="A76" s="73" t="s">
        <v>129</v>
      </c>
      <c r="B76" s="74"/>
      <c r="C76" s="42">
        <f ca="1">J77</f>
        <v>22</v>
      </c>
      <c r="D76" s="18">
        <f ca="1">((100/H73)*C76)/100</f>
        <v>1.0000000000000002</v>
      </c>
      <c r="E76" s="133">
        <f ca="1">(((C77/H73*10)+(40/(D73+F73+H73)*C78)+(7.5/(H73)*C79)+(7.5/(H73)*C80)+(10/H73*C81)+(10/H73*C82)+(5/H73*C83)+(5/H73*C84)+(5/H73*C85))/100)</f>
        <v>2.5000000000000001E-2</v>
      </c>
      <c r="F76" s="133"/>
      <c r="G76" s="133">
        <f ca="1">((((C76/H73)*20)+((C77/H73)*25)+(30/(H73+F73+D73)*C78)+(5/H73*C79)+(5/H73*C80)+(5/H73*C81)+(5/H73*C82)+(0/H73*C83)+(0/H73*C84)+(5/H73*C85))/100)</f>
        <v>0.26250000000000001</v>
      </c>
      <c r="H76" s="135"/>
      <c r="I76" s="13" t="s">
        <v>99</v>
      </c>
      <c r="J76" s="28">
        <f ca="1">H73*50%</f>
        <v>11</v>
      </c>
    </row>
    <row r="77" spans="1:14" x14ac:dyDescent="0.35">
      <c r="A77" s="73" t="s">
        <v>48</v>
      </c>
      <c r="B77" s="74"/>
      <c r="C77" s="52">
        <f ca="1">J78</f>
        <v>5.5</v>
      </c>
      <c r="D77" s="18">
        <f ca="1">((100/H73)*C77)/100</f>
        <v>0.25000000000000006</v>
      </c>
      <c r="E77" s="133"/>
      <c r="F77" s="133"/>
      <c r="G77" s="133"/>
      <c r="H77" s="135"/>
      <c r="I77" s="13" t="s">
        <v>100</v>
      </c>
      <c r="J77" s="28">
        <f ca="1">H73</f>
        <v>22</v>
      </c>
    </row>
    <row r="78" spans="1:14" ht="15.75" customHeight="1" x14ac:dyDescent="0.35">
      <c r="A78" s="73" t="s">
        <v>130</v>
      </c>
      <c r="B78" s="74"/>
      <c r="C78" s="42">
        <v>0</v>
      </c>
      <c r="D78" s="18">
        <f ca="1">((100/(D73+F73+H73))*C78)/100</f>
        <v>0</v>
      </c>
      <c r="E78" s="133"/>
      <c r="F78" s="133"/>
      <c r="G78" s="133"/>
      <c r="H78" s="135"/>
      <c r="I78" s="13" t="s">
        <v>101</v>
      </c>
      <c r="J78" s="29">
        <f ca="1">(IF(B73&gt;1,(H73/(B73+2)),H73/4))</f>
        <v>5.5</v>
      </c>
    </row>
    <row r="79" spans="1:14" ht="15.75" customHeight="1" x14ac:dyDescent="0.35">
      <c r="A79" s="73" t="s">
        <v>137</v>
      </c>
      <c r="B79" s="74" t="s">
        <v>131</v>
      </c>
      <c r="C79" s="42">
        <v>0</v>
      </c>
      <c r="D79" s="18">
        <f ca="1">((100/H73)*C79)/100</f>
        <v>0</v>
      </c>
      <c r="E79" s="133"/>
      <c r="F79" s="133"/>
      <c r="G79" s="133"/>
      <c r="H79" s="135"/>
      <c r="I79" s="13" t="s">
        <v>102</v>
      </c>
      <c r="J79" s="29">
        <f ca="1">(IF(B73&gt;1,(H73/(B73+2)+J78),H73/4+J78))</f>
        <v>11</v>
      </c>
    </row>
    <row r="80" spans="1:14" ht="15.75" customHeight="1" x14ac:dyDescent="0.35">
      <c r="A80" s="73" t="s">
        <v>138</v>
      </c>
      <c r="B80" s="74" t="s">
        <v>131</v>
      </c>
      <c r="C80" s="42">
        <v>0</v>
      </c>
      <c r="D80" s="18">
        <f ca="1">((100/H73)*C80)/100</f>
        <v>0</v>
      </c>
      <c r="E80" s="133"/>
      <c r="F80" s="133"/>
      <c r="G80" s="133"/>
      <c r="H80" s="135"/>
      <c r="I80" s="13" t="s">
        <v>147</v>
      </c>
      <c r="J80" s="29">
        <f>(IF(B73&gt;1,(H73/(B73+2)+J79),0))</f>
        <v>0</v>
      </c>
    </row>
    <row r="81" spans="1:10" ht="15" customHeight="1" x14ac:dyDescent="0.35">
      <c r="A81" s="73" t="s">
        <v>136</v>
      </c>
      <c r="B81" s="74" t="s">
        <v>133</v>
      </c>
      <c r="C81" s="42">
        <v>0</v>
      </c>
      <c r="D81" s="18">
        <f ca="1">((100/(H73))*C81)/100</f>
        <v>0</v>
      </c>
      <c r="E81" s="133"/>
      <c r="F81" s="133"/>
      <c r="G81" s="133"/>
      <c r="H81" s="135"/>
      <c r="I81" s="13" t="s">
        <v>144</v>
      </c>
      <c r="J81" s="29">
        <f>(IF(B73&gt;2,(H73/(B73+2)+J80),0))</f>
        <v>0</v>
      </c>
    </row>
    <row r="82" spans="1:10" ht="15.75" customHeight="1" x14ac:dyDescent="0.35">
      <c r="A82" s="73" t="s">
        <v>132</v>
      </c>
      <c r="B82" s="74" t="s">
        <v>132</v>
      </c>
      <c r="C82" s="42">
        <v>0</v>
      </c>
      <c r="D82" s="18">
        <f ca="1">((100/H73)*C82)/100</f>
        <v>0</v>
      </c>
      <c r="E82" s="133"/>
      <c r="F82" s="133"/>
      <c r="G82" s="133"/>
      <c r="H82" s="135"/>
      <c r="I82" s="13" t="s">
        <v>145</v>
      </c>
      <c r="J82" s="30">
        <f>(IF(B73&gt;3,(H73/(B73+2)+J81),0))</f>
        <v>0</v>
      </c>
    </row>
    <row r="83" spans="1:10" ht="15.75" customHeight="1" x14ac:dyDescent="0.35">
      <c r="A83" s="73" t="s">
        <v>139</v>
      </c>
      <c r="B83" s="74"/>
      <c r="C83" s="42">
        <v>0</v>
      </c>
      <c r="D83" s="18">
        <f ca="1">((100/H73)*C83)/100</f>
        <v>0</v>
      </c>
      <c r="E83" s="133"/>
      <c r="F83" s="133"/>
      <c r="G83" s="133"/>
      <c r="H83" s="135"/>
      <c r="I83" s="13" t="s">
        <v>146</v>
      </c>
      <c r="J83" s="29">
        <f>(IF(B73&gt;4,(H73/(B73+2)+J82),0))</f>
        <v>0</v>
      </c>
    </row>
    <row r="84" spans="1:10" ht="15.75" customHeight="1" x14ac:dyDescent="0.35">
      <c r="A84" s="73" t="s">
        <v>134</v>
      </c>
      <c r="B84" s="74" t="s">
        <v>134</v>
      </c>
      <c r="C84" s="42">
        <v>0</v>
      </c>
      <c r="D84" s="18">
        <f ca="1">((100/(H73))*C84)/100</f>
        <v>0</v>
      </c>
      <c r="E84" s="133"/>
      <c r="F84" s="133"/>
      <c r="G84" s="133"/>
      <c r="H84" s="135"/>
      <c r="I84" s="13" t="s">
        <v>148</v>
      </c>
      <c r="J84" s="29">
        <f ca="1">(IF(B73=1,(H73/(B73+3)+J79),IF(B73=0,(H73/4+J79),IF(B73&gt;1,0))))</f>
        <v>16.5</v>
      </c>
    </row>
    <row r="85" spans="1:10" ht="16" thickBot="1" x14ac:dyDescent="0.4">
      <c r="A85" s="85" t="s">
        <v>135</v>
      </c>
      <c r="B85" s="86"/>
      <c r="C85" s="43">
        <v>0</v>
      </c>
      <c r="D85" s="19">
        <f ca="1">((100/(H73))*C85)/100</f>
        <v>0</v>
      </c>
      <c r="E85" s="134"/>
      <c r="F85" s="134"/>
      <c r="G85" s="134"/>
      <c r="H85" s="136"/>
      <c r="I85" s="14" t="s">
        <v>103</v>
      </c>
      <c r="J85" s="31">
        <f ca="1">(IF(B73&gt;1.5,(H73/(B73+2)+J79+MAX(0,J80-J79)+MAX(0,J81-J80)+MAX(0,J82-J81)+MAX(0,J83-J82)+MAX(0,J84-J83)),IF(B73=1,(H73/(B73+3)+J84),IF(B73=0,H73/4+J84))))</f>
        <v>22</v>
      </c>
    </row>
    <row r="86" spans="1:10" ht="15.75" customHeight="1" x14ac:dyDescent="0.35">
      <c r="A86" s="170" t="s">
        <v>141</v>
      </c>
      <c r="B86" s="171"/>
      <c r="C86" s="172" t="str">
        <f>D63</f>
        <v>K Wing = G + 1st Podium + 2nd to 23rd Floor</v>
      </c>
      <c r="D86" s="173"/>
      <c r="E86" s="173"/>
      <c r="F86" s="173"/>
      <c r="G86" s="173"/>
      <c r="H86" s="174"/>
      <c r="I86" s="45" t="str">
        <f ca="1">IF(D99=100%,"All work Completed. Possession granted to the Building.",IF(D98=100%,"All work Completed, Waiting for OC",I87&amp;""&amp;I88&amp;""&amp;J87&amp;""&amp;J86&amp;" "&amp;J88))</f>
        <v xml:space="preserve">Excavation, Plinth Completed </v>
      </c>
      <c r="J86" s="46" t="str">
        <f ca="1">(IF(C92=(D87+F87+H87),"",IF(C92&gt;0,", RCC upto "&amp;C92&amp;" Slab","")))&amp;(IF(C93=H87,"",IF(C93&gt;0,", Brickwork upto "&amp;C93&amp;" Floor","")))&amp;(IF(C94=H87,"",IF(C94&gt;0,", Internal Plaster upto "&amp;C94&amp;" Floor","")))&amp;(IF(C95=H87,"",IF(C95&gt;0,", External Plaster upto "&amp;C95&amp;" Floor","")))&amp;(IF(C96=H87,"",IF(C96&gt;0,", Flooring upto "&amp;C96&amp;" Floor","")))&amp;(IF(C97=H87,"",IF(C97&gt;0,", Painting upto "&amp;C97&amp;" Floor","")))&amp;(IF(C98=H87,"",IF(C98&gt;0,", Finishing upto "&amp;C98&amp;" Floor","")))&amp;(IF(C99=H87,"",IF(C99&gt;0,", Possession upto "&amp;C99&amp;" Floor","")))</f>
        <v/>
      </c>
    </row>
    <row r="87" spans="1:10" s="22" customFormat="1" x14ac:dyDescent="0.35">
      <c r="A87" s="15" t="s">
        <v>143</v>
      </c>
      <c r="B87" s="49">
        <f>IF(AND(ISNUMBER(SEARCH("1B",C86))),1,IF(AND(ISNUMBER(SEARCH("2B",C86))),2,IF(AND(ISNUMBER(SEARCH("3B",C86))),3,IF(AND(ISNUMBER(SEARCH("4B",C86))),4,IF(ISNUMBER(SEARCH("5B",C86)),5,0)))))</f>
        <v>0</v>
      </c>
      <c r="C87" s="49" t="s">
        <v>71</v>
      </c>
      <c r="D87" s="49">
        <v>1</v>
      </c>
      <c r="E87" s="49" t="s">
        <v>70</v>
      </c>
      <c r="F87" s="49">
        <v>0</v>
      </c>
      <c r="G87" s="49" t="s">
        <v>80</v>
      </c>
      <c r="H87" s="16">
        <f ca="1">--TRIM(RIGHT(SUBSTITUTE(LEFT(C86,_xlfn.AGGREGATE(16,6,FIND({0,1,2,3,4,5,6,7,8,9},C86,ROW(INDIRECT("1:"&amp;LEN(C86)))),1))," ",REPT(" ",LEN(C86))),LEN(C86)))</f>
        <v>23</v>
      </c>
      <c r="I87" s="50" t="str">
        <f ca="1">IF(D90=100%,"Excavation","")&amp;IF(D91=100%,", Plinth","")&amp;IF(D92=100%,", RCC Slab","")&amp;IF(D93=100%,", Brickwork","")&amp;IF(D94=100%,", Internal Plaster","")&amp;IF(D95=100%,", External Plaster","")&amp;IF(D96=100%,", Flooring","")&amp;IF(D97=100%,", Painting","")&amp;IF(D98=100%,", Building common Amenities","")</f>
        <v>Excavation, Plinth</v>
      </c>
      <c r="J87" s="51" t="str">
        <f ca="1">(IF(C90=0,"Work not yet Started.",IF(D90=25%,"Piling work in process",IF(D90=50%,"Excavation work in process",IF(D90=100%,"","0")))))&amp;(IF(C91=0%,"",IF(C91=J92,", Footing work is process",IF(C91=J93,", Footing work Completed",IF(C91=J94,", 1st Basement Completed",IF(C91=J95,", 1st &amp; 2nd Basement Completed",IF(C91=J96,", 1st to 3rd Basement Completed",IF(C91=J97,", 1st to 4th Basement Completed",IF(C91=J98,", Plinth work is process",IF(C91=J99,"","0"))))))))))</f>
        <v/>
      </c>
    </row>
    <row r="88" spans="1:10" x14ac:dyDescent="0.35">
      <c r="A88" s="75" t="s">
        <v>90</v>
      </c>
      <c r="B88" s="76"/>
      <c r="C88" s="81" t="str">
        <f ca="1">(IF($G$57="NA",I86,"All work Completed. OC Received."))</f>
        <v xml:space="preserve">Excavation, Plinth Completed </v>
      </c>
      <c r="D88" s="81"/>
      <c r="E88" s="81"/>
      <c r="F88" s="81"/>
      <c r="G88" s="81"/>
      <c r="H88" s="82"/>
      <c r="I88" s="47" t="str">
        <f ca="1">IF(I87&lt;&gt;""," Completed","")</f>
        <v xml:space="preserve"> Completed</v>
      </c>
      <c r="J88" s="48" t="str">
        <f ca="1">IF(J86&lt;&gt;"","Completed","")</f>
        <v/>
      </c>
    </row>
    <row r="89" spans="1:10" ht="15.75" customHeight="1" x14ac:dyDescent="0.35">
      <c r="A89" s="73" t="s">
        <v>47</v>
      </c>
      <c r="B89" s="74"/>
      <c r="C89" s="42" t="s">
        <v>140</v>
      </c>
      <c r="D89" s="42" t="s">
        <v>83</v>
      </c>
      <c r="E89" s="74" t="s">
        <v>85</v>
      </c>
      <c r="F89" s="74"/>
      <c r="G89" s="74" t="s">
        <v>84</v>
      </c>
      <c r="H89" s="182"/>
      <c r="I89" s="13" t="s">
        <v>142</v>
      </c>
      <c r="J89" s="27">
        <f ca="1">H87*25%</f>
        <v>5.75</v>
      </c>
    </row>
    <row r="90" spans="1:10" x14ac:dyDescent="0.35">
      <c r="A90" s="74" t="s">
        <v>129</v>
      </c>
      <c r="B90" s="74"/>
      <c r="C90" s="65">
        <f ca="1">J91</f>
        <v>23</v>
      </c>
      <c r="D90" s="18">
        <f ca="1">((100/H87)*C90)/100</f>
        <v>1</v>
      </c>
      <c r="E90" s="133">
        <f ca="1">(((C91/H87*10)+(40/(D87+F87+H87)*C92)+(7.5/(H87)*C93)+(7.5/(H87)*C94)+(10/H87*C95)+(10/H87*C96)+(5/H87*C97)+(5/H87*C98)+(5/H87*C99))/100)</f>
        <v>0.1</v>
      </c>
      <c r="F90" s="133"/>
      <c r="G90" s="133">
        <f ca="1">((((C90/H87)*20)+((C91/H87)*25)+(30/(H87+F87+D87)*C92)+(5/H87*C93)+(5/H87*C94)+(5/H87*C95)+(5/H87*C96)+(0/H87*C97)+(0/H87*C98)+(5/H87*C99))/100)</f>
        <v>0.45</v>
      </c>
      <c r="H90" s="133"/>
      <c r="I90" s="13" t="s">
        <v>99</v>
      </c>
      <c r="J90" s="28">
        <f ca="1">H87*50%</f>
        <v>11.5</v>
      </c>
    </row>
    <row r="91" spans="1:10" x14ac:dyDescent="0.35">
      <c r="A91" s="74" t="s">
        <v>48</v>
      </c>
      <c r="B91" s="74"/>
      <c r="C91" s="52">
        <f ca="1">J99</f>
        <v>23</v>
      </c>
      <c r="D91" s="18">
        <f ca="1">((100/H87)*C91)/100</f>
        <v>1</v>
      </c>
      <c r="E91" s="133"/>
      <c r="F91" s="133"/>
      <c r="G91" s="133"/>
      <c r="H91" s="133"/>
      <c r="I91" s="13" t="s">
        <v>100</v>
      </c>
      <c r="J91" s="28">
        <f ca="1">H87</f>
        <v>23</v>
      </c>
    </row>
    <row r="92" spans="1:10" ht="15.75" customHeight="1" x14ac:dyDescent="0.35">
      <c r="A92" s="74" t="s">
        <v>130</v>
      </c>
      <c r="B92" s="74"/>
      <c r="C92" s="65">
        <v>0</v>
      </c>
      <c r="D92" s="18">
        <f ca="1">((100/(D87+F87+H87))*C92)/100</f>
        <v>0</v>
      </c>
      <c r="E92" s="133"/>
      <c r="F92" s="133"/>
      <c r="G92" s="133"/>
      <c r="H92" s="133"/>
      <c r="I92" s="13" t="s">
        <v>101</v>
      </c>
      <c r="J92" s="29">
        <f ca="1">(IF(B87&gt;1,(H87/(B87+2)),H87/4))</f>
        <v>5.75</v>
      </c>
    </row>
    <row r="93" spans="1:10" ht="15.75" customHeight="1" x14ac:dyDescent="0.35">
      <c r="A93" s="74" t="s">
        <v>137</v>
      </c>
      <c r="B93" s="74" t="s">
        <v>131</v>
      </c>
      <c r="C93" s="65">
        <v>0</v>
      </c>
      <c r="D93" s="18">
        <f ca="1">((100/H87)*C93)/100</f>
        <v>0</v>
      </c>
      <c r="E93" s="133"/>
      <c r="F93" s="133"/>
      <c r="G93" s="133"/>
      <c r="H93" s="133"/>
      <c r="I93" s="13" t="s">
        <v>102</v>
      </c>
      <c r="J93" s="29">
        <f ca="1">(IF(B87&gt;1,(H87/(B87+2)+J92),H87/4+J92))</f>
        <v>11.5</v>
      </c>
    </row>
    <row r="94" spans="1:10" ht="15.75" customHeight="1" x14ac:dyDescent="0.35">
      <c r="A94" s="74" t="s">
        <v>138</v>
      </c>
      <c r="B94" s="74" t="s">
        <v>131</v>
      </c>
      <c r="C94" s="65">
        <v>0</v>
      </c>
      <c r="D94" s="18">
        <f ca="1">((100/H87)*C94)/100</f>
        <v>0</v>
      </c>
      <c r="E94" s="133"/>
      <c r="F94" s="133"/>
      <c r="G94" s="133"/>
      <c r="H94" s="133"/>
      <c r="I94" s="13" t="s">
        <v>147</v>
      </c>
      <c r="J94" s="29">
        <f>(IF(B87&gt;1,(H87/(B87+2)+J93),0))</f>
        <v>0</v>
      </c>
    </row>
    <row r="95" spans="1:10" ht="15" customHeight="1" x14ac:dyDescent="0.35">
      <c r="A95" s="74" t="s">
        <v>136</v>
      </c>
      <c r="B95" s="74" t="s">
        <v>133</v>
      </c>
      <c r="C95" s="65">
        <v>0</v>
      </c>
      <c r="D95" s="18">
        <f ca="1">((100/(H87))*C95)/100</f>
        <v>0</v>
      </c>
      <c r="E95" s="133"/>
      <c r="F95" s="133"/>
      <c r="G95" s="133"/>
      <c r="H95" s="133"/>
      <c r="I95" s="13" t="s">
        <v>144</v>
      </c>
      <c r="J95" s="29">
        <f>(IF(B87&gt;2,(H87/(B87+2)+J94),0))</f>
        <v>0</v>
      </c>
    </row>
    <row r="96" spans="1:10" ht="15.75" customHeight="1" x14ac:dyDescent="0.35">
      <c r="A96" s="74" t="s">
        <v>132</v>
      </c>
      <c r="B96" s="74" t="s">
        <v>132</v>
      </c>
      <c r="C96" s="65">
        <v>0</v>
      </c>
      <c r="D96" s="18">
        <f ca="1">((100/H87)*C96)/100</f>
        <v>0</v>
      </c>
      <c r="E96" s="133"/>
      <c r="F96" s="133"/>
      <c r="G96" s="133"/>
      <c r="H96" s="133"/>
      <c r="I96" s="13" t="s">
        <v>145</v>
      </c>
      <c r="J96" s="30">
        <f>(IF(B87&gt;3,(H87/(B87+2)+J95),0))</f>
        <v>0</v>
      </c>
    </row>
    <row r="97" spans="1:10" ht="15.75" customHeight="1" x14ac:dyDescent="0.35">
      <c r="A97" s="74" t="s">
        <v>139</v>
      </c>
      <c r="B97" s="74"/>
      <c r="C97" s="65">
        <v>0</v>
      </c>
      <c r="D97" s="18">
        <f ca="1">((100/H87)*C97)/100</f>
        <v>0</v>
      </c>
      <c r="E97" s="133"/>
      <c r="F97" s="133"/>
      <c r="G97" s="133"/>
      <c r="H97" s="133"/>
      <c r="I97" s="13" t="s">
        <v>146</v>
      </c>
      <c r="J97" s="29">
        <f>(IF(B87&gt;4,(H87/(B87+2)+J96),0))</f>
        <v>0</v>
      </c>
    </row>
    <row r="98" spans="1:10" ht="15.75" customHeight="1" x14ac:dyDescent="0.35">
      <c r="A98" s="74" t="s">
        <v>134</v>
      </c>
      <c r="B98" s="74" t="s">
        <v>134</v>
      </c>
      <c r="C98" s="65">
        <v>0</v>
      </c>
      <c r="D98" s="18">
        <f ca="1">((100/(H87))*C98)/100</f>
        <v>0</v>
      </c>
      <c r="E98" s="133"/>
      <c r="F98" s="133"/>
      <c r="G98" s="133"/>
      <c r="H98" s="133"/>
      <c r="I98" s="13" t="s">
        <v>148</v>
      </c>
      <c r="J98" s="29">
        <f ca="1">(IF(B87=1,(H87/(B87+3)+J93),IF(B87=0,(H87/4+J93),IF(B87&gt;1,0))))</f>
        <v>17.25</v>
      </c>
    </row>
    <row r="99" spans="1:10" ht="16" thickBot="1" x14ac:dyDescent="0.4">
      <c r="A99" s="74" t="s">
        <v>135</v>
      </c>
      <c r="B99" s="74"/>
      <c r="C99" s="65">
        <v>0</v>
      </c>
      <c r="D99" s="18">
        <f ca="1">((100/(H87))*C99)/100</f>
        <v>0</v>
      </c>
      <c r="E99" s="133"/>
      <c r="F99" s="133"/>
      <c r="G99" s="133"/>
      <c r="H99" s="133"/>
      <c r="I99" s="14" t="s">
        <v>103</v>
      </c>
      <c r="J99" s="31">
        <f ca="1">(IF(B87&gt;1.5,(H87/(B87+2)+J93+MAX(0,J94-J93)+MAX(0,J95-J94)+MAX(0,J96-J95)+MAX(0,J97-J96)+MAX(0,J98-J97)),IF(B87=1,(H87/(B87+3)+J98),IF(B87=0,H87/4+J98))))</f>
        <v>23</v>
      </c>
    </row>
    <row r="100" spans="1:10" ht="15.75" customHeight="1" x14ac:dyDescent="0.35">
      <c r="A100" s="81" t="s">
        <v>141</v>
      </c>
      <c r="B100" s="81"/>
      <c r="C100" s="81" t="str">
        <f>D64</f>
        <v>D Wing = Gr/St + 1st to 22nd Floor</v>
      </c>
      <c r="D100" s="81"/>
      <c r="E100" s="81"/>
      <c r="F100" s="81"/>
      <c r="G100" s="81"/>
      <c r="H100" s="81"/>
      <c r="I100" s="53" t="str">
        <f ca="1">IF(D113=100%,"All work Completed. Possession granted to the Building.",IF(D112=100%,"All work Completed, Waiting for OC",I101&amp;""&amp;I102&amp;""&amp;J101&amp;""&amp;J100&amp;" "&amp;J102))</f>
        <v xml:space="preserve">Excavation Completed, Plinth work is process </v>
      </c>
      <c r="J100" s="46" t="str">
        <f ca="1">(IF(C106=(D101+F101+H101),"",IF(C106&gt;0,", RCC upto "&amp;C106&amp;" Slab","")))&amp;(IF(C107=H101,"",IF(C107&gt;0,", Brickwork upto "&amp;C107&amp;" Floor","")))&amp;(IF(C108=H101,"",IF(C108&gt;0,", Internal Plaster upto "&amp;C108&amp;" Floor","")))&amp;(IF(C109=H101,"",IF(C109&gt;0,", External Plaster upto "&amp;C109&amp;" Floor","")))&amp;(IF(C110=H101,"",IF(C110&gt;0,", Flooring upto "&amp;C110&amp;" Floor","")))&amp;(IF(C111=H101,"",IF(C111&gt;0,", Painting upto "&amp;C111&amp;" Floor","")))&amp;(IF(C112=H101,"",IF(C112&gt;0,", Finishing upto "&amp;C112&amp;" Floor","")))&amp;(IF(C113=H101,"",IF(C113&gt;0,", Possession upto "&amp;C113&amp;" Floor","")))</f>
        <v/>
      </c>
    </row>
    <row r="101" spans="1:10" s="22" customFormat="1" x14ac:dyDescent="0.35">
      <c r="A101" s="67" t="s">
        <v>143</v>
      </c>
      <c r="B101" s="67">
        <f>IF(AND(ISNUMBER(SEARCH("1B",C100))),1,IF(AND(ISNUMBER(SEARCH("2B",C100))),2,IF(AND(ISNUMBER(SEARCH("3B",C100))),3,IF(AND(ISNUMBER(SEARCH("4B",C100))),4,IF(ISNUMBER(SEARCH("5B",C100)),5,0)))))</f>
        <v>0</v>
      </c>
      <c r="C101" s="67" t="s">
        <v>71</v>
      </c>
      <c r="D101" s="67">
        <v>1</v>
      </c>
      <c r="E101" s="67" t="s">
        <v>70</v>
      </c>
      <c r="F101" s="67">
        <v>0</v>
      </c>
      <c r="G101" s="67" t="s">
        <v>80</v>
      </c>
      <c r="H101" s="67">
        <f ca="1">--TRIM(RIGHT(SUBSTITUTE(LEFT(C100,_xlfn.AGGREGATE(16,6,FIND({0,1,2,3,4,5,6,7,8,9},C100,ROW(INDIRECT("1:"&amp;LEN(C100)))),1))," ",REPT(" ",LEN(C100))),LEN(C100)))</f>
        <v>22</v>
      </c>
      <c r="I101" s="54" t="str">
        <f ca="1">IF(D104=100%,"Excavation","")&amp;IF(D105=100%,", Plinth","")&amp;IF(D106=100%,", RCC Slab","")&amp;IF(D107=100%,", Brickwork","")&amp;IF(D108=100%,", Internal Plaster","")&amp;IF(D109=100%,", External Plaster","")&amp;IF(D110=100%,", Flooring","")&amp;IF(D111=100%,", Painting","")&amp;IF(D112=100%,", Building common Amenities","")</f>
        <v>Excavation</v>
      </c>
      <c r="J101" s="51" t="str">
        <f ca="1">(IF(C104=0,"Work not yet Started.",IF(D104=25%,"Piling work in process",IF(D104=50%,"Excavation work in process",IF(D104=100%,"","0")))))&amp;(IF(C105=0%,"",IF(C105=J106,", Footing work is process",IF(C105=J107,", Footing work Completed",IF(C105=J108,", 1st Basement Completed",IF(C105=J109,", 1st &amp; 2nd Basement Completed",IF(C105=J110,", 1st to 3rd Basement Completed",IF(C105=J111,", 1st to 4th Basement Completed",IF(C105=J112,", Plinth work is process",IF(C105=J113,"","0"))))))))))</f>
        <v>, Plinth work is process</v>
      </c>
    </row>
    <row r="102" spans="1:10" x14ac:dyDescent="0.35">
      <c r="A102" s="76" t="s">
        <v>90</v>
      </c>
      <c r="B102" s="76"/>
      <c r="C102" s="81" t="str">
        <f ca="1">(IF($G$57="NA",I100,"All work Completed. OC Received."))</f>
        <v xml:space="preserve">Excavation Completed, Plinth work is process </v>
      </c>
      <c r="D102" s="81"/>
      <c r="E102" s="81"/>
      <c r="F102" s="81"/>
      <c r="G102" s="81"/>
      <c r="H102" s="81"/>
      <c r="I102" s="55" t="str">
        <f ca="1">IF(I101&lt;&gt;""," Completed","")</f>
        <v xml:space="preserve"> Completed</v>
      </c>
      <c r="J102" s="48" t="str">
        <f ca="1">IF(J100&lt;&gt;"","Completed","")</f>
        <v/>
      </c>
    </row>
    <row r="103" spans="1:10" ht="15.75" customHeight="1" x14ac:dyDescent="0.35">
      <c r="A103" s="183" t="s">
        <v>47</v>
      </c>
      <c r="B103" s="183"/>
      <c r="C103" s="66" t="s">
        <v>140</v>
      </c>
      <c r="D103" s="66" t="s">
        <v>83</v>
      </c>
      <c r="E103" s="183" t="s">
        <v>85</v>
      </c>
      <c r="F103" s="183"/>
      <c r="G103" s="183" t="s">
        <v>84</v>
      </c>
      <c r="H103" s="183"/>
      <c r="I103" s="13" t="s">
        <v>142</v>
      </c>
      <c r="J103" s="27">
        <f ca="1">H101*25%</f>
        <v>5.5</v>
      </c>
    </row>
    <row r="104" spans="1:10" x14ac:dyDescent="0.35">
      <c r="A104" s="183" t="s">
        <v>129</v>
      </c>
      <c r="B104" s="183"/>
      <c r="C104" s="66">
        <f ca="1">J105</f>
        <v>22</v>
      </c>
      <c r="D104" s="63">
        <f ca="1">((100/H101)*C104)/100</f>
        <v>1.0000000000000002</v>
      </c>
      <c r="E104" s="196">
        <f ca="1">(((C105/H101*10)+(40/(D101+F101+H101)*C106)+(7.5/(H101)*C107)+(7.5/(H101)*C108)+(10/H101*C109)+(10/H101*C110)+(5/H101*C111)+(5/H101*C112)+(5/H101*C113))/100)</f>
        <v>7.4999999999999997E-2</v>
      </c>
      <c r="F104" s="196"/>
      <c r="G104" s="196">
        <f ca="1">((((C104/H101)*20)+((C105/H101)*25)+(30/(H101+F101+D101)*C106)+(5/H101*C107)+(5/H101*C108)+(5/H101*C109)+(5/H101*C110)+(0/H101*C111)+(0/H101*C112)+(5/H101*C113))/100)</f>
        <v>0.38750000000000001</v>
      </c>
      <c r="H104" s="196"/>
      <c r="I104" s="13" t="s">
        <v>99</v>
      </c>
      <c r="J104" s="28">
        <f ca="1">H101*50%</f>
        <v>11</v>
      </c>
    </row>
    <row r="105" spans="1:10" x14ac:dyDescent="0.35">
      <c r="A105" s="183" t="s">
        <v>48</v>
      </c>
      <c r="B105" s="183"/>
      <c r="C105" s="64">
        <f ca="1">J112</f>
        <v>16.5</v>
      </c>
      <c r="D105" s="63">
        <f ca="1">((100/H101)*C105)/100</f>
        <v>0.75</v>
      </c>
      <c r="E105" s="196"/>
      <c r="F105" s="196"/>
      <c r="G105" s="196"/>
      <c r="H105" s="196"/>
      <c r="I105" s="13" t="s">
        <v>100</v>
      </c>
      <c r="J105" s="28">
        <f ca="1">H101</f>
        <v>22</v>
      </c>
    </row>
    <row r="106" spans="1:10" ht="15.75" customHeight="1" x14ac:dyDescent="0.35">
      <c r="A106" s="183" t="s">
        <v>130</v>
      </c>
      <c r="B106" s="183"/>
      <c r="C106" s="66">
        <v>0</v>
      </c>
      <c r="D106" s="63">
        <f ca="1">((100/(D101+F101+H101))*C106)/100</f>
        <v>0</v>
      </c>
      <c r="E106" s="196"/>
      <c r="F106" s="196"/>
      <c r="G106" s="196"/>
      <c r="H106" s="196"/>
      <c r="I106" s="13" t="s">
        <v>101</v>
      </c>
      <c r="J106" s="29">
        <f ca="1">(IF(B101&gt;1,(H101/(B101+2)),H101/4))</f>
        <v>5.5</v>
      </c>
    </row>
    <row r="107" spans="1:10" ht="15.75" customHeight="1" x14ac:dyDescent="0.35">
      <c r="A107" s="183" t="s">
        <v>137</v>
      </c>
      <c r="B107" s="183" t="s">
        <v>131</v>
      </c>
      <c r="C107" s="66">
        <v>0</v>
      </c>
      <c r="D107" s="63">
        <f ca="1">((100/H101)*C107)/100</f>
        <v>0</v>
      </c>
      <c r="E107" s="196"/>
      <c r="F107" s="196"/>
      <c r="G107" s="196"/>
      <c r="H107" s="196"/>
      <c r="I107" s="13" t="s">
        <v>102</v>
      </c>
      <c r="J107" s="29">
        <f ca="1">(IF(B101&gt;1,(H101/(B101+2)+J106),H101/4+J106))</f>
        <v>11</v>
      </c>
    </row>
    <row r="108" spans="1:10" ht="15.75" customHeight="1" x14ac:dyDescent="0.35">
      <c r="A108" s="183" t="s">
        <v>138</v>
      </c>
      <c r="B108" s="183" t="s">
        <v>131</v>
      </c>
      <c r="C108" s="66">
        <v>0</v>
      </c>
      <c r="D108" s="63">
        <f ca="1">((100/H101)*C108)/100</f>
        <v>0</v>
      </c>
      <c r="E108" s="196"/>
      <c r="F108" s="196"/>
      <c r="G108" s="196"/>
      <c r="H108" s="196"/>
      <c r="I108" s="13" t="s">
        <v>147</v>
      </c>
      <c r="J108" s="29">
        <f>(IF(B101&gt;1,(H101/(B101+2)+J107),0))</f>
        <v>0</v>
      </c>
    </row>
    <row r="109" spans="1:10" ht="15" customHeight="1" x14ac:dyDescent="0.35">
      <c r="A109" s="183" t="s">
        <v>136</v>
      </c>
      <c r="B109" s="183" t="s">
        <v>133</v>
      </c>
      <c r="C109" s="66">
        <v>0</v>
      </c>
      <c r="D109" s="63">
        <f ca="1">((100/(H101))*C109)/100</f>
        <v>0</v>
      </c>
      <c r="E109" s="196"/>
      <c r="F109" s="196"/>
      <c r="G109" s="196"/>
      <c r="H109" s="196"/>
      <c r="I109" s="13" t="s">
        <v>144</v>
      </c>
      <c r="J109" s="29">
        <f>(IF(B101&gt;2,(H101/(B101+2)+J108),0))</f>
        <v>0</v>
      </c>
    </row>
    <row r="110" spans="1:10" ht="15.75" customHeight="1" x14ac:dyDescent="0.35">
      <c r="A110" s="183" t="s">
        <v>132</v>
      </c>
      <c r="B110" s="183" t="s">
        <v>132</v>
      </c>
      <c r="C110" s="66">
        <v>0</v>
      </c>
      <c r="D110" s="63">
        <f ca="1">((100/H101)*C110)/100</f>
        <v>0</v>
      </c>
      <c r="E110" s="196"/>
      <c r="F110" s="196"/>
      <c r="G110" s="196"/>
      <c r="H110" s="196"/>
      <c r="I110" s="13" t="s">
        <v>145</v>
      </c>
      <c r="J110" s="30">
        <f>(IF(B101&gt;3,(H101/(B101+2)+J109),0))</f>
        <v>0</v>
      </c>
    </row>
    <row r="111" spans="1:10" ht="15.75" customHeight="1" x14ac:dyDescent="0.35">
      <c r="A111" s="183" t="s">
        <v>139</v>
      </c>
      <c r="B111" s="183"/>
      <c r="C111" s="66">
        <v>0</v>
      </c>
      <c r="D111" s="63">
        <f ca="1">((100/H101)*C111)/100</f>
        <v>0</v>
      </c>
      <c r="E111" s="196"/>
      <c r="F111" s="196"/>
      <c r="G111" s="196"/>
      <c r="H111" s="196"/>
      <c r="I111" s="13" t="s">
        <v>146</v>
      </c>
      <c r="J111" s="29">
        <f>(IF(B101&gt;4,(H101/(B101+2)+J110),0))</f>
        <v>0</v>
      </c>
    </row>
    <row r="112" spans="1:10" ht="15.75" customHeight="1" x14ac:dyDescent="0.35">
      <c r="A112" s="183" t="s">
        <v>134</v>
      </c>
      <c r="B112" s="183" t="s">
        <v>134</v>
      </c>
      <c r="C112" s="66">
        <v>0</v>
      </c>
      <c r="D112" s="63">
        <f ca="1">((100/(H101))*C112)/100</f>
        <v>0</v>
      </c>
      <c r="E112" s="196"/>
      <c r="F112" s="196"/>
      <c r="G112" s="196"/>
      <c r="H112" s="196"/>
      <c r="I112" s="13" t="s">
        <v>148</v>
      </c>
      <c r="J112" s="29">
        <f ca="1">(IF(B101=1,(H101/(B101+3)+J107),IF(B101=0,(H101/4+J107),IF(B101&gt;1,0))))</f>
        <v>16.5</v>
      </c>
    </row>
    <row r="113" spans="1:10" ht="16" thickBot="1" x14ac:dyDescent="0.4">
      <c r="A113" s="183" t="s">
        <v>135</v>
      </c>
      <c r="B113" s="183"/>
      <c r="C113" s="66">
        <v>0</v>
      </c>
      <c r="D113" s="63">
        <f ca="1">((100/(H101))*C113)/100</f>
        <v>0</v>
      </c>
      <c r="E113" s="196"/>
      <c r="F113" s="196"/>
      <c r="G113" s="196"/>
      <c r="H113" s="196"/>
      <c r="I113" s="14" t="s">
        <v>103</v>
      </c>
      <c r="J113" s="31">
        <f ca="1">(IF(B101&gt;1.5,(H101/(B101+2)+J107+MAX(0,J108-J107)+MAX(0,J109-J108)+MAX(0,J110-J109)+MAX(0,J111-J110)+MAX(0,J112-J111)),IF(B101=1,(H101/(B101+3)+J112),IF(B101=0,H101/4+J112))))</f>
        <v>22</v>
      </c>
    </row>
    <row r="114" spans="1:10" x14ac:dyDescent="0.35">
      <c r="A114" s="184" t="s">
        <v>157</v>
      </c>
      <c r="B114" s="184"/>
      <c r="C114" s="184"/>
      <c r="D114" s="184"/>
      <c r="E114" s="184"/>
      <c r="F114" s="185" t="s">
        <v>162</v>
      </c>
      <c r="G114" s="185"/>
      <c r="H114" s="185"/>
    </row>
    <row r="115" spans="1:10" x14ac:dyDescent="0.35">
      <c r="A115" s="80" t="s">
        <v>160</v>
      </c>
      <c r="B115" s="80"/>
      <c r="C115" s="80"/>
      <c r="D115" s="80"/>
      <c r="E115" s="80"/>
      <c r="F115" s="83">
        <v>20000</v>
      </c>
      <c r="G115" s="83"/>
      <c r="H115" s="83"/>
      <c r="I115" s="20" t="s">
        <v>208</v>
      </c>
    </row>
    <row r="116" spans="1:10" hidden="1" x14ac:dyDescent="0.35">
      <c r="A116" s="80" t="s">
        <v>159</v>
      </c>
      <c r="B116" s="80"/>
      <c r="C116" s="80"/>
      <c r="D116" s="80"/>
      <c r="E116" s="80"/>
      <c r="F116" s="83"/>
      <c r="G116" s="83"/>
      <c r="H116" s="83"/>
    </row>
    <row r="117" spans="1:10" hidden="1" x14ac:dyDescent="0.35">
      <c r="A117" s="80" t="s">
        <v>161</v>
      </c>
      <c r="B117" s="80"/>
      <c r="C117" s="80"/>
      <c r="D117" s="80"/>
      <c r="E117" s="80"/>
      <c r="F117" s="83"/>
      <c r="G117" s="83"/>
      <c r="H117" s="83"/>
    </row>
    <row r="118" spans="1:10" s="32" customFormat="1" hidden="1" x14ac:dyDescent="0.3">
      <c r="A118" s="80" t="s">
        <v>158</v>
      </c>
      <c r="B118" s="80"/>
      <c r="C118" s="80"/>
      <c r="D118" s="80"/>
      <c r="E118" s="80"/>
      <c r="F118" s="83"/>
      <c r="G118" s="83"/>
      <c r="H118" s="83"/>
    </row>
    <row r="119" spans="1:10" s="32" customFormat="1" hidden="1" x14ac:dyDescent="0.3">
      <c r="A119" s="80" t="s">
        <v>95</v>
      </c>
      <c r="B119" s="80"/>
      <c r="C119" s="80"/>
      <c r="D119" s="80"/>
      <c r="E119" s="80"/>
      <c r="F119" s="83"/>
      <c r="G119" s="83"/>
      <c r="H119" s="83"/>
    </row>
    <row r="120" spans="1:10" s="32" customFormat="1" hidden="1" x14ac:dyDescent="0.3">
      <c r="A120" s="80" t="s">
        <v>202</v>
      </c>
      <c r="B120" s="80"/>
      <c r="C120" s="80"/>
      <c r="D120" s="80"/>
      <c r="E120" s="80"/>
      <c r="F120" s="83">
        <v>600</v>
      </c>
      <c r="G120" s="83"/>
      <c r="H120" s="83"/>
    </row>
    <row r="121" spans="1:10" s="32" customFormat="1" hidden="1" x14ac:dyDescent="0.3">
      <c r="A121" s="80" t="s">
        <v>163</v>
      </c>
      <c r="B121" s="80"/>
      <c r="C121" s="80"/>
      <c r="D121" s="80"/>
      <c r="E121" s="80"/>
      <c r="F121" s="83">
        <v>25000</v>
      </c>
      <c r="G121" s="83"/>
      <c r="H121" s="83"/>
    </row>
    <row r="122" spans="1:10" s="32" customFormat="1" x14ac:dyDescent="0.3">
      <c r="A122" s="80" t="s">
        <v>96</v>
      </c>
      <c r="B122" s="80"/>
      <c r="C122" s="80"/>
      <c r="D122" s="80"/>
      <c r="E122" s="80"/>
      <c r="F122" s="83">
        <v>16000</v>
      </c>
      <c r="G122" s="83"/>
      <c r="H122" s="83"/>
    </row>
    <row r="123" spans="1:10" s="32" customFormat="1" x14ac:dyDescent="0.3">
      <c r="A123" s="80" t="s">
        <v>97</v>
      </c>
      <c r="B123" s="80"/>
      <c r="C123" s="80"/>
      <c r="D123" s="80"/>
      <c r="E123" s="80"/>
      <c r="F123" s="83">
        <v>8000</v>
      </c>
      <c r="G123" s="83"/>
      <c r="H123" s="83"/>
    </row>
    <row r="124" spans="1:10" s="32" customFormat="1" x14ac:dyDescent="0.3">
      <c r="A124" s="80" t="s">
        <v>98</v>
      </c>
      <c r="B124" s="80"/>
      <c r="C124" s="80"/>
      <c r="D124" s="80"/>
      <c r="E124" s="80"/>
      <c r="F124" s="83">
        <v>10000</v>
      </c>
      <c r="G124" s="83"/>
      <c r="H124" s="83"/>
    </row>
    <row r="125" spans="1:10" s="32" customFormat="1" x14ac:dyDescent="0.3">
      <c r="A125" s="80" t="s">
        <v>201</v>
      </c>
      <c r="B125" s="80"/>
      <c r="C125" s="80"/>
      <c r="D125" s="80"/>
      <c r="E125" s="80"/>
      <c r="F125" s="83">
        <v>192240</v>
      </c>
      <c r="G125" s="83"/>
      <c r="H125" s="83"/>
    </row>
    <row r="126" spans="1:10" x14ac:dyDescent="0.35">
      <c r="A126" s="80" t="s">
        <v>49</v>
      </c>
      <c r="B126" s="80"/>
      <c r="C126" s="80"/>
      <c r="D126" s="80"/>
      <c r="E126" s="80"/>
      <c r="F126" s="83">
        <v>800000</v>
      </c>
      <c r="G126" s="83"/>
      <c r="H126" s="83"/>
    </row>
    <row r="127" spans="1:10" s="33" customFormat="1" x14ac:dyDescent="0.35">
      <c r="A127" s="120" t="s">
        <v>50</v>
      </c>
      <c r="B127" s="120"/>
      <c r="C127" s="120"/>
      <c r="D127" s="120"/>
      <c r="E127" s="120"/>
      <c r="F127" s="83">
        <f>F115*0.8</f>
        <v>16000</v>
      </c>
      <c r="G127" s="83"/>
      <c r="H127" s="83"/>
    </row>
    <row r="128" spans="1:10" s="34" customFormat="1" ht="15.75" hidden="1" customHeight="1" x14ac:dyDescent="0.35">
      <c r="A128" s="108" t="s">
        <v>75</v>
      </c>
      <c r="B128" s="108"/>
      <c r="C128" s="108"/>
      <c r="D128" s="108"/>
      <c r="E128" s="108"/>
      <c r="F128" s="108"/>
      <c r="G128" s="108"/>
      <c r="H128" s="108"/>
    </row>
    <row r="129" spans="1:10" s="34" customFormat="1" ht="15.75" hidden="1" customHeight="1" x14ac:dyDescent="0.35">
      <c r="A129" s="94" t="s">
        <v>51</v>
      </c>
      <c r="B129" s="94"/>
      <c r="C129" s="72" t="s">
        <v>78</v>
      </c>
      <c r="D129" s="72"/>
      <c r="E129" s="109" t="s">
        <v>52</v>
      </c>
      <c r="F129" s="109"/>
      <c r="G129" s="94" t="s">
        <v>53</v>
      </c>
      <c r="H129" s="94"/>
    </row>
    <row r="130" spans="1:10" s="34" customFormat="1" hidden="1" x14ac:dyDescent="0.35">
      <c r="A130" s="110"/>
      <c r="B130" s="110"/>
      <c r="C130" s="95"/>
      <c r="D130" s="95"/>
      <c r="E130" s="96"/>
      <c r="F130" s="96"/>
      <c r="G130" s="84"/>
      <c r="H130" s="84"/>
    </row>
    <row r="131" spans="1:10" s="34" customFormat="1" hidden="1" x14ac:dyDescent="0.35">
      <c r="A131" s="110"/>
      <c r="B131" s="110"/>
      <c r="C131" s="95"/>
      <c r="D131" s="95"/>
      <c r="E131" s="96"/>
      <c r="F131" s="96"/>
      <c r="G131" s="84"/>
      <c r="H131" s="84"/>
    </row>
    <row r="132" spans="1:10" s="34" customFormat="1" hidden="1" x14ac:dyDescent="0.35">
      <c r="A132" s="108" t="s">
        <v>151</v>
      </c>
      <c r="B132" s="108"/>
      <c r="C132" s="72"/>
      <c r="D132" s="72"/>
      <c r="E132" s="109"/>
      <c r="F132" s="109"/>
      <c r="G132" s="94"/>
      <c r="H132" s="94"/>
    </row>
    <row r="133" spans="1:10" s="34" customFormat="1" x14ac:dyDescent="0.35">
      <c r="A133" s="108" t="s">
        <v>69</v>
      </c>
      <c r="B133" s="108"/>
      <c r="C133" s="108"/>
      <c r="D133" s="108"/>
      <c r="E133" s="108"/>
      <c r="F133" s="108"/>
      <c r="G133" s="108"/>
      <c r="H133" s="108"/>
    </row>
    <row r="134" spans="1:10" s="34" customFormat="1" ht="15.75" customHeight="1" x14ac:dyDescent="0.35">
      <c r="A134" s="94" t="s">
        <v>51</v>
      </c>
      <c r="B134" s="94"/>
      <c r="C134" s="72" t="s">
        <v>78</v>
      </c>
      <c r="D134" s="72"/>
      <c r="E134" s="109" t="s">
        <v>52</v>
      </c>
      <c r="F134" s="109"/>
      <c r="G134" s="94" t="s">
        <v>53</v>
      </c>
      <c r="H134" s="94"/>
    </row>
    <row r="135" spans="1:10" s="34" customFormat="1" x14ac:dyDescent="0.35">
      <c r="A135" s="190" t="s">
        <v>240</v>
      </c>
      <c r="B135" s="190"/>
      <c r="C135" s="98">
        <f>COUNT(D155:D163)*13+COUNT(D165:D173)*7</f>
        <v>180</v>
      </c>
      <c r="D135" s="96"/>
      <c r="E135" s="98">
        <f>SUM(D155:D163)*13+SUM(D165:D173)*7</f>
        <v>70452.726551999978</v>
      </c>
      <c r="F135" s="96"/>
      <c r="G135" s="98">
        <f>SUM(F155:F163)*13+SUM(F165:F173)*7</f>
        <v>105679.08982799995</v>
      </c>
      <c r="H135" s="96"/>
    </row>
    <row r="136" spans="1:10" s="34" customFormat="1" x14ac:dyDescent="0.35">
      <c r="A136" s="110" t="s">
        <v>195</v>
      </c>
      <c r="B136" s="110"/>
      <c r="C136" s="122">
        <f>COUNT(D178:D179,D182)</f>
        <v>3</v>
      </c>
      <c r="D136" s="95"/>
      <c r="E136" s="98">
        <f>SUM(D178:D179,D182)</f>
        <v>1244.3593031999999</v>
      </c>
      <c r="F136" s="96"/>
      <c r="G136" s="98">
        <f>SUM(F178:F179,F182)</f>
        <v>1866.5389547999998</v>
      </c>
      <c r="H136" s="96"/>
    </row>
    <row r="137" spans="1:10" s="34" customFormat="1" x14ac:dyDescent="0.35">
      <c r="A137" s="110" t="s">
        <v>199</v>
      </c>
      <c r="B137" s="110"/>
      <c r="C137" s="122">
        <f>COUNT(D187:D190,D193:D194,D197:D200)+COUNT(D202:D215)+COUNT(D217:D230)*18+COUNT(D232:D233,D236:D245)*2</f>
        <v>300</v>
      </c>
      <c r="D137" s="122"/>
      <c r="E137" s="98">
        <f>SUM(D187:D190,D193:D194,D197:D200)+SUM(D202:D215)+SUM(D217:D230)*18+SUM(D232:D233,D236:D245)*2</f>
        <v>53243.372519999983</v>
      </c>
      <c r="F137" s="96"/>
      <c r="G137" s="98">
        <f>SUM(F187:F190,F193:F194,F197:F200)+SUM(F202:F215)+SUM(F217:F230)*18+SUM(F232:F233,F236:F245)*2</f>
        <v>79865.058780000007</v>
      </c>
      <c r="H137" s="96"/>
    </row>
    <row r="138" spans="1:10" s="34" customFormat="1" x14ac:dyDescent="0.35">
      <c r="A138" s="108" t="s">
        <v>151</v>
      </c>
      <c r="B138" s="108"/>
      <c r="C138" s="123">
        <f>SUM(C135:D137)</f>
        <v>483</v>
      </c>
      <c r="D138" s="72"/>
      <c r="E138" s="111">
        <f>SUM(E135:F137)</f>
        <v>124940.45837519996</v>
      </c>
      <c r="F138" s="109"/>
      <c r="G138" s="94">
        <f>SUM(G135:H137)</f>
        <v>187410.68756279995</v>
      </c>
      <c r="H138" s="94"/>
    </row>
    <row r="139" spans="1:10" s="34" customFormat="1" x14ac:dyDescent="0.35">
      <c r="A139" s="108" t="s">
        <v>169</v>
      </c>
      <c r="B139" s="108"/>
      <c r="C139" s="72">
        <f>C132+C138</f>
        <v>483</v>
      </c>
      <c r="D139" s="72"/>
      <c r="E139" s="111">
        <f>E132+E138</f>
        <v>124940.45837519996</v>
      </c>
      <c r="F139" s="111"/>
      <c r="G139" s="94">
        <f>G132+G138</f>
        <v>187410.68756279995</v>
      </c>
      <c r="H139" s="94"/>
    </row>
    <row r="140" spans="1:10" s="33" customFormat="1" x14ac:dyDescent="0.35">
      <c r="A140" s="93" t="s">
        <v>54</v>
      </c>
      <c r="B140" s="93"/>
      <c r="C140" s="93"/>
      <c r="D140" s="93"/>
      <c r="E140" s="93"/>
      <c r="F140" s="93"/>
      <c r="G140" s="93"/>
      <c r="H140" s="93"/>
    </row>
    <row r="141" spans="1:10" hidden="1" x14ac:dyDescent="0.35">
      <c r="A141" s="93" t="s">
        <v>55</v>
      </c>
      <c r="B141" s="93"/>
      <c r="C141" s="93"/>
      <c r="D141" s="93"/>
      <c r="E141" s="93"/>
      <c r="F141" s="93"/>
      <c r="G141" s="93"/>
      <c r="H141" s="93"/>
    </row>
    <row r="142" spans="1:10" ht="47.25" hidden="1" customHeight="1" x14ac:dyDescent="0.35">
      <c r="A142" s="97" t="s">
        <v>120</v>
      </c>
      <c r="B142" s="97" t="s">
        <v>119</v>
      </c>
      <c r="C142" s="97" t="s">
        <v>56</v>
      </c>
      <c r="D142" s="97" t="s">
        <v>57</v>
      </c>
      <c r="E142" s="106" t="s">
        <v>156</v>
      </c>
      <c r="F142" s="60" t="s">
        <v>150</v>
      </c>
      <c r="G142" s="97" t="s">
        <v>59</v>
      </c>
      <c r="H142" s="97"/>
    </row>
    <row r="143" spans="1:10" s="36" customFormat="1" hidden="1" x14ac:dyDescent="0.35">
      <c r="A143" s="97"/>
      <c r="B143" s="97"/>
      <c r="C143" s="97"/>
      <c r="D143" s="97"/>
      <c r="E143" s="106"/>
      <c r="F143" s="56">
        <v>0.6</v>
      </c>
      <c r="G143" s="97"/>
      <c r="H143" s="97"/>
    </row>
    <row r="144" spans="1:10" s="36" customFormat="1" hidden="1" x14ac:dyDescent="0.35">
      <c r="A144" s="118" t="s">
        <v>118</v>
      </c>
      <c r="B144" s="118"/>
      <c r="C144" s="118"/>
      <c r="D144" s="118"/>
      <c r="E144" s="118"/>
      <c r="F144" s="118"/>
      <c r="G144" s="118"/>
      <c r="H144" s="118"/>
      <c r="J144" s="35"/>
    </row>
    <row r="145" spans="1:14" s="36" customFormat="1" hidden="1" x14ac:dyDescent="0.35">
      <c r="A145" s="99">
        <v>1</v>
      </c>
      <c r="B145" s="99"/>
      <c r="C145" s="41"/>
      <c r="D145" s="41"/>
      <c r="E145" s="41">
        <v>0</v>
      </c>
      <c r="F145" s="41">
        <f>(D145+E145)*(($F$143)+1)</f>
        <v>0</v>
      </c>
      <c r="G145" s="99" t="str">
        <f>A144</f>
        <v>Ground Floor</v>
      </c>
      <c r="H145" s="99"/>
      <c r="I145" s="35"/>
      <c r="L145" s="169"/>
      <c r="M145" s="169"/>
      <c r="N145" s="35"/>
    </row>
    <row r="146" spans="1:14" s="36" customFormat="1" hidden="1" x14ac:dyDescent="0.35">
      <c r="A146" s="99">
        <f t="shared" ref="A146:A148" si="0">A145+1</f>
        <v>2</v>
      </c>
      <c r="B146" s="99"/>
      <c r="C146" s="41"/>
      <c r="D146" s="41"/>
      <c r="E146" s="41">
        <v>0</v>
      </c>
      <c r="F146" s="41">
        <f t="shared" ref="F146:F148" si="1">(D146+E146)*(($F$143)+1)</f>
        <v>0</v>
      </c>
      <c r="G146" s="99" t="str">
        <f t="shared" ref="G146:G148" si="2">G145</f>
        <v>Ground Floor</v>
      </c>
      <c r="H146" s="99"/>
      <c r="I146" s="35"/>
      <c r="L146" s="169"/>
      <c r="M146" s="169"/>
      <c r="N146" s="35"/>
    </row>
    <row r="147" spans="1:14" s="36" customFormat="1" hidden="1" x14ac:dyDescent="0.35">
      <c r="A147" s="99">
        <f t="shared" si="0"/>
        <v>3</v>
      </c>
      <c r="B147" s="99"/>
      <c r="C147" s="41"/>
      <c r="D147" s="41"/>
      <c r="E147" s="41">
        <v>0</v>
      </c>
      <c r="F147" s="41">
        <f t="shared" si="1"/>
        <v>0</v>
      </c>
      <c r="G147" s="99" t="str">
        <f t="shared" si="2"/>
        <v>Ground Floor</v>
      </c>
      <c r="H147" s="99"/>
      <c r="I147" s="35"/>
      <c r="L147" s="169"/>
      <c r="M147" s="169"/>
      <c r="N147" s="35"/>
    </row>
    <row r="148" spans="1:14" s="36" customFormat="1" hidden="1" x14ac:dyDescent="0.35">
      <c r="A148" s="99">
        <f t="shared" si="0"/>
        <v>4</v>
      </c>
      <c r="B148" s="99"/>
      <c r="C148" s="41"/>
      <c r="D148" s="41"/>
      <c r="E148" s="41">
        <v>0</v>
      </c>
      <c r="F148" s="41">
        <f t="shared" si="1"/>
        <v>0</v>
      </c>
      <c r="G148" s="99" t="str">
        <f t="shared" si="2"/>
        <v>Ground Floor</v>
      </c>
      <c r="H148" s="99"/>
      <c r="I148" s="35"/>
      <c r="L148" s="169"/>
      <c r="M148" s="169"/>
      <c r="N148" s="35"/>
    </row>
    <row r="149" spans="1:14" s="36" customFormat="1" hidden="1" x14ac:dyDescent="0.35">
      <c r="A149" s="99"/>
      <c r="B149" s="99"/>
      <c r="C149" s="99"/>
      <c r="D149" s="99"/>
      <c r="E149" s="99"/>
      <c r="F149" s="99"/>
      <c r="G149" s="99"/>
      <c r="H149" s="99"/>
      <c r="I149" s="35"/>
      <c r="N149" s="35"/>
    </row>
    <row r="150" spans="1:14" ht="47.25" customHeight="1" x14ac:dyDescent="0.35">
      <c r="A150" s="97" t="s">
        <v>121</v>
      </c>
      <c r="B150" s="97" t="s">
        <v>122</v>
      </c>
      <c r="C150" s="97" t="s">
        <v>56</v>
      </c>
      <c r="D150" s="97" t="s">
        <v>57</v>
      </c>
      <c r="E150" s="106" t="s">
        <v>58</v>
      </c>
      <c r="F150" s="60" t="s">
        <v>150</v>
      </c>
      <c r="G150" s="97" t="s">
        <v>59</v>
      </c>
      <c r="H150" s="97"/>
      <c r="I150" s="35"/>
    </row>
    <row r="151" spans="1:14" s="36" customFormat="1" x14ac:dyDescent="0.35">
      <c r="A151" s="97"/>
      <c r="B151" s="97"/>
      <c r="C151" s="97"/>
      <c r="D151" s="97"/>
      <c r="E151" s="106"/>
      <c r="F151" s="56">
        <v>0.5</v>
      </c>
      <c r="G151" s="97"/>
      <c r="H151" s="97"/>
      <c r="I151" s="35"/>
    </row>
    <row r="152" spans="1:14" s="36" customFormat="1" x14ac:dyDescent="0.35">
      <c r="A152" s="117" t="s">
        <v>240</v>
      </c>
      <c r="B152" s="117"/>
      <c r="C152" s="117"/>
      <c r="D152" s="117"/>
      <c r="E152" s="117"/>
      <c r="F152" s="117"/>
      <c r="G152" s="117"/>
      <c r="H152" s="117"/>
      <c r="J152" s="62">
        <v>10.763999999999999</v>
      </c>
    </row>
    <row r="153" spans="1:14" s="36" customFormat="1" x14ac:dyDescent="0.35">
      <c r="A153" s="118" t="s">
        <v>249</v>
      </c>
      <c r="B153" s="118"/>
      <c r="C153" s="118"/>
      <c r="D153" s="118"/>
      <c r="E153" s="118"/>
      <c r="F153" s="118"/>
      <c r="G153" s="118"/>
      <c r="H153" s="118"/>
      <c r="J153" s="35"/>
    </row>
    <row r="154" spans="1:14" s="36" customFormat="1" ht="15.75" customHeight="1" x14ac:dyDescent="0.35">
      <c r="A154" s="114" t="s">
        <v>241</v>
      </c>
      <c r="B154" s="115"/>
      <c r="C154" s="115"/>
      <c r="D154" s="115"/>
      <c r="E154" s="115"/>
      <c r="F154" s="115"/>
      <c r="G154" s="115"/>
      <c r="H154" s="116"/>
      <c r="I154" s="35"/>
    </row>
    <row r="155" spans="1:14" s="36" customFormat="1" ht="15.75" customHeight="1" x14ac:dyDescent="0.35">
      <c r="A155" s="102">
        <v>1</v>
      </c>
      <c r="B155" s="104"/>
      <c r="C155" s="41" t="s">
        <v>198</v>
      </c>
      <c r="D155" s="62">
        <f>(3.05*4.87+2.65*2.05+3.13*2.95+1.5*0.45+1.83*1.22+1.2*1.82+1.73*1)*10.764</f>
        <v>391.17560039999989</v>
      </c>
      <c r="E155" s="41">
        <v>0</v>
      </c>
      <c r="F155" s="41">
        <f>D155*(($F$151)+1)+(IF(E155&lt;101,E155,IF(E155&lt;201,E155/2,IF(E155&lt;=301,E155/3,E155/4))))</f>
        <v>586.76340059999984</v>
      </c>
      <c r="G155" s="87" t="str">
        <f>A154</f>
        <v>2nd to 7th, 9th, 11th, 13th, 15th, 17th, 19th &amp; 21st Floor for Residential</v>
      </c>
      <c r="H155" s="88"/>
      <c r="I155" s="35"/>
    </row>
    <row r="156" spans="1:14" s="36" customFormat="1" ht="15.75" customHeight="1" x14ac:dyDescent="0.35">
      <c r="A156" s="102">
        <f>A155+1</f>
        <v>2</v>
      </c>
      <c r="B156" s="104"/>
      <c r="C156" s="41" t="s">
        <v>198</v>
      </c>
      <c r="D156" s="62">
        <f>(3.05*4.88+2.65*2.05+3.13*2.95+1.48*0.45+1.83*1.22+1.2*1.82+1.73*1)*10.764</f>
        <v>391.40702639999989</v>
      </c>
      <c r="E156" s="41">
        <v>0</v>
      </c>
      <c r="F156" s="41">
        <f>D156*(($F$151)+1)+(IF(E156&lt;101,E156,IF(E156&lt;201,E156/2,IF(E156&lt;=301,E156/3,E156/4))))</f>
        <v>587.11053959999981</v>
      </c>
      <c r="G156" s="89"/>
      <c r="H156" s="90"/>
      <c r="I156" s="35"/>
    </row>
    <row r="157" spans="1:14" s="36" customFormat="1" ht="15.75" customHeight="1" x14ac:dyDescent="0.35">
      <c r="A157" s="102">
        <f t="shared" ref="A157:A163" si="3">A156+1</f>
        <v>3</v>
      </c>
      <c r="B157" s="104"/>
      <c r="C157" s="41" t="s">
        <v>198</v>
      </c>
      <c r="D157" s="62">
        <f>(3.05*4.88+2.65*2.05+3.13*2.95+1.5*0.45+1.83*1.22+1.2*1.82+1.73*1)*10.764</f>
        <v>391.5039023999999</v>
      </c>
      <c r="E157" s="41">
        <v>0</v>
      </c>
      <c r="F157" s="41">
        <f>D157*(($F$151)+1)+(IF(E157&lt;101,E157,IF(E157&lt;201,E157/2,IF(E157&lt;=301,E157/3,E157/4))))</f>
        <v>587.25585359999991</v>
      </c>
      <c r="G157" s="89"/>
      <c r="H157" s="90"/>
      <c r="I157" s="35"/>
    </row>
    <row r="158" spans="1:14" s="36" customFormat="1" ht="15.75" customHeight="1" x14ac:dyDescent="0.35">
      <c r="A158" s="102">
        <f t="shared" si="3"/>
        <v>4</v>
      </c>
      <c r="B158" s="104"/>
      <c r="C158" s="41" t="s">
        <v>198</v>
      </c>
      <c r="D158" s="62">
        <f>(3.05*4.88+2.65*2.05+3.13*2.95+1.5*0.45+1.83*1.22+1.2*1.82+1.73*1)*10.764</f>
        <v>391.5039023999999</v>
      </c>
      <c r="E158" s="41">
        <v>0</v>
      </c>
      <c r="F158" s="41">
        <f>D158*(($F$151)+1)+(IF(E158&lt;101,E158,IF(E158&lt;201,E158/2,IF(E158&lt;=301,E158/3,E158/4))))</f>
        <v>587.25585359999991</v>
      </c>
      <c r="G158" s="89"/>
      <c r="H158" s="90"/>
      <c r="I158" s="35"/>
    </row>
    <row r="159" spans="1:14" s="36" customFormat="1" ht="15.75" customHeight="1" x14ac:dyDescent="0.35">
      <c r="A159" s="102">
        <f t="shared" si="3"/>
        <v>5</v>
      </c>
      <c r="B159" s="104"/>
      <c r="C159" s="41" t="s">
        <v>198</v>
      </c>
      <c r="D159" s="62">
        <f>(3.05*4.88+2.65*2.05+3.13*2.95+1.5*0.45+1.83*1.22+1.2*1.82+1.73*1)*10.764</f>
        <v>391.5039023999999</v>
      </c>
      <c r="E159" s="41">
        <v>0</v>
      </c>
      <c r="F159" s="41">
        <f>D159*(($F$151)+1)+(IF(E159&lt;101,E159,IF(E159&lt;201,E159/2,IF(E159&lt;=301,E159/3,E159/4))))</f>
        <v>587.25585359999991</v>
      </c>
      <c r="G159" s="89"/>
      <c r="H159" s="90"/>
      <c r="I159" s="35"/>
    </row>
    <row r="160" spans="1:14" s="36" customFormat="1" ht="15.75" customHeight="1" x14ac:dyDescent="0.35">
      <c r="A160" s="102">
        <f t="shared" si="3"/>
        <v>6</v>
      </c>
      <c r="B160" s="104"/>
      <c r="C160" s="41" t="s">
        <v>198</v>
      </c>
      <c r="D160" s="62">
        <f>(3.05*4.88+2.65*2.05+3.13*2.95+1.5*0.45+1.83*1.22+1.2*1.82+1.73*1)*10.764</f>
        <v>391.5039023999999</v>
      </c>
      <c r="E160" s="41">
        <v>0</v>
      </c>
      <c r="F160" s="41">
        <f t="shared" ref="F160:F163" si="4">D160*(($F$151)+1)+(IF(E160&lt;101,E160,IF(E160&lt;201,E160/2,IF(E160&lt;=301,E160/3,E160/4))))</f>
        <v>587.25585359999991</v>
      </c>
      <c r="G160" s="89"/>
      <c r="H160" s="90"/>
      <c r="I160" s="35"/>
    </row>
    <row r="161" spans="1:10" s="36" customFormat="1" ht="15.75" customHeight="1" x14ac:dyDescent="0.35">
      <c r="A161" s="102">
        <f t="shared" si="3"/>
        <v>7</v>
      </c>
      <c r="B161" s="104"/>
      <c r="C161" s="41" t="s">
        <v>198</v>
      </c>
      <c r="D161" s="62">
        <f>(3.05*4.88+2.65*2.05+3.13*2.95+1.47*0.45+1.83*1.22+1.2*1.82+1.73*1)*10.764</f>
        <v>391.35858839999992</v>
      </c>
      <c r="E161" s="41">
        <v>0</v>
      </c>
      <c r="F161" s="41">
        <f t="shared" si="4"/>
        <v>587.03788259999988</v>
      </c>
      <c r="G161" s="89"/>
      <c r="H161" s="90"/>
      <c r="I161" s="35"/>
    </row>
    <row r="162" spans="1:10" s="36" customFormat="1" ht="15.75" customHeight="1" x14ac:dyDescent="0.35">
      <c r="A162" s="102">
        <f t="shared" si="3"/>
        <v>8</v>
      </c>
      <c r="B162" s="104"/>
      <c r="C162" s="41" t="s">
        <v>198</v>
      </c>
      <c r="D162" s="62">
        <f>(3.05*4.88+2.65*2.05+3.13*2.95+1.5*0.45+1.83*1.22+1.2*1.82+1.73*1)*10.764</f>
        <v>391.5039023999999</v>
      </c>
      <c r="E162" s="41">
        <v>0</v>
      </c>
      <c r="F162" s="41">
        <f t="shared" si="4"/>
        <v>587.25585359999991</v>
      </c>
      <c r="G162" s="89"/>
      <c r="H162" s="90"/>
      <c r="I162" s="35"/>
    </row>
    <row r="163" spans="1:10" s="36" customFormat="1" ht="15.75" customHeight="1" x14ac:dyDescent="0.35">
      <c r="A163" s="102">
        <f t="shared" si="3"/>
        <v>9</v>
      </c>
      <c r="B163" s="104"/>
      <c r="C163" s="41" t="s">
        <v>198</v>
      </c>
      <c r="D163" s="62">
        <f>(3.05*4.87+2.65*2.05+3.13*2.95+1.5*0.45+1.83*1.22+1.2*1.82+1.73*1)*10.764</f>
        <v>391.17560039999989</v>
      </c>
      <c r="E163" s="41">
        <v>0</v>
      </c>
      <c r="F163" s="41">
        <f t="shared" si="4"/>
        <v>586.76340059999984</v>
      </c>
      <c r="G163" s="91"/>
      <c r="H163" s="92"/>
      <c r="I163" s="35"/>
    </row>
    <row r="164" spans="1:10" s="36" customFormat="1" ht="15.75" customHeight="1" x14ac:dyDescent="0.35">
      <c r="A164" s="114" t="s">
        <v>242</v>
      </c>
      <c r="B164" s="115"/>
      <c r="C164" s="115"/>
      <c r="D164" s="115"/>
      <c r="E164" s="115"/>
      <c r="F164" s="115"/>
      <c r="G164" s="115"/>
      <c r="H164" s="116"/>
      <c r="I164" s="35"/>
    </row>
    <row r="165" spans="1:10" s="36" customFormat="1" ht="15.75" customHeight="1" x14ac:dyDescent="0.35">
      <c r="A165" s="102">
        <v>1</v>
      </c>
      <c r="B165" s="104"/>
      <c r="C165" s="41" t="s">
        <v>198</v>
      </c>
      <c r="D165" s="62">
        <f>(3.05*4.87+2.65*2.05+3.13*2.95+1.5*0.45+1.83*1.22+1.2*1.82+1.73*1)*10.764</f>
        <v>391.17560039999989</v>
      </c>
      <c r="E165" s="41">
        <v>0</v>
      </c>
      <c r="F165" s="41">
        <f>D165*(($F$151)+1)+(IF(E165&lt;101,E165,IF(E165&lt;201,E165/2,IF(E165&lt;=301,E165/3,E165/4))))</f>
        <v>586.76340059999984</v>
      </c>
      <c r="G165" s="87" t="str">
        <f>A164</f>
        <v>8th, 10th, 12th, 14th, 16th, 18th &amp; 20th Floor (Part Refuge Area at Midlanding)</v>
      </c>
      <c r="H165" s="88"/>
      <c r="I165" s="35"/>
    </row>
    <row r="166" spans="1:10" s="36" customFormat="1" ht="15.75" customHeight="1" x14ac:dyDescent="0.35">
      <c r="A166" s="102">
        <f>A165+1</f>
        <v>2</v>
      </c>
      <c r="B166" s="104"/>
      <c r="C166" s="41" t="s">
        <v>198</v>
      </c>
      <c r="D166" s="62">
        <f>(3.05*4.88+2.65*2.05+3.13*2.95+1.48*0.45+1.83*1.22+1.2*1.82+1.73*1)*10.764</f>
        <v>391.40702639999989</v>
      </c>
      <c r="E166" s="41">
        <v>0</v>
      </c>
      <c r="F166" s="41">
        <f>D166*(($F$151)+1)+(IF(E166&lt;101,E166,IF(E166&lt;201,E166/2,IF(E166&lt;=301,E166/3,E166/4))))</f>
        <v>587.11053959999981</v>
      </c>
      <c r="G166" s="89"/>
      <c r="H166" s="90"/>
      <c r="I166" s="35"/>
    </row>
    <row r="167" spans="1:10" s="36" customFormat="1" ht="15.75" customHeight="1" x14ac:dyDescent="0.35">
      <c r="A167" s="102">
        <f t="shared" ref="A167:A173" si="5">A166+1</f>
        <v>3</v>
      </c>
      <c r="B167" s="104"/>
      <c r="C167" s="41" t="s">
        <v>198</v>
      </c>
      <c r="D167" s="62">
        <f>(3.05*4.88+2.65*2.05+3.13*2.95+1.5*0.45+1.83*1.22+1.2*1.82+1.73*1)*10.764</f>
        <v>391.5039023999999</v>
      </c>
      <c r="E167" s="41">
        <v>0</v>
      </c>
      <c r="F167" s="41">
        <f>D167*(($F$151)+1)+(IF(E167&lt;101,E167,IF(E167&lt;201,E167/2,IF(E167&lt;=301,E167/3,E167/4))))</f>
        <v>587.25585359999991</v>
      </c>
      <c r="G167" s="89"/>
      <c r="H167" s="90"/>
      <c r="I167" s="35"/>
    </row>
    <row r="168" spans="1:10" s="36" customFormat="1" ht="15.75" customHeight="1" x14ac:dyDescent="0.35">
      <c r="A168" s="102">
        <f t="shared" si="5"/>
        <v>4</v>
      </c>
      <c r="B168" s="104"/>
      <c r="C168" s="41" t="s">
        <v>198</v>
      </c>
      <c r="D168" s="62">
        <f>(3.05*4.88+2.65*2.05+3.13*2.95+1.5*0.45+1.83*1.22+1.2*1.82+1.73*1)*10.764</f>
        <v>391.5039023999999</v>
      </c>
      <c r="E168" s="41">
        <v>0</v>
      </c>
      <c r="F168" s="41">
        <f>D168*(($F$151)+1)+(IF(E168&lt;101,E168,IF(E168&lt;201,E168/2,IF(E168&lt;=301,E168/3,E168/4))))</f>
        <v>587.25585359999991</v>
      </c>
      <c r="G168" s="89"/>
      <c r="H168" s="90"/>
      <c r="I168" s="35"/>
    </row>
    <row r="169" spans="1:10" s="36" customFormat="1" ht="15.75" customHeight="1" x14ac:dyDescent="0.35">
      <c r="A169" s="102">
        <f t="shared" si="5"/>
        <v>5</v>
      </c>
      <c r="B169" s="104"/>
      <c r="C169" s="41" t="s">
        <v>198</v>
      </c>
      <c r="D169" s="62">
        <f>(3.05*4.88+2.65*2.05+3.13*2.95+1.5*0.45+1.83*1.22+1.2*1.82+1.73*1)*10.764</f>
        <v>391.5039023999999</v>
      </c>
      <c r="E169" s="41">
        <v>0</v>
      </c>
      <c r="F169" s="41">
        <f>D169*(($F$151)+1)+(IF(E169&lt;101,E169,IF(E169&lt;201,E169/2,IF(E169&lt;=301,E169/3,E169/4))))</f>
        <v>587.25585359999991</v>
      </c>
      <c r="G169" s="89"/>
      <c r="H169" s="90"/>
      <c r="I169" s="35"/>
    </row>
    <row r="170" spans="1:10" s="36" customFormat="1" ht="15.75" customHeight="1" x14ac:dyDescent="0.35">
      <c r="A170" s="102">
        <f t="shared" si="5"/>
        <v>6</v>
      </c>
      <c r="B170" s="104"/>
      <c r="C170" s="41" t="s">
        <v>198</v>
      </c>
      <c r="D170" s="62">
        <f>(3.05*4.88+2.65*2.05+3.13*2.95+1.5*0.45+1.83*1.22+1.2*1.82+1.73*1)*10.764</f>
        <v>391.5039023999999</v>
      </c>
      <c r="E170" s="41">
        <v>0</v>
      </c>
      <c r="F170" s="41">
        <f t="shared" ref="F170:F173" si="6">D170*(($F$151)+1)+(IF(E170&lt;101,E170,IF(E170&lt;201,E170/2,IF(E170&lt;=301,E170/3,E170/4))))</f>
        <v>587.25585359999991</v>
      </c>
      <c r="G170" s="89"/>
      <c r="H170" s="90"/>
      <c r="I170" s="35"/>
    </row>
    <row r="171" spans="1:10" s="36" customFormat="1" ht="15.75" customHeight="1" x14ac:dyDescent="0.35">
      <c r="A171" s="102">
        <f t="shared" si="5"/>
        <v>7</v>
      </c>
      <c r="B171" s="104"/>
      <c r="C171" s="41" t="s">
        <v>198</v>
      </c>
      <c r="D171" s="62">
        <f>(3.05*4.88+2.65*2.05+3.13*2.95+1.47*0.45+1.83*1.22+1.2*1.82+1.73*1)*10.764</f>
        <v>391.35858839999992</v>
      </c>
      <c r="E171" s="41">
        <v>0</v>
      </c>
      <c r="F171" s="41">
        <f t="shared" si="6"/>
        <v>587.03788259999988</v>
      </c>
      <c r="G171" s="89"/>
      <c r="H171" s="90"/>
      <c r="I171" s="35"/>
    </row>
    <row r="172" spans="1:10" s="36" customFormat="1" ht="15.75" customHeight="1" x14ac:dyDescent="0.35">
      <c r="A172" s="102">
        <f t="shared" si="5"/>
        <v>8</v>
      </c>
      <c r="B172" s="104"/>
      <c r="C172" s="41" t="s">
        <v>198</v>
      </c>
      <c r="D172" s="62">
        <f>(3.05*4.88+2.65*2.05+3.13*2.95+1.5*0.45+1.83*1.22+1.2*1.82+1.73*1)*10.764</f>
        <v>391.5039023999999</v>
      </c>
      <c r="E172" s="41">
        <v>0</v>
      </c>
      <c r="F172" s="41">
        <f t="shared" si="6"/>
        <v>587.25585359999991</v>
      </c>
      <c r="G172" s="89"/>
      <c r="H172" s="90"/>
      <c r="I172" s="35"/>
    </row>
    <row r="173" spans="1:10" s="36" customFormat="1" ht="15.75" customHeight="1" x14ac:dyDescent="0.35">
      <c r="A173" s="102">
        <f t="shared" si="5"/>
        <v>9</v>
      </c>
      <c r="B173" s="104"/>
      <c r="C173" s="41" t="s">
        <v>198</v>
      </c>
      <c r="D173" s="62">
        <f>(3.05*4.87+2.65*2.05+3.13*2.95+1.5*0.45+1.83*1.22+1.2*1.82+1.73*1)*10.764</f>
        <v>391.17560039999989</v>
      </c>
      <c r="E173" s="41">
        <v>0</v>
      </c>
      <c r="F173" s="41">
        <f t="shared" si="6"/>
        <v>586.76340059999984</v>
      </c>
      <c r="G173" s="91"/>
      <c r="H173" s="92"/>
      <c r="I173" s="35"/>
    </row>
    <row r="174" spans="1:10" s="36" customFormat="1" ht="15.75" customHeight="1" x14ac:dyDescent="0.35">
      <c r="A174" s="114" t="s">
        <v>247</v>
      </c>
      <c r="B174" s="115"/>
      <c r="C174" s="115"/>
      <c r="D174" s="115"/>
      <c r="E174" s="115"/>
      <c r="F174" s="115"/>
      <c r="G174" s="115"/>
      <c r="H174" s="116"/>
      <c r="I174" s="35"/>
    </row>
    <row r="175" spans="1:10" s="36" customFormat="1" x14ac:dyDescent="0.35">
      <c r="A175" s="117" t="s">
        <v>195</v>
      </c>
      <c r="B175" s="117"/>
      <c r="C175" s="117"/>
      <c r="D175" s="117"/>
      <c r="E175" s="117"/>
      <c r="F175" s="117"/>
      <c r="G175" s="117"/>
      <c r="H175" s="117"/>
      <c r="J175" s="35"/>
    </row>
    <row r="176" spans="1:10" s="36" customFormat="1" x14ac:dyDescent="0.35">
      <c r="A176" s="118" t="s">
        <v>196</v>
      </c>
      <c r="B176" s="118"/>
      <c r="C176" s="118"/>
      <c r="D176" s="118"/>
      <c r="E176" s="118"/>
      <c r="F176" s="118"/>
      <c r="G176" s="118"/>
      <c r="H176" s="118"/>
      <c r="J176" s="35"/>
    </row>
    <row r="177" spans="1:14" s="36" customFormat="1" x14ac:dyDescent="0.35">
      <c r="A177" s="114" t="s">
        <v>197</v>
      </c>
      <c r="B177" s="115"/>
      <c r="C177" s="115"/>
      <c r="D177" s="115"/>
      <c r="E177" s="115"/>
      <c r="F177" s="115"/>
      <c r="G177" s="115"/>
      <c r="H177" s="116"/>
      <c r="I177" s="35"/>
      <c r="L177" s="169"/>
      <c r="M177" s="169"/>
    </row>
    <row r="178" spans="1:14" s="36" customFormat="1" ht="15.75" customHeight="1" x14ac:dyDescent="0.35">
      <c r="A178" s="102">
        <v>1</v>
      </c>
      <c r="B178" s="104"/>
      <c r="C178" s="41" t="s">
        <v>198</v>
      </c>
      <c r="D178" s="41">
        <f>(3.47*4.88+2.13*2.05+2.9*3.33+1.25*(1.1+1.35)+1.3*2.1+1.65*0.9+0.3*1)*10.764</f>
        <v>414.78643439999996</v>
      </c>
      <c r="E178" s="41">
        <v>0</v>
      </c>
      <c r="F178" s="41">
        <f t="shared" ref="F178:F179" si="7">D178*(($F$151)+1)+(IF(E178&lt;101,E178,IF(E178&lt;201,E178/2,IF(E178&lt;=301,E178/3,E178/4))))</f>
        <v>622.17965159999994</v>
      </c>
      <c r="G178" s="87" t="str">
        <f>A177</f>
        <v>1st Podium Floor</v>
      </c>
      <c r="H178" s="88"/>
      <c r="I178" s="35">
        <f>3.47*4.88+2.13*2.05+2.9*3.33+1.25*(1.1+1.35)+1.3*2.1+1.65*0.9+0.3*1</f>
        <v>38.534599999999998</v>
      </c>
      <c r="J178" s="35">
        <f>(3.05*3.65+1.72*0.9+1.82*2.98+3.03*3.84+1.35*0.9+0.9*0.8+1.26*1.5+0.89*0.8+1.28*2.05+0.75*0.95+0.64*0.35+0.75*1.5)</f>
        <v>38.961799999999997</v>
      </c>
      <c r="N178" s="35"/>
    </row>
    <row r="179" spans="1:14" s="36" customFormat="1" ht="15.75" customHeight="1" x14ac:dyDescent="0.35">
      <c r="A179" s="102">
        <f>A178+1</f>
        <v>2</v>
      </c>
      <c r="B179" s="104"/>
      <c r="C179" s="41" t="s">
        <v>198</v>
      </c>
      <c r="D179" s="41">
        <f>(3.47*4.88+2.13*2.05+2.9*3.33+1.25*(1.1+1.35)+1.3*2.1+1.65*0.9+0.3*1)*10.764</f>
        <v>414.78643439999996</v>
      </c>
      <c r="E179" s="41">
        <v>0</v>
      </c>
      <c r="F179" s="41">
        <f t="shared" si="7"/>
        <v>622.17965159999994</v>
      </c>
      <c r="G179" s="89"/>
      <c r="H179" s="90"/>
      <c r="I179" s="35"/>
      <c r="K179" s="36">
        <f>13500000/F179</f>
        <v>21697.913079097558</v>
      </c>
      <c r="N179" s="35"/>
    </row>
    <row r="180" spans="1:14" s="36" customFormat="1" ht="15.75" customHeight="1" x14ac:dyDescent="0.35">
      <c r="A180" s="102" t="s">
        <v>219</v>
      </c>
      <c r="B180" s="104"/>
      <c r="C180" s="102" t="s">
        <v>213</v>
      </c>
      <c r="D180" s="103"/>
      <c r="E180" s="103"/>
      <c r="F180" s="104"/>
      <c r="G180" s="89"/>
      <c r="H180" s="90"/>
      <c r="I180" s="35"/>
      <c r="K180" s="36">
        <f>11500000/F182</f>
        <v>18483.407437749771</v>
      </c>
      <c r="N180" s="35"/>
    </row>
    <row r="181" spans="1:14" s="36" customFormat="1" ht="15.75" customHeight="1" x14ac:dyDescent="0.35">
      <c r="A181" s="99">
        <f>A179+3</f>
        <v>5</v>
      </c>
      <c r="B181" s="99"/>
      <c r="C181" s="102" t="s">
        <v>214</v>
      </c>
      <c r="D181" s="103"/>
      <c r="E181" s="103"/>
      <c r="F181" s="104"/>
      <c r="G181" s="89"/>
      <c r="H181" s="90"/>
      <c r="I181" s="35"/>
      <c r="N181" s="35"/>
    </row>
    <row r="182" spans="1:14" s="36" customFormat="1" ht="15.75" customHeight="1" x14ac:dyDescent="0.35">
      <c r="A182" s="99">
        <f>A181+1</f>
        <v>6</v>
      </c>
      <c r="B182" s="99"/>
      <c r="C182" s="41" t="s">
        <v>198</v>
      </c>
      <c r="D182" s="41">
        <f>(3.47*4.88+2.13*2.05+2.9*3.33+1.25*(1.1+1.35)+1.3*2.1+1.65*0.9+0.3*1)*10.764</f>
        <v>414.78643439999996</v>
      </c>
      <c r="E182" s="41">
        <v>0</v>
      </c>
      <c r="F182" s="41">
        <f>D182*(($F$151)+1)+(IF(E182&lt;101,E182,IF(E182&lt;201,E182/2,IF(E182&lt;=301,E182/3,E182/4))))</f>
        <v>622.17965159999994</v>
      </c>
      <c r="G182" s="89"/>
      <c r="H182" s="90"/>
      <c r="I182" s="35"/>
      <c r="N182" s="35"/>
    </row>
    <row r="183" spans="1:14" s="36" customFormat="1" ht="15.75" customHeight="1" x14ac:dyDescent="0.35">
      <c r="A183" s="102">
        <f>A182+1</f>
        <v>7</v>
      </c>
      <c r="B183" s="104"/>
      <c r="C183" s="102" t="s">
        <v>215</v>
      </c>
      <c r="D183" s="103"/>
      <c r="E183" s="103"/>
      <c r="F183" s="104"/>
      <c r="G183" s="91"/>
      <c r="H183" s="92"/>
      <c r="I183" s="35"/>
      <c r="J183" s="58" t="s">
        <v>218</v>
      </c>
      <c r="N183" s="35"/>
    </row>
    <row r="184" spans="1:14" s="36" customFormat="1" x14ac:dyDescent="0.35">
      <c r="A184" s="186" t="s">
        <v>199</v>
      </c>
      <c r="B184" s="187"/>
      <c r="C184" s="187"/>
      <c r="D184" s="187"/>
      <c r="E184" s="187"/>
      <c r="F184" s="187"/>
      <c r="G184" s="187"/>
      <c r="H184" s="188"/>
      <c r="J184" s="35"/>
      <c r="K184" s="58" t="s">
        <v>217</v>
      </c>
    </row>
    <row r="185" spans="1:14" s="36" customFormat="1" x14ac:dyDescent="0.35">
      <c r="A185" s="114" t="s">
        <v>196</v>
      </c>
      <c r="B185" s="115"/>
      <c r="C185" s="115"/>
      <c r="D185" s="115"/>
      <c r="E185" s="115"/>
      <c r="F185" s="115"/>
      <c r="G185" s="115"/>
      <c r="H185" s="116"/>
      <c r="I185" s="36">
        <v>1</v>
      </c>
      <c r="J185" s="35"/>
    </row>
    <row r="186" spans="1:14" s="36" customFormat="1" x14ac:dyDescent="0.35">
      <c r="A186" s="114" t="s">
        <v>197</v>
      </c>
      <c r="B186" s="115"/>
      <c r="C186" s="115"/>
      <c r="D186" s="115"/>
      <c r="E186" s="115"/>
      <c r="F186" s="115"/>
      <c r="G186" s="115"/>
      <c r="H186" s="116"/>
      <c r="I186" s="35">
        <f>(1.58*2.25+1.73*1.55+0.87*0.76+0.55*1.36+2.6*2.85)</f>
        <v>15.055700000000002</v>
      </c>
      <c r="L186" s="169"/>
      <c r="M186" s="169"/>
    </row>
    <row r="187" spans="1:14" s="36" customFormat="1" ht="15.75" customHeight="1" x14ac:dyDescent="0.35">
      <c r="A187" s="102">
        <v>1</v>
      </c>
      <c r="B187" s="104"/>
      <c r="C187" s="41" t="s">
        <v>220</v>
      </c>
      <c r="D187" s="41">
        <f t="shared" ref="D187" si="8">(1.56*2.25+0.87*0.65+2.6*2.85+0.55*1.35+1.73*1.55+2.06*0.15)*10.764</f>
        <v>163.81193399999998</v>
      </c>
      <c r="E187" s="41">
        <v>0</v>
      </c>
      <c r="F187" s="41">
        <f t="shared" ref="F187:F188" si="9">D187*(($F$151)+1)+(IF(E187&lt;101,E187,IF(E187&lt;201,E187/2,IF(E187&lt;=301,E187/3,E187/4))))</f>
        <v>245.71790099999998</v>
      </c>
      <c r="G187" s="87" t="str">
        <f>A186</f>
        <v>1st Podium Floor</v>
      </c>
      <c r="H187" s="88"/>
      <c r="I187" s="35">
        <f>1.56*2.25+0.87*0.65+2.6*2.85+0.55*1.35+1.73*1.55+2.06*0.15</f>
        <v>15.218499999999999</v>
      </c>
      <c r="J187" s="36">
        <f>29000/1.6</f>
        <v>18125</v>
      </c>
      <c r="K187" s="36">
        <f>26000/1.6</f>
        <v>16250</v>
      </c>
      <c r="N187" s="35"/>
    </row>
    <row r="188" spans="1:14" s="36" customFormat="1" ht="15.75" customHeight="1" x14ac:dyDescent="0.35">
      <c r="A188" s="102">
        <f>A187+1</f>
        <v>2</v>
      </c>
      <c r="B188" s="104"/>
      <c r="C188" s="41" t="s">
        <v>220</v>
      </c>
      <c r="D188" s="41">
        <f t="shared" ref="D188" si="10">(1.56*2.25+0.87*0.65+2.6*2.85+0.55*1.35+1.73*1.55+2.06*0.15)*10.764</f>
        <v>163.81193399999998</v>
      </c>
      <c r="E188" s="41">
        <v>0</v>
      </c>
      <c r="F188" s="41">
        <f t="shared" si="9"/>
        <v>245.71790099999998</v>
      </c>
      <c r="G188" s="89"/>
      <c r="H188" s="90"/>
      <c r="I188" s="35"/>
      <c r="J188" s="36">
        <f>12900000/F179</f>
        <v>20733.561386693222</v>
      </c>
      <c r="M188" s="57" t="s">
        <v>216</v>
      </c>
      <c r="N188" s="35"/>
    </row>
    <row r="189" spans="1:14" s="36" customFormat="1" ht="15.75" customHeight="1" x14ac:dyDescent="0.35">
      <c r="A189" s="99">
        <v>3</v>
      </c>
      <c r="B189" s="99"/>
      <c r="C189" s="41" t="s">
        <v>220</v>
      </c>
      <c r="D189" s="41">
        <f t="shared" ref="D189" si="11">(1.56*2.25+0.87*0.65+2.6*2.85+0.55*1.35+1.73*1.55+2.06*0.15)*10.764</f>
        <v>163.81193399999998</v>
      </c>
      <c r="E189" s="41">
        <v>0</v>
      </c>
      <c r="F189" s="41">
        <f>D189*(($F$151)+1)+(IF(E189&lt;101,E189,IF(E189&lt;201,E189/2,IF(E189&lt;=301,E189/3,E189/4))))</f>
        <v>245.71790099999998</v>
      </c>
      <c r="G189" s="89"/>
      <c r="H189" s="90"/>
      <c r="I189" s="35"/>
      <c r="N189" s="35"/>
    </row>
    <row r="190" spans="1:14" s="36" customFormat="1" ht="15.75" customHeight="1" x14ac:dyDescent="0.35">
      <c r="A190" s="102">
        <f>A189+1</f>
        <v>4</v>
      </c>
      <c r="B190" s="104"/>
      <c r="C190" s="41" t="s">
        <v>220</v>
      </c>
      <c r="D190" s="41">
        <f t="shared" ref="D190" si="12">(1.56*2.25+0.87*0.65+2.6*2.85+0.55*1.35+1.73*1.55+2.06*0.15)*10.764</f>
        <v>163.81193399999998</v>
      </c>
      <c r="E190" s="41">
        <v>0</v>
      </c>
      <c r="F190" s="41">
        <f>D190*(($F$151)+1)+(IF(E190&lt;101,E190,IF(E190&lt;201,E190/2,IF(E190&lt;=301,E190/3,E190/4))))</f>
        <v>245.71790099999998</v>
      </c>
      <c r="G190" s="89"/>
      <c r="H190" s="90"/>
      <c r="I190" s="35"/>
      <c r="N190" s="35"/>
    </row>
    <row r="191" spans="1:14" s="36" customFormat="1" ht="15.75" customHeight="1" x14ac:dyDescent="0.35">
      <c r="A191" s="102">
        <f>A190+1</f>
        <v>5</v>
      </c>
      <c r="B191" s="104"/>
      <c r="C191" s="87" t="s">
        <v>221</v>
      </c>
      <c r="D191" s="100"/>
      <c r="E191" s="100"/>
      <c r="F191" s="88"/>
      <c r="G191" s="89"/>
      <c r="H191" s="90"/>
      <c r="I191" s="35"/>
      <c r="N191" s="35"/>
    </row>
    <row r="192" spans="1:14" s="36" customFormat="1" ht="15.75" customHeight="1" x14ac:dyDescent="0.35">
      <c r="A192" s="102">
        <f t="shared" ref="A192:A193" si="13">A191+1</f>
        <v>6</v>
      </c>
      <c r="B192" s="104"/>
      <c r="C192" s="91"/>
      <c r="D192" s="101"/>
      <c r="E192" s="101"/>
      <c r="F192" s="92"/>
      <c r="G192" s="89"/>
      <c r="H192" s="90"/>
      <c r="I192" s="35"/>
      <c r="N192" s="35"/>
    </row>
    <row r="193" spans="1:14" s="36" customFormat="1" ht="15.75" customHeight="1" x14ac:dyDescent="0.35">
      <c r="A193" s="102">
        <f t="shared" si="13"/>
        <v>7</v>
      </c>
      <c r="B193" s="104"/>
      <c r="C193" s="41" t="s">
        <v>220</v>
      </c>
      <c r="D193" s="41">
        <f t="shared" ref="D193:D194" si="14">(1.56*2.25+0.87*0.65+2.6*2.85+0.55*1.35+1.73*1.55+2.06*0.15)*10.764</f>
        <v>163.81193399999998</v>
      </c>
      <c r="E193" s="41">
        <v>0</v>
      </c>
      <c r="F193" s="41">
        <f>D193*(($F$151)+1)+(IF(E193&lt;101,E193,IF(E193&lt;201,E193/2,IF(E193&lt;=301,E193/3,E193/4))))</f>
        <v>245.71790099999998</v>
      </c>
      <c r="G193" s="89"/>
      <c r="H193" s="90"/>
      <c r="I193" s="35"/>
      <c r="N193" s="35"/>
    </row>
    <row r="194" spans="1:14" s="36" customFormat="1" ht="15.75" customHeight="1" x14ac:dyDescent="0.35">
      <c r="A194" s="102">
        <f>A193+1</f>
        <v>8</v>
      </c>
      <c r="B194" s="104"/>
      <c r="C194" s="41" t="s">
        <v>220</v>
      </c>
      <c r="D194" s="41">
        <f t="shared" si="14"/>
        <v>163.81193399999998</v>
      </c>
      <c r="E194" s="41">
        <v>0</v>
      </c>
      <c r="F194" s="41">
        <f>D194*(($F$151)+1)+(IF(E194&lt;101,E194,IF(E194&lt;201,E194/2,IF(E194&lt;=301,E194/3,E194/4))))</f>
        <v>245.71790099999998</v>
      </c>
      <c r="G194" s="89"/>
      <c r="H194" s="90"/>
      <c r="I194" s="35"/>
      <c r="N194" s="35"/>
    </row>
    <row r="195" spans="1:14" s="36" customFormat="1" ht="15.75" customHeight="1" x14ac:dyDescent="0.35">
      <c r="A195" s="102">
        <f>A194+1</f>
        <v>9</v>
      </c>
      <c r="B195" s="104"/>
      <c r="C195" s="102" t="s">
        <v>215</v>
      </c>
      <c r="D195" s="103"/>
      <c r="E195" s="103"/>
      <c r="F195" s="104"/>
      <c r="G195" s="89"/>
      <c r="H195" s="90"/>
      <c r="I195" s="35"/>
      <c r="N195" s="35"/>
    </row>
    <row r="196" spans="1:14" s="36" customFormat="1" ht="15.75" customHeight="1" x14ac:dyDescent="0.35">
      <c r="A196" s="102">
        <f t="shared" ref="A196:A197" si="15">A195+1</f>
        <v>10</v>
      </c>
      <c r="B196" s="104"/>
      <c r="C196" s="102" t="s">
        <v>215</v>
      </c>
      <c r="D196" s="103"/>
      <c r="E196" s="103"/>
      <c r="F196" s="104"/>
      <c r="G196" s="89"/>
      <c r="H196" s="90"/>
      <c r="I196" s="35"/>
      <c r="N196" s="35"/>
    </row>
    <row r="197" spans="1:14" s="36" customFormat="1" ht="15.75" customHeight="1" x14ac:dyDescent="0.35">
      <c r="A197" s="102">
        <f t="shared" si="15"/>
        <v>11</v>
      </c>
      <c r="B197" s="104"/>
      <c r="C197" s="41" t="s">
        <v>220</v>
      </c>
      <c r="D197" s="41">
        <f t="shared" ref="D197:D199" si="16">(1.56*2.25+0.87*0.65+2.6*2.85+0.55*1.35+1.73*1.55+2.06*0.15)*10.764</f>
        <v>163.81193399999998</v>
      </c>
      <c r="E197" s="41">
        <v>0</v>
      </c>
      <c r="F197" s="41">
        <f>D197*(($F$151)+1)+(IF(E197&lt;101,E197,IF(E197&lt;201,E197/2,IF(E197&lt;=301,E197/3,E197/4))))</f>
        <v>245.71790099999998</v>
      </c>
      <c r="G197" s="89"/>
      <c r="H197" s="90"/>
      <c r="I197" s="35"/>
      <c r="N197" s="35"/>
    </row>
    <row r="198" spans="1:14" s="36" customFormat="1" ht="15.75" customHeight="1" x14ac:dyDescent="0.35">
      <c r="A198" s="102">
        <f>A197+1</f>
        <v>12</v>
      </c>
      <c r="B198" s="104"/>
      <c r="C198" s="41" t="s">
        <v>220</v>
      </c>
      <c r="D198" s="41">
        <f t="shared" si="16"/>
        <v>163.81193399999998</v>
      </c>
      <c r="E198" s="41">
        <v>0</v>
      </c>
      <c r="F198" s="41">
        <f t="shared" ref="F198" si="17">D198*(($F$151)+1)+(IF(E198&lt;101,E198,IF(E198&lt;201,E198/2,IF(E198&lt;=301,E198/3,E198/4))))</f>
        <v>245.71790099999998</v>
      </c>
      <c r="G198" s="89"/>
      <c r="H198" s="90"/>
      <c r="I198" s="35"/>
      <c r="N198" s="35"/>
    </row>
    <row r="199" spans="1:14" s="36" customFormat="1" ht="15.75" customHeight="1" x14ac:dyDescent="0.35">
      <c r="A199" s="102">
        <f t="shared" ref="A199:A200" si="18">A198+1</f>
        <v>13</v>
      </c>
      <c r="B199" s="104"/>
      <c r="C199" s="41" t="s">
        <v>220</v>
      </c>
      <c r="D199" s="41">
        <f t="shared" si="16"/>
        <v>163.81193399999998</v>
      </c>
      <c r="E199" s="41">
        <v>0</v>
      </c>
      <c r="F199" s="41">
        <f>D199*(($F$151)+1)+(IF(E199&lt;101,E199,IF(E199&lt;201,E199/2,IF(E199&lt;=301,E199/3,E199/4))))</f>
        <v>245.71790099999998</v>
      </c>
      <c r="G199" s="89"/>
      <c r="H199" s="90"/>
      <c r="I199" s="35"/>
      <c r="N199" s="35"/>
    </row>
    <row r="200" spans="1:14" s="36" customFormat="1" ht="15.75" customHeight="1" x14ac:dyDescent="0.35">
      <c r="A200" s="102">
        <f t="shared" si="18"/>
        <v>14</v>
      </c>
      <c r="B200" s="104"/>
      <c r="C200" s="41" t="s">
        <v>220</v>
      </c>
      <c r="D200" s="41">
        <f>(1.56*2.25+0.87*0.65+2.6*2.85+0.55*1.35+1.73*1.55+2.06*0.15)*10.764</f>
        <v>163.81193399999998</v>
      </c>
      <c r="E200" s="41">
        <v>0</v>
      </c>
      <c r="F200" s="41">
        <f>D200*(($F$151)+1)+(IF(E200&lt;101,E200,IF(E200&lt;201,E200/2,IF(E200&lt;=301,E200/3,E200/4))))</f>
        <v>245.71790099999998</v>
      </c>
      <c r="G200" s="89"/>
      <c r="H200" s="90"/>
      <c r="I200" s="35"/>
      <c r="N200" s="35"/>
    </row>
    <row r="201" spans="1:14" s="36" customFormat="1" ht="15.75" customHeight="1" x14ac:dyDescent="0.35">
      <c r="A201" s="114" t="s">
        <v>223</v>
      </c>
      <c r="B201" s="115"/>
      <c r="C201" s="115"/>
      <c r="D201" s="115"/>
      <c r="E201" s="115"/>
      <c r="F201" s="115"/>
      <c r="G201" s="115"/>
      <c r="H201" s="116"/>
      <c r="I201" s="35">
        <v>1</v>
      </c>
    </row>
    <row r="202" spans="1:14" s="36" customFormat="1" ht="15.75" customHeight="1" x14ac:dyDescent="0.35">
      <c r="A202" s="102">
        <v>1</v>
      </c>
      <c r="B202" s="104"/>
      <c r="C202" s="41" t="s">
        <v>220</v>
      </c>
      <c r="D202" s="41">
        <f t="shared" ref="D202:D215" si="19">(1.56*2.25+0.87*0.65+2.6*2.85+0.55*1.35+1.73*1.55+2.06*0.15)*10.764</f>
        <v>163.81193399999998</v>
      </c>
      <c r="E202" s="41">
        <v>0</v>
      </c>
      <c r="F202" s="41">
        <f>D202*(($F$151)+1)+(IF(E202&lt;101,E202,IF(E202&lt;201,E202/2,IF(E202&lt;=301,E202/3,E202/4))))</f>
        <v>245.71790099999998</v>
      </c>
      <c r="G202" s="87" t="str">
        <f>A201</f>
        <v>2nd Floor</v>
      </c>
      <c r="H202" s="88"/>
      <c r="I202" s="35"/>
    </row>
    <row r="203" spans="1:14" s="36" customFormat="1" ht="15.75" customHeight="1" x14ac:dyDescent="0.35">
      <c r="A203" s="102">
        <f>A202+1</f>
        <v>2</v>
      </c>
      <c r="B203" s="104"/>
      <c r="C203" s="41" t="s">
        <v>220</v>
      </c>
      <c r="D203" s="41">
        <f t="shared" si="19"/>
        <v>163.81193399999998</v>
      </c>
      <c r="E203" s="41">
        <v>0</v>
      </c>
      <c r="F203" s="41">
        <f>D203*(($F$151)+1)+(IF(E203&lt;101,E203,IF(E203&lt;201,E203/2,IF(E203&lt;=301,E203/3,E203/4))))</f>
        <v>245.71790099999998</v>
      </c>
      <c r="G203" s="89"/>
      <c r="H203" s="90"/>
      <c r="I203" s="35"/>
    </row>
    <row r="204" spans="1:14" s="36" customFormat="1" ht="15.75" customHeight="1" x14ac:dyDescent="0.35">
      <c r="A204" s="102">
        <f t="shared" ref="A204:A206" si="20">A203+1</f>
        <v>3</v>
      </c>
      <c r="B204" s="104"/>
      <c r="C204" s="41" t="s">
        <v>220</v>
      </c>
      <c r="D204" s="41">
        <f t="shared" si="19"/>
        <v>163.81193399999998</v>
      </c>
      <c r="E204" s="41">
        <v>0</v>
      </c>
      <c r="F204" s="41">
        <f>D204*(($F$151)+1)+(IF(E204&lt;101,E204,IF(E204&lt;201,E204/2,IF(E204&lt;=301,E204/3,E204/4))))</f>
        <v>245.71790099999998</v>
      </c>
      <c r="G204" s="89"/>
      <c r="H204" s="90"/>
      <c r="I204" s="35"/>
    </row>
    <row r="205" spans="1:14" s="36" customFormat="1" ht="15.75" customHeight="1" x14ac:dyDescent="0.35">
      <c r="A205" s="102">
        <f t="shared" si="20"/>
        <v>4</v>
      </c>
      <c r="B205" s="104"/>
      <c r="C205" s="41" t="s">
        <v>220</v>
      </c>
      <c r="D205" s="41">
        <f t="shared" si="19"/>
        <v>163.81193399999998</v>
      </c>
      <c r="E205" s="41">
        <v>0</v>
      </c>
      <c r="F205" s="41">
        <f>D205*(($F$151)+1)+(IF(E205&lt;101,E205,IF(E205&lt;201,E205/2,IF(E205&lt;=301,E205/3,E205/4))))</f>
        <v>245.71790099999998</v>
      </c>
      <c r="G205" s="89"/>
      <c r="H205" s="90"/>
      <c r="I205" s="35"/>
    </row>
    <row r="206" spans="1:14" s="36" customFormat="1" ht="15.75" customHeight="1" x14ac:dyDescent="0.35">
      <c r="A206" s="102">
        <f t="shared" si="20"/>
        <v>5</v>
      </c>
      <c r="B206" s="104"/>
      <c r="C206" s="41" t="s">
        <v>220</v>
      </c>
      <c r="D206" s="41">
        <f t="shared" si="19"/>
        <v>163.81193399999998</v>
      </c>
      <c r="E206" s="41">
        <v>0</v>
      </c>
      <c r="F206" s="41">
        <f>D206*(($F$151)+1)+(IF(E206&lt;101,E206,IF(E206&lt;201,E206/2,IF(E206&lt;=301,E206/3,E206/4))))</f>
        <v>245.71790099999998</v>
      </c>
      <c r="G206" s="89"/>
      <c r="H206" s="90"/>
      <c r="I206" s="35"/>
    </row>
    <row r="207" spans="1:14" s="36" customFormat="1" ht="15.75" customHeight="1" x14ac:dyDescent="0.35">
      <c r="A207" s="102">
        <f t="shared" ref="A207:A213" si="21">A206+1</f>
        <v>6</v>
      </c>
      <c r="B207" s="104"/>
      <c r="C207" s="41" t="s">
        <v>220</v>
      </c>
      <c r="D207" s="41">
        <f t="shared" si="19"/>
        <v>163.81193399999998</v>
      </c>
      <c r="E207" s="41">
        <v>0</v>
      </c>
      <c r="F207" s="41">
        <f t="shared" ref="F207:F213" si="22">D207*(($F$151)+1)+(IF(E207&lt;101,E207,IF(E207&lt;201,E207/2,IF(E207&lt;=301,E207/3,E207/4))))</f>
        <v>245.71790099999998</v>
      </c>
      <c r="G207" s="89"/>
      <c r="H207" s="90"/>
      <c r="I207" s="35"/>
    </row>
    <row r="208" spans="1:14" s="36" customFormat="1" ht="15.75" customHeight="1" x14ac:dyDescent="0.35">
      <c r="A208" s="102">
        <f t="shared" si="21"/>
        <v>7</v>
      </c>
      <c r="B208" s="104"/>
      <c r="C208" s="41" t="s">
        <v>220</v>
      </c>
      <c r="D208" s="41">
        <f t="shared" si="19"/>
        <v>163.81193399999998</v>
      </c>
      <c r="E208" s="41">
        <v>0</v>
      </c>
      <c r="F208" s="41">
        <f t="shared" si="22"/>
        <v>245.71790099999998</v>
      </c>
      <c r="G208" s="89"/>
      <c r="H208" s="90"/>
      <c r="I208" s="35"/>
    </row>
    <row r="209" spans="1:9" s="36" customFormat="1" ht="15.75" customHeight="1" x14ac:dyDescent="0.35">
      <c r="A209" s="102">
        <f t="shared" si="21"/>
        <v>8</v>
      </c>
      <c r="B209" s="104"/>
      <c r="C209" s="41" t="s">
        <v>220</v>
      </c>
      <c r="D209" s="41">
        <f t="shared" si="19"/>
        <v>163.81193399999998</v>
      </c>
      <c r="E209" s="41">
        <v>0</v>
      </c>
      <c r="F209" s="41">
        <f t="shared" si="22"/>
        <v>245.71790099999998</v>
      </c>
      <c r="G209" s="89"/>
      <c r="H209" s="90"/>
      <c r="I209" s="35"/>
    </row>
    <row r="210" spans="1:9" s="36" customFormat="1" ht="15.75" customHeight="1" x14ac:dyDescent="0.35">
      <c r="A210" s="102">
        <f t="shared" si="21"/>
        <v>9</v>
      </c>
      <c r="B210" s="104"/>
      <c r="C210" s="41" t="s">
        <v>220</v>
      </c>
      <c r="D210" s="41">
        <f t="shared" si="19"/>
        <v>163.81193399999998</v>
      </c>
      <c r="E210" s="41">
        <v>0</v>
      </c>
      <c r="F210" s="41">
        <f t="shared" si="22"/>
        <v>245.71790099999998</v>
      </c>
      <c r="G210" s="89"/>
      <c r="H210" s="90"/>
      <c r="I210" s="35"/>
    </row>
    <row r="211" spans="1:9" s="36" customFormat="1" ht="15.75" customHeight="1" x14ac:dyDescent="0.35">
      <c r="A211" s="102">
        <f t="shared" si="21"/>
        <v>10</v>
      </c>
      <c r="B211" s="104"/>
      <c r="C211" s="41" t="s">
        <v>220</v>
      </c>
      <c r="D211" s="41">
        <f t="shared" si="19"/>
        <v>163.81193399999998</v>
      </c>
      <c r="E211" s="41">
        <v>0</v>
      </c>
      <c r="F211" s="41">
        <f t="shared" si="22"/>
        <v>245.71790099999998</v>
      </c>
      <c r="G211" s="89"/>
      <c r="H211" s="90"/>
      <c r="I211" s="35"/>
    </row>
    <row r="212" spans="1:9" s="36" customFormat="1" ht="15.75" customHeight="1" x14ac:dyDescent="0.35">
      <c r="A212" s="102">
        <f t="shared" si="21"/>
        <v>11</v>
      </c>
      <c r="B212" s="104"/>
      <c r="C212" s="41" t="s">
        <v>220</v>
      </c>
      <c r="D212" s="41">
        <f t="shared" si="19"/>
        <v>163.81193399999998</v>
      </c>
      <c r="E212" s="41">
        <v>0</v>
      </c>
      <c r="F212" s="41">
        <f t="shared" si="22"/>
        <v>245.71790099999998</v>
      </c>
      <c r="G212" s="89"/>
      <c r="H212" s="90"/>
      <c r="I212" s="35"/>
    </row>
    <row r="213" spans="1:9" s="36" customFormat="1" ht="15.75" customHeight="1" x14ac:dyDescent="0.35">
      <c r="A213" s="102">
        <f t="shared" si="21"/>
        <v>12</v>
      </c>
      <c r="B213" s="104"/>
      <c r="C213" s="41" t="s">
        <v>220</v>
      </c>
      <c r="D213" s="41">
        <f t="shared" si="19"/>
        <v>163.81193399999998</v>
      </c>
      <c r="E213" s="41">
        <v>0</v>
      </c>
      <c r="F213" s="41">
        <f t="shared" si="22"/>
        <v>245.71790099999998</v>
      </c>
      <c r="G213" s="89"/>
      <c r="H213" s="90"/>
      <c r="I213" s="35"/>
    </row>
    <row r="214" spans="1:9" s="36" customFormat="1" ht="15.75" customHeight="1" x14ac:dyDescent="0.35">
      <c r="A214" s="102">
        <f t="shared" ref="A214:A215" si="23">A213+1</f>
        <v>13</v>
      </c>
      <c r="B214" s="104"/>
      <c r="C214" s="41" t="s">
        <v>220</v>
      </c>
      <c r="D214" s="41">
        <f t="shared" si="19"/>
        <v>163.81193399999998</v>
      </c>
      <c r="E214" s="41">
        <v>0</v>
      </c>
      <c r="F214" s="41">
        <f t="shared" ref="F214:F215" si="24">D214*(($F$151)+1)+(IF(E214&lt;101,E214,IF(E214&lt;201,E214/2,IF(E214&lt;=301,E214/3,E214/4))))</f>
        <v>245.71790099999998</v>
      </c>
      <c r="G214" s="89"/>
      <c r="H214" s="90"/>
      <c r="I214" s="35"/>
    </row>
    <row r="215" spans="1:9" s="36" customFormat="1" ht="15.75" customHeight="1" x14ac:dyDescent="0.35">
      <c r="A215" s="102">
        <f t="shared" si="23"/>
        <v>14</v>
      </c>
      <c r="B215" s="104"/>
      <c r="C215" s="41" t="s">
        <v>220</v>
      </c>
      <c r="D215" s="41">
        <f t="shared" si="19"/>
        <v>163.81193399999998</v>
      </c>
      <c r="E215" s="41">
        <v>0</v>
      </c>
      <c r="F215" s="41">
        <f t="shared" si="24"/>
        <v>245.71790099999998</v>
      </c>
      <c r="G215" s="91"/>
      <c r="H215" s="92"/>
      <c r="I215" s="35"/>
    </row>
    <row r="216" spans="1:9" s="36" customFormat="1" ht="15.75" customHeight="1" x14ac:dyDescent="0.35">
      <c r="A216" s="114" t="s">
        <v>224</v>
      </c>
      <c r="B216" s="115"/>
      <c r="C216" s="115"/>
      <c r="D216" s="115"/>
      <c r="E216" s="115"/>
      <c r="F216" s="115"/>
      <c r="G216" s="115"/>
      <c r="H216" s="116"/>
      <c r="I216" s="35">
        <f>5+6+7</f>
        <v>18</v>
      </c>
    </row>
    <row r="217" spans="1:9" s="36" customFormat="1" ht="15.75" customHeight="1" x14ac:dyDescent="0.35">
      <c r="A217" s="102">
        <v>1</v>
      </c>
      <c r="B217" s="104"/>
      <c r="C217" s="41" t="s">
        <v>220</v>
      </c>
      <c r="D217" s="41">
        <f>(1.56*2.25+0.87*0.65+2.6*2.85+0.55*1.35+1.73*1.55+2.06*0.15+1.5*0.92)*10.764</f>
        <v>178.66625399999995</v>
      </c>
      <c r="E217" s="41">
        <v>0</v>
      </c>
      <c r="F217" s="41">
        <f>D217*(($F$151)+1)+(IF(E217&lt;101,E217,IF(E217&lt;201,E217/2,IF(E217&lt;=301,E217/3,E217/4))))</f>
        <v>267.99938099999991</v>
      </c>
      <c r="G217" s="87" t="str">
        <f>A216</f>
        <v>3rd to 7th, 9th to 14th &amp; 16th to 22nd Floor</v>
      </c>
      <c r="H217" s="88"/>
      <c r="I217" s="35"/>
    </row>
    <row r="218" spans="1:9" s="36" customFormat="1" ht="15.75" customHeight="1" x14ac:dyDescent="0.35">
      <c r="A218" s="102">
        <f>A217+1</f>
        <v>2</v>
      </c>
      <c r="B218" s="104"/>
      <c r="C218" s="41" t="s">
        <v>220</v>
      </c>
      <c r="D218" s="41">
        <f t="shared" ref="D218:D230" si="25">(1.56*2.25+0.87*0.65+2.6*2.85+0.55*1.35+1.73*1.55+2.06*0.15+1.5*0.92)*10.764</f>
        <v>178.66625399999995</v>
      </c>
      <c r="E218" s="41">
        <v>0</v>
      </c>
      <c r="F218" s="41">
        <f>D218*(($F$151)+1)+(IF(E218&lt;101,E218,IF(E218&lt;201,E218/2,IF(E218&lt;=301,E218/3,E218/4))))</f>
        <v>267.99938099999991</v>
      </c>
      <c r="G218" s="89"/>
      <c r="H218" s="90"/>
      <c r="I218" s="35"/>
    </row>
    <row r="219" spans="1:9" s="36" customFormat="1" ht="15.75" customHeight="1" x14ac:dyDescent="0.35">
      <c r="A219" s="102">
        <f t="shared" ref="A219:A221" si="26">A218+1</f>
        <v>3</v>
      </c>
      <c r="B219" s="104"/>
      <c r="C219" s="41" t="s">
        <v>220</v>
      </c>
      <c r="D219" s="41">
        <f t="shared" si="25"/>
        <v>178.66625399999995</v>
      </c>
      <c r="E219" s="41">
        <v>0</v>
      </c>
      <c r="F219" s="41">
        <f>D219*(($F$151)+1)+(IF(E219&lt;101,E219,IF(E219&lt;201,E219/2,IF(E219&lt;=301,E219/3,E219/4))))</f>
        <v>267.99938099999991</v>
      </c>
      <c r="G219" s="89"/>
      <c r="H219" s="90"/>
      <c r="I219" s="35"/>
    </row>
    <row r="220" spans="1:9" s="36" customFormat="1" ht="15.75" customHeight="1" x14ac:dyDescent="0.35">
      <c r="A220" s="102">
        <f t="shared" si="26"/>
        <v>4</v>
      </c>
      <c r="B220" s="104"/>
      <c r="C220" s="41" t="s">
        <v>220</v>
      </c>
      <c r="D220" s="41">
        <f t="shared" si="25"/>
        <v>178.66625399999995</v>
      </c>
      <c r="E220" s="41">
        <v>0</v>
      </c>
      <c r="F220" s="41">
        <f>D220*(($F$151)+1)+(IF(E220&lt;101,E220,IF(E220&lt;201,E220/2,IF(E220&lt;=301,E220/3,E220/4))))</f>
        <v>267.99938099999991</v>
      </c>
      <c r="G220" s="89"/>
      <c r="H220" s="90"/>
      <c r="I220" s="35"/>
    </row>
    <row r="221" spans="1:9" s="36" customFormat="1" ht="15.75" customHeight="1" x14ac:dyDescent="0.35">
      <c r="A221" s="102">
        <f t="shared" si="26"/>
        <v>5</v>
      </c>
      <c r="B221" s="104"/>
      <c r="C221" s="41" t="s">
        <v>220</v>
      </c>
      <c r="D221" s="41">
        <f t="shared" si="25"/>
        <v>178.66625399999995</v>
      </c>
      <c r="E221" s="41">
        <v>0</v>
      </c>
      <c r="F221" s="41">
        <f>D221*(($F$151)+1)+(IF(E221&lt;101,E221,IF(E221&lt;201,E221/2,IF(E221&lt;=301,E221/3,E221/4))))</f>
        <v>267.99938099999991</v>
      </c>
      <c r="G221" s="89"/>
      <c r="H221" s="90"/>
      <c r="I221" s="35"/>
    </row>
    <row r="222" spans="1:9" s="36" customFormat="1" ht="15.75" customHeight="1" x14ac:dyDescent="0.35">
      <c r="A222" s="102">
        <f t="shared" ref="A222:A229" si="27">A221+1</f>
        <v>6</v>
      </c>
      <c r="B222" s="104"/>
      <c r="C222" s="41" t="s">
        <v>220</v>
      </c>
      <c r="D222" s="41">
        <f t="shared" si="25"/>
        <v>178.66625399999995</v>
      </c>
      <c r="E222" s="41">
        <v>0</v>
      </c>
      <c r="F222" s="41">
        <f t="shared" ref="F222:F229" si="28">D222*(($F$151)+1)+(IF(E222&lt;101,E222,IF(E222&lt;201,E222/2,IF(E222&lt;=301,E222/3,E222/4))))</f>
        <v>267.99938099999991</v>
      </c>
      <c r="G222" s="89"/>
      <c r="H222" s="90"/>
      <c r="I222" s="35"/>
    </row>
    <row r="223" spans="1:9" s="36" customFormat="1" ht="15.75" customHeight="1" x14ac:dyDescent="0.35">
      <c r="A223" s="102">
        <f t="shared" si="27"/>
        <v>7</v>
      </c>
      <c r="B223" s="104"/>
      <c r="C223" s="41" t="s">
        <v>220</v>
      </c>
      <c r="D223" s="41">
        <f t="shared" si="25"/>
        <v>178.66625399999995</v>
      </c>
      <c r="E223" s="41">
        <v>0</v>
      </c>
      <c r="F223" s="41">
        <f t="shared" si="28"/>
        <v>267.99938099999991</v>
      </c>
      <c r="G223" s="89"/>
      <c r="H223" s="90"/>
      <c r="I223" s="35"/>
    </row>
    <row r="224" spans="1:9" s="36" customFormat="1" ht="15.75" customHeight="1" x14ac:dyDescent="0.35">
      <c r="A224" s="102">
        <f t="shared" si="27"/>
        <v>8</v>
      </c>
      <c r="B224" s="104"/>
      <c r="C224" s="41" t="s">
        <v>220</v>
      </c>
      <c r="D224" s="41">
        <f t="shared" si="25"/>
        <v>178.66625399999995</v>
      </c>
      <c r="E224" s="41">
        <v>0</v>
      </c>
      <c r="F224" s="41">
        <f t="shared" si="28"/>
        <v>267.99938099999991</v>
      </c>
      <c r="G224" s="89"/>
      <c r="H224" s="90"/>
      <c r="I224" s="35"/>
    </row>
    <row r="225" spans="1:9" s="36" customFormat="1" ht="15.75" customHeight="1" x14ac:dyDescent="0.35">
      <c r="A225" s="102">
        <f t="shared" si="27"/>
        <v>9</v>
      </c>
      <c r="B225" s="104"/>
      <c r="C225" s="41" t="s">
        <v>220</v>
      </c>
      <c r="D225" s="41">
        <f t="shared" si="25"/>
        <v>178.66625399999995</v>
      </c>
      <c r="E225" s="41">
        <v>0</v>
      </c>
      <c r="F225" s="41">
        <f t="shared" si="28"/>
        <v>267.99938099999991</v>
      </c>
      <c r="G225" s="89"/>
      <c r="H225" s="90"/>
      <c r="I225" s="35"/>
    </row>
    <row r="226" spans="1:9" s="36" customFormat="1" ht="15.75" customHeight="1" x14ac:dyDescent="0.35">
      <c r="A226" s="102">
        <f t="shared" si="27"/>
        <v>10</v>
      </c>
      <c r="B226" s="104"/>
      <c r="C226" s="41" t="s">
        <v>220</v>
      </c>
      <c r="D226" s="41">
        <f t="shared" si="25"/>
        <v>178.66625399999995</v>
      </c>
      <c r="E226" s="41">
        <v>0</v>
      </c>
      <c r="F226" s="41">
        <f t="shared" si="28"/>
        <v>267.99938099999991</v>
      </c>
      <c r="G226" s="89"/>
      <c r="H226" s="90"/>
      <c r="I226" s="35"/>
    </row>
    <row r="227" spans="1:9" s="36" customFormat="1" ht="15.75" customHeight="1" x14ac:dyDescent="0.35">
      <c r="A227" s="102">
        <f t="shared" si="27"/>
        <v>11</v>
      </c>
      <c r="B227" s="104"/>
      <c r="C227" s="41" t="s">
        <v>220</v>
      </c>
      <c r="D227" s="41">
        <f t="shared" si="25"/>
        <v>178.66625399999995</v>
      </c>
      <c r="E227" s="41">
        <v>0</v>
      </c>
      <c r="F227" s="41">
        <f t="shared" si="28"/>
        <v>267.99938099999991</v>
      </c>
      <c r="G227" s="89"/>
      <c r="H227" s="90"/>
      <c r="I227" s="35"/>
    </row>
    <row r="228" spans="1:9" s="36" customFormat="1" ht="15.75" customHeight="1" x14ac:dyDescent="0.35">
      <c r="A228" s="102">
        <f t="shared" si="27"/>
        <v>12</v>
      </c>
      <c r="B228" s="104"/>
      <c r="C228" s="41" t="s">
        <v>220</v>
      </c>
      <c r="D228" s="41">
        <f t="shared" si="25"/>
        <v>178.66625399999995</v>
      </c>
      <c r="E228" s="41">
        <v>0</v>
      </c>
      <c r="F228" s="41">
        <f t="shared" si="28"/>
        <v>267.99938099999991</v>
      </c>
      <c r="G228" s="89"/>
      <c r="H228" s="90"/>
      <c r="I228" s="35"/>
    </row>
    <row r="229" spans="1:9" s="36" customFormat="1" ht="15.75" customHeight="1" x14ac:dyDescent="0.35">
      <c r="A229" s="102">
        <f t="shared" si="27"/>
        <v>13</v>
      </c>
      <c r="B229" s="104"/>
      <c r="C229" s="41" t="s">
        <v>220</v>
      </c>
      <c r="D229" s="41">
        <f t="shared" si="25"/>
        <v>178.66625399999995</v>
      </c>
      <c r="E229" s="41">
        <v>0</v>
      </c>
      <c r="F229" s="41">
        <f t="shared" si="28"/>
        <v>267.99938099999991</v>
      </c>
      <c r="G229" s="89"/>
      <c r="H229" s="90"/>
      <c r="I229" s="35"/>
    </row>
    <row r="230" spans="1:9" s="36" customFormat="1" ht="15.75" customHeight="1" x14ac:dyDescent="0.35">
      <c r="A230" s="102">
        <f t="shared" ref="A230" si="29">A229+1</f>
        <v>14</v>
      </c>
      <c r="B230" s="104"/>
      <c r="C230" s="41" t="s">
        <v>220</v>
      </c>
      <c r="D230" s="41">
        <f t="shared" si="25"/>
        <v>178.66625399999995</v>
      </c>
      <c r="E230" s="41">
        <v>0</v>
      </c>
      <c r="F230" s="41">
        <f t="shared" ref="F230" si="30">D230*(($F$151)+1)+(IF(E230&lt;101,E230,IF(E230&lt;201,E230/2,IF(E230&lt;=301,E230/3,E230/4))))</f>
        <v>267.99938099999991</v>
      </c>
      <c r="G230" s="91"/>
      <c r="H230" s="92"/>
      <c r="I230" s="35"/>
    </row>
    <row r="231" spans="1:9" s="36" customFormat="1" ht="15.75" customHeight="1" x14ac:dyDescent="0.35">
      <c r="A231" s="114" t="s">
        <v>225</v>
      </c>
      <c r="B231" s="115"/>
      <c r="C231" s="115"/>
      <c r="D231" s="115"/>
      <c r="E231" s="115"/>
      <c r="F231" s="115"/>
      <c r="G231" s="115"/>
      <c r="H231" s="116"/>
      <c r="I231" s="35">
        <v>2</v>
      </c>
    </row>
    <row r="232" spans="1:9" s="36" customFormat="1" ht="15.75" customHeight="1" x14ac:dyDescent="0.35">
      <c r="A232" s="102">
        <v>1</v>
      </c>
      <c r="B232" s="104"/>
      <c r="C232" s="41" t="s">
        <v>220</v>
      </c>
      <c r="D232" s="41">
        <f>(1.56*2.25+0.87*0.65+2.6*2.85+0.55*1.35+1.73*1.55+2.06*0.15+1.5*0.92)*10.764</f>
        <v>178.66625399999995</v>
      </c>
      <c r="E232" s="41">
        <v>0</v>
      </c>
      <c r="F232" s="41">
        <f>D232*(($F$151)+1)+(IF(E232&lt;101,E232,IF(E232&lt;201,E232/2,IF(E232&lt;=301,E232/3,E232/4))))</f>
        <v>267.99938099999991</v>
      </c>
      <c r="G232" s="87" t="str">
        <f>A231</f>
        <v>8th &amp; 15th Floor (Part Refuge Area)</v>
      </c>
      <c r="H232" s="88"/>
      <c r="I232" s="35"/>
    </row>
    <row r="233" spans="1:9" s="36" customFormat="1" ht="15.75" customHeight="1" x14ac:dyDescent="0.35">
      <c r="A233" s="102">
        <f>A232+1</f>
        <v>2</v>
      </c>
      <c r="B233" s="104"/>
      <c r="C233" s="41" t="s">
        <v>220</v>
      </c>
      <c r="D233" s="41">
        <f t="shared" ref="D233:D245" si="31">(1.56*2.25+0.87*0.65+2.6*2.85+0.55*1.35+1.73*1.55+2.06*0.15+1.5*0.92)*10.764</f>
        <v>178.66625399999995</v>
      </c>
      <c r="E233" s="41">
        <v>0</v>
      </c>
      <c r="F233" s="41">
        <f>D233*(($F$151)+1)+(IF(E233&lt;101,E233,IF(E233&lt;201,E233/2,IF(E233&lt;=301,E233/3,E233/4))))</f>
        <v>267.99938099999991</v>
      </c>
      <c r="G233" s="89"/>
      <c r="H233" s="90"/>
      <c r="I233" s="35"/>
    </row>
    <row r="234" spans="1:9" s="36" customFormat="1" ht="15.75" customHeight="1" x14ac:dyDescent="0.35">
      <c r="A234" s="102">
        <f t="shared" ref="A234:A245" si="32">A233+1</f>
        <v>3</v>
      </c>
      <c r="B234" s="104"/>
      <c r="C234" s="87" t="s">
        <v>226</v>
      </c>
      <c r="D234" s="100"/>
      <c r="E234" s="100"/>
      <c r="F234" s="88"/>
      <c r="G234" s="89"/>
      <c r="H234" s="90"/>
      <c r="I234" s="35"/>
    </row>
    <row r="235" spans="1:9" s="36" customFormat="1" ht="15.75" customHeight="1" x14ac:dyDescent="0.35">
      <c r="A235" s="102">
        <f t="shared" si="32"/>
        <v>4</v>
      </c>
      <c r="B235" s="104"/>
      <c r="C235" s="91"/>
      <c r="D235" s="101"/>
      <c r="E235" s="101"/>
      <c r="F235" s="92"/>
      <c r="G235" s="89"/>
      <c r="H235" s="90"/>
      <c r="I235" s="35"/>
    </row>
    <row r="236" spans="1:9" s="36" customFormat="1" ht="15.75" customHeight="1" x14ac:dyDescent="0.35">
      <c r="A236" s="102">
        <f t="shared" si="32"/>
        <v>5</v>
      </c>
      <c r="B236" s="104"/>
      <c r="C236" s="41" t="s">
        <v>220</v>
      </c>
      <c r="D236" s="41">
        <f t="shared" si="31"/>
        <v>178.66625399999995</v>
      </c>
      <c r="E236" s="41">
        <v>0</v>
      </c>
      <c r="F236" s="41">
        <f>D236*(($F$151)+1)+(IF(E236&lt;101,E236,IF(E236&lt;201,E236/2,IF(E236&lt;=301,E236/3,E236/4))))</f>
        <v>267.99938099999991</v>
      </c>
      <c r="G236" s="89"/>
      <c r="H236" s="90"/>
      <c r="I236" s="35"/>
    </row>
    <row r="237" spans="1:9" s="36" customFormat="1" ht="15.75" customHeight="1" x14ac:dyDescent="0.35">
      <c r="A237" s="102">
        <f t="shared" si="32"/>
        <v>6</v>
      </c>
      <c r="B237" s="104"/>
      <c r="C237" s="41" t="s">
        <v>220</v>
      </c>
      <c r="D237" s="41">
        <f t="shared" si="31"/>
        <v>178.66625399999995</v>
      </c>
      <c r="E237" s="41">
        <v>0</v>
      </c>
      <c r="F237" s="41">
        <f t="shared" ref="F237:F245" si="33">D237*(($F$151)+1)+(IF(E237&lt;101,E237,IF(E237&lt;201,E237/2,IF(E237&lt;=301,E237/3,E237/4))))</f>
        <v>267.99938099999991</v>
      </c>
      <c r="G237" s="89"/>
      <c r="H237" s="90"/>
      <c r="I237" s="35"/>
    </row>
    <row r="238" spans="1:9" s="36" customFormat="1" ht="15.75" customHeight="1" x14ac:dyDescent="0.35">
      <c r="A238" s="102">
        <f t="shared" si="32"/>
        <v>7</v>
      </c>
      <c r="B238" s="104"/>
      <c r="C238" s="41" t="s">
        <v>220</v>
      </c>
      <c r="D238" s="41">
        <f t="shared" si="31"/>
        <v>178.66625399999995</v>
      </c>
      <c r="E238" s="41">
        <v>0</v>
      </c>
      <c r="F238" s="41">
        <f t="shared" si="33"/>
        <v>267.99938099999991</v>
      </c>
      <c r="G238" s="89"/>
      <c r="H238" s="90"/>
      <c r="I238" s="35"/>
    </row>
    <row r="239" spans="1:9" s="36" customFormat="1" ht="15.75" customHeight="1" x14ac:dyDescent="0.35">
      <c r="A239" s="102">
        <f t="shared" si="32"/>
        <v>8</v>
      </c>
      <c r="B239" s="104"/>
      <c r="C239" s="41" t="s">
        <v>220</v>
      </c>
      <c r="D239" s="41">
        <f t="shared" si="31"/>
        <v>178.66625399999995</v>
      </c>
      <c r="E239" s="41">
        <v>0</v>
      </c>
      <c r="F239" s="41">
        <f t="shared" si="33"/>
        <v>267.99938099999991</v>
      </c>
      <c r="G239" s="89"/>
      <c r="H239" s="90"/>
      <c r="I239" s="35"/>
    </row>
    <row r="240" spans="1:9" s="36" customFormat="1" ht="15.75" customHeight="1" x14ac:dyDescent="0.35">
      <c r="A240" s="102">
        <f t="shared" si="32"/>
        <v>9</v>
      </c>
      <c r="B240" s="104"/>
      <c r="C240" s="41" t="s">
        <v>220</v>
      </c>
      <c r="D240" s="41">
        <f t="shared" si="31"/>
        <v>178.66625399999995</v>
      </c>
      <c r="E240" s="41">
        <v>0</v>
      </c>
      <c r="F240" s="41">
        <f t="shared" si="33"/>
        <v>267.99938099999991</v>
      </c>
      <c r="G240" s="89"/>
      <c r="H240" s="90"/>
      <c r="I240" s="35"/>
    </row>
    <row r="241" spans="1:9" s="36" customFormat="1" ht="15.75" customHeight="1" x14ac:dyDescent="0.35">
      <c r="A241" s="102">
        <f t="shared" si="32"/>
        <v>10</v>
      </c>
      <c r="B241" s="104"/>
      <c r="C241" s="41" t="s">
        <v>220</v>
      </c>
      <c r="D241" s="41">
        <f t="shared" si="31"/>
        <v>178.66625399999995</v>
      </c>
      <c r="E241" s="41">
        <v>0</v>
      </c>
      <c r="F241" s="41">
        <f t="shared" si="33"/>
        <v>267.99938099999991</v>
      </c>
      <c r="G241" s="89"/>
      <c r="H241" s="90"/>
      <c r="I241" s="35"/>
    </row>
    <row r="242" spans="1:9" s="36" customFormat="1" ht="15.75" customHeight="1" x14ac:dyDescent="0.35">
      <c r="A242" s="102">
        <f t="shared" si="32"/>
        <v>11</v>
      </c>
      <c r="B242" s="104"/>
      <c r="C242" s="41" t="s">
        <v>220</v>
      </c>
      <c r="D242" s="41">
        <f t="shared" si="31"/>
        <v>178.66625399999995</v>
      </c>
      <c r="E242" s="41">
        <v>0</v>
      </c>
      <c r="F242" s="41">
        <f t="shared" si="33"/>
        <v>267.99938099999991</v>
      </c>
      <c r="G242" s="89"/>
      <c r="H242" s="90"/>
      <c r="I242" s="35"/>
    </row>
    <row r="243" spans="1:9" s="36" customFormat="1" ht="15.75" customHeight="1" x14ac:dyDescent="0.35">
      <c r="A243" s="102">
        <f t="shared" si="32"/>
        <v>12</v>
      </c>
      <c r="B243" s="104"/>
      <c r="C243" s="41" t="s">
        <v>220</v>
      </c>
      <c r="D243" s="41">
        <f t="shared" si="31"/>
        <v>178.66625399999995</v>
      </c>
      <c r="E243" s="41">
        <v>0</v>
      </c>
      <c r="F243" s="41">
        <f t="shared" si="33"/>
        <v>267.99938099999991</v>
      </c>
      <c r="G243" s="89"/>
      <c r="H243" s="90"/>
      <c r="I243" s="35"/>
    </row>
    <row r="244" spans="1:9" s="36" customFormat="1" ht="15.75" customHeight="1" x14ac:dyDescent="0.35">
      <c r="A244" s="102">
        <f t="shared" si="32"/>
        <v>13</v>
      </c>
      <c r="B244" s="104"/>
      <c r="C244" s="41" t="s">
        <v>220</v>
      </c>
      <c r="D244" s="41">
        <f t="shared" si="31"/>
        <v>178.66625399999995</v>
      </c>
      <c r="E244" s="41">
        <v>0</v>
      </c>
      <c r="F244" s="41">
        <f t="shared" si="33"/>
        <v>267.99938099999991</v>
      </c>
      <c r="G244" s="89"/>
      <c r="H244" s="90"/>
      <c r="I244" s="35"/>
    </row>
    <row r="245" spans="1:9" s="36" customFormat="1" ht="15.75" customHeight="1" x14ac:dyDescent="0.35">
      <c r="A245" s="102">
        <f t="shared" si="32"/>
        <v>14</v>
      </c>
      <c r="B245" s="104"/>
      <c r="C245" s="41" t="s">
        <v>220</v>
      </c>
      <c r="D245" s="41">
        <f t="shared" si="31"/>
        <v>178.66625399999995</v>
      </c>
      <c r="E245" s="41">
        <v>0</v>
      </c>
      <c r="F245" s="41">
        <f t="shared" si="33"/>
        <v>267.99938099999991</v>
      </c>
      <c r="G245" s="91"/>
      <c r="H245" s="92"/>
      <c r="I245" s="35"/>
    </row>
    <row r="246" spans="1:9" s="36" customFormat="1" ht="15.75" customHeight="1" x14ac:dyDescent="0.35">
      <c r="A246" s="114" t="s">
        <v>227</v>
      </c>
      <c r="B246" s="115"/>
      <c r="C246" s="115"/>
      <c r="D246" s="115"/>
      <c r="E246" s="115"/>
      <c r="F246" s="115"/>
      <c r="G246" s="115"/>
      <c r="H246" s="116"/>
      <c r="I246" s="35">
        <v>1</v>
      </c>
    </row>
    <row r="247" spans="1:9" s="34" customFormat="1" x14ac:dyDescent="0.35">
      <c r="A247" s="189" t="s">
        <v>67</v>
      </c>
      <c r="B247" s="189"/>
      <c r="C247" s="189"/>
      <c r="D247" s="189"/>
      <c r="E247" s="189"/>
      <c r="F247" s="189"/>
      <c r="G247" s="189"/>
      <c r="H247" s="189"/>
    </row>
    <row r="248" spans="1:9" s="34" customFormat="1" x14ac:dyDescent="0.35">
      <c r="A248" s="68">
        <v>1</v>
      </c>
      <c r="B248" s="119" t="s">
        <v>207</v>
      </c>
      <c r="C248" s="119"/>
      <c r="D248" s="119"/>
      <c r="E248" s="119"/>
      <c r="F248" s="119"/>
      <c r="G248" s="119"/>
      <c r="H248" s="119"/>
    </row>
    <row r="249" spans="1:9" s="34" customFormat="1" x14ac:dyDescent="0.35">
      <c r="A249" s="68">
        <f>A248+1</f>
        <v>2</v>
      </c>
      <c r="B249" s="119" t="str">
        <f>(IF(F150="Saleable area Loading :","We have considered Saleable area of Flats as per our Calculation.","We considered Saleable area of Flat as per Builder area Sheet."))</f>
        <v>We have considered Saleable area of Flats as per our Calculation.</v>
      </c>
      <c r="C249" s="119"/>
      <c r="D249" s="119"/>
      <c r="E249" s="119"/>
      <c r="F249" s="119"/>
      <c r="G249" s="119"/>
      <c r="H249" s="119"/>
    </row>
    <row r="250" spans="1:9" s="34" customFormat="1" x14ac:dyDescent="0.35">
      <c r="A250" s="68">
        <f t="shared" ref="A250:A263" si="34">A249+1</f>
        <v>3</v>
      </c>
      <c r="B250" s="119" t="str">
        <f>(IF(F142="Saleable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50" s="119"/>
      <c r="D250" s="119"/>
      <c r="E250" s="119"/>
      <c r="F250" s="119"/>
      <c r="G250" s="119"/>
      <c r="H250" s="119"/>
    </row>
    <row r="251" spans="1:9" s="34" customFormat="1" x14ac:dyDescent="0.35">
      <c r="A251" s="68">
        <f t="shared" si="34"/>
        <v>4</v>
      </c>
      <c r="B251" s="107" t="s">
        <v>124</v>
      </c>
      <c r="C251" s="107"/>
      <c r="D251" s="107"/>
      <c r="E251" s="107"/>
      <c r="F251" s="107"/>
      <c r="G251" s="107"/>
      <c r="H251" s="107"/>
    </row>
    <row r="252" spans="1:9" s="34" customFormat="1" x14ac:dyDescent="0.35">
      <c r="A252" s="68">
        <f t="shared" si="34"/>
        <v>5</v>
      </c>
      <c r="B252" s="107" t="s">
        <v>200</v>
      </c>
      <c r="C252" s="107"/>
      <c r="D252" s="107"/>
      <c r="E252" s="107"/>
      <c r="F252" s="107"/>
      <c r="G252" s="107"/>
      <c r="H252" s="107"/>
    </row>
    <row r="253" spans="1:9" s="34" customFormat="1" x14ac:dyDescent="0.35">
      <c r="A253" s="68">
        <f t="shared" si="34"/>
        <v>6</v>
      </c>
      <c r="B253" s="107" t="s">
        <v>153</v>
      </c>
      <c r="C253" s="107"/>
      <c r="D253" s="107"/>
      <c r="E253" s="107"/>
      <c r="F253" s="107"/>
      <c r="G253" s="107"/>
      <c r="H253" s="107"/>
    </row>
    <row r="254" spans="1:9" s="34" customFormat="1" x14ac:dyDescent="0.35">
      <c r="A254" s="68">
        <f t="shared" si="34"/>
        <v>7</v>
      </c>
      <c r="B254" s="107" t="s">
        <v>125</v>
      </c>
      <c r="C254" s="107"/>
      <c r="D254" s="107"/>
      <c r="E254" s="107"/>
      <c r="F254" s="107"/>
      <c r="G254" s="107"/>
      <c r="H254" s="107"/>
    </row>
    <row r="255" spans="1:9" s="34" customFormat="1" ht="34.5" customHeight="1" x14ac:dyDescent="0.35">
      <c r="A255" s="68">
        <f t="shared" si="34"/>
        <v>8</v>
      </c>
      <c r="B255" s="107" t="s">
        <v>154</v>
      </c>
      <c r="C255" s="107"/>
      <c r="D255" s="107"/>
      <c r="E255" s="107"/>
      <c r="F255" s="107"/>
      <c r="G255" s="107"/>
      <c r="H255" s="107"/>
    </row>
    <row r="256" spans="1:9" s="34" customFormat="1" x14ac:dyDescent="0.35">
      <c r="A256" s="68">
        <f t="shared" si="34"/>
        <v>9</v>
      </c>
      <c r="B256" s="107" t="s">
        <v>126</v>
      </c>
      <c r="C256" s="107"/>
      <c r="D256" s="107"/>
      <c r="E256" s="107"/>
      <c r="F256" s="107"/>
      <c r="G256" s="107"/>
      <c r="H256" s="107"/>
    </row>
    <row r="257" spans="1:8" s="34" customFormat="1" x14ac:dyDescent="0.35">
      <c r="A257" s="68">
        <f t="shared" si="34"/>
        <v>10</v>
      </c>
      <c r="B257" s="107" t="s">
        <v>209</v>
      </c>
      <c r="C257" s="107"/>
      <c r="D257" s="107"/>
      <c r="E257" s="107"/>
      <c r="F257" s="107"/>
      <c r="G257" s="107"/>
      <c r="H257" s="107"/>
    </row>
    <row r="258" spans="1:8" s="34" customFormat="1" x14ac:dyDescent="0.35">
      <c r="A258" s="68">
        <f t="shared" si="34"/>
        <v>11</v>
      </c>
      <c r="B258" s="107" t="s">
        <v>222</v>
      </c>
      <c r="C258" s="107"/>
      <c r="D258" s="107"/>
      <c r="E258" s="107"/>
      <c r="F258" s="107"/>
      <c r="G258" s="107"/>
      <c r="H258" s="107"/>
    </row>
    <row r="259" spans="1:8" s="34" customFormat="1" x14ac:dyDescent="0.35">
      <c r="A259" s="59">
        <f t="shared" si="34"/>
        <v>12</v>
      </c>
      <c r="B259" s="107" t="s">
        <v>263</v>
      </c>
      <c r="C259" s="107"/>
      <c r="D259" s="107"/>
      <c r="E259" s="107"/>
      <c r="F259" s="107"/>
      <c r="G259" s="107"/>
      <c r="H259" s="107"/>
    </row>
    <row r="260" spans="1:8" s="34" customFormat="1" x14ac:dyDescent="0.35">
      <c r="A260" s="59">
        <f t="shared" si="34"/>
        <v>13</v>
      </c>
      <c r="B260" s="107" t="s">
        <v>229</v>
      </c>
      <c r="C260" s="107"/>
      <c r="D260" s="107"/>
      <c r="E260" s="107"/>
      <c r="F260" s="107"/>
      <c r="G260" s="107"/>
      <c r="H260" s="107"/>
    </row>
    <row r="261" spans="1:8" s="34" customFormat="1" ht="33.75" customHeight="1" x14ac:dyDescent="0.35">
      <c r="A261" s="59">
        <f t="shared" si="34"/>
        <v>14</v>
      </c>
      <c r="B261" s="107" t="s">
        <v>251</v>
      </c>
      <c r="C261" s="107"/>
      <c r="D261" s="107"/>
      <c r="E261" s="107"/>
      <c r="F261" s="107"/>
      <c r="G261" s="107"/>
      <c r="H261" s="107"/>
    </row>
    <row r="262" spans="1:8" s="34" customFormat="1" ht="35.25" customHeight="1" x14ac:dyDescent="0.35">
      <c r="A262" s="59">
        <f t="shared" si="34"/>
        <v>15</v>
      </c>
      <c r="B262" s="119" t="s">
        <v>252</v>
      </c>
      <c r="C262" s="119"/>
      <c r="D262" s="119"/>
      <c r="E262" s="119"/>
      <c r="F262" s="119"/>
      <c r="G262" s="119"/>
      <c r="H262" s="119"/>
    </row>
    <row r="263" spans="1:8" s="34" customFormat="1" x14ac:dyDescent="0.35">
      <c r="A263" s="68">
        <f t="shared" si="34"/>
        <v>16</v>
      </c>
      <c r="B263" s="107" t="s">
        <v>262</v>
      </c>
      <c r="C263" s="107"/>
      <c r="D263" s="107"/>
      <c r="E263" s="107"/>
      <c r="F263" s="107"/>
      <c r="G263" s="107"/>
      <c r="H263" s="107"/>
    </row>
    <row r="264" spans="1:8" x14ac:dyDescent="0.35">
      <c r="A264" s="121" t="s">
        <v>60</v>
      </c>
      <c r="B264" s="121"/>
      <c r="C264" s="121"/>
      <c r="D264" s="121"/>
      <c r="E264" s="121"/>
      <c r="F264" s="121"/>
      <c r="G264" s="121"/>
      <c r="H264" s="121"/>
    </row>
    <row r="265" spans="1:8" x14ac:dyDescent="0.35">
      <c r="A265" s="80" t="s">
        <v>61</v>
      </c>
      <c r="B265" s="80"/>
      <c r="C265" s="80"/>
      <c r="D265" s="80"/>
      <c r="E265" s="80"/>
      <c r="F265" s="80"/>
      <c r="G265" s="80"/>
      <c r="H265" s="80"/>
    </row>
    <row r="266" spans="1:8" ht="15.75" customHeight="1" x14ac:dyDescent="0.35">
      <c r="A266" s="105" t="s">
        <v>62</v>
      </c>
      <c r="B266" s="105"/>
      <c r="C266" s="105"/>
      <c r="D266" s="105"/>
      <c r="E266" s="105"/>
      <c r="F266" s="105"/>
      <c r="G266" s="105"/>
      <c r="H266" s="105"/>
    </row>
    <row r="267" spans="1:8" x14ac:dyDescent="0.35">
      <c r="A267" s="80" t="s">
        <v>63</v>
      </c>
      <c r="B267" s="80"/>
      <c r="C267" s="80"/>
      <c r="D267" s="80"/>
      <c r="E267" s="80"/>
      <c r="F267" s="80"/>
      <c r="G267" s="80"/>
      <c r="H267" s="80"/>
    </row>
    <row r="268" spans="1:8" x14ac:dyDescent="0.35">
      <c r="A268" s="80" t="s">
        <v>64</v>
      </c>
      <c r="B268" s="80"/>
      <c r="C268" s="80"/>
      <c r="D268" s="80"/>
      <c r="E268" s="80"/>
      <c r="F268" s="80"/>
      <c r="G268" s="80"/>
      <c r="H268" s="80"/>
    </row>
    <row r="269" spans="1:8" x14ac:dyDescent="0.35">
      <c r="A269" s="80" t="s">
        <v>127</v>
      </c>
      <c r="B269" s="80"/>
      <c r="C269" s="80"/>
      <c r="D269" s="80"/>
      <c r="E269" s="80"/>
      <c r="F269" s="80"/>
      <c r="G269" s="80"/>
      <c r="H269" s="80"/>
    </row>
    <row r="270" spans="1:8" x14ac:dyDescent="0.35">
      <c r="A270" s="70" t="s">
        <v>128</v>
      </c>
      <c r="B270" s="70"/>
      <c r="C270" s="70"/>
      <c r="D270" s="70"/>
      <c r="E270" s="70"/>
      <c r="F270" s="70"/>
      <c r="G270" s="70"/>
      <c r="H270" s="70"/>
    </row>
    <row r="271" spans="1:8" x14ac:dyDescent="0.35">
      <c r="A271" s="113" t="s">
        <v>77</v>
      </c>
      <c r="B271" s="113"/>
      <c r="C271" s="113" t="s">
        <v>248</v>
      </c>
      <c r="D271" s="113"/>
      <c r="E271" s="113" t="s">
        <v>105</v>
      </c>
      <c r="F271" s="113"/>
      <c r="G271" s="113" t="s">
        <v>232</v>
      </c>
      <c r="H271" s="113"/>
    </row>
    <row r="272" spans="1:8" x14ac:dyDescent="0.35">
      <c r="A272" s="112" t="s">
        <v>79</v>
      </c>
      <c r="B272" s="112"/>
      <c r="C272" s="112"/>
      <c r="D272" s="112"/>
      <c r="E272" s="112"/>
      <c r="F272" s="112"/>
      <c r="G272" s="112"/>
      <c r="H272" s="112"/>
    </row>
    <row r="273" spans="1:8" x14ac:dyDescent="0.35">
      <c r="A273" s="112"/>
      <c r="B273" s="112"/>
      <c r="C273" s="112"/>
      <c r="D273" s="112"/>
      <c r="E273" s="112"/>
      <c r="F273" s="112"/>
      <c r="G273" s="112"/>
      <c r="H273" s="112"/>
    </row>
    <row r="274" spans="1:8" x14ac:dyDescent="0.35">
      <c r="A274" s="112"/>
      <c r="B274" s="112"/>
      <c r="C274" s="112"/>
      <c r="D274" s="112"/>
      <c r="E274" s="112"/>
      <c r="F274" s="112"/>
      <c r="G274" s="112"/>
      <c r="H274" s="112"/>
    </row>
    <row r="275" spans="1:8" x14ac:dyDescent="0.35">
      <c r="A275" s="112"/>
      <c r="B275" s="112"/>
      <c r="C275" s="112"/>
      <c r="D275" s="112"/>
      <c r="E275" s="112"/>
      <c r="F275" s="112"/>
      <c r="G275" s="112"/>
      <c r="H275" s="112"/>
    </row>
    <row r="276" spans="1:8" x14ac:dyDescent="0.35">
      <c r="A276" s="37" t="s">
        <v>65</v>
      </c>
      <c r="B276" s="38"/>
      <c r="C276" s="38"/>
      <c r="D276" s="37" t="str">
        <f>E8</f>
        <v>I Stay Tower D, G &amp; K</v>
      </c>
      <c r="F276" s="38"/>
      <c r="G276" s="38"/>
      <c r="H276" s="38"/>
    </row>
    <row r="277" spans="1:8" x14ac:dyDescent="0.35">
      <c r="A277" s="38"/>
      <c r="B277" s="38"/>
      <c r="C277" s="38"/>
      <c r="D277" s="38"/>
      <c r="E277" s="38"/>
      <c r="F277" s="38"/>
      <c r="G277" s="38"/>
      <c r="H277" s="38"/>
    </row>
    <row r="278" spans="1:8" x14ac:dyDescent="0.35">
      <c r="A278" s="38"/>
      <c r="B278" s="38"/>
      <c r="C278" s="38"/>
      <c r="D278" s="38"/>
      <c r="E278" s="38"/>
      <c r="F278" s="38"/>
      <c r="G278" s="38"/>
      <c r="H278" s="38"/>
    </row>
    <row r="279" spans="1:8" ht="15" customHeight="1" x14ac:dyDescent="0.35"/>
    <row r="319" spans="1:1" x14ac:dyDescent="0.35">
      <c r="A319" s="40" t="s">
        <v>230</v>
      </c>
    </row>
    <row r="355" spans="1:1" x14ac:dyDescent="0.35">
      <c r="A355" s="40" t="s">
        <v>166</v>
      </c>
    </row>
    <row r="384" spans="1:1" x14ac:dyDescent="0.35">
      <c r="A384" s="40" t="s">
        <v>66</v>
      </c>
    </row>
  </sheetData>
  <mergeCells count="443">
    <mergeCell ref="C56:H56"/>
    <mergeCell ref="B263:H263"/>
    <mergeCell ref="B262:H262"/>
    <mergeCell ref="A174:H174"/>
    <mergeCell ref="A163:B163"/>
    <mergeCell ref="G155:H163"/>
    <mergeCell ref="A164:H164"/>
    <mergeCell ref="A165:B165"/>
    <mergeCell ref="G165:H173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55:B155"/>
    <mergeCell ref="A156:B156"/>
    <mergeCell ref="A160:B160"/>
    <mergeCell ref="B259:H259"/>
    <mergeCell ref="B257:H257"/>
    <mergeCell ref="A230:B230"/>
    <mergeCell ref="A231:H231"/>
    <mergeCell ref="A232:B232"/>
    <mergeCell ref="A233:B233"/>
    <mergeCell ref="E89:F89"/>
    <mergeCell ref="A123:E123"/>
    <mergeCell ref="F117:H117"/>
    <mergeCell ref="A122:E122"/>
    <mergeCell ref="A91:B91"/>
    <mergeCell ref="A92:B92"/>
    <mergeCell ref="F116:H116"/>
    <mergeCell ref="A161:B161"/>
    <mergeCell ref="A162:B162"/>
    <mergeCell ref="A100:B100"/>
    <mergeCell ref="C100:H100"/>
    <mergeCell ref="A102:B102"/>
    <mergeCell ref="C102:H102"/>
    <mergeCell ref="D142:D143"/>
    <mergeCell ref="A118:E118"/>
    <mergeCell ref="A120:E120"/>
    <mergeCell ref="F120:H120"/>
    <mergeCell ref="A121:E121"/>
    <mergeCell ref="A125:E125"/>
    <mergeCell ref="A135:B135"/>
    <mergeCell ref="C135:D135"/>
    <mergeCell ref="E135:F135"/>
    <mergeCell ref="G135:H135"/>
    <mergeCell ref="A149:H149"/>
    <mergeCell ref="A234:B234"/>
    <mergeCell ref="A225:B225"/>
    <mergeCell ref="A226:B226"/>
    <mergeCell ref="A227:B227"/>
    <mergeCell ref="A228:B228"/>
    <mergeCell ref="A229:B229"/>
    <mergeCell ref="A245:B245"/>
    <mergeCell ref="C234:F235"/>
    <mergeCell ref="G232:H245"/>
    <mergeCell ref="A246:H246"/>
    <mergeCell ref="A240:B240"/>
    <mergeCell ref="A241:B241"/>
    <mergeCell ref="B258:H258"/>
    <mergeCell ref="B255:H255"/>
    <mergeCell ref="A235:B235"/>
    <mergeCell ref="B254:H254"/>
    <mergeCell ref="B250:H250"/>
    <mergeCell ref="A247:H247"/>
    <mergeCell ref="B253:H253"/>
    <mergeCell ref="B248:H248"/>
    <mergeCell ref="A216:H216"/>
    <mergeCell ref="A201:H201"/>
    <mergeCell ref="A215:B215"/>
    <mergeCell ref="G202:H215"/>
    <mergeCell ref="L177:M177"/>
    <mergeCell ref="A178:B178"/>
    <mergeCell ref="A179:B179"/>
    <mergeCell ref="A176:H176"/>
    <mergeCell ref="A184:H184"/>
    <mergeCell ref="A185:H185"/>
    <mergeCell ref="A186:H186"/>
    <mergeCell ref="A182:B182"/>
    <mergeCell ref="A181:B181"/>
    <mergeCell ref="A180:B180"/>
    <mergeCell ref="C183:F183"/>
    <mergeCell ref="C181:F181"/>
    <mergeCell ref="L186:M186"/>
    <mergeCell ref="A183:B183"/>
    <mergeCell ref="C180:F180"/>
    <mergeCell ref="A191:B191"/>
    <mergeCell ref="A192:B192"/>
    <mergeCell ref="A193:B193"/>
    <mergeCell ref="A194:B194"/>
    <mergeCell ref="A195:B195"/>
    <mergeCell ref="A196:B196"/>
    <mergeCell ref="A203:B203"/>
    <mergeCell ref="A213:B213"/>
    <mergeCell ref="A214:B214"/>
    <mergeCell ref="A116:E116"/>
    <mergeCell ref="A103:B103"/>
    <mergeCell ref="E103:F103"/>
    <mergeCell ref="G103:H103"/>
    <mergeCell ref="A104:B104"/>
    <mergeCell ref="E104:F113"/>
    <mergeCell ref="G104:H113"/>
    <mergeCell ref="A105:B105"/>
    <mergeCell ref="A106:B106"/>
    <mergeCell ref="A107:B107"/>
    <mergeCell ref="A108:B108"/>
    <mergeCell ref="F119:H119"/>
    <mergeCell ref="F122:H122"/>
    <mergeCell ref="F123:H123"/>
    <mergeCell ref="A119:E119"/>
    <mergeCell ref="A69:C69"/>
    <mergeCell ref="D69:H69"/>
    <mergeCell ref="A70:C70"/>
    <mergeCell ref="D70:H70"/>
    <mergeCell ref="A76:B76"/>
    <mergeCell ref="G75:H75"/>
    <mergeCell ref="A109:B109"/>
    <mergeCell ref="A110:B110"/>
    <mergeCell ref="A111:B111"/>
    <mergeCell ref="A112:B112"/>
    <mergeCell ref="A113:B113"/>
    <mergeCell ref="A98:B98"/>
    <mergeCell ref="A117:E117"/>
    <mergeCell ref="A114:E114"/>
    <mergeCell ref="F118:H118"/>
    <mergeCell ref="E90:F99"/>
    <mergeCell ref="F114:H114"/>
    <mergeCell ref="G89:H89"/>
    <mergeCell ref="A88:B88"/>
    <mergeCell ref="C88:H88"/>
    <mergeCell ref="F125:H125"/>
    <mergeCell ref="A138:B138"/>
    <mergeCell ref="E138:F138"/>
    <mergeCell ref="A89:B89"/>
    <mergeCell ref="A38:B38"/>
    <mergeCell ref="C38:H38"/>
    <mergeCell ref="A45:D45"/>
    <mergeCell ref="A46:D46"/>
    <mergeCell ref="A47:H47"/>
    <mergeCell ref="D61:H61"/>
    <mergeCell ref="A61:C61"/>
    <mergeCell ref="G50:H50"/>
    <mergeCell ref="D68:H68"/>
    <mergeCell ref="A39:B39"/>
    <mergeCell ref="C39:H39"/>
    <mergeCell ref="D63:H63"/>
    <mergeCell ref="C53:H53"/>
    <mergeCell ref="C50:E50"/>
    <mergeCell ref="A50:B50"/>
    <mergeCell ref="A58:H58"/>
    <mergeCell ref="A48:B48"/>
    <mergeCell ref="C48:H48"/>
    <mergeCell ref="E42:H42"/>
    <mergeCell ref="A42:D42"/>
    <mergeCell ref="F124:H124"/>
    <mergeCell ref="E129:F129"/>
    <mergeCell ref="A129:B129"/>
    <mergeCell ref="C51:E51"/>
    <mergeCell ref="L148:M148"/>
    <mergeCell ref="L147:M147"/>
    <mergeCell ref="L146:M146"/>
    <mergeCell ref="L145:M145"/>
    <mergeCell ref="A83:B83"/>
    <mergeCell ref="C136:D136"/>
    <mergeCell ref="E136:F136"/>
    <mergeCell ref="G136:H136"/>
    <mergeCell ref="F121:H121"/>
    <mergeCell ref="A115:E115"/>
    <mergeCell ref="A86:B86"/>
    <mergeCell ref="C86:H86"/>
    <mergeCell ref="A144:H144"/>
    <mergeCell ref="E142:E143"/>
    <mergeCell ref="G142:H143"/>
    <mergeCell ref="A90:B90"/>
    <mergeCell ref="A93:B93"/>
    <mergeCell ref="A94:B94"/>
    <mergeCell ref="A95:B95"/>
    <mergeCell ref="A97:B97"/>
    <mergeCell ref="C57:E57"/>
    <mergeCell ref="A71:C71"/>
    <mergeCell ref="D71:H71"/>
    <mergeCell ref="A57:B57"/>
    <mergeCell ref="G49:H49"/>
    <mergeCell ref="G52:H52"/>
    <mergeCell ref="D59:H59"/>
    <mergeCell ref="C52:E52"/>
    <mergeCell ref="D62:H62"/>
    <mergeCell ref="A59:C59"/>
    <mergeCell ref="A60:C60"/>
    <mergeCell ref="D60:H60"/>
    <mergeCell ref="G57:H57"/>
    <mergeCell ref="A49:B49"/>
    <mergeCell ref="C49:E49"/>
    <mergeCell ref="A51:B51"/>
    <mergeCell ref="G51:H51"/>
    <mergeCell ref="D64:H64"/>
    <mergeCell ref="A62:C64"/>
    <mergeCell ref="A52:B53"/>
    <mergeCell ref="A54:B56"/>
    <mergeCell ref="C54:E55"/>
    <mergeCell ref="G54:H54"/>
    <mergeCell ref="G55:H55"/>
    <mergeCell ref="A36:B36"/>
    <mergeCell ref="C36:E36"/>
    <mergeCell ref="G90:H99"/>
    <mergeCell ref="A41:D41"/>
    <mergeCell ref="E41:H41"/>
    <mergeCell ref="F33:H33"/>
    <mergeCell ref="F34:H34"/>
    <mergeCell ref="A40:H40"/>
    <mergeCell ref="A65:C65"/>
    <mergeCell ref="A66:C66"/>
    <mergeCell ref="D65:H65"/>
    <mergeCell ref="E76:F85"/>
    <mergeCell ref="G76:H85"/>
    <mergeCell ref="A84:B84"/>
    <mergeCell ref="A85:B85"/>
    <mergeCell ref="D66:H66"/>
    <mergeCell ref="A43:D43"/>
    <mergeCell ref="E43:H43"/>
    <mergeCell ref="E44:H44"/>
    <mergeCell ref="E45:H45"/>
    <mergeCell ref="E46:H46"/>
    <mergeCell ref="A44:D44"/>
    <mergeCell ref="F36:H36"/>
    <mergeCell ref="A37:H37"/>
    <mergeCell ref="A35:B35"/>
    <mergeCell ref="A29:D29"/>
    <mergeCell ref="E29:H29"/>
    <mergeCell ref="A26:D26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C18:D18"/>
    <mergeCell ref="A18:B18"/>
    <mergeCell ref="A11:D11"/>
    <mergeCell ref="E11:H11"/>
    <mergeCell ref="A5:D5"/>
    <mergeCell ref="E5:H5"/>
    <mergeCell ref="A6:D6"/>
    <mergeCell ref="E6:H6"/>
    <mergeCell ref="A7:D7"/>
    <mergeCell ref="E7:H7"/>
    <mergeCell ref="A16:B16"/>
    <mergeCell ref="A12:D12"/>
    <mergeCell ref="E12:H12"/>
    <mergeCell ref="A14:D14"/>
    <mergeCell ref="A10:D10"/>
    <mergeCell ref="E10:H10"/>
    <mergeCell ref="E14:H14"/>
    <mergeCell ref="A15:B15"/>
    <mergeCell ref="C15:H15"/>
    <mergeCell ref="C16:H16"/>
    <mergeCell ref="A13:D13"/>
    <mergeCell ref="E13:H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26:E126"/>
    <mergeCell ref="F126:H126"/>
    <mergeCell ref="A127:E127"/>
    <mergeCell ref="F127:H127"/>
    <mergeCell ref="A177:H177"/>
    <mergeCell ref="A136:B136"/>
    <mergeCell ref="A204:B204"/>
    <mergeCell ref="A130:B130"/>
    <mergeCell ref="A267:H267"/>
    <mergeCell ref="A133:H133"/>
    <mergeCell ref="A264:H264"/>
    <mergeCell ref="A265:H265"/>
    <mergeCell ref="E134:F134"/>
    <mergeCell ref="B256:H256"/>
    <mergeCell ref="G147:H147"/>
    <mergeCell ref="G145:H145"/>
    <mergeCell ref="A131:B131"/>
    <mergeCell ref="G138:H138"/>
    <mergeCell ref="C137:D137"/>
    <mergeCell ref="C134:D134"/>
    <mergeCell ref="C142:C143"/>
    <mergeCell ref="A148:B148"/>
    <mergeCell ref="G137:H137"/>
    <mergeCell ref="C138:D138"/>
    <mergeCell ref="A128:H128"/>
    <mergeCell ref="A270:H270"/>
    <mergeCell ref="A268:H268"/>
    <mergeCell ref="A154:H154"/>
    <mergeCell ref="A157:B157"/>
    <mergeCell ref="A158:B158"/>
    <mergeCell ref="A159:B159"/>
    <mergeCell ref="A152:H152"/>
    <mergeCell ref="A145:B145"/>
    <mergeCell ref="A146:B146"/>
    <mergeCell ref="A147:B147"/>
    <mergeCell ref="B150:B151"/>
    <mergeCell ref="A153:H153"/>
    <mergeCell ref="C150:C151"/>
    <mergeCell ref="A139:B139"/>
    <mergeCell ref="C139:D139"/>
    <mergeCell ref="B249:H249"/>
    <mergeCell ref="B251:H251"/>
    <mergeCell ref="B252:H252"/>
    <mergeCell ref="A197:B197"/>
    <mergeCell ref="A222:B222"/>
    <mergeCell ref="A223:B223"/>
    <mergeCell ref="A224:B224"/>
    <mergeCell ref="A206:B206"/>
    <mergeCell ref="A137:B137"/>
    <mergeCell ref="G146:H146"/>
    <mergeCell ref="A140:H140"/>
    <mergeCell ref="G134:H134"/>
    <mergeCell ref="E139:F139"/>
    <mergeCell ref="G139:H139"/>
    <mergeCell ref="A134:B134"/>
    <mergeCell ref="A272:H275"/>
    <mergeCell ref="A271:B271"/>
    <mergeCell ref="E271:F271"/>
    <mergeCell ref="C271:D271"/>
    <mergeCell ref="G271:H271"/>
    <mergeCell ref="A217:B217"/>
    <mergeCell ref="A205:B205"/>
    <mergeCell ref="A202:B202"/>
    <mergeCell ref="A198:B198"/>
    <mergeCell ref="A199:B199"/>
    <mergeCell ref="A200:B200"/>
    <mergeCell ref="A207:B207"/>
    <mergeCell ref="A208:B208"/>
    <mergeCell ref="A209:B209"/>
    <mergeCell ref="A210:B210"/>
    <mergeCell ref="A211:B211"/>
    <mergeCell ref="A212:B212"/>
    <mergeCell ref="A243:B243"/>
    <mergeCell ref="A244:B244"/>
    <mergeCell ref="A269:H269"/>
    <mergeCell ref="A266:H266"/>
    <mergeCell ref="D150:D151"/>
    <mergeCell ref="E150:E151"/>
    <mergeCell ref="G150:H151"/>
    <mergeCell ref="B261:H261"/>
    <mergeCell ref="B260:H260"/>
    <mergeCell ref="A220:B220"/>
    <mergeCell ref="A221:B221"/>
    <mergeCell ref="A218:B218"/>
    <mergeCell ref="A219:B219"/>
    <mergeCell ref="A175:H175"/>
    <mergeCell ref="A187:B187"/>
    <mergeCell ref="A188:B188"/>
    <mergeCell ref="A242:B242"/>
    <mergeCell ref="A236:B236"/>
    <mergeCell ref="A237:B237"/>
    <mergeCell ref="A238:B238"/>
    <mergeCell ref="A239:B239"/>
    <mergeCell ref="G217:H230"/>
    <mergeCell ref="A189:B189"/>
    <mergeCell ref="A190:B190"/>
    <mergeCell ref="G130:H130"/>
    <mergeCell ref="A99:B99"/>
    <mergeCell ref="G178:H183"/>
    <mergeCell ref="G187:H200"/>
    <mergeCell ref="A141:H141"/>
    <mergeCell ref="G129:H129"/>
    <mergeCell ref="A124:E124"/>
    <mergeCell ref="C130:D130"/>
    <mergeCell ref="E130:F130"/>
    <mergeCell ref="B142:B143"/>
    <mergeCell ref="A142:A143"/>
    <mergeCell ref="E137:F137"/>
    <mergeCell ref="A150:A151"/>
    <mergeCell ref="G148:H148"/>
    <mergeCell ref="C191:F192"/>
    <mergeCell ref="C195:F195"/>
    <mergeCell ref="C196:F196"/>
    <mergeCell ref="C131:D131"/>
    <mergeCell ref="E131:F131"/>
    <mergeCell ref="G131:H131"/>
    <mergeCell ref="A132:B132"/>
    <mergeCell ref="C132:D132"/>
    <mergeCell ref="E132:F132"/>
    <mergeCell ref="G132:H132"/>
    <mergeCell ref="A17:B17"/>
    <mergeCell ref="C17:H17"/>
    <mergeCell ref="A22:D23"/>
    <mergeCell ref="E22:H23"/>
    <mergeCell ref="A24:D24"/>
    <mergeCell ref="E24:H24"/>
    <mergeCell ref="C129:D129"/>
    <mergeCell ref="A75:B75"/>
    <mergeCell ref="A78:B78"/>
    <mergeCell ref="A74:B74"/>
    <mergeCell ref="A72:B72"/>
    <mergeCell ref="C72:H72"/>
    <mergeCell ref="A80:B80"/>
    <mergeCell ref="A67:C67"/>
    <mergeCell ref="D67:H67"/>
    <mergeCell ref="C74:H74"/>
    <mergeCell ref="A77:B77"/>
    <mergeCell ref="A79:B79"/>
    <mergeCell ref="E75:F75"/>
    <mergeCell ref="A68:C68"/>
    <mergeCell ref="A96:B96"/>
    <mergeCell ref="A81:B81"/>
    <mergeCell ref="F115:H115"/>
    <mergeCell ref="A82:B82"/>
  </mergeCells>
  <hyperlinks>
    <hyperlink ref="C39" r:id="rId1"/>
    <hyperlink ref="M188" r:id="rId2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5" manualBreakCount="5">
    <brk id="99" max="16383" man="1"/>
    <brk id="275" max="16383" man="1"/>
    <brk id="318" max="7" man="1"/>
    <brk id="354" max="16383" man="1"/>
    <brk id="383" max="16383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F18" sqref="F18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1" t="s">
        <v>106</v>
      </c>
      <c r="C3" s="191"/>
      <c r="D3" s="191"/>
      <c r="E3" s="191"/>
      <c r="F3" s="191"/>
      <c r="G3" s="191"/>
      <c r="H3" s="191"/>
    </row>
    <row r="4" spans="1:9" x14ac:dyDescent="0.35">
      <c r="A4" s="2"/>
      <c r="B4" s="3" t="s">
        <v>107</v>
      </c>
      <c r="C4" s="3" t="s">
        <v>108</v>
      </c>
      <c r="D4" s="3" t="s">
        <v>68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2025-09-22T07:14:47Z</cp:lastPrinted>
  <dcterms:created xsi:type="dcterms:W3CDTF">2019-07-16T09:29:46Z</dcterms:created>
  <dcterms:modified xsi:type="dcterms:W3CDTF">2025-09-22T07:21:09Z</dcterms:modified>
</cp:coreProperties>
</file>