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VSJCV\Making\AXIS\2025-26\Axis\APF Old\Sept 2025\08-09-2025\"/>
    </mc:Choice>
  </mc:AlternateContent>
  <bookViews>
    <workbookView xWindow="0" yWindow="0" windowWidth="19200" windowHeight="6640" tabRatio="876"/>
  </bookViews>
  <sheets>
    <sheet name="Sheet" sheetId="1" r:id="rId1"/>
    <sheet name="Note" sheetId="34" r:id="rId2"/>
    <sheet name="Valuation" sheetId="35" r:id="rId3"/>
  </sheets>
  <definedNames>
    <definedName name="_xlnm.Print_Area" localSheetId="0">Sheet!$A$1:$J$379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4" i="1" l="1"/>
  <c r="L83" i="1"/>
  <c r="L82" i="1"/>
  <c r="L81" i="1"/>
  <c r="I74" i="1"/>
  <c r="D86" i="1" l="1"/>
  <c r="D84" i="1"/>
  <c r="D82" i="1"/>
  <c r="D80" i="1"/>
  <c r="L79" i="1"/>
  <c r="L80" i="1" s="1"/>
  <c r="L85" i="1" s="1"/>
  <c r="L86" i="1" s="1"/>
  <c r="C78" i="1" s="1"/>
  <c r="L78" i="1"/>
  <c r="C77" i="1" s="1"/>
  <c r="D77" i="1" s="1"/>
  <c r="L76" i="1"/>
  <c r="D83" i="1"/>
  <c r="D81" i="1"/>
  <c r="D79" i="1"/>
  <c r="L77" i="1"/>
  <c r="D85" i="1"/>
  <c r="F3" i="1"/>
  <c r="F77" i="1" l="1"/>
  <c r="K73" i="1" s="1"/>
  <c r="C75" i="1" s="1"/>
  <c r="D78" i="1"/>
  <c r="H77" i="1"/>
  <c r="L98" i="1"/>
  <c r="L97" i="1"/>
  <c r="L96" i="1"/>
  <c r="L95" i="1"/>
  <c r="I88" i="1"/>
  <c r="L92" i="1" l="1"/>
  <c r="C91" i="1" s="1"/>
  <c r="D91" i="1" s="1"/>
  <c r="L90" i="1"/>
  <c r="D100" i="1"/>
  <c r="D98" i="1"/>
  <c r="D96" i="1"/>
  <c r="D94" i="1"/>
  <c r="L93" i="1"/>
  <c r="L94" i="1" s="1"/>
  <c r="L99" i="1" s="1"/>
  <c r="L100" i="1" s="1"/>
  <c r="C92" i="1" s="1"/>
  <c r="D99" i="1"/>
  <c r="D97" i="1"/>
  <c r="D95" i="1"/>
  <c r="D93" i="1"/>
  <c r="L91" i="1"/>
  <c r="L70" i="1"/>
  <c r="L69" i="1"/>
  <c r="L68" i="1"/>
  <c r="L67" i="1"/>
  <c r="I60" i="1"/>
  <c r="F91" i="1" l="1"/>
  <c r="K87" i="1" s="1"/>
  <c r="C89" i="1" s="1"/>
  <c r="D92" i="1"/>
  <c r="H91" i="1"/>
  <c r="D65" i="1"/>
  <c r="L63" i="1"/>
  <c r="D72" i="1"/>
  <c r="D70" i="1"/>
  <c r="D68" i="1"/>
  <c r="D66" i="1"/>
  <c r="L64" i="1"/>
  <c r="C63" i="1" s="1"/>
  <c r="L62" i="1"/>
  <c r="D71" i="1"/>
  <c r="D67" i="1"/>
  <c r="L65" i="1"/>
  <c r="L66" i="1" s="1"/>
  <c r="L71" i="1" s="1"/>
  <c r="L72" i="1" s="1"/>
  <c r="C64" i="1" s="1"/>
  <c r="D69" i="1"/>
  <c r="G11" i="35"/>
  <c r="G10" i="35"/>
  <c r="G9" i="35"/>
  <c r="G8" i="35"/>
  <c r="G7" i="35"/>
  <c r="G6" i="35"/>
  <c r="G5" i="35"/>
  <c r="G12" i="35" s="1"/>
  <c r="F148" i="1"/>
  <c r="I166" i="1"/>
  <c r="I160" i="1"/>
  <c r="I146" i="1"/>
  <c r="I139" i="1"/>
  <c r="I127" i="1"/>
  <c r="I122" i="1"/>
  <c r="I117" i="1"/>
  <c r="I155" i="1" s="1"/>
  <c r="F167" i="1"/>
  <c r="F151" i="1"/>
  <c r="F146" i="1"/>
  <c r="F130" i="1"/>
  <c r="F125" i="1"/>
  <c r="F124" i="1"/>
  <c r="F123" i="1"/>
  <c r="D130" i="1"/>
  <c r="D129" i="1"/>
  <c r="D128" i="1"/>
  <c r="D127" i="1"/>
  <c r="D125" i="1"/>
  <c r="D124" i="1"/>
  <c r="D123" i="1"/>
  <c r="D122" i="1"/>
  <c r="D120" i="1"/>
  <c r="D119" i="1"/>
  <c r="D118" i="1"/>
  <c r="D117" i="1"/>
  <c r="D144" i="1"/>
  <c r="D139" i="1"/>
  <c r="D151" i="1"/>
  <c r="D150" i="1"/>
  <c r="D149" i="1"/>
  <c r="D148" i="1"/>
  <c r="D147" i="1"/>
  <c r="D146" i="1"/>
  <c r="F144" i="1"/>
  <c r="F143" i="1"/>
  <c r="F141" i="1"/>
  <c r="F140" i="1"/>
  <c r="F139" i="1"/>
  <c r="D143" i="1"/>
  <c r="D142" i="1"/>
  <c r="D141" i="1"/>
  <c r="D140" i="1"/>
  <c r="D137" i="1"/>
  <c r="D136" i="1"/>
  <c r="D135" i="1"/>
  <c r="D134" i="1"/>
  <c r="D170" i="1"/>
  <c r="D169" i="1"/>
  <c r="D168" i="1"/>
  <c r="D167" i="1"/>
  <c r="D166" i="1"/>
  <c r="F164" i="1"/>
  <c r="F163" i="1"/>
  <c r="F162" i="1"/>
  <c r="F161" i="1"/>
  <c r="D164" i="1"/>
  <c r="F7" i="1"/>
  <c r="F39" i="1"/>
  <c r="F40" i="1" s="1"/>
  <c r="D48" i="1" s="1"/>
  <c r="C44" i="1"/>
  <c r="H44" i="1"/>
  <c r="H45" i="1" s="1"/>
  <c r="G111" i="1"/>
  <c r="D155" i="1"/>
  <c r="D156" i="1"/>
  <c r="D157" i="1"/>
  <c r="D158" i="1"/>
  <c r="D160" i="1"/>
  <c r="D161" i="1"/>
  <c r="D162" i="1"/>
  <c r="D163" i="1"/>
  <c r="F63" i="1" l="1"/>
  <c r="D64" i="1"/>
  <c r="H63" i="1"/>
  <c r="D63" i="1"/>
  <c r="K59" i="1" l="1"/>
  <c r="C61" i="1" s="1"/>
</calcChain>
</file>

<file path=xl/sharedStrings.xml><?xml version="1.0" encoding="utf-8"?>
<sst xmlns="http://schemas.openxmlformats.org/spreadsheetml/2006/main" count="392" uniqueCount="200">
  <si>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</si>
  <si>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</si>
  <si>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</si>
  <si>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</si>
  <si>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</si>
  <si>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</si>
  <si>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</si>
  <si>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</si>
  <si>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</si>
  <si>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</si>
  <si>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</si>
  <si>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</si>
  <si>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</si>
  <si>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</si>
  <si>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</si>
  <si>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</si>
  <si>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</si>
  <si>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</si>
  <si>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</si>
  <si>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</si>
  <si>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</si>
  <si>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</si>
  <si>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</si>
  <si>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</si>
  <si>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</si>
  <si>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</si>
  <si>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</si>
  <si>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</si>
  <si>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</si>
  <si>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</si>
  <si>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</si>
  <si>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</si>
  <si>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</si>
  <si>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</si>
  <si>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</si>
  <si>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</si>
  <si>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</si>
  <si>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</si>
  <si>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</si>
  <si>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</si>
  <si>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</si>
  <si>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</si>
  <si>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r>
      <t xml:space="preserve">Construction details:    </t>
    </r>
    <r>
      <rPr>
        <b/>
        <sz val="11"/>
        <color indexed="8"/>
        <rFont val="Times New Roman"/>
        <family val="1"/>
      </rPr>
      <t xml:space="preserve">                                                              </t>
    </r>
  </si>
  <si>
    <t xml:space="preserve">Valuation Report </t>
  </si>
  <si>
    <t xml:space="preserve">Details of Flats in Building   </t>
  </si>
  <si>
    <t>Yes</t>
  </si>
  <si>
    <t>NA</t>
  </si>
  <si>
    <t>South</t>
  </si>
  <si>
    <t xml:space="preserve">Distance from city centre: </t>
  </si>
  <si>
    <t>Plane</t>
  </si>
  <si>
    <t xml:space="preserve">4)  The saleable area is as per Our Calculation.  </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</si>
  <si>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</si>
  <si>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</si>
  <si>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</si>
  <si>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</si>
  <si>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</si>
  <si>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</si>
  <si>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</si>
  <si>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</si>
  <si>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</si>
  <si>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</si>
  <si>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</si>
  <si>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</si>
  <si>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</si>
  <si>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</si>
  <si>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Floors</t>
  </si>
  <si>
    <t>Floor rise rate  Per Sq. Ft.</t>
  </si>
  <si>
    <t>Society formation charges</t>
  </si>
  <si>
    <t>Flat</t>
  </si>
  <si>
    <t xml:space="preserve">Recommended rate of Parking </t>
  </si>
  <si>
    <t>Approved area of the building in Sq.Mt</t>
  </si>
  <si>
    <t xml:space="preserve">O. Certificate No.: </t>
  </si>
  <si>
    <t xml:space="preserve">Date of approval: </t>
  </si>
  <si>
    <t>Contect Details ( Name &amp; Contect No.)</t>
  </si>
  <si>
    <t>Does property have Electricity / Water / Drainage Connection</t>
  </si>
  <si>
    <t>PLC charges</t>
  </si>
  <si>
    <t>Club Charges</t>
  </si>
  <si>
    <t>Any Other amenities</t>
  </si>
  <si>
    <t>Distressed valuation of the Property</t>
  </si>
  <si>
    <t>Building details Floor Wise</t>
  </si>
  <si>
    <t>Floor</t>
  </si>
  <si>
    <t>Type of Structure : RCC Frame Structure</t>
  </si>
  <si>
    <t>Approved no of units</t>
  </si>
  <si>
    <t>Google Map :</t>
  </si>
  <si>
    <t>Middle Class</t>
  </si>
  <si>
    <t>Developing</t>
  </si>
  <si>
    <t>RERA No.</t>
  </si>
  <si>
    <t>Recommended rate of the flat Per Sq. Ft. ( on Saleable area)</t>
  </si>
  <si>
    <t>Gross Carpet area</t>
  </si>
  <si>
    <t xml:space="preserve">Approved Floor plan No.  </t>
  </si>
  <si>
    <t>Accessibility to the Project from the City:
(Proximity to civic amenities like school, hospital, market)</t>
  </si>
  <si>
    <t>Name / No of the Building</t>
  </si>
  <si>
    <t>KPS Park</t>
  </si>
  <si>
    <t>P52000020029</t>
  </si>
  <si>
    <t>Survey No</t>
  </si>
  <si>
    <t>142/2, 144/0</t>
  </si>
  <si>
    <t>Shivkar</t>
  </si>
  <si>
    <t>Internal Road</t>
  </si>
  <si>
    <t>Raigad</t>
  </si>
  <si>
    <t>Panvel</t>
  </si>
  <si>
    <t>House</t>
  </si>
  <si>
    <t>Open</t>
  </si>
  <si>
    <r>
      <t xml:space="preserve">Approved usage of the Property: </t>
    </r>
    <r>
      <rPr>
        <sz val="11"/>
        <rFont val="Times New Roman"/>
        <family val="1"/>
      </rPr>
      <t>Residential</t>
    </r>
    <r>
      <rPr>
        <sz val="11"/>
        <color indexed="8"/>
        <rFont val="Times New Roman"/>
        <family val="1"/>
      </rPr>
      <t xml:space="preserve">
(Restrictive Covenants in regard to Land Use, if any)                                                                                                                                                </t>
    </r>
  </si>
  <si>
    <t>CIDCO/NAINA/Panvel/Shivkar/BP-339/CC/2019/284</t>
  </si>
  <si>
    <t>28/02/2019.</t>
  </si>
  <si>
    <t>Ground Floor</t>
  </si>
  <si>
    <t>1 RK</t>
  </si>
  <si>
    <t>N</t>
  </si>
  <si>
    <t>1 BHK</t>
  </si>
  <si>
    <t>2nd &amp; 4th Floors.</t>
  </si>
  <si>
    <t>1st &amp; 3rd Floors.</t>
  </si>
  <si>
    <t>Building No.- 02</t>
  </si>
  <si>
    <t>A Wing</t>
  </si>
  <si>
    <t>2 BHK</t>
  </si>
  <si>
    <t>Ground Floor Residential &amp; Parking.</t>
  </si>
  <si>
    <t>B Wing</t>
  </si>
  <si>
    <t>Axis Sanpada.</t>
  </si>
  <si>
    <t>M/s.KPS Enterprises</t>
  </si>
  <si>
    <t>Building No.1
Building No.2 (A &amp; B Wings)</t>
  </si>
  <si>
    <t>Builder Saleable area</t>
  </si>
  <si>
    <t>100000/-</t>
  </si>
  <si>
    <t>About 4.7 Km from Panvel Railway Station</t>
  </si>
  <si>
    <t>Approved Plans, CC &amp; Cost Sheet.</t>
  </si>
  <si>
    <t>Pratiksha</t>
  </si>
  <si>
    <t>Market Research Data</t>
  </si>
  <si>
    <t>Source</t>
  </si>
  <si>
    <t>Distance from proposed property</t>
  </si>
  <si>
    <t>Net Carpet</t>
  </si>
  <si>
    <t>Saleable Area</t>
  </si>
  <si>
    <t>Rate on Saleable</t>
  </si>
  <si>
    <t>Market Value</t>
  </si>
  <si>
    <t>Housing</t>
  </si>
  <si>
    <t>Proptiger</t>
  </si>
  <si>
    <t>Magic Brick</t>
  </si>
  <si>
    <t>99 Acres</t>
  </si>
  <si>
    <t>Average</t>
  </si>
  <si>
    <t xml:space="preserve">Valuation Adopted </t>
  </si>
  <si>
    <t>Building No.1, 2</t>
  </si>
  <si>
    <t>PHOTOGRAPHS OF PROPERTY :  KPS Park</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</si>
  <si>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</si>
  <si>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</si>
  <si>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</si>
  <si>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</si>
  <si>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</si>
  <si>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</si>
  <si>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</si>
  <si>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</si>
  <si>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</si>
  <si>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</si>
  <si>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</si>
  <si>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</si>
  <si>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</si>
  <si>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</si>
  <si>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</si>
  <si>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</si>
  <si>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</si>
  <si>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</si>
  <si>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</si>
  <si>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</si>
  <si>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</si>
  <si>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</si>
  <si>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</si>
  <si>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</si>
  <si>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</si>
  <si>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</si>
  <si>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</si>
  <si>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</si>
  <si>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</si>
  <si>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</si>
  <si>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</si>
  <si>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</si>
  <si>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</si>
  <si>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 + 1st to 4th Floor</t>
  </si>
  <si>
    <t>Development charges</t>
  </si>
  <si>
    <t>2,50,000/-</t>
  </si>
  <si>
    <t>Building No.1 = Gr + 1st to 4th Floor</t>
  </si>
  <si>
    <t>03 Buildings</t>
  </si>
  <si>
    <t xml:space="preserve">Office No. 1031, Wing J, Akshar Business Park, Plot No. 03 Sector 25, Near APMC Market, Vashi, Navi Mumbai, Maharashtra 400703 TEL: 022-46090378/79/80                                                                                                     E mail : vsjcapf@gmail.com. Web site : www.vsjadon.com
</t>
  </si>
  <si>
    <t>Location Link</t>
  </si>
  <si>
    <t>https://goo.gl/maps/USsn7aCCncr1c6qq9?coh=178572&amp;entry=tt</t>
  </si>
  <si>
    <t>Building No.2 (A) = Gr + 1st to 4th Floor</t>
  </si>
  <si>
    <t>Building No.2 (B) = Gr + 1st to 4th Floor</t>
  </si>
  <si>
    <t>Building No. 01</t>
  </si>
  <si>
    <t>18.9838633,73.149551</t>
  </si>
  <si>
    <t>CIDCO/NAINA/Panvel/Shivkar/BP-339/CC/2019/284
Building No.1 = G + 4th Floor
Building No.2 (A &amp; B Wings) = G + 4th Floor</t>
  </si>
  <si>
    <t xml:space="preserve">Commencement Certificate No.
Valid Up to: </t>
  </si>
  <si>
    <t xml:space="preserve">Quality of construction: </t>
  </si>
  <si>
    <t xml:space="preserve">Projected life of the structure: </t>
  </si>
  <si>
    <t>60 Years After Completion</t>
  </si>
  <si>
    <t>Material laying at Site: :</t>
  </si>
  <si>
    <t>Bricks, Cement &amp; Steel etc.</t>
  </si>
  <si>
    <t xml:space="preserve">Proposed Amenities : </t>
  </si>
  <si>
    <t>1.Vitrified tiles flooring 2. Granite Kitchen Platform  3. Decorative Enternace  etc.</t>
  </si>
  <si>
    <t xml:space="preserve">Violations Observed if any : </t>
  </si>
  <si>
    <t xml:space="preserve">Wheather the construction is as per approved Building plan : </t>
  </si>
  <si>
    <t>Under Construction</t>
  </si>
  <si>
    <t>KPS Park, Survey No. - 142/2, 144/0,  Village - Shivkar, Panvel, Raigad. 410206</t>
  </si>
  <si>
    <t>Chhatrapati Shivaji Maharaj smarak</t>
  </si>
  <si>
    <t>Remark No. 8</t>
  </si>
  <si>
    <t xml:space="preserve">Remarks:  
1. Building 1A = Construction work is in process at the time of the visit.
    Building 2A &amp; 2B = Construction work is in process at the time of the visit.
2. We considered Saleable area as per Builders Area Sheet.
3. We considered Carpet area as per Approved Plan.
4. We have considered rate by verifying it from market inquire.
5. Recommended rate should be considered as all inclusive rate if other charges are not mentioned. (Excluding GST &amp; other government Taxes)
6. Car parking is subjected to authentic documentation.
7. The project has received first CC on 28/02/2019, But construction work is not yet Completed.
8. Earlier we were misguided with building nomenclature and wrong Banner was attached on site.
Now we have recitified the error and construction is given as per layout plan and builder sale 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</si>
</sst>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6"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2"/>
      <name val="Times New Roman"/>
      <family val="1"/>
    </font>
    <font>
      <b/>
      <sz val="11.5"/>
      <color indexed="8"/>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b/>
      <sz val="11"/>
      <color rgb="FFFFFFFF"/>
      <name val="Calibri"/>
      <family val="2"/>
      <scheme val="minor"/>
    </font>
    <font>
      <sz val="11"/>
      <color theme="1"/>
      <name val="Times New Roman"/>
      <family val="1"/>
    </font>
    <font>
      <sz val="12"/>
      <color theme="1"/>
      <name val="Times New Roman"/>
      <family val="1"/>
    </font>
    <font>
      <sz val="11"/>
      <color rgb="FF000000"/>
      <name val="Times New Roman"/>
      <family val="1"/>
    </font>
    <font>
      <sz val="11"/>
      <color rgb="FF000000"/>
      <name val="Calibri"/>
      <family val="2"/>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5" fillId="0" borderId="0"/>
    <xf numFmtId="0" fontId="15" fillId="0" borderId="0"/>
    <xf numFmtId="0" fontId="23" fillId="0" borderId="0"/>
    <xf numFmtId="0" fontId="24" fillId="0" borderId="0" applyNumberFormat="0" applyFill="0" applyBorder="0" applyAlignment="0" applyProtection="0"/>
  </cellStyleXfs>
  <cellXfs count="198">
    <xf numFmtId="0" fontId="0" fillId="0" borderId="0" xfId="0"/>
    <xf numFmtId="0" fontId="2" fillId="0" borderId="0" xfId="2"/>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3" fillId="0" borderId="0" xfId="0" applyFont="1" applyAlignment="1">
      <alignment vertical="top" wrapText="1"/>
    </xf>
    <xf numFmtId="1" fontId="13" fillId="0" borderId="2" xfId="0" applyNumberFormat="1" applyFont="1" applyBorder="1" applyAlignment="1">
      <alignment horizontal="center" vertical="center" wrapText="1"/>
    </xf>
    <xf numFmtId="1" fontId="14" fillId="0" borderId="2" xfId="0" applyNumberFormat="1" applyFont="1" applyBorder="1" applyAlignment="1">
      <alignment horizontal="center" vertical="top" wrapText="1"/>
    </xf>
    <xf numFmtId="14" fontId="1" fillId="0" borderId="0" xfId="3" applyNumberFormat="1"/>
    <xf numFmtId="0" fontId="1" fillId="0" borderId="0" xfId="3"/>
    <xf numFmtId="0" fontId="15" fillId="0" borderId="0" xfId="4"/>
    <xf numFmtId="0" fontId="16" fillId="0" borderId="2" xfId="4" applyFont="1" applyBorder="1" applyAlignment="1">
      <alignment horizontal="center" vertical="top" wrapText="1"/>
    </xf>
    <xf numFmtId="0" fontId="15" fillId="0" borderId="2" xfId="4" applyBorder="1" applyAlignment="1">
      <alignment horizontal="center" vertical="center"/>
    </xf>
    <xf numFmtId="0" fontId="15" fillId="0" borderId="2" xfId="4" applyBorder="1" applyAlignment="1">
      <alignment horizontal="left" vertical="center"/>
    </xf>
    <xf numFmtId="1" fontId="15" fillId="0" borderId="2" xfId="4" applyNumberFormat="1" applyBorder="1" applyAlignment="1">
      <alignment horizontal="center" vertical="center"/>
    </xf>
    <xf numFmtId="165" fontId="15" fillId="0" borderId="2" xfId="1" applyNumberFormat="1" applyFont="1" applyBorder="1" applyAlignment="1">
      <alignment horizontal="right" vertical="center"/>
    </xf>
    <xf numFmtId="0" fontId="15" fillId="0" borderId="2" xfId="4" applyBorder="1" applyAlignment="1">
      <alignment horizontal="left" vertical="center" wrapText="1"/>
    </xf>
    <xf numFmtId="0" fontId="16" fillId="0" borderId="2" xfId="4" applyFont="1" applyBorder="1" applyAlignment="1">
      <alignment horizontal="center" vertical="center"/>
    </xf>
    <xf numFmtId="1" fontId="17" fillId="0" borderId="2" xfId="4" applyNumberFormat="1" applyFont="1" applyBorder="1" applyAlignment="1">
      <alignment horizontal="center" vertical="center"/>
    </xf>
    <xf numFmtId="0" fontId="1" fillId="0" borderId="2" xfId="3" applyBorder="1" applyAlignment="1">
      <alignment horizontal="center" vertical="center"/>
    </xf>
    <xf numFmtId="0" fontId="18" fillId="0" borderId="0" xfId="3" applyFont="1"/>
    <xf numFmtId="0" fontId="19" fillId="0" borderId="0" xfId="0" applyFont="1"/>
    <xf numFmtId="0" fontId="16" fillId="0" borderId="0" xfId="0" applyFont="1"/>
    <xf numFmtId="0" fontId="21" fillId="0" borderId="14" xfId="5" applyFont="1" applyBorder="1" applyProtection="1">
      <protection hidden="1"/>
    </xf>
    <xf numFmtId="0" fontId="21" fillId="0" borderId="17" xfId="5" applyFont="1" applyBorder="1" applyProtection="1">
      <protection hidden="1"/>
    </xf>
    <xf numFmtId="0" fontId="21" fillId="0" borderId="17" xfId="5" applyFont="1" applyBorder="1"/>
    <xf numFmtId="0" fontId="22" fillId="0" borderId="17" xfId="0" applyFont="1" applyBorder="1" applyProtection="1">
      <protection hidden="1"/>
    </xf>
    <xf numFmtId="1" fontId="0" fillId="0" borderId="17" xfId="0" applyNumberFormat="1" applyBorder="1"/>
    <xf numFmtId="1" fontId="0" fillId="0" borderId="17" xfId="0" applyNumberFormat="1" applyBorder="1" applyAlignment="1">
      <alignment horizontal="right"/>
    </xf>
    <xf numFmtId="0" fontId="0" fillId="0" borderId="17" xfId="0" applyBorder="1"/>
    <xf numFmtId="1" fontId="0" fillId="0" borderId="21" xfId="0" applyNumberFormat="1" applyBorder="1"/>
    <xf numFmtId="0" fontId="20" fillId="0" borderId="13" xfId="5" applyFont="1" applyBorder="1" applyProtection="1">
      <protection hidden="1"/>
    </xf>
    <xf numFmtId="0" fontId="20" fillId="0" borderId="14" xfId="5" applyFont="1" applyBorder="1" applyProtection="1">
      <protection hidden="1"/>
    </xf>
    <xf numFmtId="0" fontId="9" fillId="0" borderId="15" xfId="5" applyFont="1" applyBorder="1" applyAlignment="1" applyProtection="1">
      <alignment horizontal="center" vertical="top"/>
      <protection locked="0"/>
    </xf>
    <xf numFmtId="0" fontId="9" fillId="0" borderId="2" xfId="5" applyFont="1" applyBorder="1" applyAlignment="1" applyProtection="1">
      <alignment horizontal="center" vertical="top"/>
      <protection locked="0"/>
    </xf>
    <xf numFmtId="0" fontId="20" fillId="0" borderId="0" xfId="5" applyFont="1" applyProtection="1">
      <protection hidden="1"/>
    </xf>
    <xf numFmtId="0" fontId="20" fillId="0" borderId="17" xfId="5" applyFont="1" applyBorder="1" applyProtection="1">
      <protection hidden="1"/>
    </xf>
    <xf numFmtId="0" fontId="22" fillId="0" borderId="0" xfId="6" applyFont="1" applyProtection="1">
      <protection hidden="1"/>
    </xf>
    <xf numFmtId="0" fontId="20" fillId="0" borderId="17" xfId="5" applyFont="1" applyBorder="1"/>
    <xf numFmtId="0" fontId="22" fillId="0" borderId="17" xfId="6" applyFont="1" applyBorder="1" applyProtection="1">
      <protection hidden="1"/>
    </xf>
    <xf numFmtId="1" fontId="23" fillId="0" borderId="17" xfId="6" applyNumberFormat="1" applyBorder="1"/>
    <xf numFmtId="1" fontId="23" fillId="0" borderId="17" xfId="6" applyNumberFormat="1" applyBorder="1" applyAlignment="1">
      <alignment horizontal="right"/>
    </xf>
    <xf numFmtId="0" fontId="22" fillId="0" borderId="20" xfId="6" applyFont="1" applyBorder="1" applyProtection="1">
      <protection hidden="1"/>
    </xf>
    <xf numFmtId="1" fontId="23" fillId="0" borderId="21" xfId="6" applyNumberFormat="1" applyBorder="1"/>
    <xf numFmtId="0" fontId="9" fillId="0" borderId="2" xfId="5" applyFont="1" applyBorder="1" applyAlignment="1" applyProtection="1">
      <alignment horizontal="center" vertical="top" wrapText="1"/>
      <protection locked="0"/>
    </xf>
    <xf numFmtId="0" fontId="9" fillId="0" borderId="2" xfId="5" applyFont="1" applyBorder="1" applyAlignment="1" applyProtection="1">
      <alignment horizontal="center" wrapText="1"/>
      <protection locked="0"/>
    </xf>
    <xf numFmtId="1" fontId="9" fillId="0" borderId="2" xfId="5" applyNumberFormat="1" applyFont="1" applyBorder="1" applyAlignment="1" applyProtection="1">
      <alignment horizontal="center" wrapText="1"/>
      <protection locked="0"/>
    </xf>
    <xf numFmtId="0" fontId="9" fillId="0" borderId="19" xfId="5" applyFont="1" applyBorder="1" applyAlignment="1" applyProtection="1">
      <alignment horizontal="center" wrapText="1"/>
      <protection locked="0"/>
    </xf>
    <xf numFmtId="0" fontId="0" fillId="0" borderId="0" xfId="0" applyAlignment="1">
      <alignment wrapText="1"/>
    </xf>
    <xf numFmtId="0" fontId="4" fillId="2" borderId="2" xfId="0" applyFont="1" applyFill="1" applyBorder="1" applyAlignment="1">
      <alignment horizontal="left" vertical="top"/>
    </xf>
    <xf numFmtId="0" fontId="9" fillId="0" borderId="33" xfId="5" applyFont="1" applyBorder="1" applyAlignment="1" applyProtection="1">
      <alignment horizontal="center" wrapText="1"/>
      <protection locked="0"/>
    </xf>
    <xf numFmtId="0" fontId="4" fillId="0" borderId="1"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14" fontId="4" fillId="0" borderId="1" xfId="0" applyNumberFormat="1" applyFont="1" applyBorder="1" applyAlignment="1">
      <alignment horizontal="left" vertical="top"/>
    </xf>
    <xf numFmtId="14" fontId="4" fillId="0" borderId="6" xfId="0" applyNumberFormat="1" applyFont="1" applyBorder="1" applyAlignment="1">
      <alignment horizontal="left" vertical="top"/>
    </xf>
    <xf numFmtId="14" fontId="4" fillId="0" borderId="5" xfId="0" applyNumberFormat="1" applyFont="1" applyBorder="1" applyAlignment="1">
      <alignment horizontal="left" vertical="top"/>
    </xf>
    <xf numFmtId="0" fontId="4" fillId="0" borderId="2" xfId="0" applyFont="1" applyBorder="1" applyAlignment="1">
      <alignment horizontal="left" vertical="top" wrapText="1"/>
    </xf>
    <xf numFmtId="0" fontId="4" fillId="0" borderId="2" xfId="0" applyFont="1" applyBorder="1" applyAlignment="1">
      <alignment horizontal="left" vertical="top"/>
    </xf>
    <xf numFmtId="14" fontId="4" fillId="0" borderId="1" xfId="0" applyNumberFormat="1" applyFont="1" applyBorder="1" applyAlignment="1">
      <alignment horizontal="left" vertical="top" wrapText="1"/>
    </xf>
    <xf numFmtId="14" fontId="4" fillId="0" borderId="6" xfId="0" applyNumberFormat="1" applyFont="1" applyBorder="1" applyAlignment="1">
      <alignment horizontal="left" vertical="top" wrapText="1"/>
    </xf>
    <xf numFmtId="14" fontId="4" fillId="0" borderId="5" xfId="0" applyNumberFormat="1" applyFont="1" applyBorder="1" applyAlignment="1">
      <alignment horizontal="left" vertical="top" wrapText="1"/>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9" fillId="0" borderId="2" xfId="5" applyFont="1" applyBorder="1" applyAlignment="1" applyProtection="1">
      <alignment horizontal="center" vertical="top" wrapText="1"/>
      <protection locked="0"/>
    </xf>
    <xf numFmtId="9" fontId="9" fillId="2" borderId="2" xfId="5" applyNumberFormat="1" applyFont="1" applyFill="1" applyBorder="1" applyAlignment="1" applyProtection="1">
      <alignment horizontal="center" vertical="center" wrapText="1"/>
      <protection hidden="1"/>
    </xf>
    <xf numFmtId="0" fontId="9" fillId="0" borderId="33" xfId="5" applyFont="1" applyBorder="1" applyAlignment="1" applyProtection="1">
      <alignment horizontal="center" vertical="top" wrapText="1"/>
      <protection locked="0"/>
    </xf>
    <xf numFmtId="9" fontId="9" fillId="2" borderId="33" xfId="5" applyNumberFormat="1" applyFont="1" applyFill="1" applyBorder="1" applyAlignment="1" applyProtection="1">
      <alignment horizontal="center" vertical="center" wrapText="1"/>
      <protection hidden="1"/>
    </xf>
    <xf numFmtId="0" fontId="8" fillId="0" borderId="2" xfId="5" applyFont="1" applyBorder="1" applyAlignment="1" applyProtection="1">
      <alignment horizontal="left" vertical="top"/>
      <protection locked="0"/>
    </xf>
    <xf numFmtId="0" fontId="8" fillId="0" borderId="2" xfId="5" applyFont="1" applyBorder="1" applyAlignment="1" applyProtection="1">
      <alignment horizontal="left" vertical="top" wrapText="1"/>
      <protection locked="0"/>
    </xf>
    <xf numFmtId="0" fontId="24" fillId="0" borderId="1" xfId="7" applyFill="1" applyBorder="1" applyAlignment="1">
      <alignment horizontal="left" vertical="top"/>
    </xf>
    <xf numFmtId="0" fontId="8" fillId="0" borderId="2" xfId="5" applyFont="1" applyBorder="1" applyAlignment="1" applyProtection="1">
      <alignment horizontal="center" vertical="top" wrapText="1"/>
      <protection locked="0"/>
    </xf>
    <xf numFmtId="0" fontId="9" fillId="0" borderId="2" xfId="5" applyFont="1" applyBorder="1" applyAlignment="1" applyProtection="1">
      <alignment horizontal="center" vertical="top"/>
      <protection locked="0"/>
    </xf>
    <xf numFmtId="0" fontId="3" fillId="0" borderId="2" xfId="0" applyFont="1" applyBorder="1" applyAlignment="1">
      <alignment horizontal="left" vertical="top"/>
    </xf>
    <xf numFmtId="0" fontId="4" fillId="2" borderId="2" xfId="0" applyFont="1" applyFill="1" applyBorder="1" applyAlignment="1">
      <alignment horizontal="left" vertical="top"/>
    </xf>
    <xf numFmtId="1" fontId="10" fillId="0" borderId="2" xfId="0" applyNumberFormat="1" applyFont="1" applyBorder="1" applyAlignment="1">
      <alignment horizontal="center" vertical="center" wrapText="1"/>
    </xf>
    <xf numFmtId="0" fontId="3" fillId="0" borderId="1" xfId="0" applyFont="1" applyBorder="1" applyAlignment="1">
      <alignment vertical="top"/>
    </xf>
    <xf numFmtId="0" fontId="3" fillId="0" borderId="6" xfId="0" applyFont="1" applyBorder="1" applyAlignment="1">
      <alignment vertical="top"/>
    </xf>
    <xf numFmtId="0" fontId="3" fillId="0" borderId="5" xfId="0" applyFont="1" applyBorder="1" applyAlignment="1">
      <alignment vertical="top"/>
    </xf>
    <xf numFmtId="0" fontId="8" fillId="0" borderId="22" xfId="5" applyFont="1" applyBorder="1" applyAlignment="1" applyProtection="1">
      <alignment horizontal="center" vertical="top" wrapText="1"/>
      <protection locked="0"/>
    </xf>
    <xf numFmtId="0" fontId="8" fillId="0" borderId="23" xfId="5" applyFont="1" applyBorder="1" applyAlignment="1" applyProtection="1">
      <alignment horizontal="center" vertical="top" wrapText="1"/>
      <protection locked="0"/>
    </xf>
    <xf numFmtId="0" fontId="8" fillId="0" borderId="24" xfId="5" applyFont="1" applyBorder="1" applyAlignment="1" applyProtection="1">
      <alignment horizontal="left" vertical="top" wrapText="1"/>
      <protection locked="0"/>
    </xf>
    <xf numFmtId="0" fontId="8" fillId="0" borderId="25" xfId="5" applyFont="1" applyBorder="1" applyAlignment="1" applyProtection="1">
      <alignment horizontal="left" vertical="top" wrapText="1"/>
      <protection locked="0"/>
    </xf>
    <xf numFmtId="0" fontId="8" fillId="0" borderId="26" xfId="5" applyFont="1" applyBorder="1" applyAlignment="1" applyProtection="1">
      <alignment horizontal="left" vertical="top" wrapText="1"/>
      <protection locked="0"/>
    </xf>
    <xf numFmtId="0" fontId="9" fillId="0" borderId="1" xfId="5" applyFont="1" applyBorder="1" applyAlignment="1" applyProtection="1">
      <alignment horizontal="center" vertical="top"/>
      <protection locked="0"/>
    </xf>
    <xf numFmtId="0" fontId="9" fillId="0" borderId="27" xfId="5" applyFont="1" applyBorder="1" applyAlignment="1" applyProtection="1">
      <alignment horizontal="center" vertical="top"/>
      <protection locked="0"/>
    </xf>
    <xf numFmtId="0" fontId="8" fillId="0" borderId="15" xfId="5" applyFont="1" applyBorder="1" applyAlignment="1" applyProtection="1">
      <alignment horizontal="left" vertical="top"/>
      <protection locked="0"/>
    </xf>
    <xf numFmtId="0" fontId="8" fillId="0" borderId="1" xfId="5" applyFont="1" applyBorder="1" applyAlignment="1" applyProtection="1">
      <alignment horizontal="left" vertical="top" wrapText="1"/>
      <protection locked="0"/>
    </xf>
    <xf numFmtId="0" fontId="8" fillId="0" borderId="6" xfId="5" applyFont="1" applyBorder="1" applyAlignment="1" applyProtection="1">
      <alignment horizontal="left" vertical="top" wrapText="1"/>
      <protection locked="0"/>
    </xf>
    <xf numFmtId="0" fontId="8" fillId="0" borderId="27" xfId="5" applyFont="1" applyBorder="1" applyAlignment="1" applyProtection="1">
      <alignment horizontal="left" vertical="top" wrapText="1"/>
      <protection locked="0"/>
    </xf>
    <xf numFmtId="0" fontId="9" fillId="0" borderId="28" xfId="5" applyFont="1" applyBorder="1" applyAlignment="1" applyProtection="1">
      <alignment horizontal="center" vertical="top" wrapText="1"/>
      <protection locked="0"/>
    </xf>
    <xf numFmtId="0" fontId="9" fillId="0" borderId="5" xfId="5" applyFont="1" applyBorder="1" applyAlignment="1" applyProtection="1">
      <alignment horizontal="center" vertical="top" wrapText="1"/>
      <protection locked="0"/>
    </xf>
    <xf numFmtId="0" fontId="9" fillId="0" borderId="16" xfId="5" applyFont="1" applyBorder="1" applyAlignment="1" applyProtection="1">
      <alignment horizontal="center" vertical="top" wrapText="1"/>
      <protection locked="0"/>
    </xf>
    <xf numFmtId="0" fontId="4" fillId="2" borderId="1"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0" borderId="1" xfId="0" applyFont="1" applyBorder="1" applyAlignment="1">
      <alignment horizontal="center" vertical="top"/>
    </xf>
    <xf numFmtId="0" fontId="3" fillId="0" borderId="6" xfId="0" applyFont="1" applyBorder="1" applyAlignment="1">
      <alignment horizontal="center" vertical="top"/>
    </xf>
    <xf numFmtId="0" fontId="3" fillId="0" borderId="5" xfId="0" applyFont="1" applyBorder="1" applyAlignment="1">
      <alignment horizontal="center" vertical="top"/>
    </xf>
    <xf numFmtId="0" fontId="5" fillId="0" borderId="1"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9" fillId="0" borderId="1"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4" fillId="0" borderId="7" xfId="0" applyFont="1" applyBorder="1" applyAlignment="1">
      <alignment horizontal="left" vertical="top"/>
    </xf>
    <xf numFmtId="0" fontId="4" fillId="0" borderId="4" xfId="0" applyFont="1" applyBorder="1" applyAlignment="1">
      <alignment horizontal="left" vertical="top"/>
    </xf>
    <xf numFmtId="0" fontId="4" fillId="0" borderId="8" xfId="0" applyFont="1" applyBorder="1" applyAlignment="1">
      <alignment horizontal="left" vertical="top"/>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4" fillId="0" borderId="7"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3" xfId="0" applyFont="1" applyBorder="1" applyAlignment="1">
      <alignment horizontal="left" vertical="top" wrapText="1"/>
    </xf>
    <xf numFmtId="0" fontId="5" fillId="0" borderId="12" xfId="0" applyFont="1" applyBorder="1" applyAlignment="1">
      <alignment horizontal="left" vertical="top" wrapText="1"/>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4" fillId="0" borderId="1"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9" fillId="0" borderId="1" xfId="0" applyFont="1" applyBorder="1" applyAlignment="1">
      <alignment vertical="top" wrapText="1"/>
    </xf>
    <xf numFmtId="0" fontId="9" fillId="0" borderId="6" xfId="0" applyFont="1" applyBorder="1" applyAlignment="1">
      <alignment vertical="top" wrapText="1"/>
    </xf>
    <xf numFmtId="0" fontId="9" fillId="0" borderId="5" xfId="0" applyFont="1" applyBorder="1" applyAlignment="1">
      <alignment vertical="top" wrapText="1"/>
    </xf>
    <xf numFmtId="0" fontId="5" fillId="0" borderId="1"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vertical="top"/>
    </xf>
    <xf numFmtId="0" fontId="5" fillId="0" borderId="5" xfId="0" applyFont="1" applyBorder="1" applyAlignment="1">
      <alignment vertical="top"/>
    </xf>
    <xf numFmtId="0" fontId="20" fillId="2" borderId="2" xfId="0" applyFont="1" applyFill="1" applyBorder="1" applyAlignment="1">
      <alignment horizontal="left" vertical="top" wrapText="1"/>
    </xf>
    <xf numFmtId="0" fontId="5" fillId="0" borderId="2" xfId="0" applyFont="1" applyBorder="1" applyAlignment="1">
      <alignment horizontal="left" vertical="top"/>
    </xf>
    <xf numFmtId="0" fontId="3" fillId="0" borderId="2" xfId="0" applyFont="1" applyBorder="1" applyAlignment="1">
      <alignment horizontal="center" vertical="top" wrapText="1"/>
    </xf>
    <xf numFmtId="0" fontId="7" fillId="0" borderId="6" xfId="0" applyFont="1" applyBorder="1" applyAlignment="1">
      <alignment horizontal="left" vertical="top"/>
    </xf>
    <xf numFmtId="0" fontId="7" fillId="0" borderId="5" xfId="0" applyFont="1" applyBorder="1" applyAlignment="1">
      <alignment horizontal="left" vertical="top"/>
    </xf>
    <xf numFmtId="0" fontId="4" fillId="2" borderId="1" xfId="0" applyFont="1" applyFill="1" applyBorder="1" applyAlignment="1">
      <alignment horizontal="left" vertical="top"/>
    </xf>
    <xf numFmtId="0" fontId="4" fillId="2" borderId="6" xfId="0" applyFont="1" applyFill="1" applyBorder="1" applyAlignment="1">
      <alignment horizontal="left" vertical="top"/>
    </xf>
    <xf numFmtId="0" fontId="4" fillId="2" borderId="5" xfId="0" applyFont="1" applyFill="1" applyBorder="1" applyAlignment="1">
      <alignment horizontal="left" vertical="top"/>
    </xf>
    <xf numFmtId="0" fontId="11" fillId="0" borderId="1" xfId="0" applyFont="1" applyBorder="1" applyAlignment="1">
      <alignment horizontal="center" vertical="top"/>
    </xf>
    <xf numFmtId="0" fontId="11" fillId="0" borderId="6" xfId="0" applyFont="1" applyBorder="1" applyAlignment="1">
      <alignment horizontal="center" vertical="top"/>
    </xf>
    <xf numFmtId="0" fontId="11" fillId="0" borderId="5" xfId="0" applyFont="1" applyBorder="1" applyAlignment="1">
      <alignment horizontal="center" vertical="top"/>
    </xf>
    <xf numFmtId="0" fontId="5" fillId="0" borderId="1" xfId="0" applyFont="1" applyBorder="1" applyAlignment="1">
      <alignment vertical="top"/>
    </xf>
    <xf numFmtId="0" fontId="25" fillId="0" borderId="2" xfId="2" applyFont="1" applyBorder="1" applyAlignment="1">
      <alignment horizontal="left" vertical="top" wrapText="1"/>
    </xf>
    <xf numFmtId="1" fontId="10" fillId="0" borderId="7" xfId="0" applyNumberFormat="1" applyFont="1" applyBorder="1" applyAlignment="1">
      <alignment horizontal="center" vertical="center" wrapText="1"/>
    </xf>
    <xf numFmtId="1" fontId="10" fillId="0" borderId="8"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1" fontId="10" fillId="0" borderId="10" xfId="0" applyNumberFormat="1" applyFont="1" applyBorder="1" applyAlignment="1">
      <alignment horizontal="center" vertical="center" wrapText="1"/>
    </xf>
    <xf numFmtId="1" fontId="10" fillId="0" borderId="11" xfId="0" applyNumberFormat="1" applyFont="1" applyBorder="1" applyAlignment="1">
      <alignment horizontal="center" vertical="center" wrapText="1"/>
    </xf>
    <xf numFmtId="1" fontId="10" fillId="0" borderId="12"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0" fontId="3" fillId="0" borderId="1"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4" fillId="2" borderId="2" xfId="0" applyFont="1" applyFill="1" applyBorder="1" applyAlignment="1">
      <alignment horizontal="left" vertical="top" wrapText="1"/>
    </xf>
    <xf numFmtId="1" fontId="6" fillId="0" borderId="1" xfId="0" applyNumberFormat="1" applyFont="1" applyBorder="1" applyAlignment="1">
      <alignment horizontal="center" vertical="top" wrapText="1"/>
    </xf>
    <xf numFmtId="1" fontId="6" fillId="0" borderId="5" xfId="0" applyNumberFormat="1" applyFont="1" applyBorder="1" applyAlignment="1">
      <alignment horizontal="center" vertical="top" wrapText="1"/>
    </xf>
    <xf numFmtId="1" fontId="3" fillId="0" borderId="1"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7" fillId="0" borderId="1" xfId="0" applyFont="1" applyBorder="1" applyAlignment="1">
      <alignment horizontal="left" vertical="top"/>
    </xf>
    <xf numFmtId="0" fontId="3" fillId="2" borderId="1" xfId="0" applyFont="1" applyFill="1" applyBorder="1" applyAlignment="1">
      <alignment horizontal="left" vertical="top"/>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9" fillId="0" borderId="5" xfId="5" applyFont="1" applyBorder="1" applyAlignment="1" applyProtection="1">
      <alignment horizontal="center" vertical="top"/>
      <protection locked="0"/>
    </xf>
    <xf numFmtId="1" fontId="6" fillId="0" borderId="1"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0" fontId="9" fillId="0" borderId="15" xfId="5" applyFont="1" applyBorder="1" applyAlignment="1" applyProtection="1">
      <alignment horizontal="center" vertical="top" wrapText="1"/>
      <protection locked="0"/>
    </xf>
    <xf numFmtId="9" fontId="9" fillId="2" borderId="1" xfId="5" applyNumberFormat="1" applyFont="1" applyFill="1" applyBorder="1" applyAlignment="1" applyProtection="1">
      <alignment horizontal="center" vertical="center" wrapText="1"/>
      <protection hidden="1"/>
    </xf>
    <xf numFmtId="9" fontId="9" fillId="2" borderId="5" xfId="5" applyNumberFormat="1" applyFont="1" applyFill="1" applyBorder="1" applyAlignment="1" applyProtection="1">
      <alignment horizontal="center" vertical="center" wrapText="1"/>
      <protection hidden="1"/>
    </xf>
    <xf numFmtId="9" fontId="9" fillId="2" borderId="19" xfId="5" applyNumberFormat="1" applyFont="1" applyFill="1" applyBorder="1" applyAlignment="1" applyProtection="1">
      <alignment horizontal="center" vertical="center" wrapText="1"/>
      <protection hidden="1"/>
    </xf>
    <xf numFmtId="9" fontId="9" fillId="2" borderId="7" xfId="5" applyNumberFormat="1" applyFont="1" applyFill="1" applyBorder="1" applyAlignment="1" applyProtection="1">
      <alignment horizontal="center" vertical="center" wrapText="1"/>
      <protection hidden="1"/>
    </xf>
    <xf numFmtId="9" fontId="9" fillId="2" borderId="4" xfId="5" applyNumberFormat="1" applyFont="1" applyFill="1" applyBorder="1" applyAlignment="1" applyProtection="1">
      <alignment horizontal="center" vertical="center" wrapText="1"/>
      <protection hidden="1"/>
    </xf>
    <xf numFmtId="9" fontId="9" fillId="2" borderId="29" xfId="5" applyNumberFormat="1" applyFont="1" applyFill="1" applyBorder="1" applyAlignment="1" applyProtection="1">
      <alignment horizontal="center" vertical="center" wrapText="1"/>
      <protection hidden="1"/>
    </xf>
    <xf numFmtId="9" fontId="9" fillId="2" borderId="9" xfId="5" applyNumberFormat="1" applyFont="1" applyFill="1" applyBorder="1" applyAlignment="1" applyProtection="1">
      <alignment horizontal="center" vertical="center" wrapText="1"/>
      <protection hidden="1"/>
    </xf>
    <xf numFmtId="9" fontId="9" fillId="2" borderId="0" xfId="5" applyNumberFormat="1" applyFont="1" applyFill="1" applyBorder="1" applyAlignment="1" applyProtection="1">
      <alignment horizontal="center" vertical="center" wrapText="1"/>
      <protection hidden="1"/>
    </xf>
    <xf numFmtId="9" fontId="9" fillId="2" borderId="17" xfId="5" applyNumberFormat="1" applyFont="1" applyFill="1" applyBorder="1" applyAlignment="1" applyProtection="1">
      <alignment horizontal="center" vertical="center" wrapText="1"/>
      <protection hidden="1"/>
    </xf>
    <xf numFmtId="9" fontId="9" fillId="2" borderId="32" xfId="5" applyNumberFormat="1" applyFont="1" applyFill="1" applyBorder="1" applyAlignment="1" applyProtection="1">
      <alignment horizontal="center" vertical="center" wrapText="1"/>
      <protection hidden="1"/>
    </xf>
    <xf numFmtId="9" fontId="9" fillId="2" borderId="20" xfId="5" applyNumberFormat="1" applyFont="1" applyFill="1" applyBorder="1" applyAlignment="1" applyProtection="1">
      <alignment horizontal="center" vertical="center" wrapText="1"/>
      <protection hidden="1"/>
    </xf>
    <xf numFmtId="9" fontId="9" fillId="2" borderId="21" xfId="5" applyNumberFormat="1" applyFont="1" applyFill="1" applyBorder="1" applyAlignment="1" applyProtection="1">
      <alignment horizontal="center" vertical="center" wrapText="1"/>
      <protection hidden="1"/>
    </xf>
    <xf numFmtId="0" fontId="9" fillId="0" borderId="18" xfId="5" applyFont="1" applyBorder="1" applyAlignment="1" applyProtection="1">
      <alignment horizontal="center" vertical="top" wrapText="1"/>
      <protection locked="0"/>
    </xf>
    <xf numFmtId="0" fontId="9" fillId="0" borderId="19" xfId="5" applyFont="1" applyBorder="1" applyAlignment="1" applyProtection="1">
      <alignment horizontal="center" vertical="top" wrapText="1"/>
      <protection locked="0"/>
    </xf>
    <xf numFmtId="9" fontId="9" fillId="2" borderId="30" xfId="5" applyNumberFormat="1" applyFont="1" applyFill="1" applyBorder="1" applyAlignment="1" applyProtection="1">
      <alignment horizontal="center" vertical="center" wrapText="1"/>
      <protection hidden="1"/>
    </xf>
    <xf numFmtId="9" fontId="9" fillId="2" borderId="31" xfId="5" applyNumberFormat="1" applyFont="1" applyFill="1" applyBorder="1" applyAlignment="1" applyProtection="1">
      <alignment horizontal="center" vertical="center" wrapText="1"/>
      <protection hidden="1"/>
    </xf>
    <xf numFmtId="0" fontId="16" fillId="0" borderId="2" xfId="4" applyFont="1" applyBorder="1" applyAlignment="1">
      <alignment horizontal="left"/>
    </xf>
  </cellXfs>
  <cellStyles count="8">
    <cellStyle name="Comma 2" xfId="1"/>
    <cellStyle name="Excel Built-in Normal" xfId="2"/>
    <cellStyle name="Excel Built-in Normal 2" xfId="3"/>
    <cellStyle name="Hyperlink" xfId="7" builtinId="8"/>
    <cellStyle name="Normal" xfId="0" builtinId="0"/>
    <cellStyle name="Normal 2" xfId="6"/>
    <cellStyle name="Normal 3" xfId="5"/>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34.jpeg"/><Relationship Id="rId1" Type="http://schemas.openxmlformats.org/officeDocument/2006/relationships/image" Target="../media/image3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1</xdr:col>
      <xdr:colOff>492912</xdr:colOff>
      <xdr:row>364</xdr:row>
      <xdr:rowOff>162111</xdr:rowOff>
    </xdr:from>
    <xdr:to>
      <xdr:col>7</xdr:col>
      <xdr:colOff>542582</xdr:colOff>
      <xdr:row>378</xdr:row>
      <xdr:rowOff>57150</xdr:rowOff>
    </xdr:to>
    <xdr:pic>
      <xdr:nvPicPr>
        <xdr:cNvPr id="1842" name="Picture 7">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02512" y="49660361"/>
          <a:ext cx="3954920" cy="2473139"/>
        </a:xfrm>
        <a:prstGeom prst="rect">
          <a:avLst/>
        </a:prstGeom>
        <a:noFill/>
        <a:ln w="12700">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526529</xdr:colOff>
      <xdr:row>350</xdr:row>
      <xdr:rowOff>17929</xdr:rowOff>
    </xdr:from>
    <xdr:to>
      <xdr:col>7</xdr:col>
      <xdr:colOff>584658</xdr:colOff>
      <xdr:row>364</xdr:row>
      <xdr:rowOff>50929</xdr:rowOff>
    </xdr:to>
    <xdr:pic>
      <xdr:nvPicPr>
        <xdr:cNvPr id="1843" name="Picture 8">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107554" y="47690554"/>
          <a:ext cx="3791929" cy="2700000"/>
        </a:xfrm>
        <a:prstGeom prst="rect">
          <a:avLst/>
        </a:prstGeom>
        <a:noFill/>
        <a:ln w="12700">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249735</xdr:colOff>
      <xdr:row>185</xdr:row>
      <xdr:rowOff>181373</xdr:rowOff>
    </xdr:from>
    <xdr:to>
      <xdr:col>13</xdr:col>
      <xdr:colOff>128906</xdr:colOff>
      <xdr:row>187</xdr:row>
      <xdr:rowOff>174514</xdr:rowOff>
    </xdr:to>
    <xdr:sp macro="" textlink="">
      <xdr:nvSpPr>
        <xdr:cNvPr id="37" name="TextBox 124">
          <a:extLst>
            <a:ext uri="{FF2B5EF4-FFF2-40B4-BE49-F238E27FC236}">
              <a16:creationId xmlns:a16="http://schemas.microsoft.com/office/drawing/2014/main" id="{48DD084A-EFC8-4B5E-ADCB-6280FC43341F}"/>
            </a:ext>
          </a:extLst>
        </xdr:cNvPr>
        <xdr:cNvSpPr txBox="1"/>
      </xdr:nvSpPr>
      <xdr:spPr>
        <a:xfrm>
          <a:off x="7850685" y="40195898"/>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clientData/>
  </xdr:twoCellAnchor>
  <xdr:twoCellAnchor>
    <xdr:from>
      <xdr:col>12</xdr:col>
      <xdr:colOff>216091</xdr:colOff>
      <xdr:row>194</xdr:row>
      <xdr:rowOff>111504</xdr:rowOff>
    </xdr:from>
    <xdr:to>
      <xdr:col>13</xdr:col>
      <xdr:colOff>53894</xdr:colOff>
      <xdr:row>196</xdr:row>
      <xdr:rowOff>99836</xdr:rowOff>
    </xdr:to>
    <xdr:sp macro="" textlink="">
      <xdr:nvSpPr>
        <xdr:cNvPr id="38" name="TextBox 125">
          <a:extLst>
            <a:ext uri="{FF2B5EF4-FFF2-40B4-BE49-F238E27FC236}">
              <a16:creationId xmlns:a16="http://schemas.microsoft.com/office/drawing/2014/main" id="{93D819BD-1FE4-4D02-890F-83FD09F17CB9}"/>
            </a:ext>
          </a:extLst>
        </xdr:cNvPr>
        <xdr:cNvSpPr txBox="1"/>
      </xdr:nvSpPr>
      <xdr:spPr>
        <a:xfrm>
          <a:off x="8147241" y="40980104"/>
          <a:ext cx="447403" cy="3566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clientData/>
  </xdr:twoCellAnchor>
  <xdr:twoCellAnchor>
    <xdr:from>
      <xdr:col>10</xdr:col>
      <xdr:colOff>731340</xdr:colOff>
      <xdr:row>185</xdr:row>
      <xdr:rowOff>86123</xdr:rowOff>
    </xdr:from>
    <xdr:to>
      <xdr:col>18</xdr:col>
      <xdr:colOff>555446</xdr:colOff>
      <xdr:row>205</xdr:row>
      <xdr:rowOff>49893</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328990" y="39691073"/>
          <a:ext cx="5100956" cy="3646770"/>
          <a:chOff x="6760665" y="40319723"/>
          <a:chExt cx="5053331" cy="3773770"/>
        </a:xfrm>
      </xdr:grpSpPr>
      <xdr:sp macro="" textlink="">
        <xdr:nvSpPr>
          <xdr:cNvPr id="16" name="TextBox 124">
            <a:extLst>
              <a:ext uri="{FF2B5EF4-FFF2-40B4-BE49-F238E27FC236}">
                <a16:creationId xmlns:a16="http://schemas.microsoft.com/office/drawing/2014/main" id="{48DD084A-EFC8-4B5E-ADCB-6280FC43341F}"/>
              </a:ext>
            </a:extLst>
          </xdr:cNvPr>
          <xdr:cNvSpPr txBox="1"/>
        </xdr:nvSpPr>
        <xdr:spPr>
          <a:xfrm>
            <a:off x="6974385" y="40319723"/>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17" name="TextBox 124">
            <a:extLst>
              <a:ext uri="{FF2B5EF4-FFF2-40B4-BE49-F238E27FC236}">
                <a16:creationId xmlns:a16="http://schemas.microsoft.com/office/drawing/2014/main" id="{48DD084A-EFC8-4B5E-ADCB-6280FC43341F}"/>
              </a:ext>
            </a:extLst>
          </xdr:cNvPr>
          <xdr:cNvSpPr txBox="1"/>
        </xdr:nvSpPr>
        <xdr:spPr>
          <a:xfrm>
            <a:off x="8543925" y="40376475"/>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sp macro="" textlink="">
        <xdr:nvSpPr>
          <xdr:cNvPr id="18" name="TextBox 124">
            <a:extLst>
              <a:ext uri="{FF2B5EF4-FFF2-40B4-BE49-F238E27FC236}">
                <a16:creationId xmlns:a16="http://schemas.microsoft.com/office/drawing/2014/main" id="{48DD084A-EFC8-4B5E-ADCB-6280FC43341F}"/>
              </a:ext>
            </a:extLst>
          </xdr:cNvPr>
          <xdr:cNvSpPr txBox="1"/>
        </xdr:nvSpPr>
        <xdr:spPr>
          <a:xfrm>
            <a:off x="10363200" y="41910000"/>
            <a:ext cx="488771" cy="374141"/>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a:t>
            </a:r>
            <a:endParaRPr lang="en-IN" b="1">
              <a:solidFill>
                <a:srgbClr val="FF0000"/>
              </a:solidFill>
            </a:endParaRPr>
          </a:p>
        </xdr:txBody>
      </xdr:sp>
      <xdr:sp macro="" textlink="">
        <xdr:nvSpPr>
          <xdr:cNvPr id="21" name="TextBox 124">
            <a:extLst>
              <a:ext uri="{FF2B5EF4-FFF2-40B4-BE49-F238E27FC236}">
                <a16:creationId xmlns:a16="http://schemas.microsoft.com/office/drawing/2014/main" id="{48DD084A-EFC8-4B5E-ADCB-6280FC43341F}"/>
              </a:ext>
            </a:extLst>
          </xdr:cNvPr>
          <xdr:cNvSpPr txBox="1"/>
        </xdr:nvSpPr>
        <xdr:spPr>
          <a:xfrm>
            <a:off x="11325225" y="42662475"/>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22" name="TextBox 124">
            <a:extLst>
              <a:ext uri="{FF2B5EF4-FFF2-40B4-BE49-F238E27FC236}">
                <a16:creationId xmlns:a16="http://schemas.microsoft.com/office/drawing/2014/main" id="{48DD084A-EFC8-4B5E-ADCB-6280FC43341F}"/>
              </a:ext>
            </a:extLst>
          </xdr:cNvPr>
          <xdr:cNvSpPr txBox="1"/>
        </xdr:nvSpPr>
        <xdr:spPr>
          <a:xfrm>
            <a:off x="9818190" y="42804952"/>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sp macro="" textlink="">
        <xdr:nvSpPr>
          <xdr:cNvPr id="23" name="TextBox 124">
            <a:extLst>
              <a:ext uri="{FF2B5EF4-FFF2-40B4-BE49-F238E27FC236}">
                <a16:creationId xmlns:a16="http://schemas.microsoft.com/office/drawing/2014/main" id="{48DD084A-EFC8-4B5E-ADCB-6280FC43341F}"/>
              </a:ext>
            </a:extLst>
          </xdr:cNvPr>
          <xdr:cNvSpPr txBox="1"/>
        </xdr:nvSpPr>
        <xdr:spPr>
          <a:xfrm>
            <a:off x="10265865" y="43719352"/>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a:t>
            </a:r>
            <a:endParaRPr lang="en-IN" b="1">
              <a:solidFill>
                <a:srgbClr val="FF0000"/>
              </a:solidFill>
            </a:endParaRPr>
          </a:p>
        </xdr:txBody>
      </xdr:sp>
      <xdr:sp macro="" textlink="">
        <xdr:nvSpPr>
          <xdr:cNvPr id="24" name="TextBox 124">
            <a:extLst>
              <a:ext uri="{FF2B5EF4-FFF2-40B4-BE49-F238E27FC236}">
                <a16:creationId xmlns:a16="http://schemas.microsoft.com/office/drawing/2014/main" id="{48DD084A-EFC8-4B5E-ADCB-6280FC43341F}"/>
              </a:ext>
            </a:extLst>
          </xdr:cNvPr>
          <xdr:cNvSpPr txBox="1"/>
        </xdr:nvSpPr>
        <xdr:spPr>
          <a:xfrm>
            <a:off x="6760665" y="42804952"/>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grpSp>
    <xdr:clientData/>
  </xdr:twoCellAnchor>
  <xdr:twoCellAnchor>
    <xdr:from>
      <xdr:col>0</xdr:col>
      <xdr:colOff>104775</xdr:colOff>
      <xdr:row>318</xdr:row>
      <xdr:rowOff>9524</xdr:rowOff>
    </xdr:from>
    <xdr:to>
      <xdr:col>9</xdr:col>
      <xdr:colOff>175494</xdr:colOff>
      <xdr:row>345</xdr:row>
      <xdr:rowOff>37875</xdr:rowOff>
    </xdr:to>
    <xdr:grpSp>
      <xdr:nvGrpSpPr>
        <xdr:cNvPr id="30" name="Group 29">
          <a:extLst>
            <a:ext uri="{FF2B5EF4-FFF2-40B4-BE49-F238E27FC236}">
              <a16:creationId xmlns:a16="http://schemas.microsoft.com/office/drawing/2014/main" id="{ED681F87-5DC7-5F74-A989-8AD87AE13BFB}"/>
            </a:ext>
          </a:extLst>
        </xdr:cNvPr>
        <xdr:cNvGrpSpPr/>
      </xdr:nvGrpSpPr>
      <xdr:grpSpPr>
        <a:xfrm>
          <a:off x="104775" y="64106424"/>
          <a:ext cx="6052419" cy="5000401"/>
          <a:chOff x="104775" y="66760724"/>
          <a:chExt cx="5785719" cy="5171851"/>
        </a:xfrm>
      </xdr:grpSpPr>
      <xdr:grpSp>
        <xdr:nvGrpSpPr>
          <xdr:cNvPr id="3" name="Group 2">
            <a:extLst>
              <a:ext uri="{FF2B5EF4-FFF2-40B4-BE49-F238E27FC236}">
                <a16:creationId xmlns:a16="http://schemas.microsoft.com/office/drawing/2014/main" id="{00000000-0008-0000-0000-000003000000}"/>
              </a:ext>
            </a:extLst>
          </xdr:cNvPr>
          <xdr:cNvGrpSpPr/>
        </xdr:nvGrpSpPr>
        <xdr:grpSpPr>
          <a:xfrm>
            <a:off x="104775" y="66760724"/>
            <a:ext cx="5785719" cy="5171851"/>
            <a:chOff x="104775" y="49720499"/>
            <a:chExt cx="5785719" cy="5171851"/>
          </a:xfrm>
        </xdr:grpSpPr>
        <xdr:pic>
          <xdr:nvPicPr>
            <xdr:cNvPr id="57" name="Picture 56" descr="insp-238622-845.jpg (1079×810)">
              <a:extLst>
                <a:ext uri="{FF2B5EF4-FFF2-40B4-BE49-F238E27FC236}">
                  <a16:creationId xmlns:a16="http://schemas.microsoft.com/office/drawing/2014/main" id="{00000000-0008-0000-0000-000039000000}"/>
                </a:ext>
              </a:extLst>
            </xdr:cNvPr>
            <xdr:cNvPicPr>
              <a:picLocks noChangeAspect="1" noChangeArrowheads="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bwMode="auto">
            <a:xfrm>
              <a:off x="104775" y="49720499"/>
              <a:ext cx="5785719" cy="324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insp-238622-845.jpg (1079×810)">
              <a:extLst>
                <a:ext uri="{FF2B5EF4-FFF2-40B4-BE49-F238E27FC236}">
                  <a16:creationId xmlns:a16="http://schemas.microsoft.com/office/drawing/2014/main" id="{00000000-0008-0000-0000-00003A000000}"/>
                </a:ext>
              </a:extLst>
            </xdr:cNvPr>
            <xdr:cNvPicPr>
              <a:picLocks noChangeAspect="1" noChangeArrowheads="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bwMode="auto">
            <a:xfrm>
              <a:off x="447676" y="53092350"/>
              <a:ext cx="5112427"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9" name="TextBox 124">
            <a:extLst>
              <a:ext uri="{FF2B5EF4-FFF2-40B4-BE49-F238E27FC236}">
                <a16:creationId xmlns:a16="http://schemas.microsoft.com/office/drawing/2014/main" id="{48DD084A-EFC8-4B5E-ADCB-6280FC43341F}"/>
              </a:ext>
            </a:extLst>
          </xdr:cNvPr>
          <xdr:cNvSpPr txBox="1"/>
        </xdr:nvSpPr>
        <xdr:spPr>
          <a:xfrm>
            <a:off x="4562475" y="67361198"/>
            <a:ext cx="488771"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a:t>
            </a:r>
            <a:endParaRPr lang="en-IN" b="1">
              <a:solidFill>
                <a:srgbClr val="FF0000"/>
              </a:solidFill>
            </a:endParaRPr>
          </a:p>
        </xdr:txBody>
      </xdr:sp>
      <xdr:sp macro="" textlink="">
        <xdr:nvSpPr>
          <xdr:cNvPr id="60" name="TextBox 124">
            <a:extLst>
              <a:ext uri="{FF2B5EF4-FFF2-40B4-BE49-F238E27FC236}">
                <a16:creationId xmlns:a16="http://schemas.microsoft.com/office/drawing/2014/main" id="{48DD084A-EFC8-4B5E-ADCB-6280FC43341F}"/>
              </a:ext>
            </a:extLst>
          </xdr:cNvPr>
          <xdr:cNvSpPr txBox="1"/>
        </xdr:nvSpPr>
        <xdr:spPr>
          <a:xfrm>
            <a:off x="2488110" y="67741800"/>
            <a:ext cx="488771"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sp macro="" textlink="">
        <xdr:nvSpPr>
          <xdr:cNvPr id="61" name="TextBox 124">
            <a:extLst>
              <a:ext uri="{FF2B5EF4-FFF2-40B4-BE49-F238E27FC236}">
                <a16:creationId xmlns:a16="http://schemas.microsoft.com/office/drawing/2014/main" id="{48DD084A-EFC8-4B5E-ADCB-6280FC43341F}"/>
              </a:ext>
            </a:extLst>
          </xdr:cNvPr>
          <xdr:cNvSpPr txBox="1"/>
        </xdr:nvSpPr>
        <xdr:spPr>
          <a:xfrm>
            <a:off x="1373685" y="66998850"/>
            <a:ext cx="488771" cy="37414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a:t>
            </a:r>
            <a:endParaRPr lang="en-IN" b="1">
              <a:solidFill>
                <a:srgbClr val="FF0000"/>
              </a:solidFill>
            </a:endParaRPr>
          </a:p>
        </xdr:txBody>
      </xdr:sp>
    </xdr:grpSp>
    <xdr:clientData/>
  </xdr:twoCellAnchor>
  <xdr:twoCellAnchor>
    <xdr:from>
      <xdr:col>12</xdr:col>
      <xdr:colOff>249735</xdr:colOff>
      <xdr:row>227</xdr:row>
      <xdr:rowOff>181373</xdr:rowOff>
    </xdr:from>
    <xdr:to>
      <xdr:col>13</xdr:col>
      <xdr:colOff>128906</xdr:colOff>
      <xdr:row>229</xdr:row>
      <xdr:rowOff>174514</xdr:rowOff>
    </xdr:to>
    <xdr:sp macro="" textlink="">
      <xdr:nvSpPr>
        <xdr:cNvPr id="34" name="TextBox 124">
          <a:extLst>
            <a:ext uri="{FF2B5EF4-FFF2-40B4-BE49-F238E27FC236}">
              <a16:creationId xmlns:a16="http://schemas.microsoft.com/office/drawing/2014/main" id="{48DD084A-EFC8-4B5E-ADCB-6280FC43341F}"/>
            </a:ext>
          </a:extLst>
        </xdr:cNvPr>
        <xdr:cNvSpPr txBox="1"/>
      </xdr:nvSpPr>
      <xdr:spPr>
        <a:xfrm>
          <a:off x="8180885" y="40999173"/>
          <a:ext cx="488771" cy="3614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clientData/>
  </xdr:twoCellAnchor>
  <xdr:twoCellAnchor>
    <xdr:from>
      <xdr:col>12</xdr:col>
      <xdr:colOff>216091</xdr:colOff>
      <xdr:row>236</xdr:row>
      <xdr:rowOff>111504</xdr:rowOff>
    </xdr:from>
    <xdr:to>
      <xdr:col>13</xdr:col>
      <xdr:colOff>53894</xdr:colOff>
      <xdr:row>238</xdr:row>
      <xdr:rowOff>99836</xdr:rowOff>
    </xdr:to>
    <xdr:sp macro="" textlink="">
      <xdr:nvSpPr>
        <xdr:cNvPr id="35" name="TextBox 125">
          <a:extLst>
            <a:ext uri="{FF2B5EF4-FFF2-40B4-BE49-F238E27FC236}">
              <a16:creationId xmlns:a16="http://schemas.microsoft.com/office/drawing/2014/main" id="{93D819BD-1FE4-4D02-890F-83FD09F17CB9}"/>
            </a:ext>
          </a:extLst>
        </xdr:cNvPr>
        <xdr:cNvSpPr txBox="1"/>
      </xdr:nvSpPr>
      <xdr:spPr>
        <a:xfrm>
          <a:off x="8147241" y="42586654"/>
          <a:ext cx="447403" cy="3566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clientData/>
  </xdr:twoCellAnchor>
  <xdr:twoCellAnchor>
    <xdr:from>
      <xdr:col>10</xdr:col>
      <xdr:colOff>731340</xdr:colOff>
      <xdr:row>227</xdr:row>
      <xdr:rowOff>86123</xdr:rowOff>
    </xdr:from>
    <xdr:to>
      <xdr:col>18</xdr:col>
      <xdr:colOff>555446</xdr:colOff>
      <xdr:row>247</xdr:row>
      <xdr:rowOff>49893</xdr:rowOff>
    </xdr:to>
    <xdr:grpSp>
      <xdr:nvGrpSpPr>
        <xdr:cNvPr id="36" name="Group 35">
          <a:extLst>
            <a:ext uri="{FF2B5EF4-FFF2-40B4-BE49-F238E27FC236}">
              <a16:creationId xmlns:a16="http://schemas.microsoft.com/office/drawing/2014/main" id="{00000000-0008-0000-0000-000024000000}"/>
            </a:ext>
          </a:extLst>
        </xdr:cNvPr>
        <xdr:cNvGrpSpPr/>
      </xdr:nvGrpSpPr>
      <xdr:grpSpPr>
        <a:xfrm>
          <a:off x="7328990" y="47425373"/>
          <a:ext cx="5100956" cy="3646770"/>
          <a:chOff x="6760665" y="40319723"/>
          <a:chExt cx="5053331" cy="3773770"/>
        </a:xfrm>
      </xdr:grpSpPr>
      <xdr:sp macro="" textlink="">
        <xdr:nvSpPr>
          <xdr:cNvPr id="51" name="TextBox 124">
            <a:extLst>
              <a:ext uri="{FF2B5EF4-FFF2-40B4-BE49-F238E27FC236}">
                <a16:creationId xmlns:a16="http://schemas.microsoft.com/office/drawing/2014/main" id="{48DD084A-EFC8-4B5E-ADCB-6280FC43341F}"/>
              </a:ext>
            </a:extLst>
          </xdr:cNvPr>
          <xdr:cNvSpPr txBox="1"/>
        </xdr:nvSpPr>
        <xdr:spPr>
          <a:xfrm>
            <a:off x="6974385" y="40319723"/>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52" name="TextBox 124">
            <a:extLst>
              <a:ext uri="{FF2B5EF4-FFF2-40B4-BE49-F238E27FC236}">
                <a16:creationId xmlns:a16="http://schemas.microsoft.com/office/drawing/2014/main" id="{48DD084A-EFC8-4B5E-ADCB-6280FC43341F}"/>
              </a:ext>
            </a:extLst>
          </xdr:cNvPr>
          <xdr:cNvSpPr txBox="1"/>
        </xdr:nvSpPr>
        <xdr:spPr>
          <a:xfrm>
            <a:off x="8543925" y="40376475"/>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sp macro="" textlink="">
        <xdr:nvSpPr>
          <xdr:cNvPr id="53" name="TextBox 124">
            <a:extLst>
              <a:ext uri="{FF2B5EF4-FFF2-40B4-BE49-F238E27FC236}">
                <a16:creationId xmlns:a16="http://schemas.microsoft.com/office/drawing/2014/main" id="{48DD084A-EFC8-4B5E-ADCB-6280FC43341F}"/>
              </a:ext>
            </a:extLst>
          </xdr:cNvPr>
          <xdr:cNvSpPr txBox="1"/>
        </xdr:nvSpPr>
        <xdr:spPr>
          <a:xfrm>
            <a:off x="10363200" y="41910000"/>
            <a:ext cx="488771" cy="374141"/>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a:t>
            </a:r>
            <a:endParaRPr lang="en-IN" b="1">
              <a:solidFill>
                <a:srgbClr val="FF0000"/>
              </a:solidFill>
            </a:endParaRPr>
          </a:p>
        </xdr:txBody>
      </xdr:sp>
      <xdr:sp macro="" textlink="">
        <xdr:nvSpPr>
          <xdr:cNvPr id="54" name="TextBox 124">
            <a:extLst>
              <a:ext uri="{FF2B5EF4-FFF2-40B4-BE49-F238E27FC236}">
                <a16:creationId xmlns:a16="http://schemas.microsoft.com/office/drawing/2014/main" id="{48DD084A-EFC8-4B5E-ADCB-6280FC43341F}"/>
              </a:ext>
            </a:extLst>
          </xdr:cNvPr>
          <xdr:cNvSpPr txBox="1"/>
        </xdr:nvSpPr>
        <xdr:spPr>
          <a:xfrm>
            <a:off x="11325225" y="42662475"/>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55" name="TextBox 124">
            <a:extLst>
              <a:ext uri="{FF2B5EF4-FFF2-40B4-BE49-F238E27FC236}">
                <a16:creationId xmlns:a16="http://schemas.microsoft.com/office/drawing/2014/main" id="{48DD084A-EFC8-4B5E-ADCB-6280FC43341F}"/>
              </a:ext>
            </a:extLst>
          </xdr:cNvPr>
          <xdr:cNvSpPr txBox="1"/>
        </xdr:nvSpPr>
        <xdr:spPr>
          <a:xfrm>
            <a:off x="9818190" y="42804952"/>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sp macro="" textlink="">
        <xdr:nvSpPr>
          <xdr:cNvPr id="56" name="TextBox 124">
            <a:extLst>
              <a:ext uri="{FF2B5EF4-FFF2-40B4-BE49-F238E27FC236}">
                <a16:creationId xmlns:a16="http://schemas.microsoft.com/office/drawing/2014/main" id="{48DD084A-EFC8-4B5E-ADCB-6280FC43341F}"/>
              </a:ext>
            </a:extLst>
          </xdr:cNvPr>
          <xdr:cNvSpPr txBox="1"/>
        </xdr:nvSpPr>
        <xdr:spPr>
          <a:xfrm>
            <a:off x="10265865" y="43719352"/>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a:t>
            </a:r>
            <a:endParaRPr lang="en-IN" b="1">
              <a:solidFill>
                <a:srgbClr val="FF0000"/>
              </a:solidFill>
            </a:endParaRPr>
          </a:p>
        </xdr:txBody>
      </xdr:sp>
      <xdr:sp macro="" textlink="">
        <xdr:nvSpPr>
          <xdr:cNvPr id="62" name="TextBox 124">
            <a:extLst>
              <a:ext uri="{FF2B5EF4-FFF2-40B4-BE49-F238E27FC236}">
                <a16:creationId xmlns:a16="http://schemas.microsoft.com/office/drawing/2014/main" id="{48DD084A-EFC8-4B5E-ADCB-6280FC43341F}"/>
              </a:ext>
            </a:extLst>
          </xdr:cNvPr>
          <xdr:cNvSpPr txBox="1"/>
        </xdr:nvSpPr>
        <xdr:spPr>
          <a:xfrm>
            <a:off x="6760665" y="42804952"/>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grpSp>
    <xdr:clientData/>
  </xdr:twoCellAnchor>
  <xdr:twoCellAnchor>
    <xdr:from>
      <xdr:col>12</xdr:col>
      <xdr:colOff>249735</xdr:colOff>
      <xdr:row>271</xdr:row>
      <xdr:rowOff>181373</xdr:rowOff>
    </xdr:from>
    <xdr:to>
      <xdr:col>13</xdr:col>
      <xdr:colOff>128906</xdr:colOff>
      <xdr:row>273</xdr:row>
      <xdr:rowOff>0</xdr:rowOff>
    </xdr:to>
    <xdr:sp macro="" textlink="">
      <xdr:nvSpPr>
        <xdr:cNvPr id="63" name="TextBox 124">
          <a:extLst>
            <a:ext uri="{FF2B5EF4-FFF2-40B4-BE49-F238E27FC236}">
              <a16:creationId xmlns:a16="http://schemas.microsoft.com/office/drawing/2014/main" id="{48DD084A-EFC8-4B5E-ADCB-6280FC43341F}"/>
            </a:ext>
          </a:extLst>
        </xdr:cNvPr>
        <xdr:cNvSpPr txBox="1"/>
      </xdr:nvSpPr>
      <xdr:spPr>
        <a:xfrm>
          <a:off x="8180885" y="49470073"/>
          <a:ext cx="488771" cy="3614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clientData/>
  </xdr:twoCellAnchor>
  <xdr:twoCellAnchor>
    <xdr:from>
      <xdr:col>12</xdr:col>
      <xdr:colOff>216091</xdr:colOff>
      <xdr:row>278</xdr:row>
      <xdr:rowOff>111504</xdr:rowOff>
    </xdr:from>
    <xdr:to>
      <xdr:col>13</xdr:col>
      <xdr:colOff>53894</xdr:colOff>
      <xdr:row>280</xdr:row>
      <xdr:rowOff>99836</xdr:rowOff>
    </xdr:to>
    <xdr:sp macro="" textlink="">
      <xdr:nvSpPr>
        <xdr:cNvPr id="64" name="TextBox 125">
          <a:extLst>
            <a:ext uri="{FF2B5EF4-FFF2-40B4-BE49-F238E27FC236}">
              <a16:creationId xmlns:a16="http://schemas.microsoft.com/office/drawing/2014/main" id="{93D819BD-1FE4-4D02-890F-83FD09F17CB9}"/>
            </a:ext>
          </a:extLst>
        </xdr:cNvPr>
        <xdr:cNvSpPr txBox="1"/>
      </xdr:nvSpPr>
      <xdr:spPr>
        <a:xfrm>
          <a:off x="8147241" y="51057554"/>
          <a:ext cx="447403" cy="3566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clientData/>
  </xdr:twoCellAnchor>
  <xdr:twoCellAnchor>
    <xdr:from>
      <xdr:col>10</xdr:col>
      <xdr:colOff>731340</xdr:colOff>
      <xdr:row>271</xdr:row>
      <xdr:rowOff>86123</xdr:rowOff>
    </xdr:from>
    <xdr:to>
      <xdr:col>18</xdr:col>
      <xdr:colOff>555446</xdr:colOff>
      <xdr:row>289</xdr:row>
      <xdr:rowOff>49893</xdr:rowOff>
    </xdr:to>
    <xdr:grpSp>
      <xdr:nvGrpSpPr>
        <xdr:cNvPr id="65" name="Group 64">
          <a:extLst>
            <a:ext uri="{FF2B5EF4-FFF2-40B4-BE49-F238E27FC236}">
              <a16:creationId xmlns:a16="http://schemas.microsoft.com/office/drawing/2014/main" id="{00000000-0008-0000-0000-000041000000}"/>
            </a:ext>
          </a:extLst>
        </xdr:cNvPr>
        <xdr:cNvGrpSpPr/>
      </xdr:nvGrpSpPr>
      <xdr:grpSpPr>
        <a:xfrm>
          <a:off x="7328990" y="55527973"/>
          <a:ext cx="5100956" cy="3278470"/>
          <a:chOff x="6760665" y="40319723"/>
          <a:chExt cx="5053331" cy="3773770"/>
        </a:xfrm>
      </xdr:grpSpPr>
      <xdr:sp macro="" textlink="">
        <xdr:nvSpPr>
          <xdr:cNvPr id="66" name="TextBox 124">
            <a:extLst>
              <a:ext uri="{FF2B5EF4-FFF2-40B4-BE49-F238E27FC236}">
                <a16:creationId xmlns:a16="http://schemas.microsoft.com/office/drawing/2014/main" id="{48DD084A-EFC8-4B5E-ADCB-6280FC43341F}"/>
              </a:ext>
            </a:extLst>
          </xdr:cNvPr>
          <xdr:cNvSpPr txBox="1"/>
        </xdr:nvSpPr>
        <xdr:spPr>
          <a:xfrm>
            <a:off x="6974385" y="40319723"/>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67" name="TextBox 124">
            <a:extLst>
              <a:ext uri="{FF2B5EF4-FFF2-40B4-BE49-F238E27FC236}">
                <a16:creationId xmlns:a16="http://schemas.microsoft.com/office/drawing/2014/main" id="{48DD084A-EFC8-4B5E-ADCB-6280FC43341F}"/>
              </a:ext>
            </a:extLst>
          </xdr:cNvPr>
          <xdr:cNvSpPr txBox="1"/>
        </xdr:nvSpPr>
        <xdr:spPr>
          <a:xfrm>
            <a:off x="8543925" y="40376475"/>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sp macro="" textlink="">
        <xdr:nvSpPr>
          <xdr:cNvPr id="68" name="TextBox 124">
            <a:extLst>
              <a:ext uri="{FF2B5EF4-FFF2-40B4-BE49-F238E27FC236}">
                <a16:creationId xmlns:a16="http://schemas.microsoft.com/office/drawing/2014/main" id="{48DD084A-EFC8-4B5E-ADCB-6280FC43341F}"/>
              </a:ext>
            </a:extLst>
          </xdr:cNvPr>
          <xdr:cNvSpPr txBox="1"/>
        </xdr:nvSpPr>
        <xdr:spPr>
          <a:xfrm>
            <a:off x="10363200" y="41910000"/>
            <a:ext cx="488771" cy="374141"/>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a:t>
            </a:r>
            <a:endParaRPr lang="en-IN" b="1">
              <a:solidFill>
                <a:srgbClr val="FF0000"/>
              </a:solidFill>
            </a:endParaRPr>
          </a:p>
        </xdr:txBody>
      </xdr:sp>
      <xdr:sp macro="" textlink="">
        <xdr:nvSpPr>
          <xdr:cNvPr id="69" name="TextBox 124">
            <a:extLst>
              <a:ext uri="{FF2B5EF4-FFF2-40B4-BE49-F238E27FC236}">
                <a16:creationId xmlns:a16="http://schemas.microsoft.com/office/drawing/2014/main" id="{48DD084A-EFC8-4B5E-ADCB-6280FC43341F}"/>
              </a:ext>
            </a:extLst>
          </xdr:cNvPr>
          <xdr:cNvSpPr txBox="1"/>
        </xdr:nvSpPr>
        <xdr:spPr>
          <a:xfrm>
            <a:off x="11325225" y="42662475"/>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a:t>
            </a:r>
            <a:endParaRPr lang="en-IN" b="1">
              <a:solidFill>
                <a:srgbClr val="FF0000"/>
              </a:solidFill>
            </a:endParaRPr>
          </a:p>
        </xdr:txBody>
      </xdr:sp>
      <xdr:sp macro="" textlink="">
        <xdr:nvSpPr>
          <xdr:cNvPr id="70" name="TextBox 124">
            <a:extLst>
              <a:ext uri="{FF2B5EF4-FFF2-40B4-BE49-F238E27FC236}">
                <a16:creationId xmlns:a16="http://schemas.microsoft.com/office/drawing/2014/main" id="{48DD084A-EFC8-4B5E-ADCB-6280FC43341F}"/>
              </a:ext>
            </a:extLst>
          </xdr:cNvPr>
          <xdr:cNvSpPr txBox="1"/>
        </xdr:nvSpPr>
        <xdr:spPr>
          <a:xfrm>
            <a:off x="9818190" y="42804952"/>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sp macro="" textlink="">
        <xdr:nvSpPr>
          <xdr:cNvPr id="71" name="TextBox 124">
            <a:extLst>
              <a:ext uri="{FF2B5EF4-FFF2-40B4-BE49-F238E27FC236}">
                <a16:creationId xmlns:a16="http://schemas.microsoft.com/office/drawing/2014/main" id="{48DD084A-EFC8-4B5E-ADCB-6280FC43341F}"/>
              </a:ext>
            </a:extLst>
          </xdr:cNvPr>
          <xdr:cNvSpPr txBox="1"/>
        </xdr:nvSpPr>
        <xdr:spPr>
          <a:xfrm>
            <a:off x="10265865" y="43719352"/>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2A</a:t>
            </a:r>
            <a:endParaRPr lang="en-IN" b="1">
              <a:solidFill>
                <a:srgbClr val="FF0000"/>
              </a:solidFill>
            </a:endParaRPr>
          </a:p>
        </xdr:txBody>
      </xdr:sp>
      <xdr:sp macro="" textlink="">
        <xdr:nvSpPr>
          <xdr:cNvPr id="72" name="TextBox 124">
            <a:extLst>
              <a:ext uri="{FF2B5EF4-FFF2-40B4-BE49-F238E27FC236}">
                <a16:creationId xmlns:a16="http://schemas.microsoft.com/office/drawing/2014/main" id="{48DD084A-EFC8-4B5E-ADCB-6280FC43341F}"/>
              </a:ext>
            </a:extLst>
          </xdr:cNvPr>
          <xdr:cNvSpPr txBox="1"/>
        </xdr:nvSpPr>
        <xdr:spPr>
          <a:xfrm>
            <a:off x="6760665" y="42804952"/>
            <a:ext cx="48877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grpSp>
    <xdr:clientData/>
  </xdr:twoCellAnchor>
  <xdr:twoCellAnchor>
    <xdr:from>
      <xdr:col>0</xdr:col>
      <xdr:colOff>62630</xdr:colOff>
      <xdr:row>184</xdr:row>
      <xdr:rowOff>88900</xdr:rowOff>
    </xdr:from>
    <xdr:to>
      <xdr:col>9</xdr:col>
      <xdr:colOff>585802</xdr:colOff>
      <xdr:row>222</xdr:row>
      <xdr:rowOff>20804</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62630" y="39509700"/>
          <a:ext cx="6504872" cy="6929604"/>
          <a:chOff x="62630" y="40722550"/>
          <a:chExt cx="6504872" cy="6929604"/>
        </a:xfrm>
      </xdr:grpSpPr>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270277" y="40722550"/>
            <a:ext cx="2052000" cy="2736000"/>
          </a:xfrm>
          <a:prstGeom prst="rect">
            <a:avLst/>
          </a:prstGeom>
          <a:ln>
            <a:solidFill>
              <a:schemeClr val="tx1"/>
            </a:solidFill>
          </a:ln>
        </xdr:spPr>
      </xdr:pic>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092967" y="43575352"/>
            <a:ext cx="3474535" cy="2160000"/>
          </a:xfrm>
          <a:prstGeom prst="rect">
            <a:avLst/>
          </a:prstGeom>
          <a:ln>
            <a:solidFill>
              <a:schemeClr val="tx1"/>
            </a:solidFill>
          </a:ln>
        </xdr:spPr>
      </xdr:pic>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410283" y="45852154"/>
            <a:ext cx="1012500" cy="1800000"/>
          </a:xfrm>
          <a:prstGeom prst="rect">
            <a:avLst/>
          </a:prstGeom>
          <a:ln>
            <a:solidFill>
              <a:schemeClr val="tx1"/>
            </a:solidFill>
          </a:ln>
        </xdr:spPr>
      </xdr:pic>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62630" y="43575352"/>
            <a:ext cx="2880000" cy="2160000"/>
          </a:xfrm>
          <a:prstGeom prst="rect">
            <a:avLst/>
          </a:prstGeom>
          <a:ln>
            <a:solidFill>
              <a:schemeClr val="tx1"/>
            </a:solidFill>
          </a:ln>
        </xdr:spPr>
      </xdr:pic>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302715" y="45852154"/>
            <a:ext cx="1012500" cy="1800000"/>
          </a:xfrm>
          <a:prstGeom prst="rect">
            <a:avLst/>
          </a:prstGeom>
          <a:ln>
            <a:solidFill>
              <a:schemeClr val="tx1"/>
            </a:solidFill>
          </a:ln>
        </xdr:spPr>
      </xdr:pic>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77924" y="40722550"/>
            <a:ext cx="2052000" cy="2736000"/>
          </a:xfrm>
          <a:prstGeom prst="rect">
            <a:avLst/>
          </a:prstGeom>
          <a:ln>
            <a:solidFill>
              <a:schemeClr val="tx1"/>
            </a:solidFill>
          </a:ln>
        </xdr:spPr>
      </xdr:pic>
      <xdr:pic>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69850" y="45852154"/>
            <a:ext cx="2137797" cy="1800000"/>
          </a:xfrm>
          <a:prstGeom prst="rect">
            <a:avLst/>
          </a:prstGeom>
          <a:ln>
            <a:solidFill>
              <a:schemeClr val="tx1"/>
            </a:solidFill>
          </a:ln>
        </xdr:spPr>
      </xdr:pic>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517851" y="45852154"/>
            <a:ext cx="1965499" cy="1800000"/>
          </a:xfrm>
          <a:prstGeom prst="rect">
            <a:avLst/>
          </a:prstGeom>
          <a:ln>
            <a:solidFill>
              <a:schemeClr val="tx1"/>
            </a:solidFill>
          </a:ln>
        </xdr:spPr>
      </xdr:pic>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62630" y="40722550"/>
            <a:ext cx="2052000" cy="2736000"/>
          </a:xfrm>
          <a:prstGeom prst="rect">
            <a:avLst/>
          </a:prstGeom>
          <a:ln>
            <a:solidFill>
              <a:schemeClr val="tx1"/>
            </a:solidFill>
          </a:ln>
        </xdr:spPr>
      </xdr:pic>
    </xdr:grpSp>
    <xdr:clientData/>
  </xdr:twoCellAnchor>
  <xdr:twoCellAnchor>
    <xdr:from>
      <xdr:col>0</xdr:col>
      <xdr:colOff>260350</xdr:colOff>
      <xdr:row>229</xdr:row>
      <xdr:rowOff>88900</xdr:rowOff>
    </xdr:from>
    <xdr:to>
      <xdr:col>9</xdr:col>
      <xdr:colOff>321200</xdr:colOff>
      <xdr:row>272</xdr:row>
      <xdr:rowOff>12385</xdr:rowOff>
    </xdr:to>
    <xdr:grpSp>
      <xdr:nvGrpSpPr>
        <xdr:cNvPr id="32" name="Group 31">
          <a:extLst>
            <a:ext uri="{FF2B5EF4-FFF2-40B4-BE49-F238E27FC236}">
              <a16:creationId xmlns:a16="http://schemas.microsoft.com/office/drawing/2014/main" id="{756EF9C7-2CF2-054A-6321-373B94D7109D}"/>
            </a:ext>
          </a:extLst>
        </xdr:cNvPr>
        <xdr:cNvGrpSpPr/>
      </xdr:nvGrpSpPr>
      <xdr:grpSpPr>
        <a:xfrm>
          <a:off x="260350" y="47796450"/>
          <a:ext cx="6042550" cy="7841935"/>
          <a:chOff x="260350" y="49504600"/>
          <a:chExt cx="5775850" cy="8114985"/>
        </a:xfrm>
      </xdr:grpSpPr>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66901" y="49504600"/>
            <a:ext cx="1548498" cy="2235209"/>
          </a:xfrm>
          <a:prstGeom prst="rect">
            <a:avLst/>
          </a:prstGeom>
          <a:ln>
            <a:solidFill>
              <a:schemeClr val="tx1"/>
            </a:solidFill>
          </a:ln>
        </xdr:spPr>
      </xdr:pic>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966092" y="49504600"/>
            <a:ext cx="2752885" cy="2235209"/>
          </a:xfrm>
          <a:prstGeom prst="rect">
            <a:avLst/>
          </a:prstGeom>
          <a:ln>
            <a:solidFill>
              <a:schemeClr val="tx1"/>
            </a:solidFill>
          </a:ln>
        </xdr:spPr>
      </xdr:pic>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84270" y="55756910"/>
            <a:ext cx="2294071" cy="1862675"/>
          </a:xfrm>
          <a:prstGeom prst="rect">
            <a:avLst/>
          </a:prstGeom>
          <a:ln>
            <a:solidFill>
              <a:schemeClr val="tx1"/>
            </a:solidFill>
          </a:ln>
        </xdr:spPr>
      </xdr:pic>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5068389" y="51840747"/>
            <a:ext cx="967811" cy="1862675"/>
          </a:xfrm>
          <a:prstGeom prst="rect">
            <a:avLst/>
          </a:prstGeom>
          <a:ln>
            <a:solidFill>
              <a:schemeClr val="tx1"/>
            </a:solidFill>
          </a:ln>
        </xdr:spPr>
      </xdr:pic>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869671" y="49504600"/>
            <a:ext cx="1161374" cy="2235209"/>
          </a:xfrm>
          <a:prstGeom prst="rect">
            <a:avLst/>
          </a:prstGeom>
          <a:ln>
            <a:solidFill>
              <a:schemeClr val="tx1"/>
            </a:solidFill>
          </a:ln>
        </xdr:spPr>
      </xdr:pic>
      <xdr:pic>
        <xdr:nvPicPr>
          <xdr:cNvPr id="87" name="Pictur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2999618" y="53804359"/>
            <a:ext cx="2294071" cy="1862675"/>
          </a:xfrm>
          <a:prstGeom prst="rect">
            <a:avLst/>
          </a:prstGeom>
          <a:ln>
            <a:solidFill>
              <a:schemeClr val="tx1"/>
            </a:solidFill>
          </a:ln>
        </xdr:spPr>
      </xdr:pic>
      <xdr:pic>
        <xdr:nvPicPr>
          <xdr:cNvPr id="88" name="Pictur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595599" y="53793299"/>
            <a:ext cx="2294071" cy="1862675"/>
          </a:xfrm>
          <a:prstGeom prst="rect">
            <a:avLst/>
          </a:prstGeom>
          <a:ln>
            <a:solidFill>
              <a:schemeClr val="tx1"/>
            </a:solidFill>
          </a:ln>
        </xdr:spPr>
      </xdr:pic>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664369" y="51840747"/>
            <a:ext cx="2294071" cy="1862675"/>
          </a:xfrm>
          <a:prstGeom prst="rect">
            <a:avLst/>
          </a:prstGeom>
          <a:ln>
            <a:solidFill>
              <a:schemeClr val="tx1"/>
            </a:solidFill>
          </a:ln>
        </xdr:spPr>
      </xdr:pic>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60350" y="51840747"/>
            <a:ext cx="2294071" cy="1862675"/>
          </a:xfrm>
          <a:prstGeom prst="rect">
            <a:avLst/>
          </a:prstGeom>
          <a:ln>
            <a:solidFill>
              <a:schemeClr val="tx1"/>
            </a:solidFill>
          </a:ln>
        </xdr:spPr>
      </xdr:pic>
      <xdr:pic>
        <xdr:nvPicPr>
          <xdr:cNvPr id="91" name="Pictur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2889670" y="55756910"/>
            <a:ext cx="3058762" cy="1862675"/>
          </a:xfrm>
          <a:prstGeom prst="rect">
            <a:avLst/>
          </a:prstGeom>
          <a:ln>
            <a:solidFill>
              <a:schemeClr val="tx1"/>
            </a:solidFill>
          </a:ln>
        </xdr:spPr>
      </xdr:pic>
      <xdr:sp macro="" textlink="">
        <xdr:nvSpPr>
          <xdr:cNvPr id="5" name="TextBox 125">
            <a:extLst>
              <a:ext uri="{FF2B5EF4-FFF2-40B4-BE49-F238E27FC236}">
                <a16:creationId xmlns:a16="http://schemas.microsoft.com/office/drawing/2014/main" id="{8091C5F7-3E8C-4C22-B7D3-43E0BD13B571}"/>
              </a:ext>
            </a:extLst>
          </xdr:cNvPr>
          <xdr:cNvSpPr txBox="1"/>
        </xdr:nvSpPr>
        <xdr:spPr>
          <a:xfrm>
            <a:off x="819351" y="50419000"/>
            <a:ext cx="447403"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sp macro="" textlink="">
        <xdr:nvSpPr>
          <xdr:cNvPr id="9" name="TextBox 125">
            <a:extLst>
              <a:ext uri="{FF2B5EF4-FFF2-40B4-BE49-F238E27FC236}">
                <a16:creationId xmlns:a16="http://schemas.microsoft.com/office/drawing/2014/main" id="{44F017FA-D6CB-4D16-8BFB-09D36F1F5542}"/>
              </a:ext>
            </a:extLst>
          </xdr:cNvPr>
          <xdr:cNvSpPr txBox="1"/>
        </xdr:nvSpPr>
        <xdr:spPr>
          <a:xfrm>
            <a:off x="2023242" y="49676050"/>
            <a:ext cx="447403" cy="369332"/>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2B</a:t>
            </a:r>
            <a:endParaRPr lang="en-IN" b="1">
              <a:solidFill>
                <a:srgbClr val="FF0000"/>
              </a:solidFill>
            </a:endParaRPr>
          </a:p>
        </xdr:txBody>
      </xdr:sp>
      <xdr:sp macro="" textlink="">
        <xdr:nvSpPr>
          <xdr:cNvPr id="10" name="TextBox 125">
            <a:extLst>
              <a:ext uri="{FF2B5EF4-FFF2-40B4-BE49-F238E27FC236}">
                <a16:creationId xmlns:a16="http://schemas.microsoft.com/office/drawing/2014/main" id="{ADC430D6-FF5A-4A1D-AD5B-7D09069937C4}"/>
              </a:ext>
            </a:extLst>
          </xdr:cNvPr>
          <xdr:cNvSpPr txBox="1"/>
        </xdr:nvSpPr>
        <xdr:spPr>
          <a:xfrm>
            <a:off x="5412596" y="49657000"/>
            <a:ext cx="340504" cy="24885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2B</a:t>
            </a:r>
            <a:endParaRPr lang="en-IN" sz="1000" b="1">
              <a:solidFill>
                <a:srgbClr val="FF0000"/>
              </a:solidFill>
            </a:endParaRPr>
          </a:p>
        </xdr:txBody>
      </xdr:sp>
      <xdr:sp macro="" textlink="">
        <xdr:nvSpPr>
          <xdr:cNvPr id="11" name="TextBox 125">
            <a:extLst>
              <a:ext uri="{FF2B5EF4-FFF2-40B4-BE49-F238E27FC236}">
                <a16:creationId xmlns:a16="http://schemas.microsoft.com/office/drawing/2014/main" id="{B27605E7-007E-4DC9-91A4-559A430F2225}"/>
              </a:ext>
            </a:extLst>
          </xdr:cNvPr>
          <xdr:cNvSpPr txBox="1"/>
        </xdr:nvSpPr>
        <xdr:spPr>
          <a:xfrm>
            <a:off x="565150" y="52974222"/>
            <a:ext cx="387350" cy="256737"/>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FF0000"/>
                </a:solidFill>
              </a:rPr>
              <a:t>2B</a:t>
            </a:r>
            <a:endParaRPr lang="en-IN" sz="1050" b="1">
              <a:solidFill>
                <a:srgbClr val="FF0000"/>
              </a:solidFill>
            </a:endParaRPr>
          </a:p>
        </xdr:txBody>
      </xdr:sp>
      <xdr:sp macro="" textlink="">
        <xdr:nvSpPr>
          <xdr:cNvPr id="12" name="TextBox 125">
            <a:extLst>
              <a:ext uri="{FF2B5EF4-FFF2-40B4-BE49-F238E27FC236}">
                <a16:creationId xmlns:a16="http://schemas.microsoft.com/office/drawing/2014/main" id="{A728C229-15E6-40F2-808D-E5A48D1B3F9E}"/>
              </a:ext>
            </a:extLst>
          </xdr:cNvPr>
          <xdr:cNvSpPr txBox="1"/>
        </xdr:nvSpPr>
        <xdr:spPr>
          <a:xfrm>
            <a:off x="4112169" y="51854100"/>
            <a:ext cx="326481" cy="256737"/>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FF0000"/>
                </a:solidFill>
              </a:rPr>
              <a:t>2B</a:t>
            </a:r>
            <a:endParaRPr lang="en-IN" sz="1050" b="1">
              <a:solidFill>
                <a:srgbClr val="FF0000"/>
              </a:solidFill>
            </a:endParaRPr>
          </a:p>
        </xdr:txBody>
      </xdr:sp>
      <xdr:sp macro="" textlink="">
        <xdr:nvSpPr>
          <xdr:cNvPr id="13" name="TextBox 125">
            <a:extLst>
              <a:ext uri="{FF2B5EF4-FFF2-40B4-BE49-F238E27FC236}">
                <a16:creationId xmlns:a16="http://schemas.microsoft.com/office/drawing/2014/main" id="{327CD6CB-BD08-49B1-B754-DAC8E4B32861}"/>
              </a:ext>
            </a:extLst>
          </xdr:cNvPr>
          <xdr:cNvSpPr txBox="1"/>
        </xdr:nvSpPr>
        <xdr:spPr>
          <a:xfrm>
            <a:off x="5468439" y="52078872"/>
            <a:ext cx="341811" cy="256737"/>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FF0000"/>
                </a:solidFill>
              </a:rPr>
              <a:t>2B</a:t>
            </a:r>
            <a:endParaRPr lang="en-IN" sz="1050" b="1">
              <a:solidFill>
                <a:srgbClr val="FF0000"/>
              </a:solidFill>
            </a:endParaRPr>
          </a:p>
        </xdr:txBody>
      </xdr:sp>
      <xdr:sp macro="" textlink="">
        <xdr:nvSpPr>
          <xdr:cNvPr id="14" name="TextBox 125">
            <a:extLst>
              <a:ext uri="{FF2B5EF4-FFF2-40B4-BE49-F238E27FC236}">
                <a16:creationId xmlns:a16="http://schemas.microsoft.com/office/drawing/2014/main" id="{6D233314-9974-43B9-B536-E17EC1B28B00}"/>
              </a:ext>
            </a:extLst>
          </xdr:cNvPr>
          <xdr:cNvSpPr txBox="1"/>
        </xdr:nvSpPr>
        <xdr:spPr>
          <a:xfrm>
            <a:off x="1995774" y="53911500"/>
            <a:ext cx="328326" cy="256737"/>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FF0000"/>
                </a:solidFill>
              </a:rPr>
              <a:t>2B</a:t>
            </a:r>
            <a:endParaRPr lang="en-IN" sz="1050" b="1">
              <a:solidFill>
                <a:srgbClr val="FF0000"/>
              </a:solidFill>
            </a:endParaRPr>
          </a:p>
        </xdr:txBody>
      </xdr:sp>
      <xdr:sp macro="" textlink="">
        <xdr:nvSpPr>
          <xdr:cNvPr id="15" name="TextBox 125">
            <a:extLst>
              <a:ext uri="{FF2B5EF4-FFF2-40B4-BE49-F238E27FC236}">
                <a16:creationId xmlns:a16="http://schemas.microsoft.com/office/drawing/2014/main" id="{B4B9BCA8-7524-4811-A0E4-9DF6098D9A34}"/>
              </a:ext>
            </a:extLst>
          </xdr:cNvPr>
          <xdr:cNvSpPr txBox="1"/>
        </xdr:nvSpPr>
        <xdr:spPr>
          <a:xfrm>
            <a:off x="3952118" y="53794834"/>
            <a:ext cx="387350" cy="256737"/>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FF0000"/>
                </a:solidFill>
              </a:rPr>
              <a:t>2B</a:t>
            </a:r>
            <a:endParaRPr lang="en-IN" sz="1050" b="1">
              <a:solidFill>
                <a:srgbClr val="FF0000"/>
              </a:solidFill>
            </a:endParaRPr>
          </a:p>
        </xdr:txBody>
      </xdr:sp>
      <xdr:sp macro="" textlink="">
        <xdr:nvSpPr>
          <xdr:cNvPr id="19" name="TextBox 125">
            <a:extLst>
              <a:ext uri="{FF2B5EF4-FFF2-40B4-BE49-F238E27FC236}">
                <a16:creationId xmlns:a16="http://schemas.microsoft.com/office/drawing/2014/main" id="{2DEBC123-FB8F-4057-8555-647A5E105F90}"/>
              </a:ext>
            </a:extLst>
          </xdr:cNvPr>
          <xdr:cNvSpPr txBox="1"/>
        </xdr:nvSpPr>
        <xdr:spPr>
          <a:xfrm>
            <a:off x="1751095" y="55804535"/>
            <a:ext cx="387350" cy="256737"/>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FF0000"/>
                </a:solidFill>
              </a:rPr>
              <a:t>2B</a:t>
            </a:r>
            <a:endParaRPr lang="en-IN" sz="1050" b="1">
              <a:solidFill>
                <a:srgbClr val="FF0000"/>
              </a:solidFill>
            </a:endParaRPr>
          </a:p>
        </xdr:txBody>
      </xdr:sp>
      <xdr:sp macro="" textlink="">
        <xdr:nvSpPr>
          <xdr:cNvPr id="20" name="TextBox 125">
            <a:extLst>
              <a:ext uri="{FF2B5EF4-FFF2-40B4-BE49-F238E27FC236}">
                <a16:creationId xmlns:a16="http://schemas.microsoft.com/office/drawing/2014/main" id="{43BE063A-5F08-4763-A0B5-5B1BEA845B57}"/>
              </a:ext>
            </a:extLst>
          </xdr:cNvPr>
          <xdr:cNvSpPr txBox="1"/>
        </xdr:nvSpPr>
        <xdr:spPr>
          <a:xfrm>
            <a:off x="5642395" y="55842635"/>
            <a:ext cx="310730" cy="233205"/>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FF0000"/>
                </a:solidFill>
              </a:rPr>
              <a:t>2B</a:t>
            </a:r>
            <a:endParaRPr lang="en-IN" sz="900" b="1">
              <a:solidFill>
                <a:srgbClr val="FF0000"/>
              </a:solidFill>
            </a:endParaRPr>
          </a:p>
        </xdr:txBody>
      </xdr:sp>
    </xdr:grpSp>
    <xdr:clientData/>
  </xdr:twoCellAnchor>
  <xdr:twoCellAnchor>
    <xdr:from>
      <xdr:col>0</xdr:col>
      <xdr:colOff>107950</xdr:colOff>
      <xdr:row>275</xdr:row>
      <xdr:rowOff>76200</xdr:rowOff>
    </xdr:from>
    <xdr:to>
      <xdr:col>9</xdr:col>
      <xdr:colOff>527050</xdr:colOff>
      <xdr:row>315</xdr:row>
      <xdr:rowOff>101761</xdr:rowOff>
    </xdr:to>
    <xdr:grpSp>
      <xdr:nvGrpSpPr>
        <xdr:cNvPr id="31" name="Group 30">
          <a:extLst>
            <a:ext uri="{FF2B5EF4-FFF2-40B4-BE49-F238E27FC236}">
              <a16:creationId xmlns:a16="http://schemas.microsoft.com/office/drawing/2014/main" id="{CFFE2914-BE54-4833-CB2F-4B3D45BBB84E}"/>
            </a:ext>
          </a:extLst>
        </xdr:cNvPr>
        <xdr:cNvGrpSpPr/>
      </xdr:nvGrpSpPr>
      <xdr:grpSpPr>
        <a:xfrm>
          <a:off x="107950" y="56254650"/>
          <a:ext cx="6400800" cy="7391561"/>
          <a:chOff x="107950" y="58635900"/>
          <a:chExt cx="6134100" cy="7645561"/>
        </a:xfrm>
      </xdr:grpSpPr>
      <xdr:pic>
        <xdr:nvPicPr>
          <xdr:cNvPr id="92" name="Pictur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054961" y="58635900"/>
            <a:ext cx="2070000" cy="2978967"/>
          </a:xfrm>
          <a:prstGeom prst="rect">
            <a:avLst/>
          </a:prstGeom>
          <a:ln>
            <a:solidFill>
              <a:schemeClr val="tx1"/>
            </a:solidFill>
          </a:ln>
        </xdr:spPr>
      </xdr:pic>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107950" y="61712297"/>
            <a:ext cx="3475022" cy="2234225"/>
          </a:xfrm>
          <a:prstGeom prst="rect">
            <a:avLst/>
          </a:prstGeom>
          <a:ln>
            <a:solidFill>
              <a:schemeClr val="tx1"/>
            </a:solidFill>
          </a:ln>
        </xdr:spPr>
      </xdr:pic>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3685953" y="61712297"/>
            <a:ext cx="2556097" cy="2234225"/>
          </a:xfrm>
          <a:prstGeom prst="rect">
            <a:avLst/>
          </a:prstGeom>
          <a:ln>
            <a:solidFill>
              <a:schemeClr val="tx1"/>
            </a:solidFill>
          </a:ln>
        </xdr:spPr>
      </xdr:pic>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221300" y="64047236"/>
            <a:ext cx="1552500" cy="2234225"/>
          </a:xfrm>
          <a:prstGeom prst="rect">
            <a:avLst/>
          </a:prstGeom>
          <a:ln>
            <a:solidFill>
              <a:schemeClr val="tx1"/>
            </a:solidFill>
          </a:ln>
        </xdr:spPr>
      </xdr:pic>
      <xdr:pic>
        <xdr:nvPicPr>
          <xdr:cNvPr id="96" name="Pictur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260661" y="58635900"/>
            <a:ext cx="3680000" cy="2978967"/>
          </a:xfrm>
          <a:prstGeom prst="rect">
            <a:avLst/>
          </a:prstGeom>
          <a:ln>
            <a:solidFill>
              <a:schemeClr val="tx1"/>
            </a:solidFill>
          </a:ln>
        </xdr:spPr>
      </xdr:pic>
      <xdr:pic>
        <xdr:nvPicPr>
          <xdr:cNvPr id="97" name="Pictur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1846670" y="64047236"/>
            <a:ext cx="2676928" cy="2234225"/>
          </a:xfrm>
          <a:prstGeom prst="rect">
            <a:avLst/>
          </a:prstGeom>
          <a:ln>
            <a:solidFill>
              <a:schemeClr val="tx1"/>
            </a:solidFill>
          </a:ln>
        </xdr:spPr>
      </xdr:pic>
      <xdr:pic>
        <xdr:nvPicPr>
          <xdr:cNvPr id="98" name="Pictur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4596469" y="64043952"/>
            <a:ext cx="1552500" cy="2234225"/>
          </a:xfrm>
          <a:prstGeom prst="rect">
            <a:avLst/>
          </a:prstGeom>
          <a:ln>
            <a:solidFill>
              <a:schemeClr val="tx1"/>
            </a:solidFill>
          </a:ln>
        </xdr:spPr>
      </xdr:pic>
      <xdr:sp macro="" textlink="">
        <xdr:nvSpPr>
          <xdr:cNvPr id="25" name="TextBox 125">
            <a:extLst>
              <a:ext uri="{FF2B5EF4-FFF2-40B4-BE49-F238E27FC236}">
                <a16:creationId xmlns:a16="http://schemas.microsoft.com/office/drawing/2014/main" id="{8011B91A-4173-4BA5-8B67-4CD8EC924513}"/>
              </a:ext>
            </a:extLst>
          </xdr:cNvPr>
          <xdr:cNvSpPr txBox="1"/>
        </xdr:nvSpPr>
        <xdr:spPr>
          <a:xfrm>
            <a:off x="603561" y="59921775"/>
            <a:ext cx="387350" cy="311496"/>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2B</a:t>
            </a:r>
            <a:endParaRPr lang="en-IN" sz="1400" b="1">
              <a:solidFill>
                <a:srgbClr val="FF0000"/>
              </a:solidFill>
            </a:endParaRPr>
          </a:p>
        </xdr:txBody>
      </xdr:sp>
      <xdr:sp macro="" textlink="">
        <xdr:nvSpPr>
          <xdr:cNvPr id="26" name="TextBox 125">
            <a:extLst>
              <a:ext uri="{FF2B5EF4-FFF2-40B4-BE49-F238E27FC236}">
                <a16:creationId xmlns:a16="http://schemas.microsoft.com/office/drawing/2014/main" id="{F8AF21C1-F289-46BF-985B-7A3BB3FFA8A0}"/>
              </a:ext>
            </a:extLst>
          </xdr:cNvPr>
          <xdr:cNvSpPr txBox="1"/>
        </xdr:nvSpPr>
        <xdr:spPr>
          <a:xfrm>
            <a:off x="1975161" y="60150375"/>
            <a:ext cx="387350" cy="311496"/>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2A</a:t>
            </a:r>
            <a:endParaRPr lang="en-IN" sz="1400" b="1">
              <a:solidFill>
                <a:srgbClr val="FF0000"/>
              </a:solidFill>
            </a:endParaRPr>
          </a:p>
        </xdr:txBody>
      </xdr:sp>
      <xdr:sp macro="" textlink="">
        <xdr:nvSpPr>
          <xdr:cNvPr id="27" name="TextBox 125">
            <a:extLst>
              <a:ext uri="{FF2B5EF4-FFF2-40B4-BE49-F238E27FC236}">
                <a16:creationId xmlns:a16="http://schemas.microsoft.com/office/drawing/2014/main" id="{B8B1DE2A-9D84-42AE-B6D4-F7BDF994E45F}"/>
              </a:ext>
            </a:extLst>
          </xdr:cNvPr>
          <xdr:cNvSpPr txBox="1"/>
        </xdr:nvSpPr>
        <xdr:spPr>
          <a:xfrm>
            <a:off x="4921736" y="58950225"/>
            <a:ext cx="387350" cy="311496"/>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2A</a:t>
            </a:r>
            <a:endParaRPr lang="en-IN" sz="1400" b="1">
              <a:solidFill>
                <a:srgbClr val="FF0000"/>
              </a:solidFill>
            </a:endParaRPr>
          </a:p>
        </xdr:txBody>
      </xdr:sp>
      <xdr:sp macro="" textlink="">
        <xdr:nvSpPr>
          <xdr:cNvPr id="28" name="TextBox 125">
            <a:extLst>
              <a:ext uri="{FF2B5EF4-FFF2-40B4-BE49-F238E27FC236}">
                <a16:creationId xmlns:a16="http://schemas.microsoft.com/office/drawing/2014/main" id="{CBE581AF-1648-4C16-A2EE-10C1344CE221}"/>
              </a:ext>
            </a:extLst>
          </xdr:cNvPr>
          <xdr:cNvSpPr txBox="1"/>
        </xdr:nvSpPr>
        <xdr:spPr>
          <a:xfrm>
            <a:off x="4733703" y="61893272"/>
            <a:ext cx="387350" cy="311496"/>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2A</a:t>
            </a:r>
            <a:endParaRPr lang="en-IN" sz="1400" b="1">
              <a:solidFill>
                <a:srgbClr val="FF0000"/>
              </a:solidFill>
            </a:endParaRPr>
          </a:p>
        </xdr:txBody>
      </xdr:sp>
      <xdr:sp macro="" textlink="">
        <xdr:nvSpPr>
          <xdr:cNvPr id="29" name="TextBox 125">
            <a:extLst>
              <a:ext uri="{FF2B5EF4-FFF2-40B4-BE49-F238E27FC236}">
                <a16:creationId xmlns:a16="http://schemas.microsoft.com/office/drawing/2014/main" id="{468CAB78-FC44-46BF-8CAB-E0B854494B00}"/>
              </a:ext>
            </a:extLst>
          </xdr:cNvPr>
          <xdr:cNvSpPr txBox="1"/>
        </xdr:nvSpPr>
        <xdr:spPr>
          <a:xfrm>
            <a:off x="792800" y="64066286"/>
            <a:ext cx="350200" cy="24885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0000"/>
                </a:solidFill>
              </a:rPr>
              <a:t>2A</a:t>
            </a:r>
            <a:endParaRPr lang="en-IN" sz="10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590550</xdr:colOff>
      <xdr:row>1</xdr:row>
      <xdr:rowOff>6350</xdr:rowOff>
    </xdr:from>
    <xdr:to>
      <xdr:col>13</xdr:col>
      <xdr:colOff>171450</xdr:colOff>
      <xdr:row>24</xdr:row>
      <xdr:rowOff>120650</xdr:rowOff>
    </xdr:to>
    <xdr:pic>
      <xdr:nvPicPr>
        <xdr:cNvPr id="2067" name="Picture 1">
          <a:extLst>
            <a:ext uri="{FF2B5EF4-FFF2-40B4-BE49-F238E27FC236}">
              <a16:creationId xmlns:a16="http://schemas.microsoft.com/office/drawing/2014/main" id="{00000000-0008-0000-0100-000013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5700" y="190500"/>
          <a:ext cx="3238500" cy="434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203200</xdr:colOff>
      <xdr:row>1</xdr:row>
      <xdr:rowOff>6350</xdr:rowOff>
    </xdr:from>
    <xdr:to>
      <xdr:col>7</xdr:col>
      <xdr:colOff>393700</xdr:colOff>
      <xdr:row>24</xdr:row>
      <xdr:rowOff>120650</xdr:rowOff>
    </xdr:to>
    <xdr:pic>
      <xdr:nvPicPr>
        <xdr:cNvPr id="2068" name="Picture 2">
          <a:extLst>
            <a:ext uri="{FF2B5EF4-FFF2-40B4-BE49-F238E27FC236}">
              <a16:creationId xmlns:a16="http://schemas.microsoft.com/office/drawing/2014/main" id="{00000000-0008-0000-0100-000014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0" y="190500"/>
          <a:ext cx="3238500" cy="434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Ssn7aCCncr1c6qq9?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349"/>
  <sheetViews>
    <sheetView tabSelected="1" view="pageBreakPreview" topLeftCell="A114" zoomScaleNormal="100" zoomScaleSheetLayoutView="100" zoomScalePageLayoutView="85" workbookViewId="0">
      <selection activeCell="L268" sqref="L268"/>
    </sheetView>
  </sheetViews>
  <sheetFormatPr defaultRowHeight="14.5" x14ac:dyDescent="0.35"/>
  <cols>
    <col min="1" max="1" width="8.7265625" customWidth="1"/>
    <col min="2" max="2" width="9.81640625" customWidth="1"/>
    <col min="3" max="3" width="14.453125" customWidth="1"/>
    <col min="4" max="4" width="7.26953125" customWidth="1"/>
    <col min="5" max="5" width="5.54296875" customWidth="1"/>
    <col min="6" max="6" width="9" customWidth="1"/>
    <col min="7" max="8" width="9.81640625" customWidth="1"/>
    <col min="9" max="9" width="11.1796875" customWidth="1"/>
    <col min="10" max="10" width="8.81640625" customWidth="1"/>
    <col min="11" max="11" width="14.453125" customWidth="1"/>
  </cols>
  <sheetData>
    <row r="1" spans="1:10" ht="43.9" customHeight="1" x14ac:dyDescent="0.35">
      <c r="A1" s="159" t="s">
        <v>177</v>
      </c>
      <c r="B1" s="160"/>
      <c r="C1" s="160"/>
      <c r="D1" s="160"/>
      <c r="E1" s="160"/>
      <c r="F1" s="160"/>
      <c r="G1" s="160"/>
      <c r="H1" s="160"/>
      <c r="I1" s="160"/>
      <c r="J1" s="161"/>
    </row>
    <row r="2" spans="1:10" x14ac:dyDescent="0.35">
      <c r="A2" s="101" t="s">
        <v>43</v>
      </c>
      <c r="B2" s="102"/>
      <c r="C2" s="102"/>
      <c r="D2" s="102"/>
      <c r="E2" s="102"/>
      <c r="F2" s="102"/>
      <c r="G2" s="102"/>
      <c r="H2" s="102"/>
      <c r="I2" s="102"/>
      <c r="J2" s="103"/>
    </row>
    <row r="3" spans="1:10" x14ac:dyDescent="0.35">
      <c r="A3" s="104" t="s">
        <v>0</v>
      </c>
      <c r="B3" s="105"/>
      <c r="C3" s="105"/>
      <c r="D3" s="105"/>
      <c r="E3" s="106"/>
      <c r="F3" s="58" t="str">
        <f ca="1">TEXT(TODAY(),"DD/MM/YYYY")</f>
        <v>08/09/2025</v>
      </c>
      <c r="G3" s="59"/>
      <c r="H3" s="59"/>
      <c r="I3" s="59"/>
      <c r="J3" s="60"/>
    </row>
    <row r="4" spans="1:10" x14ac:dyDescent="0.35">
      <c r="A4" s="104" t="s">
        <v>1</v>
      </c>
      <c r="B4" s="105"/>
      <c r="C4" s="105"/>
      <c r="D4" s="105"/>
      <c r="E4" s="106"/>
      <c r="F4" s="52" t="s">
        <v>116</v>
      </c>
      <c r="G4" s="53"/>
      <c r="H4" s="53"/>
      <c r="I4" s="53"/>
      <c r="J4" s="54"/>
    </row>
    <row r="5" spans="1:10" x14ac:dyDescent="0.35">
      <c r="A5" s="104" t="s">
        <v>2</v>
      </c>
      <c r="B5" s="105"/>
      <c r="C5" s="105"/>
      <c r="D5" s="105"/>
      <c r="E5" s="106"/>
      <c r="F5" s="58">
        <v>45902</v>
      </c>
      <c r="G5" s="59"/>
      <c r="H5" s="59"/>
      <c r="I5" s="59"/>
      <c r="J5" s="60"/>
    </row>
    <row r="6" spans="1:10" ht="16.5" customHeight="1" x14ac:dyDescent="0.35">
      <c r="A6" s="104" t="s">
        <v>3</v>
      </c>
      <c r="B6" s="105"/>
      <c r="C6" s="105"/>
      <c r="D6" s="105"/>
      <c r="E6" s="106"/>
      <c r="F6" s="55" t="s">
        <v>117</v>
      </c>
      <c r="G6" s="56"/>
      <c r="H6" s="56"/>
      <c r="I6" s="56"/>
      <c r="J6" s="57"/>
    </row>
    <row r="7" spans="1:10" ht="15" customHeight="1" x14ac:dyDescent="0.35">
      <c r="A7" s="104" t="s">
        <v>4</v>
      </c>
      <c r="B7" s="105"/>
      <c r="C7" s="105"/>
      <c r="D7" s="105"/>
      <c r="E7" s="106"/>
      <c r="F7" s="55" t="str">
        <f>F6</f>
        <v>M/s.KPS Enterprises</v>
      </c>
      <c r="G7" s="56"/>
      <c r="H7" s="56"/>
      <c r="I7" s="56"/>
      <c r="J7" s="57"/>
    </row>
    <row r="8" spans="1:10" x14ac:dyDescent="0.35">
      <c r="A8" s="104" t="s">
        <v>5</v>
      </c>
      <c r="B8" s="105"/>
      <c r="C8" s="105"/>
      <c r="D8" s="105"/>
      <c r="E8" s="106"/>
      <c r="F8" s="66" t="s">
        <v>92</v>
      </c>
      <c r="G8" s="67"/>
      <c r="H8" s="67"/>
      <c r="I8" s="67"/>
      <c r="J8" s="68"/>
    </row>
    <row r="9" spans="1:10" x14ac:dyDescent="0.35">
      <c r="A9" s="52" t="s">
        <v>73</v>
      </c>
      <c r="B9" s="105"/>
      <c r="C9" s="105"/>
      <c r="D9" s="105"/>
      <c r="E9" s="106"/>
      <c r="F9" s="52">
        <v>9004785351</v>
      </c>
      <c r="G9" s="53"/>
      <c r="H9" s="53"/>
      <c r="I9" s="53"/>
      <c r="J9" s="54"/>
    </row>
    <row r="10" spans="1:10" ht="31.5" customHeight="1" x14ac:dyDescent="0.35">
      <c r="A10" s="52" t="s">
        <v>91</v>
      </c>
      <c r="B10" s="53"/>
      <c r="C10" s="53"/>
      <c r="D10" s="53"/>
      <c r="E10" s="54"/>
      <c r="F10" s="55" t="s">
        <v>118</v>
      </c>
      <c r="G10" s="53"/>
      <c r="H10" s="53"/>
      <c r="I10" s="53"/>
      <c r="J10" s="54"/>
    </row>
    <row r="11" spans="1:10" x14ac:dyDescent="0.35">
      <c r="A11" s="104" t="s">
        <v>6</v>
      </c>
      <c r="B11" s="105"/>
      <c r="C11" s="105"/>
      <c r="D11" s="105"/>
      <c r="E11" s="106"/>
      <c r="F11" s="107" t="s">
        <v>122</v>
      </c>
      <c r="G11" s="108"/>
      <c r="H11" s="108"/>
      <c r="I11" s="108"/>
      <c r="J11" s="109"/>
    </row>
    <row r="12" spans="1:10" x14ac:dyDescent="0.35">
      <c r="A12" s="52" t="s">
        <v>86</v>
      </c>
      <c r="B12" s="53"/>
      <c r="C12" s="53"/>
      <c r="D12" s="53"/>
      <c r="E12" s="54"/>
      <c r="F12" s="52" t="s">
        <v>93</v>
      </c>
      <c r="G12" s="53"/>
      <c r="H12" s="53"/>
      <c r="I12" s="53"/>
      <c r="J12" s="54"/>
    </row>
    <row r="13" spans="1:10" x14ac:dyDescent="0.35">
      <c r="A13" s="62" t="s">
        <v>54</v>
      </c>
      <c r="B13" s="62"/>
      <c r="C13" s="55" t="s">
        <v>196</v>
      </c>
      <c r="D13" s="56"/>
      <c r="E13" s="56"/>
      <c r="F13" s="56"/>
      <c r="G13" s="56"/>
      <c r="H13" s="56"/>
      <c r="I13" s="56"/>
      <c r="J13" s="57"/>
    </row>
    <row r="14" spans="1:10" ht="15" customHeight="1" x14ac:dyDescent="0.35">
      <c r="A14" s="62" t="s">
        <v>94</v>
      </c>
      <c r="B14" s="62"/>
      <c r="C14" s="79" t="s">
        <v>95</v>
      </c>
      <c r="D14" s="79"/>
      <c r="E14" s="79"/>
      <c r="F14" s="61" t="s">
        <v>55</v>
      </c>
      <c r="G14" s="61"/>
      <c r="H14" s="56" t="s">
        <v>96</v>
      </c>
      <c r="I14" s="56"/>
      <c r="J14" s="57"/>
    </row>
    <row r="15" spans="1:10" x14ac:dyDescent="0.35">
      <c r="A15" s="62" t="s">
        <v>7</v>
      </c>
      <c r="B15" s="62"/>
      <c r="C15" s="79" t="s">
        <v>97</v>
      </c>
      <c r="D15" s="79"/>
      <c r="E15" s="79"/>
      <c r="F15" s="61" t="s">
        <v>56</v>
      </c>
      <c r="G15" s="61"/>
      <c r="H15" s="56" t="s">
        <v>98</v>
      </c>
      <c r="I15" s="56"/>
      <c r="J15" s="57"/>
    </row>
    <row r="16" spans="1:10" x14ac:dyDescent="0.35">
      <c r="A16" s="62" t="s">
        <v>8</v>
      </c>
      <c r="B16" s="62"/>
      <c r="C16" s="79" t="s">
        <v>99</v>
      </c>
      <c r="D16" s="79"/>
      <c r="E16" s="79"/>
      <c r="F16" s="61" t="s">
        <v>57</v>
      </c>
      <c r="G16" s="61"/>
      <c r="H16" s="56">
        <v>410206</v>
      </c>
      <c r="I16" s="56"/>
      <c r="J16" s="57"/>
    </row>
    <row r="17" spans="1:10" ht="32.25" customHeight="1" x14ac:dyDescent="0.35">
      <c r="A17" s="62" t="s">
        <v>58</v>
      </c>
      <c r="B17" s="62"/>
      <c r="C17" s="139" t="s">
        <v>197</v>
      </c>
      <c r="D17" s="139"/>
      <c r="E17" s="139"/>
      <c r="F17" s="61" t="s">
        <v>48</v>
      </c>
      <c r="G17" s="61"/>
      <c r="H17" s="56" t="s">
        <v>121</v>
      </c>
      <c r="I17" s="56"/>
      <c r="J17" s="57"/>
    </row>
    <row r="18" spans="1:10" ht="15" customHeight="1" x14ac:dyDescent="0.35">
      <c r="A18" s="118" t="s">
        <v>90</v>
      </c>
      <c r="B18" s="124"/>
      <c r="C18" s="124"/>
      <c r="D18" s="124"/>
      <c r="E18" s="125"/>
      <c r="F18" s="110" t="s">
        <v>52</v>
      </c>
      <c r="G18" s="111"/>
      <c r="H18" s="111"/>
      <c r="I18" s="111"/>
      <c r="J18" s="112"/>
    </row>
    <row r="19" spans="1:10" x14ac:dyDescent="0.35">
      <c r="A19" s="126"/>
      <c r="B19" s="127"/>
      <c r="C19" s="127"/>
      <c r="D19" s="127"/>
      <c r="E19" s="128"/>
      <c r="F19" s="113"/>
      <c r="G19" s="114"/>
      <c r="H19" s="114"/>
      <c r="I19" s="114"/>
      <c r="J19" s="115"/>
    </row>
    <row r="20" spans="1:10" ht="15" customHeight="1" x14ac:dyDescent="0.35">
      <c r="A20" s="118" t="s">
        <v>74</v>
      </c>
      <c r="B20" s="119"/>
      <c r="C20" s="119"/>
      <c r="D20" s="119"/>
      <c r="E20" s="120"/>
      <c r="F20" s="118" t="s">
        <v>45</v>
      </c>
      <c r="G20" s="124"/>
      <c r="H20" s="124"/>
      <c r="I20" s="124"/>
      <c r="J20" s="125"/>
    </row>
    <row r="21" spans="1:10" x14ac:dyDescent="0.35">
      <c r="A21" s="121"/>
      <c r="B21" s="122"/>
      <c r="C21" s="122"/>
      <c r="D21" s="122"/>
      <c r="E21" s="123"/>
      <c r="F21" s="126"/>
      <c r="G21" s="127"/>
      <c r="H21" s="127"/>
      <c r="I21" s="127"/>
      <c r="J21" s="128"/>
    </row>
    <row r="22" spans="1:10" x14ac:dyDescent="0.35">
      <c r="A22" s="104" t="s">
        <v>9</v>
      </c>
      <c r="B22" s="105"/>
      <c r="C22" s="105"/>
      <c r="D22" s="105"/>
      <c r="E22" s="106"/>
      <c r="F22" s="132" t="s">
        <v>84</v>
      </c>
      <c r="G22" s="133"/>
      <c r="H22" s="133"/>
      <c r="I22" s="133"/>
      <c r="J22" s="134"/>
    </row>
    <row r="23" spans="1:10" x14ac:dyDescent="0.35">
      <c r="A23" s="104" t="s">
        <v>10</v>
      </c>
      <c r="B23" s="105"/>
      <c r="C23" s="105"/>
      <c r="D23" s="105"/>
      <c r="E23" s="106"/>
      <c r="F23" s="129" t="s">
        <v>49</v>
      </c>
      <c r="G23" s="130"/>
      <c r="H23" s="130"/>
      <c r="I23" s="130"/>
      <c r="J23" s="131"/>
    </row>
    <row r="24" spans="1:10" x14ac:dyDescent="0.35">
      <c r="A24" s="104" t="s">
        <v>11</v>
      </c>
      <c r="B24" s="105"/>
      <c r="C24" s="105"/>
      <c r="D24" s="105"/>
      <c r="E24" s="106"/>
      <c r="F24" s="132" t="s">
        <v>85</v>
      </c>
      <c r="G24" s="133"/>
      <c r="H24" s="133"/>
      <c r="I24" s="133"/>
      <c r="J24" s="134"/>
    </row>
    <row r="25" spans="1:10" x14ac:dyDescent="0.35">
      <c r="A25" s="104" t="s">
        <v>29</v>
      </c>
      <c r="B25" s="105"/>
      <c r="C25" s="105"/>
      <c r="D25" s="105"/>
      <c r="E25" s="106"/>
      <c r="F25" s="129" t="s">
        <v>59</v>
      </c>
      <c r="G25" s="137"/>
      <c r="H25" s="137"/>
      <c r="I25" s="137"/>
      <c r="J25" s="138"/>
    </row>
    <row r="26" spans="1:10" x14ac:dyDescent="0.35">
      <c r="A26" s="135" t="s">
        <v>12</v>
      </c>
      <c r="B26" s="136"/>
      <c r="C26" s="135" t="s">
        <v>13</v>
      </c>
      <c r="D26" s="136"/>
      <c r="E26" s="116" t="s">
        <v>14</v>
      </c>
      <c r="F26" s="136"/>
      <c r="G26" s="116" t="s">
        <v>47</v>
      </c>
      <c r="H26" s="117"/>
      <c r="I26" s="135" t="s">
        <v>15</v>
      </c>
      <c r="J26" s="136"/>
    </row>
    <row r="27" spans="1:10" x14ac:dyDescent="0.35">
      <c r="A27" s="116" t="s">
        <v>16</v>
      </c>
      <c r="B27" s="117"/>
      <c r="C27" s="116" t="s">
        <v>46</v>
      </c>
      <c r="D27" s="117"/>
      <c r="E27" s="116" t="s">
        <v>46</v>
      </c>
      <c r="F27" s="117"/>
      <c r="G27" s="116" t="s">
        <v>46</v>
      </c>
      <c r="H27" s="117"/>
      <c r="I27" s="116" t="s">
        <v>46</v>
      </c>
      <c r="J27" s="117"/>
    </row>
    <row r="28" spans="1:10" x14ac:dyDescent="0.35">
      <c r="A28" s="135" t="s">
        <v>17</v>
      </c>
      <c r="B28" s="136"/>
      <c r="C28" s="116" t="s">
        <v>7</v>
      </c>
      <c r="D28" s="117"/>
      <c r="E28" s="116" t="s">
        <v>101</v>
      </c>
      <c r="F28" s="117"/>
      <c r="G28" s="116" t="s">
        <v>101</v>
      </c>
      <c r="H28" s="117"/>
      <c r="I28" s="116" t="s">
        <v>100</v>
      </c>
      <c r="J28" s="117"/>
    </row>
    <row r="29" spans="1:10" x14ac:dyDescent="0.35">
      <c r="A29" s="52" t="s">
        <v>51</v>
      </c>
      <c r="B29" s="53"/>
      <c r="C29" s="53"/>
      <c r="D29" s="53"/>
      <c r="E29" s="53"/>
      <c r="F29" s="53"/>
      <c r="G29" s="53"/>
      <c r="H29" s="53"/>
      <c r="I29" s="53"/>
      <c r="J29" s="54"/>
    </row>
    <row r="30" spans="1:10" x14ac:dyDescent="0.35">
      <c r="A30" s="52" t="s">
        <v>81</v>
      </c>
      <c r="B30" s="53"/>
      <c r="C30" s="53"/>
      <c r="D30" s="53"/>
      <c r="E30" s="53"/>
      <c r="F30" s="53"/>
      <c r="G30" s="53"/>
      <c r="H30" s="53"/>
      <c r="I30" s="53"/>
      <c r="J30" s="54"/>
    </row>
    <row r="31" spans="1:10" x14ac:dyDescent="0.35">
      <c r="A31" s="52" t="s">
        <v>41</v>
      </c>
      <c r="B31" s="54"/>
      <c r="C31" s="66" t="s">
        <v>183</v>
      </c>
      <c r="D31" s="67"/>
      <c r="E31" s="67"/>
      <c r="F31" s="67"/>
      <c r="G31" s="67"/>
      <c r="H31" s="67"/>
      <c r="I31" s="67"/>
      <c r="J31" s="68"/>
    </row>
    <row r="32" spans="1:10" x14ac:dyDescent="0.35">
      <c r="A32" s="52" t="s">
        <v>178</v>
      </c>
      <c r="B32" s="54"/>
      <c r="C32" s="75" t="s">
        <v>179</v>
      </c>
      <c r="D32" s="53"/>
      <c r="E32" s="53"/>
      <c r="F32" s="53"/>
      <c r="G32" s="53"/>
      <c r="H32" s="53"/>
      <c r="I32" s="53"/>
      <c r="J32" s="54"/>
    </row>
    <row r="33" spans="1:10" x14ac:dyDescent="0.35">
      <c r="A33" s="66" t="s">
        <v>18</v>
      </c>
      <c r="B33" s="67"/>
      <c r="C33" s="67"/>
      <c r="D33" s="67"/>
      <c r="E33" s="67"/>
      <c r="F33" s="67"/>
      <c r="G33" s="67"/>
      <c r="H33" s="67"/>
      <c r="I33" s="67"/>
      <c r="J33" s="68"/>
    </row>
    <row r="34" spans="1:10" ht="15" customHeight="1" x14ac:dyDescent="0.35">
      <c r="A34" s="61" t="s">
        <v>102</v>
      </c>
      <c r="B34" s="61"/>
      <c r="C34" s="61"/>
      <c r="D34" s="61"/>
      <c r="E34" s="61"/>
      <c r="F34" s="61"/>
      <c r="G34" s="61"/>
      <c r="H34" s="61"/>
      <c r="I34" s="61"/>
      <c r="J34" s="61"/>
    </row>
    <row r="35" spans="1:10" x14ac:dyDescent="0.35">
      <c r="A35" s="61"/>
      <c r="B35" s="61"/>
      <c r="C35" s="61"/>
      <c r="D35" s="61"/>
      <c r="E35" s="61"/>
      <c r="F35" s="61"/>
      <c r="G35" s="61"/>
      <c r="H35" s="61"/>
      <c r="I35" s="61"/>
      <c r="J35" s="61"/>
    </row>
    <row r="36" spans="1:10" ht="16.5" customHeight="1" x14ac:dyDescent="0.35">
      <c r="A36" s="62" t="s">
        <v>60</v>
      </c>
      <c r="B36" s="140"/>
      <c r="C36" s="140"/>
      <c r="D36" s="140"/>
      <c r="E36" s="140"/>
      <c r="F36" s="61">
        <v>3055.8119999999999</v>
      </c>
      <c r="G36" s="61"/>
      <c r="H36" s="61"/>
      <c r="I36" s="61"/>
      <c r="J36" s="61"/>
    </row>
    <row r="37" spans="1:10" x14ac:dyDescent="0.35">
      <c r="A37" s="140" t="s">
        <v>19</v>
      </c>
      <c r="B37" s="140"/>
      <c r="C37" s="140"/>
      <c r="D37" s="140"/>
      <c r="E37" s="140"/>
      <c r="F37" s="62">
        <v>1</v>
      </c>
      <c r="G37" s="62"/>
      <c r="H37" s="62"/>
      <c r="I37" s="62"/>
      <c r="J37" s="62"/>
    </row>
    <row r="38" spans="1:10" x14ac:dyDescent="0.35">
      <c r="A38" s="140" t="s">
        <v>20</v>
      </c>
      <c r="B38" s="140"/>
      <c r="C38" s="140"/>
      <c r="D38" s="140"/>
      <c r="E38" s="140"/>
      <c r="F38" s="62">
        <v>0</v>
      </c>
      <c r="G38" s="62"/>
      <c r="H38" s="62"/>
      <c r="I38" s="62"/>
      <c r="J38" s="62"/>
    </row>
    <row r="39" spans="1:10" x14ac:dyDescent="0.35">
      <c r="A39" s="140" t="s">
        <v>21</v>
      </c>
      <c r="B39" s="140"/>
      <c r="C39" s="140"/>
      <c r="D39" s="140"/>
      <c r="E39" s="140"/>
      <c r="F39" s="62">
        <f>F37+F38</f>
        <v>1</v>
      </c>
      <c r="G39" s="62"/>
      <c r="H39" s="62"/>
      <c r="I39" s="62"/>
      <c r="J39" s="62"/>
    </row>
    <row r="40" spans="1:10" x14ac:dyDescent="0.35">
      <c r="A40" s="62" t="s">
        <v>61</v>
      </c>
      <c r="B40" s="140"/>
      <c r="C40" s="140"/>
      <c r="D40" s="140"/>
      <c r="E40" s="140"/>
      <c r="F40" s="62">
        <f>F36*F39</f>
        <v>3055.8119999999999</v>
      </c>
      <c r="G40" s="62"/>
      <c r="H40" s="62"/>
      <c r="I40" s="62"/>
      <c r="J40" s="62"/>
    </row>
    <row r="41" spans="1:10" x14ac:dyDescent="0.35">
      <c r="A41" s="140" t="s">
        <v>22</v>
      </c>
      <c r="B41" s="140"/>
      <c r="C41" s="140"/>
      <c r="D41" s="140"/>
      <c r="E41" s="140"/>
      <c r="F41" s="62" t="s">
        <v>176</v>
      </c>
      <c r="G41" s="62"/>
      <c r="H41" s="62"/>
      <c r="I41" s="62"/>
      <c r="J41" s="62"/>
    </row>
    <row r="42" spans="1:10" x14ac:dyDescent="0.35">
      <c r="A42" s="78" t="s">
        <v>63</v>
      </c>
      <c r="B42" s="78"/>
      <c r="C42" s="78"/>
      <c r="D42" s="78"/>
      <c r="E42" s="78"/>
      <c r="F42" s="78"/>
      <c r="G42" s="78"/>
      <c r="H42" s="78"/>
      <c r="I42" s="78"/>
      <c r="J42" s="78"/>
    </row>
    <row r="43" spans="1:10" ht="30.75" customHeight="1" x14ac:dyDescent="0.35">
      <c r="A43" s="61" t="s">
        <v>62</v>
      </c>
      <c r="B43" s="61"/>
      <c r="C43" s="162" t="s">
        <v>103</v>
      </c>
      <c r="D43" s="162"/>
      <c r="E43" s="162"/>
      <c r="F43" s="162"/>
      <c r="G43" s="50" t="s">
        <v>53</v>
      </c>
      <c r="H43" s="61" t="s">
        <v>104</v>
      </c>
      <c r="I43" s="61"/>
      <c r="J43" s="61"/>
    </row>
    <row r="44" spans="1:10" ht="31.5" customHeight="1" x14ac:dyDescent="0.35">
      <c r="A44" s="61" t="s">
        <v>89</v>
      </c>
      <c r="B44" s="61"/>
      <c r="C44" s="162" t="str">
        <f>C43</f>
        <v>CIDCO/NAINA/Panvel/Shivkar/BP-339/CC/2019/284</v>
      </c>
      <c r="D44" s="162"/>
      <c r="E44" s="162"/>
      <c r="F44" s="162"/>
      <c r="G44" s="50" t="s">
        <v>53</v>
      </c>
      <c r="H44" s="61" t="str">
        <f>H43</f>
        <v>28/02/2019.</v>
      </c>
      <c r="I44" s="61"/>
      <c r="J44" s="61"/>
    </row>
    <row r="45" spans="1:10" ht="73.5" customHeight="1" x14ac:dyDescent="0.35">
      <c r="A45" s="61" t="s">
        <v>185</v>
      </c>
      <c r="B45" s="61"/>
      <c r="C45" s="162" t="s">
        <v>184</v>
      </c>
      <c r="D45" s="79"/>
      <c r="E45" s="79"/>
      <c r="F45" s="79"/>
      <c r="G45" s="2" t="s">
        <v>53</v>
      </c>
      <c r="H45" s="79" t="str">
        <f>H44</f>
        <v>28/02/2019.</v>
      </c>
      <c r="I45" s="79"/>
      <c r="J45" s="79"/>
    </row>
    <row r="46" spans="1:10" x14ac:dyDescent="0.35">
      <c r="A46" s="55" t="s">
        <v>71</v>
      </c>
      <c r="B46" s="57"/>
      <c r="C46" s="98" t="s">
        <v>46</v>
      </c>
      <c r="D46" s="99"/>
      <c r="E46" s="99"/>
      <c r="F46" s="99" t="s">
        <v>72</v>
      </c>
      <c r="G46" s="100"/>
      <c r="H46" s="2" t="s">
        <v>53</v>
      </c>
      <c r="I46" s="79" t="s">
        <v>46</v>
      </c>
      <c r="J46" s="79"/>
    </row>
    <row r="47" spans="1:10" x14ac:dyDescent="0.35">
      <c r="A47" s="81" t="s">
        <v>23</v>
      </c>
      <c r="B47" s="82"/>
      <c r="C47" s="82"/>
      <c r="D47" s="82"/>
      <c r="E47" s="82"/>
      <c r="F47" s="82"/>
      <c r="G47" s="82"/>
      <c r="H47" s="82"/>
      <c r="I47" s="82"/>
      <c r="J47" s="83"/>
    </row>
    <row r="48" spans="1:10" x14ac:dyDescent="0.35">
      <c r="A48" s="52" t="s">
        <v>70</v>
      </c>
      <c r="B48" s="53"/>
      <c r="C48" s="54"/>
      <c r="D48" s="52">
        <f>F40</f>
        <v>3055.8119999999999</v>
      </c>
      <c r="E48" s="53"/>
      <c r="F48" s="53"/>
      <c r="G48" s="53"/>
      <c r="H48" s="53"/>
      <c r="I48" s="53"/>
      <c r="J48" s="54"/>
    </row>
    <row r="49" spans="1:13" x14ac:dyDescent="0.35">
      <c r="A49" s="52" t="s">
        <v>82</v>
      </c>
      <c r="B49" s="53"/>
      <c r="C49" s="54"/>
      <c r="D49" s="52">
        <v>72</v>
      </c>
      <c r="E49" s="53"/>
      <c r="F49" s="53"/>
      <c r="G49" s="53"/>
      <c r="H49" s="53"/>
      <c r="I49" s="53"/>
      <c r="J49" s="54"/>
    </row>
    <row r="50" spans="1:13" x14ac:dyDescent="0.35">
      <c r="A50" s="52" t="s">
        <v>65</v>
      </c>
      <c r="B50" s="53"/>
      <c r="C50" s="54"/>
      <c r="D50" s="52" t="s">
        <v>172</v>
      </c>
      <c r="E50" s="53"/>
      <c r="F50" s="53"/>
      <c r="G50" s="53"/>
      <c r="H50" s="53"/>
      <c r="I50" s="53"/>
      <c r="J50" s="54"/>
    </row>
    <row r="51" spans="1:13" x14ac:dyDescent="0.35">
      <c r="A51" s="62" t="s">
        <v>64</v>
      </c>
      <c r="B51" s="62"/>
      <c r="C51" s="62"/>
      <c r="D51" s="58">
        <v>46752</v>
      </c>
      <c r="E51" s="59"/>
      <c r="F51" s="59"/>
      <c r="G51" s="59"/>
      <c r="H51" s="59"/>
      <c r="I51" s="59"/>
      <c r="J51" s="60"/>
    </row>
    <row r="52" spans="1:13" ht="30" customHeight="1" x14ac:dyDescent="0.35">
      <c r="A52" s="62" t="s">
        <v>191</v>
      </c>
      <c r="B52" s="62"/>
      <c r="C52" s="62"/>
      <c r="D52" s="63" t="s">
        <v>192</v>
      </c>
      <c r="E52" s="64"/>
      <c r="F52" s="64"/>
      <c r="G52" s="64"/>
      <c r="H52" s="64"/>
      <c r="I52" s="64"/>
      <c r="J52" s="65"/>
    </row>
    <row r="53" spans="1:13" x14ac:dyDescent="0.35">
      <c r="A53" s="52" t="s">
        <v>186</v>
      </c>
      <c r="B53" s="53"/>
      <c r="C53" s="53"/>
      <c r="D53" s="55" t="s">
        <v>59</v>
      </c>
      <c r="E53" s="56"/>
      <c r="F53" s="56"/>
      <c r="G53" s="56"/>
      <c r="H53" s="56"/>
      <c r="I53" s="56"/>
      <c r="J53" s="57"/>
    </row>
    <row r="54" spans="1:13" ht="15.65" customHeight="1" x14ac:dyDescent="0.35">
      <c r="A54" s="62" t="s">
        <v>193</v>
      </c>
      <c r="B54" s="62"/>
      <c r="C54" s="62"/>
      <c r="D54" s="58" t="s">
        <v>46</v>
      </c>
      <c r="E54" s="59"/>
      <c r="F54" s="59"/>
      <c r="G54" s="59"/>
      <c r="H54" s="59"/>
      <c r="I54" s="59"/>
      <c r="J54" s="60"/>
    </row>
    <row r="55" spans="1:13" x14ac:dyDescent="0.35">
      <c r="A55" s="52" t="s">
        <v>187</v>
      </c>
      <c r="B55" s="53"/>
      <c r="C55" s="53"/>
      <c r="D55" s="55" t="s">
        <v>188</v>
      </c>
      <c r="E55" s="56"/>
      <c r="F55" s="56"/>
      <c r="G55" s="56"/>
      <c r="H55" s="56"/>
      <c r="I55" s="56"/>
      <c r="J55" s="57"/>
    </row>
    <row r="56" spans="1:13" x14ac:dyDescent="0.35">
      <c r="A56" s="52" t="s">
        <v>189</v>
      </c>
      <c r="B56" s="53"/>
      <c r="C56" s="53"/>
      <c r="D56" s="55" t="s">
        <v>190</v>
      </c>
      <c r="E56" s="56"/>
      <c r="F56" s="56"/>
      <c r="G56" s="56"/>
      <c r="H56" s="56"/>
      <c r="I56" s="56"/>
      <c r="J56" s="57"/>
    </row>
    <row r="57" spans="1:13" ht="31.5" customHeight="1" x14ac:dyDescent="0.35">
      <c r="A57" s="61" t="s">
        <v>194</v>
      </c>
      <c r="B57" s="61"/>
      <c r="C57" s="61"/>
      <c r="D57" s="58" t="s">
        <v>195</v>
      </c>
      <c r="E57" s="59"/>
      <c r="F57" s="59"/>
      <c r="G57" s="59"/>
      <c r="H57" s="59"/>
      <c r="I57" s="59"/>
      <c r="J57" s="60"/>
    </row>
    <row r="58" spans="1:13" ht="15" customHeight="1" thickBot="1" x14ac:dyDescent="0.4">
      <c r="A58" s="167" t="s">
        <v>42</v>
      </c>
      <c r="B58" s="168"/>
      <c r="C58" s="168"/>
      <c r="D58" s="168"/>
      <c r="E58" s="168"/>
      <c r="F58" s="168"/>
      <c r="G58" s="168"/>
      <c r="H58" s="168"/>
      <c r="I58" s="168"/>
      <c r="J58" s="169"/>
    </row>
    <row r="59" spans="1:13" ht="15.65" customHeight="1" x14ac:dyDescent="0.35">
      <c r="A59" s="84" t="s">
        <v>139</v>
      </c>
      <c r="B59" s="85"/>
      <c r="C59" s="86" t="s">
        <v>175</v>
      </c>
      <c r="D59" s="87"/>
      <c r="E59" s="87"/>
      <c r="F59" s="87"/>
      <c r="G59" s="87"/>
      <c r="H59" s="87"/>
      <c r="I59" s="87"/>
      <c r="J59" s="88"/>
      <c r="K59" s="32" t="str">
        <f ca="1">(IF(F63&gt;99%,"All work completed. Please provide OC.",IF(F63&gt;89.8%,"Plinth, RCC, Brick, Plaster, Flooring, Painting work Completed. Finishing work is in process.",IF(F63&lt;94%,(IF(C63=0,"Work not yet Started.",IF(D63=25%,"Piling work in process",IF(D63=50%,"Excavation work in process",IF(D63=100%,"Excavation work Completed. ","0")))&amp;(IF(C64=0%,"",IF(C64=L65,"Footing work is process",IF(C64=L66,"Footing work Completed",IF(C64=L67,"1st Basement Completed",IF(C64=L68,"1st &amp; 2nd Basement Completed",IF(C64=L69,"1st to 3rd Basement Completed",IF(C64=L70,"1st to 4th Basement Completed",IF(C64=L71,"Plinth work is process",IF(C64=L72,"Plinth work completed","0")))))))))))&amp;(IF(C65=(D60+G60+I60),", RCC Slab",IF(C65&gt;0,", RCC upto "&amp;C65&amp;" Slab",""))&amp;(IF(C66=I60,", Brickwork",IF(C66&gt;0,", Brickwork upto "&amp;C66&amp;" Floor",""))&amp;(IF(C67=I60,", Internal Plaster",IF(C67&gt;0,", Internal Plaster upto "&amp;C67&amp;" Floor",""))&amp;(IF(C68=I60,", External Plaster",IF(C68&gt;0,", External Plaster upto "&amp;C68&amp;" Floor",""))&amp;(IF(C69=I60,", Flooring",IF(C69&gt;0,", Flooring upto "&amp;C69&amp;" Floor",""))&amp;(IF(C70=I60,", Painting",IF(C70&gt;0,", Painting upto "&amp;C70&amp;" Floor",""))&amp;(IF(C71&gt;0,", Finishing upto "&amp;C71&amp;" Floor","")&amp;(IF(C65&gt;0.5," Completed",""))))))))))))))</f>
        <v>Excavation work Completed. Plinth work completed, RCC Slab, Brickwork, Internal Plaster, External Plaster upto 3.5 Floor Completed</v>
      </c>
      <c r="L59" s="33"/>
      <c r="M59" s="24"/>
    </row>
    <row r="60" spans="1:13" ht="15.5" x14ac:dyDescent="0.35">
      <c r="A60" s="34" t="s">
        <v>140</v>
      </c>
      <c r="B60" s="35">
        <v>0</v>
      </c>
      <c r="C60" s="35" t="s">
        <v>141</v>
      </c>
      <c r="D60" s="35">
        <v>1</v>
      </c>
      <c r="E60" s="89" t="s">
        <v>142</v>
      </c>
      <c r="F60" s="174"/>
      <c r="G60" s="35">
        <v>0</v>
      </c>
      <c r="H60" s="35" t="s">
        <v>143</v>
      </c>
      <c r="I60" s="89">
        <f ca="1">--TRIM(RIGHT(SUBSTITUTE(LEFT(C59,_xlfn.AGGREGATE(16,6,FIND({0,1,2,3,4,5,6,7,8,9},C59,ROW(INDIRECT("1:"&amp;LEN(C59)))),1))," ",REPT(" ",LEN(C59))),LEN(C59)))</f>
        <v>4</v>
      </c>
      <c r="J60" s="90"/>
      <c r="K60" s="36"/>
      <c r="L60" s="37"/>
      <c r="M60" s="25"/>
    </row>
    <row r="61" spans="1:13" ht="31.5" customHeight="1" x14ac:dyDescent="0.35">
      <c r="A61" s="91" t="s">
        <v>144</v>
      </c>
      <c r="B61" s="73"/>
      <c r="C61" s="92" t="str">
        <f ca="1">K59</f>
        <v>Excavation work Completed. Plinth work completed, RCC Slab, Brickwork, Internal Plaster, External Plaster upto 3.5 Floor Completed</v>
      </c>
      <c r="D61" s="93"/>
      <c r="E61" s="93"/>
      <c r="F61" s="93"/>
      <c r="G61" s="93"/>
      <c r="H61" s="93"/>
      <c r="I61" s="93"/>
      <c r="J61" s="94"/>
      <c r="K61" s="36" t="s">
        <v>145</v>
      </c>
      <c r="L61" s="37"/>
      <c r="M61" s="25"/>
    </row>
    <row r="62" spans="1:13" ht="15.65" customHeight="1" x14ac:dyDescent="0.35">
      <c r="A62" s="95" t="s">
        <v>35</v>
      </c>
      <c r="B62" s="96"/>
      <c r="C62" s="45" t="s">
        <v>146</v>
      </c>
      <c r="D62" s="69" t="s">
        <v>147</v>
      </c>
      <c r="E62" s="69"/>
      <c r="F62" s="69" t="s">
        <v>148</v>
      </c>
      <c r="G62" s="69"/>
      <c r="H62" s="69" t="s">
        <v>149</v>
      </c>
      <c r="I62" s="69"/>
      <c r="J62" s="97"/>
      <c r="K62" s="38" t="s">
        <v>150</v>
      </c>
      <c r="L62" s="39">
        <f ca="1">I60*25%</f>
        <v>1</v>
      </c>
      <c r="M62" s="26"/>
    </row>
    <row r="63" spans="1:13" ht="15.65" customHeight="1" x14ac:dyDescent="0.35">
      <c r="A63" s="69" t="s">
        <v>151</v>
      </c>
      <c r="B63" s="69"/>
      <c r="C63" s="46">
        <f ca="1">L64</f>
        <v>4</v>
      </c>
      <c r="D63" s="70">
        <f ca="1">((100/I60)*C63)/100</f>
        <v>1</v>
      </c>
      <c r="E63" s="70"/>
      <c r="F63" s="70">
        <f ca="1">(((C64/I60*10)+(40/(D60+G60+I60)*C65)+(7.5/(I60)*C66)+(7.5/(I60)*C67)+(10/I60*C68)+(10/I60*C69)+(5/I60*C70)+(5/I60*C71)+(5/I60*C72))/100)</f>
        <v>0.73750000000000004</v>
      </c>
      <c r="G63" s="70"/>
      <c r="H63" s="70">
        <f ca="1">((((C63/I60)*20)+((C64/I60)*25)+(30/(I60+G60+D60)*C65)+(5/I60*C66)+(5/I60*C67)+(5/I60*C68)+(5/I60*C69)+(0/I60*C70)+(0/I60*C71)+(5/I60*C72))/100)</f>
        <v>0.89375000000000004</v>
      </c>
      <c r="I63" s="70"/>
      <c r="J63" s="70"/>
      <c r="K63" s="38" t="s">
        <v>152</v>
      </c>
      <c r="L63" s="40">
        <f ca="1">I60*50%</f>
        <v>2</v>
      </c>
      <c r="M63" s="27"/>
    </row>
    <row r="64" spans="1:13" x14ac:dyDescent="0.35">
      <c r="A64" s="69" t="s">
        <v>36</v>
      </c>
      <c r="B64" s="69"/>
      <c r="C64" s="47">
        <f ca="1">L72</f>
        <v>4</v>
      </c>
      <c r="D64" s="70">
        <f ca="1">((100/I60)*C64)/100</f>
        <v>1</v>
      </c>
      <c r="E64" s="70"/>
      <c r="F64" s="70"/>
      <c r="G64" s="70"/>
      <c r="H64" s="70"/>
      <c r="I64" s="70"/>
      <c r="J64" s="70"/>
      <c r="K64" s="38" t="s">
        <v>153</v>
      </c>
      <c r="L64" s="40">
        <f ca="1">I60</f>
        <v>4</v>
      </c>
      <c r="M64" s="27"/>
    </row>
    <row r="65" spans="1:13" ht="15.65" customHeight="1" x14ac:dyDescent="0.35">
      <c r="A65" s="69" t="s">
        <v>154</v>
      </c>
      <c r="B65" s="69"/>
      <c r="C65" s="47">
        <v>5</v>
      </c>
      <c r="D65" s="70">
        <f ca="1">((100/(D60+G60+I60))*C65)/100</f>
        <v>1</v>
      </c>
      <c r="E65" s="70"/>
      <c r="F65" s="70"/>
      <c r="G65" s="70"/>
      <c r="H65" s="70"/>
      <c r="I65" s="70"/>
      <c r="J65" s="70"/>
      <c r="K65" s="38" t="s">
        <v>155</v>
      </c>
      <c r="L65" s="41">
        <f ca="1">(IF(B60&gt;1,(I60/(B60+2)),I60/4))</f>
        <v>1</v>
      </c>
      <c r="M65" s="28"/>
    </row>
    <row r="66" spans="1:13" ht="15.65" customHeight="1" x14ac:dyDescent="0.35">
      <c r="A66" s="69" t="s">
        <v>156</v>
      </c>
      <c r="B66" s="69" t="s">
        <v>157</v>
      </c>
      <c r="C66" s="46">
        <v>4</v>
      </c>
      <c r="D66" s="70">
        <f ca="1">((100/I60)*C66)/100</f>
        <v>1</v>
      </c>
      <c r="E66" s="70"/>
      <c r="F66" s="70"/>
      <c r="G66" s="70"/>
      <c r="H66" s="70"/>
      <c r="I66" s="70"/>
      <c r="J66" s="70"/>
      <c r="K66" s="38" t="s">
        <v>158</v>
      </c>
      <c r="L66" s="41">
        <f ca="1">(IF(B60&gt;1,(I60/(B60+2)+L65),I60/4+L65))</f>
        <v>2</v>
      </c>
      <c r="M66" s="28"/>
    </row>
    <row r="67" spans="1:13" ht="15.65" customHeight="1" x14ac:dyDescent="0.35">
      <c r="A67" s="69" t="s">
        <v>159</v>
      </c>
      <c r="B67" s="69" t="s">
        <v>157</v>
      </c>
      <c r="C67" s="46">
        <v>4</v>
      </c>
      <c r="D67" s="70">
        <f ca="1">((100/I60)*C67)/100</f>
        <v>1</v>
      </c>
      <c r="E67" s="70"/>
      <c r="F67" s="70"/>
      <c r="G67" s="70"/>
      <c r="H67" s="70"/>
      <c r="I67" s="70"/>
      <c r="J67" s="70"/>
      <c r="K67" s="38" t="s">
        <v>160</v>
      </c>
      <c r="L67" s="41">
        <f>(IF(B60&gt;1,(I60/(B60+2)+L66),0))</f>
        <v>0</v>
      </c>
      <c r="M67" s="28"/>
    </row>
    <row r="68" spans="1:13" ht="15.65" customHeight="1" x14ac:dyDescent="0.35">
      <c r="A68" s="69" t="s">
        <v>161</v>
      </c>
      <c r="B68" s="69" t="s">
        <v>162</v>
      </c>
      <c r="C68" s="46">
        <v>3.5</v>
      </c>
      <c r="D68" s="70">
        <f ca="1">((100/(I60))*C68)/100</f>
        <v>0.875</v>
      </c>
      <c r="E68" s="70"/>
      <c r="F68" s="70"/>
      <c r="G68" s="70"/>
      <c r="H68" s="70"/>
      <c r="I68" s="70"/>
      <c r="J68" s="70"/>
      <c r="K68" s="38" t="s">
        <v>163</v>
      </c>
      <c r="L68" s="41">
        <f>(IF(B60&gt;2,(I60/(B60+2)+L67),0))</f>
        <v>0</v>
      </c>
      <c r="M68" s="28"/>
    </row>
    <row r="69" spans="1:13" ht="15.65" customHeight="1" x14ac:dyDescent="0.35">
      <c r="A69" s="69" t="s">
        <v>164</v>
      </c>
      <c r="B69" s="69" t="s">
        <v>164</v>
      </c>
      <c r="C69" s="46">
        <v>0</v>
      </c>
      <c r="D69" s="70">
        <f ca="1">((100/I60)*C69)/100</f>
        <v>0</v>
      </c>
      <c r="E69" s="70"/>
      <c r="F69" s="70"/>
      <c r="G69" s="70"/>
      <c r="H69" s="70"/>
      <c r="I69" s="70"/>
      <c r="J69" s="70"/>
      <c r="K69" s="38" t="s">
        <v>165</v>
      </c>
      <c r="L69" s="42">
        <f>(IF(B60&gt;3,(I60/(B60+2)+L68),0))</f>
        <v>0</v>
      </c>
      <c r="M69" s="29"/>
    </row>
    <row r="70" spans="1:13" ht="15.65" customHeight="1" x14ac:dyDescent="0.35">
      <c r="A70" s="69" t="s">
        <v>166</v>
      </c>
      <c r="B70" s="69"/>
      <c r="C70" s="46">
        <v>0</v>
      </c>
      <c r="D70" s="70">
        <f ca="1">((100/I60)*C70)/100</f>
        <v>0</v>
      </c>
      <c r="E70" s="70"/>
      <c r="F70" s="70"/>
      <c r="G70" s="70"/>
      <c r="H70" s="70"/>
      <c r="I70" s="70"/>
      <c r="J70" s="70"/>
      <c r="K70" s="38" t="s">
        <v>167</v>
      </c>
      <c r="L70" s="41">
        <f>(IF(B60&gt;4,(I60/(B60+2)+L69),0))</f>
        <v>0</v>
      </c>
      <c r="M70" s="30"/>
    </row>
    <row r="71" spans="1:13" ht="15.65" customHeight="1" x14ac:dyDescent="0.35">
      <c r="A71" s="69" t="s">
        <v>168</v>
      </c>
      <c r="B71" s="69" t="s">
        <v>168</v>
      </c>
      <c r="C71" s="46">
        <v>0</v>
      </c>
      <c r="D71" s="70">
        <f ca="1">((100/(I60))*C71)/100</f>
        <v>0</v>
      </c>
      <c r="E71" s="70"/>
      <c r="F71" s="70"/>
      <c r="G71" s="70"/>
      <c r="H71" s="70"/>
      <c r="I71" s="70"/>
      <c r="J71" s="70"/>
      <c r="K71" s="38" t="s">
        <v>169</v>
      </c>
      <c r="L71" s="41">
        <f ca="1">(IF(B60=1,(I60/(B60+3)+L66),IF(B60=0,(I60/4+L66),IF(B60&gt;1,0))))</f>
        <v>3</v>
      </c>
      <c r="M71" s="28"/>
    </row>
    <row r="72" spans="1:13" ht="15.65" customHeight="1" thickBot="1" x14ac:dyDescent="0.4">
      <c r="A72" s="69" t="s">
        <v>170</v>
      </c>
      <c r="B72" s="69"/>
      <c r="C72" s="46">
        <v>0</v>
      </c>
      <c r="D72" s="70">
        <f ca="1">((100/(I60))*C72)/100</f>
        <v>0</v>
      </c>
      <c r="E72" s="70"/>
      <c r="F72" s="70"/>
      <c r="G72" s="70"/>
      <c r="H72" s="70"/>
      <c r="I72" s="70"/>
      <c r="J72" s="70"/>
      <c r="K72" s="43" t="s">
        <v>171</v>
      </c>
      <c r="L72" s="44">
        <f ca="1">(IF(B60&gt;1.5,(I60/(B60+2)+L66+MAX(0,L67-L66)+MAX(0,L68-L67)+MAX(0,L69-L68)+MAX(0,L70-L69)+MAX(0,L71-L70)),IF(B60=1,(I60/(B60+3)+L71),IF(B60=0,I60/4+L71))))</f>
        <v>4</v>
      </c>
      <c r="M72" s="31"/>
    </row>
    <row r="73" spans="1:13" ht="15.65" customHeight="1" x14ac:dyDescent="0.35">
      <c r="A73" s="76" t="s">
        <v>139</v>
      </c>
      <c r="B73" s="76"/>
      <c r="C73" s="74" t="s">
        <v>180</v>
      </c>
      <c r="D73" s="74"/>
      <c r="E73" s="74"/>
      <c r="F73" s="74"/>
      <c r="G73" s="74"/>
      <c r="H73" s="74"/>
      <c r="I73" s="74"/>
      <c r="J73" s="74"/>
      <c r="K73" s="32" t="str">
        <f ca="1">(IF(F77&gt;99%,"All work completed. Please provide OC.",IF(F77&gt;89.8%,"Plinth, RCC, Brick, Plaster, Flooring, Painting work Completed. Finishing work is in process.",IF(F77&lt;94%,(IF(C77=0,"Work not yet Started.",IF(D77=25%,"Piling work in process",IF(D77=50%,"Excavation work in process",IF(D77=100%,"Excavation work Completed. ","0")))&amp;(IF(C78=0%,"",IF(C78=L79,"Footing work is process",IF(C78=L80,"Footing work Completed",IF(C78=L81,"1st Basement Completed",IF(C78=L82,"1st &amp; 2nd Basement Completed",IF(C78=L83,"1st to 3rd Basement Completed",IF(C78=L84,"1st to 4th Basement Completed",IF(C78=L85,"Plinth work is process",IF(C78=L86,"Plinth work completed","0")))))))))))&amp;(IF(C79=(D74+G74+I74),", RCC Slab",IF(C79&gt;0,", RCC upto "&amp;C79&amp;" Slab",""))&amp;(IF(C80=I74,", Brickwork",IF(C80&gt;0,", Brickwork upto "&amp;C80&amp;" Floor",""))&amp;(IF(C81=I74,", Internal Plaster",IF(C81&gt;0,", Internal Plaster upto "&amp;C81&amp;" Floor",""))&amp;(IF(C82=I74,", External Plaster",IF(C82&gt;0,", External Plaster upto "&amp;C82&amp;" Floor",""))&amp;(IF(C83=I74,", Flooring",IF(C83&gt;0,", Flooring upto "&amp;C83&amp;" Floor",""))&amp;(IF(C84=I74,", Painting",IF(C84&gt;0,", Painting upto "&amp;C84&amp;" Floor",""))&amp;(IF(C85&gt;0,", Finishing upto "&amp;C85&amp;" Floor","")&amp;(IF(C79&gt;0.5," Completed",""))))))))))))))</f>
        <v>Excavation work Completed. Plinth work completed, RCC upto 3 Slab Completed</v>
      </c>
      <c r="L73" s="33"/>
      <c r="M73" s="24"/>
    </row>
    <row r="74" spans="1:13" ht="15.5" x14ac:dyDescent="0.35">
      <c r="A74" s="35" t="s">
        <v>140</v>
      </c>
      <c r="B74" s="35">
        <v>0</v>
      </c>
      <c r="C74" s="35" t="s">
        <v>141</v>
      </c>
      <c r="D74" s="35">
        <v>1</v>
      </c>
      <c r="E74" s="77" t="s">
        <v>142</v>
      </c>
      <c r="F74" s="77"/>
      <c r="G74" s="35">
        <v>0</v>
      </c>
      <c r="H74" s="35" t="s">
        <v>143</v>
      </c>
      <c r="I74" s="77">
        <f ca="1">--TRIM(RIGHT(SUBSTITUTE(LEFT(C73,_xlfn.AGGREGATE(16,6,FIND({0,1,2,3,4,5,6,7,8,9},C73,ROW(INDIRECT("1:"&amp;LEN(C73)))),1))," ",REPT(" ",LEN(C73))),LEN(C73)))</f>
        <v>4</v>
      </c>
      <c r="J74" s="77"/>
      <c r="K74" s="36"/>
      <c r="L74" s="37"/>
      <c r="M74" s="25"/>
    </row>
    <row r="75" spans="1:13" ht="18.5" customHeight="1" x14ac:dyDescent="0.35">
      <c r="A75" s="73" t="s">
        <v>144</v>
      </c>
      <c r="B75" s="73"/>
      <c r="C75" s="74" t="str">
        <f ca="1">K73</f>
        <v>Excavation work Completed. Plinth work completed, RCC upto 3 Slab Completed</v>
      </c>
      <c r="D75" s="74"/>
      <c r="E75" s="74"/>
      <c r="F75" s="74"/>
      <c r="G75" s="74"/>
      <c r="H75" s="74"/>
      <c r="I75" s="74"/>
      <c r="J75" s="74"/>
      <c r="K75" s="36" t="s">
        <v>145</v>
      </c>
      <c r="L75" s="37"/>
      <c r="M75" s="25"/>
    </row>
    <row r="76" spans="1:13" ht="15.65" customHeight="1" x14ac:dyDescent="0.35">
      <c r="A76" s="69" t="s">
        <v>35</v>
      </c>
      <c r="B76" s="69"/>
      <c r="C76" s="45" t="s">
        <v>146</v>
      </c>
      <c r="D76" s="69" t="s">
        <v>147</v>
      </c>
      <c r="E76" s="69"/>
      <c r="F76" s="69" t="s">
        <v>148</v>
      </c>
      <c r="G76" s="69"/>
      <c r="H76" s="69" t="s">
        <v>149</v>
      </c>
      <c r="I76" s="69"/>
      <c r="J76" s="69"/>
      <c r="K76" s="38" t="s">
        <v>150</v>
      </c>
      <c r="L76" s="39">
        <f ca="1">I74*25%</f>
        <v>1</v>
      </c>
      <c r="M76" s="26"/>
    </row>
    <row r="77" spans="1:13" ht="15.65" customHeight="1" x14ac:dyDescent="0.35">
      <c r="A77" s="69" t="s">
        <v>151</v>
      </c>
      <c r="B77" s="69"/>
      <c r="C77" s="46">
        <f ca="1">L78</f>
        <v>4</v>
      </c>
      <c r="D77" s="70">
        <f ca="1">((100/I74)*C77)/100</f>
        <v>1</v>
      </c>
      <c r="E77" s="70"/>
      <c r="F77" s="70">
        <f ca="1">(((C78/I74*10)+(40/(D74+G74+I74)*C79)+(7.5/(I74)*C80)+(7.5/(I74)*C81)+(10/I74*C82)+(10/I74*C83)+(5/I74*C84)+(5/I74*C85)+(5/I74*C86))/100)</f>
        <v>0.34</v>
      </c>
      <c r="G77" s="70"/>
      <c r="H77" s="70">
        <f ca="1">((((C77/I74)*20)+((C78/I74)*25)+(30/(I74+G74+D74)*C79)+(5/I74*C80)+(5/I74*C81)+(5/I74*C82)+(5/I74*C83)+(0/I74*C84)+(0/I74*C85)+(5/I74*C86))/100)</f>
        <v>0.63</v>
      </c>
      <c r="I77" s="70"/>
      <c r="J77" s="70"/>
      <c r="K77" s="38" t="s">
        <v>152</v>
      </c>
      <c r="L77" s="40">
        <f ca="1">I74*50%</f>
        <v>2</v>
      </c>
      <c r="M77" s="27"/>
    </row>
    <row r="78" spans="1:13" x14ac:dyDescent="0.35">
      <c r="A78" s="69" t="s">
        <v>36</v>
      </c>
      <c r="B78" s="69"/>
      <c r="C78" s="47">
        <f ca="1">L86</f>
        <v>4</v>
      </c>
      <c r="D78" s="70">
        <f ca="1">((100/I74)*C78)/100</f>
        <v>1</v>
      </c>
      <c r="E78" s="70"/>
      <c r="F78" s="70"/>
      <c r="G78" s="70"/>
      <c r="H78" s="70"/>
      <c r="I78" s="70"/>
      <c r="J78" s="70"/>
      <c r="K78" s="38" t="s">
        <v>153</v>
      </c>
      <c r="L78" s="40">
        <f ca="1">I74</f>
        <v>4</v>
      </c>
      <c r="M78" s="27"/>
    </row>
    <row r="79" spans="1:13" ht="15.65" customHeight="1" x14ac:dyDescent="0.35">
      <c r="A79" s="69" t="s">
        <v>154</v>
      </c>
      <c r="B79" s="69"/>
      <c r="C79" s="47">
        <v>3</v>
      </c>
      <c r="D79" s="70">
        <f ca="1">((100/(D74+G74+I74))*C79)/100</f>
        <v>0.6</v>
      </c>
      <c r="E79" s="70"/>
      <c r="F79" s="70"/>
      <c r="G79" s="70"/>
      <c r="H79" s="70"/>
      <c r="I79" s="70"/>
      <c r="J79" s="70"/>
      <c r="K79" s="38" t="s">
        <v>155</v>
      </c>
      <c r="L79" s="41">
        <f ca="1">(IF(B74&gt;1,(I74/(B74+2)),I74/4))</f>
        <v>1</v>
      </c>
      <c r="M79" s="28"/>
    </row>
    <row r="80" spans="1:13" ht="15.65" customHeight="1" x14ac:dyDescent="0.35">
      <c r="A80" s="69" t="s">
        <v>156</v>
      </c>
      <c r="B80" s="69" t="s">
        <v>157</v>
      </c>
      <c r="C80" s="46">
        <v>0</v>
      </c>
      <c r="D80" s="70">
        <f ca="1">((100/I74)*C80)/100</f>
        <v>0</v>
      </c>
      <c r="E80" s="70"/>
      <c r="F80" s="70"/>
      <c r="G80" s="70"/>
      <c r="H80" s="70"/>
      <c r="I80" s="70"/>
      <c r="J80" s="70"/>
      <c r="K80" s="38" t="s">
        <v>158</v>
      </c>
      <c r="L80" s="41">
        <f ca="1">(IF(B74&gt;1,(I74/(B74+2)+L79),I74/4+L79))</f>
        <v>2</v>
      </c>
      <c r="M80" s="28"/>
    </row>
    <row r="81" spans="1:13" ht="15.65" customHeight="1" x14ac:dyDescent="0.35">
      <c r="A81" s="69" t="s">
        <v>159</v>
      </c>
      <c r="B81" s="69" t="s">
        <v>157</v>
      </c>
      <c r="C81" s="46">
        <v>0</v>
      </c>
      <c r="D81" s="70">
        <f ca="1">((100/I74)*C81)/100</f>
        <v>0</v>
      </c>
      <c r="E81" s="70"/>
      <c r="F81" s="70"/>
      <c r="G81" s="70"/>
      <c r="H81" s="70"/>
      <c r="I81" s="70"/>
      <c r="J81" s="70"/>
      <c r="K81" s="38" t="s">
        <v>160</v>
      </c>
      <c r="L81" s="41">
        <f>(IF(B74&gt;1,(I74/(B74+2)+L80),0))</f>
        <v>0</v>
      </c>
      <c r="M81" s="28"/>
    </row>
    <row r="82" spans="1:13" ht="15.65" customHeight="1" x14ac:dyDescent="0.35">
      <c r="A82" s="69" t="s">
        <v>161</v>
      </c>
      <c r="B82" s="69" t="s">
        <v>162</v>
      </c>
      <c r="C82" s="46">
        <v>0</v>
      </c>
      <c r="D82" s="70">
        <f ca="1">((100/(I74))*C82)/100</f>
        <v>0</v>
      </c>
      <c r="E82" s="70"/>
      <c r="F82" s="70"/>
      <c r="G82" s="70"/>
      <c r="H82" s="70"/>
      <c r="I82" s="70"/>
      <c r="J82" s="70"/>
      <c r="K82" s="38" t="s">
        <v>163</v>
      </c>
      <c r="L82" s="41">
        <f>(IF(B74&gt;2,(I74/(B74+2)+L81),0))</f>
        <v>0</v>
      </c>
      <c r="M82" s="28"/>
    </row>
    <row r="83" spans="1:13" ht="15.65" customHeight="1" x14ac:dyDescent="0.35">
      <c r="A83" s="69" t="s">
        <v>164</v>
      </c>
      <c r="B83" s="69" t="s">
        <v>164</v>
      </c>
      <c r="C83" s="46">
        <v>0</v>
      </c>
      <c r="D83" s="70">
        <f ca="1">((100/I74)*C83)/100</f>
        <v>0</v>
      </c>
      <c r="E83" s="70"/>
      <c r="F83" s="70"/>
      <c r="G83" s="70"/>
      <c r="H83" s="70"/>
      <c r="I83" s="70"/>
      <c r="J83" s="70"/>
      <c r="K83" s="38" t="s">
        <v>165</v>
      </c>
      <c r="L83" s="42">
        <f>(IF(B74&gt;3,(I74/(B74+2)+L82),0))</f>
        <v>0</v>
      </c>
      <c r="M83" s="29"/>
    </row>
    <row r="84" spans="1:13" ht="15.65" customHeight="1" x14ac:dyDescent="0.35">
      <c r="A84" s="69" t="s">
        <v>166</v>
      </c>
      <c r="B84" s="69"/>
      <c r="C84" s="46">
        <v>0</v>
      </c>
      <c r="D84" s="70">
        <f ca="1">((100/I74)*C84)/100</f>
        <v>0</v>
      </c>
      <c r="E84" s="70"/>
      <c r="F84" s="70"/>
      <c r="G84" s="70"/>
      <c r="H84" s="70"/>
      <c r="I84" s="70"/>
      <c r="J84" s="70"/>
      <c r="K84" s="38" t="s">
        <v>167</v>
      </c>
      <c r="L84" s="41">
        <f>(IF(B74&gt;4,(I74/(B74+2)+L83),0))</f>
        <v>0</v>
      </c>
      <c r="M84" s="30"/>
    </row>
    <row r="85" spans="1:13" ht="15.65" customHeight="1" x14ac:dyDescent="0.35">
      <c r="A85" s="69" t="s">
        <v>168</v>
      </c>
      <c r="B85" s="69" t="s">
        <v>168</v>
      </c>
      <c r="C85" s="46">
        <v>0</v>
      </c>
      <c r="D85" s="70">
        <f ca="1">((100/(I74))*C85)/100</f>
        <v>0</v>
      </c>
      <c r="E85" s="70"/>
      <c r="F85" s="70"/>
      <c r="G85" s="70"/>
      <c r="H85" s="70"/>
      <c r="I85" s="70"/>
      <c r="J85" s="70"/>
      <c r="K85" s="38" t="s">
        <v>169</v>
      </c>
      <c r="L85" s="41">
        <f ca="1">(IF(B74=1,(I74/(B74+3)+L80),IF(B74=0,(I74/4+L80),IF(B74&gt;1,0))))</f>
        <v>3</v>
      </c>
      <c r="M85" s="28"/>
    </row>
    <row r="86" spans="1:13" ht="15.65" customHeight="1" thickBot="1" x14ac:dyDescent="0.4">
      <c r="A86" s="71" t="s">
        <v>170</v>
      </c>
      <c r="B86" s="71"/>
      <c r="C86" s="51">
        <v>0</v>
      </c>
      <c r="D86" s="72">
        <f ca="1">((100/(I74))*C86)/100</f>
        <v>0</v>
      </c>
      <c r="E86" s="72"/>
      <c r="F86" s="72"/>
      <c r="G86" s="72"/>
      <c r="H86" s="72"/>
      <c r="I86" s="72"/>
      <c r="J86" s="72"/>
      <c r="K86" s="43" t="s">
        <v>171</v>
      </c>
      <c r="L86" s="44">
        <f ca="1">(IF(B74&gt;1.5,(I74/(B74+2)+L80+MAX(0,L81-L80)+MAX(0,L82-L81)+MAX(0,L83-L82)+MAX(0,L84-L83)+MAX(0,L85-L84)),IF(B74=1,(I74/(B74+3)+L85),IF(B74=0,I74/4+L85))))</f>
        <v>4</v>
      </c>
      <c r="M86" s="31"/>
    </row>
    <row r="87" spans="1:13" ht="15.65" customHeight="1" x14ac:dyDescent="0.35">
      <c r="A87" s="84" t="s">
        <v>139</v>
      </c>
      <c r="B87" s="85"/>
      <c r="C87" s="86" t="s">
        <v>181</v>
      </c>
      <c r="D87" s="87"/>
      <c r="E87" s="87"/>
      <c r="F87" s="87"/>
      <c r="G87" s="87"/>
      <c r="H87" s="87"/>
      <c r="I87" s="87"/>
      <c r="J87" s="88"/>
      <c r="K87" s="32" t="str">
        <f ca="1">(IF(F91&gt;99%,"All work completed. Please provide OC.",IF(F91&gt;89.8%,"Plinth, RCC, Brick, Plaster, Flooring, Painting work Completed. Finishing work is in process.",IF(F91&lt;94%,(IF(C91=0,"Work not yet Started.",IF(D91=25%,"Piling work in process",IF(D91=50%,"Excavation work in process",IF(D91=100%,"Excavation work Completed. ","0")))&amp;(IF(C92=0%,"",IF(C92=L93,"Footing work is process",IF(C92=L94,"Footing work Completed",IF(C92=L95,"1st Basement Completed",IF(C92=L96,"1st &amp; 2nd Basement Completed",IF(C92=L97,"1st to 3rd Basement Completed",IF(C92=L98,"1st to 4th Basement Completed",IF(C92=L99,"Plinth work is process",IF(C92=L100,"Plinth work completed","0")))))))))))&amp;(IF(C93=(D88+G88+I88),", RCC Slab",IF(C93&gt;0,", RCC upto "&amp;C93&amp;" Slab",""))&amp;(IF(C94=I88,", Brickwork",IF(C94&gt;0,", Brickwork upto "&amp;C94&amp;" Floor",""))&amp;(IF(C95=I88,", Internal Plaster",IF(C95&gt;0,", Internal Plaster upto "&amp;C95&amp;" Floor",""))&amp;(IF(C96=I88,", External Plaster",IF(C96&gt;0,", External Plaster upto "&amp;C96&amp;" Floor",""))&amp;(IF(C97=I88,", Flooring",IF(C97&gt;0,", Flooring upto "&amp;C97&amp;" Floor",""))&amp;(IF(C98=I88,", Painting",IF(C98&gt;0,", Painting upto "&amp;C98&amp;" Floor",""))&amp;(IF(C99&gt;0,", Finishing upto "&amp;C99&amp;" Floor","")&amp;(IF(C93&gt;0.5," Completed",""))))))))))))))</f>
        <v>Excavation work Completed. Plinth work completed, RCC Slab, Brickwork, Internal Plaster upto 2.5 Floor, External Plaster upto 2 Floor Completed</v>
      </c>
      <c r="L87" s="33"/>
      <c r="M87" s="24"/>
    </row>
    <row r="88" spans="1:13" ht="15.5" x14ac:dyDescent="0.35">
      <c r="A88" s="34" t="s">
        <v>140</v>
      </c>
      <c r="B88" s="35">
        <v>0</v>
      </c>
      <c r="C88" s="35" t="s">
        <v>141</v>
      </c>
      <c r="D88" s="35">
        <v>1</v>
      </c>
      <c r="E88" s="89" t="s">
        <v>142</v>
      </c>
      <c r="F88" s="174"/>
      <c r="G88" s="35">
        <v>0</v>
      </c>
      <c r="H88" s="35" t="s">
        <v>143</v>
      </c>
      <c r="I88" s="89">
        <f ca="1">--TRIM(RIGHT(SUBSTITUTE(LEFT(C87,_xlfn.AGGREGATE(16,6,FIND({0,1,2,3,4,5,6,7,8,9},C87,ROW(INDIRECT("1:"&amp;LEN(C87)))),1))," ",REPT(" ",LEN(C87))),LEN(C87)))</f>
        <v>4</v>
      </c>
      <c r="J88" s="90"/>
      <c r="K88" s="36"/>
      <c r="L88" s="37"/>
      <c r="M88" s="25"/>
    </row>
    <row r="89" spans="1:13" ht="31.5" customHeight="1" x14ac:dyDescent="0.35">
      <c r="A89" s="91" t="s">
        <v>144</v>
      </c>
      <c r="B89" s="73"/>
      <c r="C89" s="92" t="str">
        <f ca="1">K87</f>
        <v>Excavation work Completed. Plinth work completed, RCC Slab, Brickwork, Internal Plaster upto 2.5 Floor, External Plaster upto 2 Floor Completed</v>
      </c>
      <c r="D89" s="93"/>
      <c r="E89" s="93"/>
      <c r="F89" s="93"/>
      <c r="G89" s="93"/>
      <c r="H89" s="93"/>
      <c r="I89" s="93"/>
      <c r="J89" s="94"/>
      <c r="K89" s="36" t="s">
        <v>145</v>
      </c>
      <c r="L89" s="37"/>
      <c r="M89" s="25"/>
    </row>
    <row r="90" spans="1:13" ht="15.65" customHeight="1" x14ac:dyDescent="0.35">
      <c r="A90" s="95" t="s">
        <v>35</v>
      </c>
      <c r="B90" s="96"/>
      <c r="C90" s="45" t="s">
        <v>146</v>
      </c>
      <c r="D90" s="69" t="s">
        <v>147</v>
      </c>
      <c r="E90" s="69"/>
      <c r="F90" s="69" t="s">
        <v>148</v>
      </c>
      <c r="G90" s="69"/>
      <c r="H90" s="69" t="s">
        <v>149</v>
      </c>
      <c r="I90" s="69"/>
      <c r="J90" s="97"/>
      <c r="K90" s="38" t="s">
        <v>150</v>
      </c>
      <c r="L90" s="39">
        <f ca="1">I88*25%</f>
        <v>1</v>
      </c>
      <c r="M90" s="26"/>
    </row>
    <row r="91" spans="1:13" ht="15.65" customHeight="1" x14ac:dyDescent="0.35">
      <c r="A91" s="180" t="s">
        <v>151</v>
      </c>
      <c r="B91" s="69"/>
      <c r="C91" s="46">
        <f ca="1">L92</f>
        <v>4</v>
      </c>
      <c r="D91" s="181">
        <f ca="1">((100/I88)*C91)/100</f>
        <v>1</v>
      </c>
      <c r="E91" s="182"/>
      <c r="F91" s="70">
        <f ca="1">(((C92/I88*10)+(40/(D88+G88+I88)*C93)+(7.5/(I88)*C94)+(7.5/(I88)*C95)+(10/I88*C96)+(10/I88*C97)+(5/I88*C98)+(5/I88*C99)+(5/I88*C100))/100)</f>
        <v>0.671875</v>
      </c>
      <c r="G91" s="70"/>
      <c r="H91" s="184">
        <f ca="1">((((C91/I88)*20)+((C92/I88)*25)+(30/(I88+G88+D88)*C93)+(5/I88*C94)+(5/I88*C95)+(5/I88*C96)+(5/I88*C97)+(0/I88*C98)+(0/I88*C99)+(5/I88*C100))/100)</f>
        <v>0.85624999999999996</v>
      </c>
      <c r="I91" s="185"/>
      <c r="J91" s="186"/>
      <c r="K91" s="38" t="s">
        <v>152</v>
      </c>
      <c r="L91" s="40">
        <f ca="1">I88*50%</f>
        <v>2</v>
      </c>
      <c r="M91" s="27"/>
    </row>
    <row r="92" spans="1:13" x14ac:dyDescent="0.35">
      <c r="A92" s="180" t="s">
        <v>36</v>
      </c>
      <c r="B92" s="69"/>
      <c r="C92" s="47">
        <f ca="1">L100</f>
        <v>4</v>
      </c>
      <c r="D92" s="181">
        <f ca="1">((100/I88)*C92)/100</f>
        <v>1</v>
      </c>
      <c r="E92" s="182"/>
      <c r="F92" s="70"/>
      <c r="G92" s="70"/>
      <c r="H92" s="187"/>
      <c r="I92" s="188"/>
      <c r="J92" s="189"/>
      <c r="K92" s="38" t="s">
        <v>153</v>
      </c>
      <c r="L92" s="40">
        <f ca="1">I88</f>
        <v>4</v>
      </c>
      <c r="M92" s="27"/>
    </row>
    <row r="93" spans="1:13" ht="15.65" customHeight="1" x14ac:dyDescent="0.35">
      <c r="A93" s="180" t="s">
        <v>154</v>
      </c>
      <c r="B93" s="69"/>
      <c r="C93" s="47">
        <v>5</v>
      </c>
      <c r="D93" s="181">
        <f ca="1">((100/(D88+G88+I88))*C93)/100</f>
        <v>1</v>
      </c>
      <c r="E93" s="182"/>
      <c r="F93" s="70"/>
      <c r="G93" s="70"/>
      <c r="H93" s="187"/>
      <c r="I93" s="188"/>
      <c r="J93" s="189"/>
      <c r="K93" s="38" t="s">
        <v>155</v>
      </c>
      <c r="L93" s="41">
        <f ca="1">(IF(B88&gt;1,(I88/(B88+2)),I88/4))</f>
        <v>1</v>
      </c>
      <c r="M93" s="28"/>
    </row>
    <row r="94" spans="1:13" ht="15.65" customHeight="1" x14ac:dyDescent="0.35">
      <c r="A94" s="180" t="s">
        <v>156</v>
      </c>
      <c r="B94" s="69" t="s">
        <v>157</v>
      </c>
      <c r="C94" s="46">
        <v>4</v>
      </c>
      <c r="D94" s="181">
        <f ca="1">((100/I88)*C94)/100</f>
        <v>1</v>
      </c>
      <c r="E94" s="182"/>
      <c r="F94" s="70"/>
      <c r="G94" s="70"/>
      <c r="H94" s="187"/>
      <c r="I94" s="188"/>
      <c r="J94" s="189"/>
      <c r="K94" s="38" t="s">
        <v>158</v>
      </c>
      <c r="L94" s="41">
        <f ca="1">(IF(B88&gt;1,(I88/(B88+2)+L93),I88/4+L93))</f>
        <v>2</v>
      </c>
      <c r="M94" s="28"/>
    </row>
    <row r="95" spans="1:13" ht="15.65" customHeight="1" x14ac:dyDescent="0.35">
      <c r="A95" s="180" t="s">
        <v>159</v>
      </c>
      <c r="B95" s="69" t="s">
        <v>157</v>
      </c>
      <c r="C95" s="46">
        <v>2.5</v>
      </c>
      <c r="D95" s="181">
        <f ca="1">((100/I88)*C95)/100</f>
        <v>0.625</v>
      </c>
      <c r="E95" s="182"/>
      <c r="F95" s="70"/>
      <c r="G95" s="70"/>
      <c r="H95" s="187"/>
      <c r="I95" s="188"/>
      <c r="J95" s="189"/>
      <c r="K95" s="38" t="s">
        <v>160</v>
      </c>
      <c r="L95" s="41">
        <f>(IF(B88&gt;1,(I88/(B88+2)+L94),0))</f>
        <v>0</v>
      </c>
      <c r="M95" s="28"/>
    </row>
    <row r="96" spans="1:13" ht="15.65" customHeight="1" x14ac:dyDescent="0.35">
      <c r="A96" s="180" t="s">
        <v>161</v>
      </c>
      <c r="B96" s="69" t="s">
        <v>162</v>
      </c>
      <c r="C96" s="46">
        <v>2</v>
      </c>
      <c r="D96" s="181">
        <f ca="1">((100/(I88))*C96)/100</f>
        <v>0.5</v>
      </c>
      <c r="E96" s="182"/>
      <c r="F96" s="70"/>
      <c r="G96" s="70"/>
      <c r="H96" s="187"/>
      <c r="I96" s="188"/>
      <c r="J96" s="189"/>
      <c r="K96" s="38" t="s">
        <v>163</v>
      </c>
      <c r="L96" s="41">
        <f>(IF(B88&gt;2,(I88/(B88+2)+L95),0))</f>
        <v>0</v>
      </c>
      <c r="M96" s="28"/>
    </row>
    <row r="97" spans="1:13" ht="15.65" customHeight="1" x14ac:dyDescent="0.35">
      <c r="A97" s="180" t="s">
        <v>164</v>
      </c>
      <c r="B97" s="69" t="s">
        <v>164</v>
      </c>
      <c r="C97" s="46">
        <v>0</v>
      </c>
      <c r="D97" s="181">
        <f ca="1">((100/I88)*C97)/100</f>
        <v>0</v>
      </c>
      <c r="E97" s="182"/>
      <c r="F97" s="70"/>
      <c r="G97" s="70"/>
      <c r="H97" s="187"/>
      <c r="I97" s="188"/>
      <c r="J97" s="189"/>
      <c r="K97" s="38" t="s">
        <v>165</v>
      </c>
      <c r="L97" s="42">
        <f>(IF(B88&gt;3,(I88/(B88+2)+L96),0))</f>
        <v>0</v>
      </c>
      <c r="M97" s="29"/>
    </row>
    <row r="98" spans="1:13" ht="15.65" customHeight="1" x14ac:dyDescent="0.35">
      <c r="A98" s="180" t="s">
        <v>166</v>
      </c>
      <c r="B98" s="69"/>
      <c r="C98" s="46">
        <v>0</v>
      </c>
      <c r="D98" s="181">
        <f ca="1">((100/I88)*C98)/100</f>
        <v>0</v>
      </c>
      <c r="E98" s="182"/>
      <c r="F98" s="70"/>
      <c r="G98" s="70"/>
      <c r="H98" s="187"/>
      <c r="I98" s="188"/>
      <c r="J98" s="189"/>
      <c r="K98" s="38" t="s">
        <v>167</v>
      </c>
      <c r="L98" s="41">
        <f>(IF(B88&gt;4,(I88/(B88+2)+L97),0))</f>
        <v>0</v>
      </c>
      <c r="M98" s="30"/>
    </row>
    <row r="99" spans="1:13" ht="15.65" customHeight="1" x14ac:dyDescent="0.35">
      <c r="A99" s="180" t="s">
        <v>168</v>
      </c>
      <c r="B99" s="69" t="s">
        <v>168</v>
      </c>
      <c r="C99" s="46">
        <v>0</v>
      </c>
      <c r="D99" s="181">
        <f ca="1">((100/(I88))*C99)/100</f>
        <v>0</v>
      </c>
      <c r="E99" s="182"/>
      <c r="F99" s="70"/>
      <c r="G99" s="70"/>
      <c r="H99" s="187"/>
      <c r="I99" s="188"/>
      <c r="J99" s="189"/>
      <c r="K99" s="38" t="s">
        <v>169</v>
      </c>
      <c r="L99" s="41">
        <f ca="1">(IF(B88=1,(I88/(B88+3)+L94),IF(B88=0,(I88/4+L94),IF(B88&gt;1,0))))</f>
        <v>3</v>
      </c>
      <c r="M99" s="28"/>
    </row>
    <row r="100" spans="1:13" ht="15.65" customHeight="1" thickBot="1" x14ac:dyDescent="0.4">
      <c r="A100" s="193" t="s">
        <v>170</v>
      </c>
      <c r="B100" s="194"/>
      <c r="C100" s="48">
        <v>0</v>
      </c>
      <c r="D100" s="195">
        <f ca="1">((100/(I88))*C100)/100</f>
        <v>0</v>
      </c>
      <c r="E100" s="196"/>
      <c r="F100" s="183"/>
      <c r="G100" s="183"/>
      <c r="H100" s="190"/>
      <c r="I100" s="191"/>
      <c r="J100" s="192"/>
      <c r="K100" s="43" t="s">
        <v>171</v>
      </c>
      <c r="L100" s="44">
        <f ca="1">(IF(B88&gt;1.5,(I88/(B88+2)+L94+MAX(0,L95-L94)+MAX(0,L96-L95)+MAX(0,L97-L96)+MAX(0,L98-L97)+MAX(0,L99-L98)),IF(B88=1,(I88/(B88+3)+L99),IF(B88=0,I88/4+L99))))</f>
        <v>4</v>
      </c>
      <c r="M100" s="31"/>
    </row>
    <row r="101" spans="1:13" x14ac:dyDescent="0.35">
      <c r="A101" s="170" t="s">
        <v>24</v>
      </c>
      <c r="B101" s="142"/>
      <c r="C101" s="142"/>
      <c r="D101" s="142"/>
      <c r="E101" s="142"/>
      <c r="F101" s="142"/>
      <c r="G101" s="142"/>
      <c r="H101" s="142"/>
      <c r="I101" s="142"/>
      <c r="J101" s="143"/>
    </row>
    <row r="102" spans="1:13" x14ac:dyDescent="0.35">
      <c r="A102" s="52" t="s">
        <v>87</v>
      </c>
      <c r="B102" s="105"/>
      <c r="C102" s="105"/>
      <c r="D102" s="105"/>
      <c r="E102" s="105"/>
      <c r="F102" s="106"/>
      <c r="G102" s="171">
        <v>5500</v>
      </c>
      <c r="H102" s="172"/>
      <c r="I102" s="172"/>
      <c r="J102" s="173"/>
    </row>
    <row r="103" spans="1:13" hidden="1" x14ac:dyDescent="0.35">
      <c r="A103" s="52" t="s">
        <v>66</v>
      </c>
      <c r="B103" s="105"/>
      <c r="C103" s="105"/>
      <c r="D103" s="105"/>
      <c r="E103" s="105"/>
      <c r="F103" s="106"/>
      <c r="G103" s="98" t="s">
        <v>46</v>
      </c>
      <c r="H103" s="99"/>
      <c r="I103" s="99"/>
      <c r="J103" s="100"/>
    </row>
    <row r="104" spans="1:13" hidden="1" x14ac:dyDescent="0.35">
      <c r="A104" s="52" t="s">
        <v>75</v>
      </c>
      <c r="B104" s="53"/>
      <c r="C104" s="53"/>
      <c r="D104" s="53"/>
      <c r="E104" s="53"/>
      <c r="F104" s="54"/>
      <c r="G104" s="98" t="s">
        <v>46</v>
      </c>
      <c r="H104" s="99"/>
      <c r="I104" s="99"/>
      <c r="J104" s="100"/>
    </row>
    <row r="105" spans="1:13" hidden="1" x14ac:dyDescent="0.35">
      <c r="A105" s="52" t="s">
        <v>76</v>
      </c>
      <c r="B105" s="53"/>
      <c r="C105" s="53"/>
      <c r="D105" s="53"/>
      <c r="E105" s="53"/>
      <c r="F105" s="54"/>
      <c r="G105" s="98" t="s">
        <v>46</v>
      </c>
      <c r="H105" s="99"/>
      <c r="I105" s="99"/>
      <c r="J105" s="100"/>
    </row>
    <row r="106" spans="1:13" hidden="1" x14ac:dyDescent="0.35">
      <c r="A106" s="55" t="s">
        <v>77</v>
      </c>
      <c r="B106" s="56"/>
      <c r="C106" s="56"/>
      <c r="D106" s="56"/>
      <c r="E106" s="56"/>
      <c r="F106" s="57"/>
      <c r="G106" s="98" t="s">
        <v>46</v>
      </c>
      <c r="H106" s="99"/>
      <c r="I106" s="99"/>
      <c r="J106" s="100"/>
    </row>
    <row r="107" spans="1:13" hidden="1" x14ac:dyDescent="0.35">
      <c r="A107" s="52" t="s">
        <v>67</v>
      </c>
      <c r="B107" s="53"/>
      <c r="C107" s="53"/>
      <c r="D107" s="53"/>
      <c r="E107" s="53"/>
      <c r="F107" s="54"/>
      <c r="G107" s="98" t="s">
        <v>46</v>
      </c>
      <c r="H107" s="99"/>
      <c r="I107" s="99"/>
      <c r="J107" s="100"/>
    </row>
    <row r="108" spans="1:13" x14ac:dyDescent="0.35">
      <c r="A108" s="52" t="s">
        <v>69</v>
      </c>
      <c r="B108" s="105"/>
      <c r="C108" s="105"/>
      <c r="D108" s="105"/>
      <c r="E108" s="105"/>
      <c r="F108" s="106"/>
      <c r="G108" s="98" t="s">
        <v>120</v>
      </c>
      <c r="H108" s="99"/>
      <c r="I108" s="99"/>
      <c r="J108" s="100"/>
    </row>
    <row r="109" spans="1:13" x14ac:dyDescent="0.35">
      <c r="A109" s="52" t="s">
        <v>173</v>
      </c>
      <c r="B109" s="53"/>
      <c r="C109" s="53"/>
      <c r="D109" s="53"/>
      <c r="E109" s="53"/>
      <c r="F109" s="54"/>
      <c r="G109" s="98" t="s">
        <v>174</v>
      </c>
      <c r="H109" s="99"/>
      <c r="I109" s="99"/>
      <c r="J109" s="100"/>
    </row>
    <row r="110" spans="1:13" hidden="1" x14ac:dyDescent="0.35">
      <c r="A110" s="52" t="s">
        <v>25</v>
      </c>
      <c r="B110" s="53"/>
      <c r="C110" s="53"/>
      <c r="D110" s="53"/>
      <c r="E110" s="53"/>
      <c r="F110" s="54"/>
      <c r="G110" s="98" t="s">
        <v>46</v>
      </c>
      <c r="H110" s="99"/>
      <c r="I110" s="99"/>
      <c r="J110" s="100"/>
    </row>
    <row r="111" spans="1:13" s="1" customFormat="1" ht="14.5" customHeight="1" x14ac:dyDescent="0.35">
      <c r="A111" s="66" t="s">
        <v>78</v>
      </c>
      <c r="B111" s="142"/>
      <c r="C111" s="142"/>
      <c r="D111" s="142"/>
      <c r="E111" s="142"/>
      <c r="F111" s="143"/>
      <c r="G111" s="144">
        <f>G102*0.8</f>
        <v>4400</v>
      </c>
      <c r="H111" s="145"/>
      <c r="I111" s="145"/>
      <c r="J111" s="146"/>
    </row>
    <row r="112" spans="1:13" s="1" customFormat="1" ht="21" customHeight="1" x14ac:dyDescent="0.35">
      <c r="A112" s="147" t="s">
        <v>79</v>
      </c>
      <c r="B112" s="148"/>
      <c r="C112" s="148"/>
      <c r="D112" s="148"/>
      <c r="E112" s="148"/>
      <c r="F112" s="148"/>
      <c r="G112" s="148"/>
      <c r="H112" s="148"/>
      <c r="I112" s="148"/>
      <c r="J112" s="149"/>
    </row>
    <row r="113" spans="1:10" x14ac:dyDescent="0.35">
      <c r="A113" s="101" t="s">
        <v>44</v>
      </c>
      <c r="B113" s="102"/>
      <c r="C113" s="102"/>
      <c r="D113" s="102"/>
      <c r="E113" s="102"/>
      <c r="F113" s="102"/>
      <c r="G113" s="102"/>
      <c r="H113" s="102"/>
      <c r="I113" s="102"/>
      <c r="J113" s="103"/>
    </row>
    <row r="114" spans="1:10" ht="43.5" x14ac:dyDescent="0.35">
      <c r="A114" s="163" t="s">
        <v>33</v>
      </c>
      <c r="B114" s="164"/>
      <c r="C114" s="3" t="s">
        <v>30</v>
      </c>
      <c r="D114" s="165" t="s">
        <v>88</v>
      </c>
      <c r="E114" s="166"/>
      <c r="F114" s="5" t="s">
        <v>31</v>
      </c>
      <c r="G114" s="8" t="s">
        <v>119</v>
      </c>
      <c r="H114" s="3" t="s">
        <v>32</v>
      </c>
      <c r="I114" s="163" t="s">
        <v>80</v>
      </c>
      <c r="J114" s="164"/>
    </row>
    <row r="115" spans="1:10" ht="15" x14ac:dyDescent="0.35">
      <c r="A115" s="158" t="s">
        <v>182</v>
      </c>
      <c r="B115" s="158"/>
      <c r="C115" s="158"/>
      <c r="D115" s="158"/>
      <c r="E115" s="158"/>
      <c r="F115" s="158"/>
      <c r="G115" s="158"/>
      <c r="H115" s="158"/>
      <c r="I115" s="158"/>
      <c r="J115" s="158"/>
    </row>
    <row r="116" spans="1:10" ht="15" x14ac:dyDescent="0.35">
      <c r="A116" s="158" t="s">
        <v>105</v>
      </c>
      <c r="B116" s="158"/>
      <c r="C116" s="158"/>
      <c r="D116" s="158"/>
      <c r="E116" s="158"/>
      <c r="F116" s="158"/>
      <c r="G116" s="158"/>
      <c r="H116" s="158"/>
      <c r="I116" s="158"/>
      <c r="J116" s="158"/>
    </row>
    <row r="117" spans="1:10" ht="15.5" x14ac:dyDescent="0.35">
      <c r="A117" s="80">
        <v>1</v>
      </c>
      <c r="B117" s="80"/>
      <c r="C117" s="4" t="s">
        <v>106</v>
      </c>
      <c r="D117" s="80">
        <f>((21.593+3.25+3.2))*10.764</f>
        <v>301.85485199999999</v>
      </c>
      <c r="E117" s="80"/>
      <c r="F117" s="4">
        <v>0</v>
      </c>
      <c r="G117" s="4">
        <v>494</v>
      </c>
      <c r="H117" s="4" t="s">
        <v>107</v>
      </c>
      <c r="I117" s="80" t="str">
        <f>A116</f>
        <v>Ground Floor</v>
      </c>
      <c r="J117" s="80"/>
    </row>
    <row r="118" spans="1:10" ht="15.5" x14ac:dyDescent="0.35">
      <c r="A118" s="80">
        <v>2</v>
      </c>
      <c r="B118" s="80"/>
      <c r="C118" s="4" t="s">
        <v>106</v>
      </c>
      <c r="D118" s="80">
        <f>((20.673*10.764))</f>
        <v>222.52417199999996</v>
      </c>
      <c r="E118" s="80"/>
      <c r="F118" s="4">
        <v>0</v>
      </c>
      <c r="G118" s="4">
        <v>363</v>
      </c>
      <c r="H118" s="4" t="s">
        <v>107</v>
      </c>
      <c r="I118" s="80"/>
      <c r="J118" s="80"/>
    </row>
    <row r="119" spans="1:10" ht="15.5" x14ac:dyDescent="0.35">
      <c r="A119" s="80">
        <v>3</v>
      </c>
      <c r="B119" s="80"/>
      <c r="C119" s="4" t="s">
        <v>108</v>
      </c>
      <c r="D119" s="80">
        <f>((32.695+2.972))*10.764</f>
        <v>383.91958799999998</v>
      </c>
      <c r="E119" s="80"/>
      <c r="F119" s="4">
        <v>0</v>
      </c>
      <c r="G119" s="4">
        <v>634</v>
      </c>
      <c r="H119" s="4" t="s">
        <v>107</v>
      </c>
      <c r="I119" s="80"/>
      <c r="J119" s="80"/>
    </row>
    <row r="120" spans="1:10" ht="15.5" x14ac:dyDescent="0.35">
      <c r="A120" s="80">
        <v>4</v>
      </c>
      <c r="B120" s="80"/>
      <c r="C120" s="4" t="s">
        <v>108</v>
      </c>
      <c r="D120" s="80">
        <f>((34.745+3+3.1))*10.764</f>
        <v>439.65557999999999</v>
      </c>
      <c r="E120" s="80"/>
      <c r="F120" s="4">
        <v>0</v>
      </c>
      <c r="G120" s="4">
        <v>717</v>
      </c>
      <c r="H120" s="4" t="s">
        <v>107</v>
      </c>
      <c r="I120" s="80"/>
      <c r="J120" s="80"/>
    </row>
    <row r="121" spans="1:10" ht="15" x14ac:dyDescent="0.35">
      <c r="A121" s="158" t="s">
        <v>110</v>
      </c>
      <c r="B121" s="158"/>
      <c r="C121" s="158"/>
      <c r="D121" s="158"/>
      <c r="E121" s="158"/>
      <c r="F121" s="158"/>
      <c r="G121" s="158"/>
      <c r="H121" s="158"/>
      <c r="I121" s="158"/>
      <c r="J121" s="158"/>
    </row>
    <row r="122" spans="1:10" ht="15.5" x14ac:dyDescent="0.35">
      <c r="A122" s="80">
        <v>1</v>
      </c>
      <c r="B122" s="80"/>
      <c r="C122" s="4" t="s">
        <v>106</v>
      </c>
      <c r="D122" s="80">
        <f>((21.593+3.25+3.2))*10.764</f>
        <v>301.85485199999999</v>
      </c>
      <c r="E122" s="80"/>
      <c r="F122" s="4">
        <v>0</v>
      </c>
      <c r="G122" s="4">
        <v>494</v>
      </c>
      <c r="H122" s="4" t="s">
        <v>107</v>
      </c>
      <c r="I122" s="80" t="str">
        <f>A121</f>
        <v>1st &amp; 3rd Floors.</v>
      </c>
      <c r="J122" s="80"/>
    </row>
    <row r="123" spans="1:10" ht="15.5" x14ac:dyDescent="0.35">
      <c r="A123" s="80">
        <v>2</v>
      </c>
      <c r="B123" s="80"/>
      <c r="C123" s="4" t="s">
        <v>108</v>
      </c>
      <c r="D123" s="80">
        <f>((30.363+3.15+3.1))*10.764</f>
        <v>394.10233199999999</v>
      </c>
      <c r="E123" s="80"/>
      <c r="F123" s="4">
        <f>4.96*10.764</f>
        <v>53.389439999999993</v>
      </c>
      <c r="G123" s="4">
        <v>740</v>
      </c>
      <c r="H123" s="4" t="s">
        <v>107</v>
      </c>
      <c r="I123" s="80"/>
      <c r="J123" s="80"/>
    </row>
    <row r="124" spans="1:10" ht="15.5" x14ac:dyDescent="0.35">
      <c r="A124" s="80">
        <v>3</v>
      </c>
      <c r="B124" s="80"/>
      <c r="C124" s="4" t="s">
        <v>108</v>
      </c>
      <c r="D124" s="80">
        <f>((32.695+3+6.072))*10.764</f>
        <v>449.57998800000001</v>
      </c>
      <c r="E124" s="80"/>
      <c r="F124" s="4">
        <f>5.942*10.764</f>
        <v>63.959688</v>
      </c>
      <c r="G124" s="4">
        <v>807</v>
      </c>
      <c r="H124" s="4" t="s">
        <v>107</v>
      </c>
      <c r="I124" s="80"/>
      <c r="J124" s="80"/>
    </row>
    <row r="125" spans="1:10" ht="15.5" x14ac:dyDescent="0.35">
      <c r="A125" s="80">
        <v>4</v>
      </c>
      <c r="B125" s="80"/>
      <c r="C125" s="4" t="s">
        <v>108</v>
      </c>
      <c r="D125" s="80">
        <f>((34.745+3+3.1))*10.764</f>
        <v>439.65557999999999</v>
      </c>
      <c r="E125" s="80"/>
      <c r="F125" s="4">
        <f>5.94*10.764</f>
        <v>63.938160000000003</v>
      </c>
      <c r="G125" s="4">
        <v>826</v>
      </c>
      <c r="H125" s="4" t="s">
        <v>107</v>
      </c>
      <c r="I125" s="80"/>
      <c r="J125" s="80"/>
    </row>
    <row r="126" spans="1:10" ht="15" x14ac:dyDescent="0.35">
      <c r="A126" s="158" t="s">
        <v>109</v>
      </c>
      <c r="B126" s="158"/>
      <c r="C126" s="158"/>
      <c r="D126" s="158"/>
      <c r="E126" s="158"/>
      <c r="F126" s="158"/>
      <c r="G126" s="158"/>
      <c r="H126" s="158"/>
      <c r="I126" s="158"/>
      <c r="J126" s="158"/>
    </row>
    <row r="127" spans="1:10" ht="15.5" x14ac:dyDescent="0.35">
      <c r="A127" s="80">
        <v>1</v>
      </c>
      <c r="B127" s="80"/>
      <c r="C127" s="4" t="s">
        <v>106</v>
      </c>
      <c r="D127" s="80">
        <f>((21.593+3.25+3.2))*10.764</f>
        <v>301.85485199999999</v>
      </c>
      <c r="E127" s="80"/>
      <c r="F127" s="4">
        <v>0</v>
      </c>
      <c r="G127" s="4">
        <v>494</v>
      </c>
      <c r="H127" s="4" t="s">
        <v>107</v>
      </c>
      <c r="I127" s="80" t="str">
        <f>A126</f>
        <v>2nd &amp; 4th Floors.</v>
      </c>
      <c r="J127" s="80"/>
    </row>
    <row r="128" spans="1:10" ht="15.5" x14ac:dyDescent="0.35">
      <c r="A128" s="80">
        <v>2</v>
      </c>
      <c r="B128" s="80"/>
      <c r="C128" s="4" t="s">
        <v>108</v>
      </c>
      <c r="D128" s="80">
        <f>((30.363+3.15+3.1))*10.764</f>
        <v>394.10233199999999</v>
      </c>
      <c r="E128" s="80"/>
      <c r="F128" s="4">
        <v>0</v>
      </c>
      <c r="G128" s="4">
        <v>644</v>
      </c>
      <c r="H128" s="4" t="s">
        <v>107</v>
      </c>
      <c r="I128" s="80"/>
      <c r="J128" s="80"/>
    </row>
    <row r="129" spans="1:10" ht="15.5" x14ac:dyDescent="0.35">
      <c r="A129" s="80">
        <v>3</v>
      </c>
      <c r="B129" s="80"/>
      <c r="C129" s="4" t="s">
        <v>108</v>
      </c>
      <c r="D129" s="80">
        <f>((30.145+3+6.072))*10.764</f>
        <v>422.13178799999997</v>
      </c>
      <c r="E129" s="80"/>
      <c r="F129" s="4">
        <v>0</v>
      </c>
      <c r="G129" s="4">
        <v>697</v>
      </c>
      <c r="H129" s="4" t="s">
        <v>107</v>
      </c>
      <c r="I129" s="80"/>
      <c r="J129" s="80"/>
    </row>
    <row r="130" spans="1:10" ht="15.5" x14ac:dyDescent="0.35">
      <c r="A130" s="80">
        <v>4</v>
      </c>
      <c r="B130" s="80"/>
      <c r="C130" s="4" t="s">
        <v>108</v>
      </c>
      <c r="D130" s="80">
        <f>((34.745+3+3.1))*10.764</f>
        <v>439.65557999999999</v>
      </c>
      <c r="E130" s="80"/>
      <c r="F130" s="4">
        <f>5.306*10.764</f>
        <v>57.113783999999995</v>
      </c>
      <c r="G130" s="4">
        <v>821</v>
      </c>
      <c r="H130" s="4" t="s">
        <v>107</v>
      </c>
      <c r="I130" s="80"/>
      <c r="J130" s="80"/>
    </row>
    <row r="131" spans="1:10" ht="15" x14ac:dyDescent="0.35">
      <c r="A131" s="158" t="s">
        <v>111</v>
      </c>
      <c r="B131" s="158"/>
      <c r="C131" s="158"/>
      <c r="D131" s="158"/>
      <c r="E131" s="158"/>
      <c r="F131" s="158"/>
      <c r="G131" s="158"/>
      <c r="H131" s="158"/>
      <c r="I131" s="158"/>
      <c r="J131" s="158"/>
    </row>
    <row r="132" spans="1:10" ht="15" x14ac:dyDescent="0.35">
      <c r="A132" s="175" t="s">
        <v>112</v>
      </c>
      <c r="B132" s="176"/>
      <c r="C132" s="176"/>
      <c r="D132" s="176"/>
      <c r="E132" s="176"/>
      <c r="F132" s="176"/>
      <c r="G132" s="176"/>
      <c r="H132" s="176"/>
      <c r="I132" s="176"/>
      <c r="J132" s="177"/>
    </row>
    <row r="133" spans="1:10" ht="15" x14ac:dyDescent="0.35">
      <c r="A133" s="175" t="s">
        <v>114</v>
      </c>
      <c r="B133" s="176"/>
      <c r="C133" s="176"/>
      <c r="D133" s="176"/>
      <c r="E133" s="176"/>
      <c r="F133" s="176"/>
      <c r="G133" s="176"/>
      <c r="H133" s="176"/>
      <c r="I133" s="176"/>
      <c r="J133" s="177"/>
    </row>
    <row r="134" spans="1:10" ht="15.5" x14ac:dyDescent="0.35">
      <c r="A134" s="178">
        <v>1</v>
      </c>
      <c r="B134" s="179"/>
      <c r="C134" s="4" t="s">
        <v>108</v>
      </c>
      <c r="D134" s="178">
        <f>((33.351+5.654+3.1))*10.764</f>
        <v>453.21821999999992</v>
      </c>
      <c r="E134" s="179"/>
      <c r="F134" s="4">
        <v>0</v>
      </c>
      <c r="G134" s="4">
        <v>704</v>
      </c>
      <c r="H134" s="4" t="s">
        <v>107</v>
      </c>
      <c r="I134" s="152" t="s">
        <v>105</v>
      </c>
      <c r="J134" s="153"/>
    </row>
    <row r="135" spans="1:10" ht="15.5" x14ac:dyDescent="0.35">
      <c r="A135" s="178">
        <v>2</v>
      </c>
      <c r="B135" s="179"/>
      <c r="C135" s="4" t="s">
        <v>113</v>
      </c>
      <c r="D135" s="178">
        <f>44.46*10.764</f>
        <v>478.56743999999998</v>
      </c>
      <c r="E135" s="179"/>
      <c r="F135" s="4">
        <v>0</v>
      </c>
      <c r="G135" s="4">
        <v>782</v>
      </c>
      <c r="H135" s="4" t="s">
        <v>107</v>
      </c>
      <c r="I135" s="154"/>
      <c r="J135" s="155"/>
    </row>
    <row r="136" spans="1:10" ht="15.5" x14ac:dyDescent="0.35">
      <c r="A136" s="178">
        <v>3</v>
      </c>
      <c r="B136" s="179"/>
      <c r="C136" s="4" t="s">
        <v>108</v>
      </c>
      <c r="D136" s="178">
        <f>((34.269+4.425))*10.764</f>
        <v>416.50221599999992</v>
      </c>
      <c r="E136" s="179"/>
      <c r="F136" s="4">
        <v>0</v>
      </c>
      <c r="G136" s="4">
        <v>687</v>
      </c>
      <c r="H136" s="4" t="s">
        <v>107</v>
      </c>
      <c r="I136" s="154"/>
      <c r="J136" s="155"/>
    </row>
    <row r="137" spans="1:10" ht="15.5" x14ac:dyDescent="0.35">
      <c r="A137" s="178">
        <v>4</v>
      </c>
      <c r="B137" s="179"/>
      <c r="C137" s="4" t="s">
        <v>106</v>
      </c>
      <c r="D137" s="178">
        <f>((23.775+2.6+3.1))*10.764</f>
        <v>317.26889999999997</v>
      </c>
      <c r="E137" s="179"/>
      <c r="F137" s="4">
        <v>0</v>
      </c>
      <c r="G137" s="4">
        <v>526</v>
      </c>
      <c r="H137" s="4" t="s">
        <v>107</v>
      </c>
      <c r="I137" s="156"/>
      <c r="J137" s="157"/>
    </row>
    <row r="138" spans="1:10" ht="15" x14ac:dyDescent="0.35">
      <c r="A138" s="175" t="s">
        <v>110</v>
      </c>
      <c r="B138" s="176"/>
      <c r="C138" s="176"/>
      <c r="D138" s="176"/>
      <c r="E138" s="176"/>
      <c r="F138" s="176"/>
      <c r="G138" s="176"/>
      <c r="H138" s="176"/>
      <c r="I138" s="176"/>
      <c r="J138" s="177"/>
    </row>
    <row r="139" spans="1:10" ht="15.5" x14ac:dyDescent="0.35">
      <c r="A139" s="178">
        <v>1</v>
      </c>
      <c r="B139" s="179"/>
      <c r="C139" s="4" t="s">
        <v>113</v>
      </c>
      <c r="D139" s="178">
        <f>((44.836+6.018))*10.764</f>
        <v>547.39245599999992</v>
      </c>
      <c r="E139" s="179"/>
      <c r="F139" s="4">
        <f>5.642*10.764</f>
        <v>60.730488000000001</v>
      </c>
      <c r="G139" s="4">
        <v>982</v>
      </c>
      <c r="H139" s="4" t="s">
        <v>107</v>
      </c>
      <c r="I139" s="152" t="str">
        <f>A138</f>
        <v>1st &amp; 3rd Floors.</v>
      </c>
      <c r="J139" s="153"/>
    </row>
    <row r="140" spans="1:10" ht="15.5" x14ac:dyDescent="0.35">
      <c r="A140" s="178">
        <v>2</v>
      </c>
      <c r="B140" s="179"/>
      <c r="C140" s="4" t="s">
        <v>108</v>
      </c>
      <c r="D140" s="178">
        <f>((33.945+5.531+3.1))*10.764</f>
        <v>458.28806399999996</v>
      </c>
      <c r="E140" s="179"/>
      <c r="F140" s="4">
        <f>6.377*10.764</f>
        <v>68.642027999999996</v>
      </c>
      <c r="G140" s="4">
        <v>821</v>
      </c>
      <c r="H140" s="4" t="s">
        <v>107</v>
      </c>
      <c r="I140" s="154"/>
      <c r="J140" s="155"/>
    </row>
    <row r="141" spans="1:10" ht="15.5" x14ac:dyDescent="0.35">
      <c r="A141" s="178">
        <v>3</v>
      </c>
      <c r="B141" s="179"/>
      <c r="C141" s="4" t="s">
        <v>113</v>
      </c>
      <c r="D141" s="178">
        <f>((44.439+5.95)*10.764)</f>
        <v>542.38719600000002</v>
      </c>
      <c r="E141" s="179"/>
      <c r="F141" s="4">
        <f>5.85*10.764</f>
        <v>62.969399999999993</v>
      </c>
      <c r="G141" s="4">
        <v>1016</v>
      </c>
      <c r="H141" s="4" t="s">
        <v>107</v>
      </c>
      <c r="I141" s="154"/>
      <c r="J141" s="155"/>
    </row>
    <row r="142" spans="1:10" ht="15.5" x14ac:dyDescent="0.35">
      <c r="A142" s="178">
        <v>4</v>
      </c>
      <c r="B142" s="179"/>
      <c r="C142" s="4" t="s">
        <v>108</v>
      </c>
      <c r="D142" s="178">
        <f>((34.27+2.6+7.725))*10.764</f>
        <v>480.02058000000005</v>
      </c>
      <c r="E142" s="179"/>
      <c r="F142" s="4">
        <v>0</v>
      </c>
      <c r="G142" s="4">
        <v>795</v>
      </c>
      <c r="H142" s="4" t="s">
        <v>107</v>
      </c>
      <c r="I142" s="154"/>
      <c r="J142" s="155"/>
    </row>
    <row r="143" spans="1:10" ht="15.5" x14ac:dyDescent="0.35">
      <c r="A143" s="178">
        <v>5</v>
      </c>
      <c r="B143" s="179"/>
      <c r="C143" s="4" t="s">
        <v>108</v>
      </c>
      <c r="D143" s="178">
        <f>((32.865+2.6+3.1))*10.764</f>
        <v>415.11366000000004</v>
      </c>
      <c r="E143" s="179"/>
      <c r="F143" s="4">
        <f>6.072*10.764</f>
        <v>65.359008000000003</v>
      </c>
      <c r="G143" s="4">
        <v>799</v>
      </c>
      <c r="H143" s="4" t="s">
        <v>107</v>
      </c>
      <c r="I143" s="154"/>
      <c r="J143" s="155"/>
    </row>
    <row r="144" spans="1:10" ht="15.5" x14ac:dyDescent="0.35">
      <c r="A144" s="178">
        <v>6</v>
      </c>
      <c r="B144" s="179"/>
      <c r="C144" s="4" t="s">
        <v>113</v>
      </c>
      <c r="D144" s="178">
        <f>((44.836+6.018))*10.764</f>
        <v>547.39245599999992</v>
      </c>
      <c r="E144" s="179"/>
      <c r="F144" s="4">
        <f>3.66*10.764</f>
        <v>39.396239999999999</v>
      </c>
      <c r="G144" s="4">
        <v>969</v>
      </c>
      <c r="H144" s="4" t="s">
        <v>107</v>
      </c>
      <c r="I144" s="156"/>
      <c r="J144" s="157"/>
    </row>
    <row r="145" spans="1:10" ht="15" x14ac:dyDescent="0.35">
      <c r="A145" s="175" t="s">
        <v>109</v>
      </c>
      <c r="B145" s="176"/>
      <c r="C145" s="176"/>
      <c r="D145" s="176"/>
      <c r="E145" s="176"/>
      <c r="F145" s="176"/>
      <c r="G145" s="176"/>
      <c r="H145" s="176"/>
      <c r="I145" s="176"/>
      <c r="J145" s="177"/>
    </row>
    <row r="146" spans="1:10" ht="15.5" x14ac:dyDescent="0.35">
      <c r="A146" s="178">
        <v>1</v>
      </c>
      <c r="B146" s="179"/>
      <c r="C146" s="4" t="s">
        <v>113</v>
      </c>
      <c r="D146" s="178">
        <f>((44.836+6.018))*10.764</f>
        <v>547.39245599999992</v>
      </c>
      <c r="E146" s="179"/>
      <c r="F146" s="4">
        <f>7.4*10.764</f>
        <v>79.653599999999997</v>
      </c>
      <c r="G146" s="4">
        <v>1012</v>
      </c>
      <c r="H146" s="4" t="s">
        <v>107</v>
      </c>
      <c r="I146" s="152" t="str">
        <f>A145</f>
        <v>2nd &amp; 4th Floors.</v>
      </c>
      <c r="J146" s="153"/>
    </row>
    <row r="147" spans="1:10" ht="15.5" x14ac:dyDescent="0.35">
      <c r="A147" s="178">
        <v>2</v>
      </c>
      <c r="B147" s="179"/>
      <c r="C147" s="4" t="s">
        <v>108</v>
      </c>
      <c r="D147" s="178">
        <f>((31.396+5.654+3.1))*10.764</f>
        <v>432.17459999999994</v>
      </c>
      <c r="E147" s="179"/>
      <c r="F147" s="4">
        <v>0</v>
      </c>
      <c r="G147" s="4">
        <v>702</v>
      </c>
      <c r="H147" s="4" t="s">
        <v>107</v>
      </c>
      <c r="I147" s="154"/>
      <c r="J147" s="155"/>
    </row>
    <row r="148" spans="1:10" ht="15.5" x14ac:dyDescent="0.35">
      <c r="A148" s="178">
        <v>3</v>
      </c>
      <c r="B148" s="179"/>
      <c r="C148" s="4" t="s">
        <v>113</v>
      </c>
      <c r="D148" s="178">
        <f>((44.439+5.95))*10.764</f>
        <v>542.38719600000002</v>
      </c>
      <c r="E148" s="179"/>
      <c r="F148" s="7">
        <f>4.549*10.764</f>
        <v>48.965436000000004</v>
      </c>
      <c r="G148" s="4">
        <v>898</v>
      </c>
      <c r="H148" s="4" t="s">
        <v>107</v>
      </c>
      <c r="I148" s="154"/>
      <c r="J148" s="155"/>
    </row>
    <row r="149" spans="1:10" ht="15.5" x14ac:dyDescent="0.35">
      <c r="A149" s="178">
        <v>4</v>
      </c>
      <c r="B149" s="179"/>
      <c r="C149" s="4" t="s">
        <v>108</v>
      </c>
      <c r="D149" s="178">
        <f>((34.247+2.6+7.725))*10.764</f>
        <v>479.773008</v>
      </c>
      <c r="E149" s="179"/>
      <c r="F149" s="4">
        <v>0</v>
      </c>
      <c r="G149" s="4">
        <v>795</v>
      </c>
      <c r="H149" s="4" t="s">
        <v>107</v>
      </c>
      <c r="I149" s="154"/>
      <c r="J149" s="155"/>
    </row>
    <row r="150" spans="1:10" ht="15.5" x14ac:dyDescent="0.35">
      <c r="A150" s="178">
        <v>5</v>
      </c>
      <c r="B150" s="179"/>
      <c r="C150" s="4" t="s">
        <v>108</v>
      </c>
      <c r="D150" s="178">
        <f>((32.865+2.6+3.1))*10.764</f>
        <v>415.11366000000004</v>
      </c>
      <c r="E150" s="179"/>
      <c r="F150" s="4">
        <v>0</v>
      </c>
      <c r="G150" s="4">
        <v>684</v>
      </c>
      <c r="H150" s="4" t="s">
        <v>107</v>
      </c>
      <c r="I150" s="154"/>
      <c r="J150" s="155"/>
    </row>
    <row r="151" spans="1:10" ht="15.5" x14ac:dyDescent="0.35">
      <c r="A151" s="178">
        <v>6</v>
      </c>
      <c r="B151" s="179"/>
      <c r="C151" s="4" t="s">
        <v>113</v>
      </c>
      <c r="D151" s="178">
        <f>((44.467+6.018))*10.764</f>
        <v>543.42053999999996</v>
      </c>
      <c r="E151" s="179"/>
      <c r="F151" s="4">
        <f>8.149*10.764</f>
        <v>87.715835999999982</v>
      </c>
      <c r="G151" s="4">
        <v>1058</v>
      </c>
      <c r="H151" s="4" t="s">
        <v>107</v>
      </c>
      <c r="I151" s="156"/>
      <c r="J151" s="157"/>
    </row>
    <row r="152" spans="1:10" ht="15" x14ac:dyDescent="0.35">
      <c r="A152" s="158" t="s">
        <v>111</v>
      </c>
      <c r="B152" s="158"/>
      <c r="C152" s="158"/>
      <c r="D152" s="158"/>
      <c r="E152" s="158"/>
      <c r="F152" s="158"/>
      <c r="G152" s="158"/>
      <c r="H152" s="158"/>
      <c r="I152" s="158"/>
      <c r="J152" s="158"/>
    </row>
    <row r="153" spans="1:10" ht="15" x14ac:dyDescent="0.35">
      <c r="A153" s="175" t="s">
        <v>115</v>
      </c>
      <c r="B153" s="176"/>
      <c r="C153" s="176"/>
      <c r="D153" s="176"/>
      <c r="E153" s="176"/>
      <c r="F153" s="176"/>
      <c r="G153" s="176"/>
      <c r="H153" s="176"/>
      <c r="I153" s="176"/>
      <c r="J153" s="177"/>
    </row>
    <row r="154" spans="1:10" ht="15" x14ac:dyDescent="0.35">
      <c r="A154" s="175" t="s">
        <v>114</v>
      </c>
      <c r="B154" s="176"/>
      <c r="C154" s="176"/>
      <c r="D154" s="176"/>
      <c r="E154" s="176"/>
      <c r="F154" s="176"/>
      <c r="G154" s="176"/>
      <c r="H154" s="176"/>
      <c r="I154" s="176"/>
      <c r="J154" s="177"/>
    </row>
    <row r="155" spans="1:10" ht="15.5" x14ac:dyDescent="0.35">
      <c r="A155" s="178">
        <v>1</v>
      </c>
      <c r="B155" s="179"/>
      <c r="C155" s="4" t="s">
        <v>106</v>
      </c>
      <c r="D155" s="178">
        <f>(21.45+2.965)*10.764</f>
        <v>262.80305999999996</v>
      </c>
      <c r="E155" s="179"/>
      <c r="F155" s="4">
        <v>0</v>
      </c>
      <c r="G155" s="4">
        <v>438</v>
      </c>
      <c r="H155" s="4" t="s">
        <v>107</v>
      </c>
      <c r="I155" s="152" t="str">
        <f>I117</f>
        <v>Ground Floor</v>
      </c>
      <c r="J155" s="153"/>
    </row>
    <row r="156" spans="1:10" ht="15.5" x14ac:dyDescent="0.35">
      <c r="A156" s="178">
        <v>2</v>
      </c>
      <c r="B156" s="179"/>
      <c r="C156" s="4" t="s">
        <v>106</v>
      </c>
      <c r="D156" s="178">
        <f>(21.45+3.982)*10.764</f>
        <v>273.75004799999999</v>
      </c>
      <c r="E156" s="179"/>
      <c r="F156" s="4">
        <v>0</v>
      </c>
      <c r="G156" s="4">
        <v>456</v>
      </c>
      <c r="H156" s="4" t="s">
        <v>107</v>
      </c>
      <c r="I156" s="154"/>
      <c r="J156" s="155"/>
    </row>
    <row r="157" spans="1:10" ht="15.5" x14ac:dyDescent="0.35">
      <c r="A157" s="178">
        <v>3</v>
      </c>
      <c r="B157" s="179"/>
      <c r="C157" s="4" t="s">
        <v>106</v>
      </c>
      <c r="D157" s="178">
        <f>(20.57+5.115)*10.764</f>
        <v>276.47334000000001</v>
      </c>
      <c r="E157" s="179"/>
      <c r="F157" s="4">
        <v>0</v>
      </c>
      <c r="G157" s="4">
        <v>459</v>
      </c>
      <c r="H157" s="4" t="s">
        <v>107</v>
      </c>
      <c r="I157" s="154"/>
      <c r="J157" s="155"/>
    </row>
    <row r="158" spans="1:10" ht="15.5" x14ac:dyDescent="0.35">
      <c r="A158" s="178">
        <v>4</v>
      </c>
      <c r="B158" s="179"/>
      <c r="C158" s="4" t="s">
        <v>106</v>
      </c>
      <c r="D158" s="178">
        <f>(20.57+3.382)*10.764</f>
        <v>257.81932799999998</v>
      </c>
      <c r="E158" s="179"/>
      <c r="F158" s="4">
        <v>0</v>
      </c>
      <c r="G158" s="4">
        <v>427</v>
      </c>
      <c r="H158" s="4" t="s">
        <v>107</v>
      </c>
      <c r="I158" s="156"/>
      <c r="J158" s="157"/>
    </row>
    <row r="159" spans="1:10" ht="15" x14ac:dyDescent="0.35">
      <c r="A159" s="175" t="s">
        <v>110</v>
      </c>
      <c r="B159" s="176"/>
      <c r="C159" s="176"/>
      <c r="D159" s="176"/>
      <c r="E159" s="176"/>
      <c r="F159" s="176"/>
      <c r="G159" s="176"/>
      <c r="H159" s="176"/>
      <c r="I159" s="176"/>
      <c r="J159" s="177"/>
    </row>
    <row r="160" spans="1:10" ht="15.5" x14ac:dyDescent="0.35">
      <c r="A160" s="178">
        <v>1</v>
      </c>
      <c r="B160" s="179"/>
      <c r="C160" s="4" t="s">
        <v>106</v>
      </c>
      <c r="D160" s="178">
        <f>(21.45+2.965)*10.764</f>
        <v>262.80305999999996</v>
      </c>
      <c r="E160" s="179"/>
      <c r="F160" s="4">
        <v>0</v>
      </c>
      <c r="G160" s="4">
        <v>438</v>
      </c>
      <c r="H160" s="4" t="s">
        <v>107</v>
      </c>
      <c r="I160" s="152" t="str">
        <f>A159</f>
        <v>1st &amp; 3rd Floors.</v>
      </c>
      <c r="J160" s="153"/>
    </row>
    <row r="161" spans="1:11" ht="15.5" x14ac:dyDescent="0.35">
      <c r="A161" s="178">
        <v>2</v>
      </c>
      <c r="B161" s="179"/>
      <c r="C161" s="4" t="s">
        <v>106</v>
      </c>
      <c r="D161" s="178">
        <f>(21.45+3.982)*10.764</f>
        <v>273.75004799999999</v>
      </c>
      <c r="E161" s="179"/>
      <c r="F161" s="4">
        <f>3.9*10.764</f>
        <v>41.979599999999998</v>
      </c>
      <c r="G161" s="4">
        <v>529</v>
      </c>
      <c r="H161" s="4" t="s">
        <v>107</v>
      </c>
      <c r="I161" s="154"/>
      <c r="J161" s="155"/>
    </row>
    <row r="162" spans="1:11" ht="15.5" x14ac:dyDescent="0.35">
      <c r="A162" s="178">
        <v>3</v>
      </c>
      <c r="B162" s="179"/>
      <c r="C162" s="4" t="s">
        <v>106</v>
      </c>
      <c r="D162" s="178">
        <f>(20.57+5.115)*10.764</f>
        <v>276.47334000000001</v>
      </c>
      <c r="E162" s="179"/>
      <c r="F162" s="4">
        <f>3.12*10.764</f>
        <v>33.583680000000001</v>
      </c>
      <c r="G162" s="4">
        <v>519</v>
      </c>
      <c r="H162" s="4" t="s">
        <v>107</v>
      </c>
      <c r="I162" s="154"/>
      <c r="J162" s="155"/>
    </row>
    <row r="163" spans="1:11" ht="15.5" x14ac:dyDescent="0.35">
      <c r="A163" s="178">
        <v>4</v>
      </c>
      <c r="B163" s="179"/>
      <c r="C163" s="4" t="s">
        <v>106</v>
      </c>
      <c r="D163" s="178">
        <f>(20.57+5.115)*10.764</f>
        <v>276.47334000000001</v>
      </c>
      <c r="E163" s="179"/>
      <c r="F163" s="4">
        <f>3.12*10.764</f>
        <v>33.583680000000001</v>
      </c>
      <c r="G163" s="4">
        <v>519</v>
      </c>
      <c r="H163" s="4" t="s">
        <v>107</v>
      </c>
      <c r="I163" s="154"/>
      <c r="J163" s="155"/>
    </row>
    <row r="164" spans="1:11" ht="15.5" x14ac:dyDescent="0.35">
      <c r="A164" s="178">
        <v>5</v>
      </c>
      <c r="B164" s="179"/>
      <c r="C164" s="4" t="s">
        <v>106</v>
      </c>
      <c r="D164" s="178">
        <f>(20.57+3.382)*10.764</f>
        <v>257.81932799999998</v>
      </c>
      <c r="E164" s="179"/>
      <c r="F164" s="4">
        <f>3.12*10.764</f>
        <v>33.583680000000001</v>
      </c>
      <c r="G164" s="4">
        <v>487</v>
      </c>
      <c r="H164" s="4" t="s">
        <v>107</v>
      </c>
      <c r="I164" s="156"/>
      <c r="J164" s="157"/>
    </row>
    <row r="165" spans="1:11" ht="15" x14ac:dyDescent="0.35">
      <c r="A165" s="158" t="s">
        <v>109</v>
      </c>
      <c r="B165" s="158"/>
      <c r="C165" s="158"/>
      <c r="D165" s="158"/>
      <c r="E165" s="158"/>
      <c r="F165" s="158"/>
      <c r="G165" s="158"/>
      <c r="H165" s="158"/>
      <c r="I165" s="158"/>
      <c r="J165" s="158"/>
    </row>
    <row r="166" spans="1:11" ht="15.5" x14ac:dyDescent="0.35">
      <c r="A166" s="80">
        <v>1</v>
      </c>
      <c r="B166" s="80"/>
      <c r="C166" s="4" t="s">
        <v>106</v>
      </c>
      <c r="D166" s="80">
        <f>(21.45+2.965)*10.764</f>
        <v>262.80305999999996</v>
      </c>
      <c r="E166" s="80"/>
      <c r="F166" s="4">
        <v>0</v>
      </c>
      <c r="G166" s="4">
        <v>438</v>
      </c>
      <c r="H166" s="4" t="s">
        <v>107</v>
      </c>
      <c r="I166" s="80" t="str">
        <f>A165</f>
        <v>2nd &amp; 4th Floors.</v>
      </c>
      <c r="J166" s="80"/>
    </row>
    <row r="167" spans="1:11" ht="15.5" x14ac:dyDescent="0.35">
      <c r="A167" s="80">
        <v>2</v>
      </c>
      <c r="B167" s="80"/>
      <c r="C167" s="4" t="s">
        <v>106</v>
      </c>
      <c r="D167" s="80">
        <f>(21.45+3.982)*10.764</f>
        <v>273.75004799999999</v>
      </c>
      <c r="E167" s="80"/>
      <c r="F167" s="4">
        <f>4.625*10.764</f>
        <v>49.783499999999997</v>
      </c>
      <c r="G167" s="4">
        <v>540</v>
      </c>
      <c r="H167" s="4" t="s">
        <v>107</v>
      </c>
      <c r="I167" s="80"/>
      <c r="J167" s="80"/>
    </row>
    <row r="168" spans="1:11" ht="15.5" x14ac:dyDescent="0.35">
      <c r="A168" s="80">
        <v>3</v>
      </c>
      <c r="B168" s="80"/>
      <c r="C168" s="4" t="s">
        <v>106</v>
      </c>
      <c r="D168" s="80">
        <f>(20.57+5.115)*10.764</f>
        <v>276.47334000000001</v>
      </c>
      <c r="E168" s="80"/>
      <c r="F168" s="4">
        <v>0</v>
      </c>
      <c r="G168" s="4">
        <v>459</v>
      </c>
      <c r="H168" s="4" t="s">
        <v>107</v>
      </c>
      <c r="I168" s="80"/>
      <c r="J168" s="80"/>
    </row>
    <row r="169" spans="1:11" ht="15.5" x14ac:dyDescent="0.35">
      <c r="A169" s="80">
        <v>4</v>
      </c>
      <c r="B169" s="80"/>
      <c r="C169" s="4" t="s">
        <v>106</v>
      </c>
      <c r="D169" s="80">
        <f>(20.57+5.115)*10.764</f>
        <v>276.47334000000001</v>
      </c>
      <c r="E169" s="80"/>
      <c r="F169" s="4">
        <v>0</v>
      </c>
      <c r="G169" s="4">
        <v>459</v>
      </c>
      <c r="H169" s="4" t="s">
        <v>107</v>
      </c>
      <c r="I169" s="80"/>
      <c r="J169" s="80"/>
    </row>
    <row r="170" spans="1:11" ht="15.5" x14ac:dyDescent="0.35">
      <c r="A170" s="80">
        <v>5</v>
      </c>
      <c r="B170" s="80"/>
      <c r="C170" s="4" t="s">
        <v>106</v>
      </c>
      <c r="D170" s="80">
        <f>(20.57+3.382)*10.764</f>
        <v>257.81932799999998</v>
      </c>
      <c r="E170" s="80"/>
      <c r="F170" s="4">
        <v>0</v>
      </c>
      <c r="G170" s="4">
        <v>427</v>
      </c>
      <c r="H170" s="4" t="s">
        <v>107</v>
      </c>
      <c r="I170" s="80"/>
      <c r="J170" s="80"/>
    </row>
    <row r="171" spans="1:11" ht="177" customHeight="1" x14ac:dyDescent="0.35">
      <c r="A171" s="151" t="s">
        <v>199</v>
      </c>
      <c r="B171" s="151"/>
      <c r="C171" s="151"/>
      <c r="D171" s="151"/>
      <c r="E171" s="151"/>
      <c r="F171" s="151"/>
      <c r="G171" s="151"/>
      <c r="H171" s="151"/>
      <c r="I171" s="151"/>
      <c r="J171" s="151"/>
      <c r="K171" s="49"/>
    </row>
    <row r="172" spans="1:11" x14ac:dyDescent="0.35">
      <c r="A172" s="150" t="s">
        <v>26</v>
      </c>
      <c r="B172" s="137"/>
      <c r="C172" s="137"/>
      <c r="D172" s="137"/>
      <c r="E172" s="137"/>
      <c r="F172" s="137"/>
      <c r="G172" s="137"/>
      <c r="H172" s="137"/>
      <c r="I172" s="137"/>
      <c r="J172" s="138"/>
    </row>
    <row r="173" spans="1:11" x14ac:dyDescent="0.35">
      <c r="A173" s="104" t="s">
        <v>34</v>
      </c>
      <c r="B173" s="105"/>
      <c r="C173" s="105"/>
      <c r="D173" s="105"/>
      <c r="E173" s="105"/>
      <c r="F173" s="105"/>
      <c r="G173" s="105"/>
      <c r="H173" s="105"/>
      <c r="I173" s="105"/>
      <c r="J173" s="106"/>
    </row>
    <row r="174" spans="1:11" x14ac:dyDescent="0.35">
      <c r="A174" s="150" t="s">
        <v>28</v>
      </c>
      <c r="B174" s="137"/>
      <c r="C174" s="137"/>
      <c r="D174" s="137"/>
      <c r="E174" s="137"/>
      <c r="F174" s="137"/>
      <c r="G174" s="137"/>
      <c r="H174" s="137"/>
      <c r="I174" s="137"/>
      <c r="J174" s="138"/>
    </row>
    <row r="175" spans="1:11" x14ac:dyDescent="0.35">
      <c r="A175" s="52" t="s">
        <v>37</v>
      </c>
      <c r="B175" s="53"/>
      <c r="C175" s="53"/>
      <c r="D175" s="53"/>
      <c r="E175" s="53"/>
      <c r="F175" s="53"/>
      <c r="G175" s="53"/>
      <c r="H175" s="53"/>
      <c r="I175" s="53"/>
      <c r="J175" s="54"/>
    </row>
    <row r="176" spans="1:11" ht="16.5" customHeight="1" x14ac:dyDescent="0.35">
      <c r="A176" s="107" t="s">
        <v>50</v>
      </c>
      <c r="B176" s="108"/>
      <c r="C176" s="108"/>
      <c r="D176" s="108"/>
      <c r="E176" s="108"/>
      <c r="F176" s="108"/>
      <c r="G176" s="108"/>
      <c r="H176" s="108"/>
      <c r="I176" s="108"/>
      <c r="J176" s="109"/>
    </row>
    <row r="177" spans="1:12" x14ac:dyDescent="0.35">
      <c r="A177" s="52" t="s">
        <v>38</v>
      </c>
      <c r="B177" s="53"/>
      <c r="C177" s="53"/>
      <c r="D177" s="53"/>
      <c r="E177" s="53"/>
      <c r="F177" s="53"/>
      <c r="G177" s="53"/>
      <c r="H177" s="53"/>
      <c r="I177" s="53"/>
      <c r="J177" s="54"/>
    </row>
    <row r="178" spans="1:12" x14ac:dyDescent="0.35">
      <c r="A178" s="52" t="s">
        <v>39</v>
      </c>
      <c r="B178" s="53"/>
      <c r="C178" s="53"/>
      <c r="D178" s="53"/>
      <c r="E178" s="53"/>
      <c r="F178" s="53"/>
      <c r="G178" s="53"/>
      <c r="H178" s="53"/>
      <c r="I178" s="53"/>
      <c r="J178" s="54"/>
    </row>
    <row r="179" spans="1:12" ht="18" customHeight="1" x14ac:dyDescent="0.35">
      <c r="A179" s="55" t="s">
        <v>40</v>
      </c>
      <c r="B179" s="56"/>
      <c r="C179" s="56"/>
      <c r="D179" s="56"/>
      <c r="E179" s="56"/>
      <c r="F179" s="56"/>
      <c r="G179" s="56"/>
      <c r="H179" s="56"/>
      <c r="I179" s="56"/>
      <c r="J179" s="57"/>
    </row>
    <row r="180" spans="1:12" ht="15" customHeight="1" x14ac:dyDescent="0.35">
      <c r="A180" s="141" t="s">
        <v>27</v>
      </c>
      <c r="B180" s="141"/>
      <c r="C180" s="141"/>
      <c r="D180" s="141"/>
      <c r="E180" s="141"/>
      <c r="F180" s="141"/>
      <c r="G180" s="141"/>
      <c r="H180" s="141"/>
      <c r="I180" s="141"/>
      <c r="J180" s="141"/>
    </row>
    <row r="181" spans="1:12" x14ac:dyDescent="0.35">
      <c r="A181" s="141"/>
      <c r="B181" s="141"/>
      <c r="C181" s="141"/>
      <c r="D181" s="141"/>
      <c r="E181" s="141"/>
      <c r="F181" s="141"/>
      <c r="G181" s="141"/>
      <c r="H181" s="141"/>
      <c r="I181" s="141"/>
      <c r="J181" s="141"/>
    </row>
    <row r="182" spans="1:12" x14ac:dyDescent="0.35">
      <c r="A182" s="141"/>
      <c r="B182" s="141"/>
      <c r="C182" s="141"/>
      <c r="D182" s="141"/>
      <c r="E182" s="141"/>
      <c r="F182" s="141"/>
      <c r="G182" s="141"/>
      <c r="H182" s="141"/>
      <c r="I182" s="141"/>
      <c r="J182" s="141"/>
    </row>
    <row r="183" spans="1:12" x14ac:dyDescent="0.35">
      <c r="A183" s="141"/>
      <c r="B183" s="141"/>
      <c r="C183" s="141"/>
      <c r="D183" s="141"/>
      <c r="E183" s="141"/>
      <c r="F183" s="141"/>
      <c r="G183" s="141"/>
      <c r="H183" s="141"/>
      <c r="I183" s="141"/>
      <c r="J183" s="141"/>
    </row>
    <row r="184" spans="1:12" x14ac:dyDescent="0.35">
      <c r="A184" s="23" t="s">
        <v>138</v>
      </c>
      <c r="D184" s="6"/>
      <c r="E184" s="6"/>
      <c r="F184" s="6"/>
      <c r="G184" s="6"/>
      <c r="H184" s="6"/>
      <c r="I184" s="6"/>
      <c r="J184" s="6"/>
    </row>
    <row r="191" spans="1:12" x14ac:dyDescent="0.35">
      <c r="L191" s="22" t="s">
        <v>137</v>
      </c>
    </row>
    <row r="229" spans="1:12" x14ac:dyDescent="0.35">
      <c r="A229" s="23" t="s">
        <v>138</v>
      </c>
    </row>
    <row r="233" spans="1:12" x14ac:dyDescent="0.35">
      <c r="L233" s="22" t="s">
        <v>137</v>
      </c>
    </row>
    <row r="275" spans="1:12" x14ac:dyDescent="0.35">
      <c r="A275" s="23" t="s">
        <v>138</v>
      </c>
      <c r="L275" s="22" t="s">
        <v>137</v>
      </c>
    </row>
    <row r="318" spans="1:1" x14ac:dyDescent="0.35">
      <c r="A318" s="23" t="s">
        <v>198</v>
      </c>
    </row>
    <row r="349" spans="1:1" x14ac:dyDescent="0.35">
      <c r="A349" s="23" t="s">
        <v>83</v>
      </c>
    </row>
  </sheetData>
  <mergeCells count="361">
    <mergeCell ref="H90:J90"/>
    <mergeCell ref="A91:B91"/>
    <mergeCell ref="D91:E91"/>
    <mergeCell ref="F91:G100"/>
    <mergeCell ref="H91:J100"/>
    <mergeCell ref="A92:B92"/>
    <mergeCell ref="D92:E92"/>
    <mergeCell ref="A93:B93"/>
    <mergeCell ref="D93:E93"/>
    <mergeCell ref="A94:B94"/>
    <mergeCell ref="D94:E94"/>
    <mergeCell ref="A95:B95"/>
    <mergeCell ref="D95:E95"/>
    <mergeCell ref="A96:B96"/>
    <mergeCell ref="D96:E96"/>
    <mergeCell ref="A97:B97"/>
    <mergeCell ref="D97:E97"/>
    <mergeCell ref="A98:B98"/>
    <mergeCell ref="D98:E98"/>
    <mergeCell ref="A99:B99"/>
    <mergeCell ref="D99:E99"/>
    <mergeCell ref="A100:B100"/>
    <mergeCell ref="D100:E100"/>
    <mergeCell ref="D168:E168"/>
    <mergeCell ref="A121:J121"/>
    <mergeCell ref="A126:J126"/>
    <mergeCell ref="A131:J131"/>
    <mergeCell ref="A132:J132"/>
    <mergeCell ref="A145:J145"/>
    <mergeCell ref="A138:J138"/>
    <mergeCell ref="A139:B139"/>
    <mergeCell ref="D139:E139"/>
    <mergeCell ref="A163:B163"/>
    <mergeCell ref="D163:E163"/>
    <mergeCell ref="D157:E157"/>
    <mergeCell ref="A142:B142"/>
    <mergeCell ref="D142:E142"/>
    <mergeCell ref="A143:B143"/>
    <mergeCell ref="D143:E143"/>
    <mergeCell ref="A144:B144"/>
    <mergeCell ref="D144:E144"/>
    <mergeCell ref="A152:J152"/>
    <mergeCell ref="A153:J153"/>
    <mergeCell ref="A149:B149"/>
    <mergeCell ref="A141:B141"/>
    <mergeCell ref="D141:E141"/>
    <mergeCell ref="A150:B150"/>
    <mergeCell ref="A169:B169"/>
    <mergeCell ref="D169:E169"/>
    <mergeCell ref="A166:B166"/>
    <mergeCell ref="D166:E166"/>
    <mergeCell ref="A167:B167"/>
    <mergeCell ref="D167:E167"/>
    <mergeCell ref="A162:B162"/>
    <mergeCell ref="D162:E162"/>
    <mergeCell ref="A154:J154"/>
    <mergeCell ref="A158:B158"/>
    <mergeCell ref="D158:E158"/>
    <mergeCell ref="A164:B164"/>
    <mergeCell ref="D164:E164"/>
    <mergeCell ref="A159:J159"/>
    <mergeCell ref="A155:B155"/>
    <mergeCell ref="D155:E155"/>
    <mergeCell ref="A156:B156"/>
    <mergeCell ref="D156:E156"/>
    <mergeCell ref="A157:B157"/>
    <mergeCell ref="A160:B160"/>
    <mergeCell ref="D160:E160"/>
    <mergeCell ref="A161:B161"/>
    <mergeCell ref="D161:E161"/>
    <mergeCell ref="A168:B168"/>
    <mergeCell ref="D150:E150"/>
    <mergeCell ref="I139:J144"/>
    <mergeCell ref="A134:B134"/>
    <mergeCell ref="D134:E134"/>
    <mergeCell ref="A135:B135"/>
    <mergeCell ref="D135:E135"/>
    <mergeCell ref="A136:B136"/>
    <mergeCell ref="D136:E136"/>
    <mergeCell ref="I146:J151"/>
    <mergeCell ref="A151:B151"/>
    <mergeCell ref="D151:E151"/>
    <mergeCell ref="A147:B147"/>
    <mergeCell ref="D147:E147"/>
    <mergeCell ref="A148:B148"/>
    <mergeCell ref="D148:E148"/>
    <mergeCell ref="D149:E149"/>
    <mergeCell ref="A137:B137"/>
    <mergeCell ref="D137:E137"/>
    <mergeCell ref="A146:B146"/>
    <mergeCell ref="D146:E146"/>
    <mergeCell ref="A140:B140"/>
    <mergeCell ref="D140:E140"/>
    <mergeCell ref="A133:J133"/>
    <mergeCell ref="A128:B128"/>
    <mergeCell ref="D128:E128"/>
    <mergeCell ref="A129:B129"/>
    <mergeCell ref="D129:E129"/>
    <mergeCell ref="A130:B130"/>
    <mergeCell ref="D130:E130"/>
    <mergeCell ref="A122:B122"/>
    <mergeCell ref="D122:E122"/>
    <mergeCell ref="A123:B123"/>
    <mergeCell ref="D123:E123"/>
    <mergeCell ref="A124:B124"/>
    <mergeCell ref="D124:E124"/>
    <mergeCell ref="A115:J115"/>
    <mergeCell ref="A114:B114"/>
    <mergeCell ref="D114:E114"/>
    <mergeCell ref="A116:J116"/>
    <mergeCell ref="A108:F108"/>
    <mergeCell ref="A58:J58"/>
    <mergeCell ref="G103:J103"/>
    <mergeCell ref="A103:F103"/>
    <mergeCell ref="A102:F102"/>
    <mergeCell ref="A101:J101"/>
    <mergeCell ref="G102:J102"/>
    <mergeCell ref="E60:F60"/>
    <mergeCell ref="D69:E69"/>
    <mergeCell ref="A70:B70"/>
    <mergeCell ref="D70:E70"/>
    <mergeCell ref="A87:B87"/>
    <mergeCell ref="C87:J87"/>
    <mergeCell ref="E88:F88"/>
    <mergeCell ref="I88:J88"/>
    <mergeCell ref="A89:B89"/>
    <mergeCell ref="C89:J89"/>
    <mergeCell ref="A90:B90"/>
    <mergeCell ref="D90:E90"/>
    <mergeCell ref="F90:G90"/>
    <mergeCell ref="C28:D28"/>
    <mergeCell ref="F38:J38"/>
    <mergeCell ref="I155:J158"/>
    <mergeCell ref="A104:F104"/>
    <mergeCell ref="G106:J106"/>
    <mergeCell ref="A125:B125"/>
    <mergeCell ref="D125:E125"/>
    <mergeCell ref="A127:B127"/>
    <mergeCell ref="D127:E127"/>
    <mergeCell ref="G108:J108"/>
    <mergeCell ref="A109:F109"/>
    <mergeCell ref="A107:F107"/>
    <mergeCell ref="A118:B118"/>
    <mergeCell ref="D118:E118"/>
    <mergeCell ref="A110:F110"/>
    <mergeCell ref="G110:J110"/>
    <mergeCell ref="I114:J114"/>
    <mergeCell ref="A117:B117"/>
    <mergeCell ref="G105:J105"/>
    <mergeCell ref="G104:J104"/>
    <mergeCell ref="A106:F106"/>
    <mergeCell ref="I122:J125"/>
    <mergeCell ref="A119:B119"/>
    <mergeCell ref="D119:E119"/>
    <mergeCell ref="A120:B120"/>
    <mergeCell ref="A175:J175"/>
    <mergeCell ref="A172:J172"/>
    <mergeCell ref="A165:J165"/>
    <mergeCell ref="A170:B170"/>
    <mergeCell ref="A1:J1"/>
    <mergeCell ref="A10:E10"/>
    <mergeCell ref="F10:J10"/>
    <mergeCell ref="A48:C48"/>
    <mergeCell ref="A43:B43"/>
    <mergeCell ref="H43:J43"/>
    <mergeCell ref="C43:F43"/>
    <mergeCell ref="A44:B44"/>
    <mergeCell ref="C44:F44"/>
    <mergeCell ref="H44:J44"/>
    <mergeCell ref="C45:F45"/>
    <mergeCell ref="A33:J33"/>
    <mergeCell ref="A46:B46"/>
    <mergeCell ref="F41:J41"/>
    <mergeCell ref="F40:J40"/>
    <mergeCell ref="A41:E41"/>
    <mergeCell ref="A40:E40"/>
    <mergeCell ref="E28:F28"/>
    <mergeCell ref="A28:B28"/>
    <mergeCell ref="A36:E36"/>
    <mergeCell ref="I28:J28"/>
    <mergeCell ref="F39:J39"/>
    <mergeCell ref="A39:E39"/>
    <mergeCell ref="A34:J35"/>
    <mergeCell ref="A180:J183"/>
    <mergeCell ref="A111:F111"/>
    <mergeCell ref="G111:J111"/>
    <mergeCell ref="A112:J112"/>
    <mergeCell ref="A113:J113"/>
    <mergeCell ref="A176:J176"/>
    <mergeCell ref="A177:J177"/>
    <mergeCell ref="A178:J178"/>
    <mergeCell ref="A179:J179"/>
    <mergeCell ref="D117:E117"/>
    <mergeCell ref="A173:J173"/>
    <mergeCell ref="A174:J174"/>
    <mergeCell ref="A171:J171"/>
    <mergeCell ref="D120:E120"/>
    <mergeCell ref="I127:J130"/>
    <mergeCell ref="I134:J137"/>
    <mergeCell ref="I160:J164"/>
    <mergeCell ref="I166:J170"/>
    <mergeCell ref="D170:E170"/>
    <mergeCell ref="H14:J14"/>
    <mergeCell ref="F15:G15"/>
    <mergeCell ref="H15:J15"/>
    <mergeCell ref="F16:G16"/>
    <mergeCell ref="H16:J16"/>
    <mergeCell ref="I26:J26"/>
    <mergeCell ref="A25:E25"/>
    <mergeCell ref="A17:B17"/>
    <mergeCell ref="A51:C51"/>
    <mergeCell ref="A37:E37"/>
    <mergeCell ref="F37:J37"/>
    <mergeCell ref="F36:J36"/>
    <mergeCell ref="A31:B31"/>
    <mergeCell ref="I46:J46"/>
    <mergeCell ref="A29:J29"/>
    <mergeCell ref="C26:D26"/>
    <mergeCell ref="E26:F26"/>
    <mergeCell ref="A27:B27"/>
    <mergeCell ref="I27:J27"/>
    <mergeCell ref="G28:H28"/>
    <mergeCell ref="C27:D27"/>
    <mergeCell ref="G27:H27"/>
    <mergeCell ref="A38:E38"/>
    <mergeCell ref="C46:G46"/>
    <mergeCell ref="H17:J17"/>
    <mergeCell ref="A23:E23"/>
    <mergeCell ref="F24:J24"/>
    <mergeCell ref="A22:E22"/>
    <mergeCell ref="A26:B26"/>
    <mergeCell ref="F25:J25"/>
    <mergeCell ref="A11:E11"/>
    <mergeCell ref="F12:J12"/>
    <mergeCell ref="G26:H26"/>
    <mergeCell ref="A24:E24"/>
    <mergeCell ref="C17:E17"/>
    <mergeCell ref="A12:E12"/>
    <mergeCell ref="F17:G17"/>
    <mergeCell ref="A18:E19"/>
    <mergeCell ref="F22:J22"/>
    <mergeCell ref="A13:B13"/>
    <mergeCell ref="C13:J13"/>
    <mergeCell ref="F14:G14"/>
    <mergeCell ref="A14:B14"/>
    <mergeCell ref="C14:E14"/>
    <mergeCell ref="A15:B15"/>
    <mergeCell ref="C15:E15"/>
    <mergeCell ref="A16:B16"/>
    <mergeCell ref="C16:E16"/>
    <mergeCell ref="G109:J109"/>
    <mergeCell ref="A69:B69"/>
    <mergeCell ref="A2:J2"/>
    <mergeCell ref="A3:E3"/>
    <mergeCell ref="F3:J3"/>
    <mergeCell ref="A4:E4"/>
    <mergeCell ref="F4:J4"/>
    <mergeCell ref="F9:J9"/>
    <mergeCell ref="A6:E6"/>
    <mergeCell ref="F6:J6"/>
    <mergeCell ref="A5:E5"/>
    <mergeCell ref="F5:J5"/>
    <mergeCell ref="A7:E7"/>
    <mergeCell ref="F7:J7"/>
    <mergeCell ref="A9:E9"/>
    <mergeCell ref="A8:E8"/>
    <mergeCell ref="F8:J8"/>
    <mergeCell ref="F11:J11"/>
    <mergeCell ref="F18:J19"/>
    <mergeCell ref="E27:F27"/>
    <mergeCell ref="A20:E21"/>
    <mergeCell ref="A30:J30"/>
    <mergeCell ref="F20:J21"/>
    <mergeCell ref="F23:J23"/>
    <mergeCell ref="A67:B67"/>
    <mergeCell ref="D67:E67"/>
    <mergeCell ref="A68:B68"/>
    <mergeCell ref="D68:E68"/>
    <mergeCell ref="A42:J42"/>
    <mergeCell ref="A45:B45"/>
    <mergeCell ref="H45:J45"/>
    <mergeCell ref="I117:J120"/>
    <mergeCell ref="A47:J47"/>
    <mergeCell ref="A59:B59"/>
    <mergeCell ref="C59:J59"/>
    <mergeCell ref="I60:J60"/>
    <mergeCell ref="A61:B61"/>
    <mergeCell ref="C61:J61"/>
    <mergeCell ref="A62:B62"/>
    <mergeCell ref="D62:E62"/>
    <mergeCell ref="F62:G62"/>
    <mergeCell ref="H62:J62"/>
    <mergeCell ref="A63:B63"/>
    <mergeCell ref="D63:E63"/>
    <mergeCell ref="F63:G72"/>
    <mergeCell ref="H63:J72"/>
    <mergeCell ref="G107:J107"/>
    <mergeCell ref="A105:F105"/>
    <mergeCell ref="A81:B81"/>
    <mergeCell ref="D81:E81"/>
    <mergeCell ref="A82:B82"/>
    <mergeCell ref="D82:E82"/>
    <mergeCell ref="A83:B83"/>
    <mergeCell ref="D83:E83"/>
    <mergeCell ref="A84:B84"/>
    <mergeCell ref="D84:E84"/>
    <mergeCell ref="A32:B32"/>
    <mergeCell ref="C32:J32"/>
    <mergeCell ref="A73:B73"/>
    <mergeCell ref="C73:J73"/>
    <mergeCell ref="E74:F74"/>
    <mergeCell ref="I74:J74"/>
    <mergeCell ref="A71:B71"/>
    <mergeCell ref="D71:E71"/>
    <mergeCell ref="A72:B72"/>
    <mergeCell ref="D72:E72"/>
    <mergeCell ref="A64:B64"/>
    <mergeCell ref="D64:E64"/>
    <mergeCell ref="A65:B65"/>
    <mergeCell ref="D65:E65"/>
    <mergeCell ref="A66:B66"/>
    <mergeCell ref="D66:E66"/>
    <mergeCell ref="C31:J31"/>
    <mergeCell ref="A49:C49"/>
    <mergeCell ref="D48:J48"/>
    <mergeCell ref="D49:J49"/>
    <mergeCell ref="A85:B85"/>
    <mergeCell ref="D85:E85"/>
    <mergeCell ref="A86:B86"/>
    <mergeCell ref="D86:E86"/>
    <mergeCell ref="A75:B75"/>
    <mergeCell ref="C75:J75"/>
    <mergeCell ref="A76:B76"/>
    <mergeCell ref="D76:E76"/>
    <mergeCell ref="F76:G76"/>
    <mergeCell ref="H76:J76"/>
    <mergeCell ref="A77:B77"/>
    <mergeCell ref="D77:E77"/>
    <mergeCell ref="F77:G86"/>
    <mergeCell ref="H77:J86"/>
    <mergeCell ref="A78:B78"/>
    <mergeCell ref="D78:E78"/>
    <mergeCell ref="A79:B79"/>
    <mergeCell ref="D79:E79"/>
    <mergeCell ref="A80:B80"/>
    <mergeCell ref="D80:E80"/>
    <mergeCell ref="A50:C50"/>
    <mergeCell ref="D50:J50"/>
    <mergeCell ref="A55:C55"/>
    <mergeCell ref="D55:J55"/>
    <mergeCell ref="A56:C56"/>
    <mergeCell ref="D56:J56"/>
    <mergeCell ref="D51:J51"/>
    <mergeCell ref="A57:C57"/>
    <mergeCell ref="D57:J57"/>
    <mergeCell ref="A54:C54"/>
    <mergeCell ref="D54:J54"/>
    <mergeCell ref="A52:C52"/>
    <mergeCell ref="D52:J52"/>
    <mergeCell ref="A53:C53"/>
    <mergeCell ref="D53:J53"/>
  </mergeCells>
  <phoneticPr fontId="0" type="noConversion"/>
  <hyperlinks>
    <hyperlink ref="C32" r:id="rId1"/>
  </hyperlinks>
  <pageMargins left="0.59055118110236227" right="0.59055118110236227" top="0.78740157480314965" bottom="0.78740157480314965" header="0.19685039370078741" footer="0.19685039370078741"/>
  <pageSetup paperSize="9" scale="95" fitToHeight="0" orientation="portrait" r:id="rId2"/>
  <headerFooter>
    <oddHeader>&amp;C&amp;"Times New Roman,Bold"&amp;20&amp;G</oddHeader>
    <oddFooter>&amp;L&amp;"Times New Roman,Bold"Ref No: &amp;F&amp;C&amp;G&amp;R&amp;P</oddFooter>
  </headerFooter>
  <rowBreaks count="6" manualBreakCount="6">
    <brk id="72" max="16383" man="1"/>
    <brk id="183" max="16383" man="1"/>
    <brk id="227" max="16383" man="1"/>
    <brk id="274" max="16383" man="1"/>
    <brk id="317" max="16383" man="1"/>
    <brk id="34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C2" sqref="C2"/>
    </sheetView>
  </sheetViews>
  <sheetFormatPr defaultRowHeight="14.5" x14ac:dyDescent="0.35"/>
  <cols>
    <col min="1" max="1" width="10.26953125" bestFit="1" customWidth="1"/>
  </cols>
  <sheetData>
    <row r="2" spans="1:2" x14ac:dyDescent="0.35">
      <c r="A2" s="9">
        <v>44210</v>
      </c>
      <c r="B2" s="10" t="s">
        <v>123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sqref="A1:B1"/>
    </sheetView>
  </sheetViews>
  <sheetFormatPr defaultColWidth="8.7265625" defaultRowHeight="14.5" x14ac:dyDescent="0.35"/>
  <cols>
    <col min="1" max="1" width="10.54296875" style="10" bestFit="1" customWidth="1"/>
    <col min="2" max="2" width="22.1796875" style="10" customWidth="1"/>
    <col min="3" max="3" width="37" style="10" customWidth="1"/>
    <col min="4" max="5" width="11.453125" style="10" customWidth="1"/>
    <col min="6" max="6" width="14" style="10" customWidth="1"/>
    <col min="7" max="7" width="20" style="10" customWidth="1"/>
    <col min="8" max="8" width="16.453125" style="10" customWidth="1"/>
    <col min="9" max="16384" width="8.7265625" style="10"/>
  </cols>
  <sheetData>
    <row r="1" spans="1:9" ht="15" customHeight="1" x14ac:dyDescent="0.35">
      <c r="A1" s="9">
        <v>44210</v>
      </c>
      <c r="B1" s="10" t="s">
        <v>123</v>
      </c>
    </row>
    <row r="2" spans="1:9" ht="15" customHeight="1" x14ac:dyDescent="0.35">
      <c r="A2" s="11"/>
      <c r="B2" s="11"/>
      <c r="C2" s="11"/>
      <c r="D2" s="11"/>
      <c r="E2" s="11"/>
      <c r="F2" s="11"/>
      <c r="G2" s="11"/>
      <c r="H2" s="11"/>
    </row>
    <row r="3" spans="1:9" ht="15.75" customHeight="1" x14ac:dyDescent="0.35">
      <c r="A3" s="11"/>
      <c r="B3" s="197" t="s">
        <v>124</v>
      </c>
      <c r="C3" s="197"/>
      <c r="D3" s="197"/>
      <c r="E3" s="197"/>
      <c r="F3" s="197"/>
      <c r="G3" s="197"/>
      <c r="H3" s="197"/>
    </row>
    <row r="4" spans="1:9" x14ac:dyDescent="0.35">
      <c r="A4" s="11"/>
      <c r="B4" s="12" t="s">
        <v>125</v>
      </c>
      <c r="C4" s="12" t="s">
        <v>126</v>
      </c>
      <c r="D4" s="12" t="s">
        <v>68</v>
      </c>
      <c r="E4" s="12" t="s">
        <v>127</v>
      </c>
      <c r="F4" s="12" t="s">
        <v>128</v>
      </c>
      <c r="G4" s="12" t="s">
        <v>129</v>
      </c>
      <c r="H4" s="12" t="s">
        <v>130</v>
      </c>
    </row>
    <row r="5" spans="1:9" ht="15" customHeight="1" x14ac:dyDescent="0.35">
      <c r="A5" s="11"/>
      <c r="B5" s="13" t="s">
        <v>131</v>
      </c>
      <c r="C5" s="14"/>
      <c r="D5" s="13"/>
      <c r="E5" s="13"/>
      <c r="F5" s="15"/>
      <c r="G5" s="15" t="e">
        <f>H5/F5</f>
        <v>#DIV/0!</v>
      </c>
      <c r="H5" s="16"/>
    </row>
    <row r="6" spans="1:9" x14ac:dyDescent="0.35">
      <c r="A6" s="11"/>
      <c r="B6" s="13" t="s">
        <v>132</v>
      </c>
      <c r="C6" s="17"/>
      <c r="D6" s="13"/>
      <c r="E6" s="13"/>
      <c r="F6" s="15"/>
      <c r="G6" s="15" t="e">
        <f t="shared" ref="G6:G11" si="0">H6/F6</f>
        <v>#DIV/0!</v>
      </c>
      <c r="H6" s="16"/>
    </row>
    <row r="7" spans="1:9" ht="15" customHeight="1" x14ac:dyDescent="0.35">
      <c r="A7" s="11"/>
      <c r="B7" s="13" t="s">
        <v>133</v>
      </c>
      <c r="C7" s="14"/>
      <c r="D7" s="13"/>
      <c r="E7" s="13"/>
      <c r="F7" s="15"/>
      <c r="G7" s="15" t="e">
        <f t="shared" si="0"/>
        <v>#DIV/0!</v>
      </c>
      <c r="H7" s="16"/>
    </row>
    <row r="8" spans="1:9" x14ac:dyDescent="0.35">
      <c r="A8" s="11"/>
      <c r="B8" s="13" t="s">
        <v>133</v>
      </c>
      <c r="C8" s="17"/>
      <c r="D8" s="13"/>
      <c r="E8" s="13"/>
      <c r="F8" s="15"/>
      <c r="G8" s="15" t="e">
        <f t="shared" si="0"/>
        <v>#DIV/0!</v>
      </c>
      <c r="H8" s="16"/>
    </row>
    <row r="9" spans="1:9" ht="15" customHeight="1" x14ac:dyDescent="0.35">
      <c r="A9" s="11"/>
      <c r="B9" s="13" t="s">
        <v>133</v>
      </c>
      <c r="C9" s="17"/>
      <c r="D9" s="13"/>
      <c r="E9" s="13"/>
      <c r="F9" s="15"/>
      <c r="G9" s="15" t="e">
        <f t="shared" si="0"/>
        <v>#DIV/0!</v>
      </c>
      <c r="H9" s="16"/>
    </row>
    <row r="10" spans="1:9" ht="15" customHeight="1" x14ac:dyDescent="0.35">
      <c r="A10" s="11"/>
      <c r="B10" s="13" t="s">
        <v>134</v>
      </c>
      <c r="C10" s="14"/>
      <c r="D10" s="13"/>
      <c r="E10" s="13"/>
      <c r="F10" s="15"/>
      <c r="G10" s="15" t="e">
        <f t="shared" si="0"/>
        <v>#DIV/0!</v>
      </c>
      <c r="H10" s="16"/>
    </row>
    <row r="11" spans="1:9" ht="15" customHeight="1" x14ac:dyDescent="0.35">
      <c r="A11" s="11"/>
      <c r="B11" s="13" t="s">
        <v>134</v>
      </c>
      <c r="C11" s="14"/>
      <c r="D11" s="13"/>
      <c r="E11" s="13"/>
      <c r="F11" s="15"/>
      <c r="G11" s="15" t="e">
        <f t="shared" si="0"/>
        <v>#DIV/0!</v>
      </c>
      <c r="H11" s="16"/>
    </row>
    <row r="12" spans="1:9" ht="15" customHeight="1" x14ac:dyDescent="0.35">
      <c r="A12" s="11"/>
      <c r="B12" s="18" t="s">
        <v>135</v>
      </c>
      <c r="C12" s="13"/>
      <c r="D12" s="13"/>
      <c r="E12" s="13"/>
      <c r="F12" s="13"/>
      <c r="G12" s="19" t="e">
        <f>AVERAGE(G5:G11)</f>
        <v>#DIV/0!</v>
      </c>
      <c r="H12" s="13"/>
    </row>
    <row r="13" spans="1:9" ht="15" customHeight="1" x14ac:dyDescent="0.35">
      <c r="B13" s="18" t="s">
        <v>136</v>
      </c>
      <c r="C13" s="13"/>
      <c r="D13" s="13"/>
      <c r="E13" s="13"/>
      <c r="F13" s="20"/>
      <c r="G13" s="18">
        <v>32000</v>
      </c>
      <c r="H13" s="18"/>
      <c r="I13" s="21"/>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vt:lpstr>
      <vt:lpstr>Note</vt:lpstr>
      <vt:lpstr>Valuation</vt:lpstr>
      <vt:lpstr>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2025-09-08T11:05:50Z</cp:lastPrinted>
  <dcterms:created xsi:type="dcterms:W3CDTF">2013-11-23T05:32:33Z</dcterms:created>
  <dcterms:modified xsi:type="dcterms:W3CDTF">2025-09-08T11:07:07Z</dcterms:modified>
</cp:coreProperties>
</file>