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19529 - Ajmera Boulevard - P\"/>
    </mc:Choice>
  </mc:AlternateContent>
  <bookViews>
    <workbookView xWindow="0" yWindow="0" windowWidth="19200" windowHeight="6645" tabRatio="725"/>
  </bookViews>
  <sheets>
    <sheet name="Report" sheetId="1" r:id="rId1"/>
    <sheet name="valuation" sheetId="5" r:id="rId2"/>
    <sheet name="Research" sheetId="4" r:id="rId3"/>
    <sheet name="Remarks" sheetId="6" r:id="rId4"/>
  </sheets>
  <definedNames>
    <definedName name="_xlnm.Print_Area" localSheetId="0">Report!$A$1:$H$422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7" i="1" l="1"/>
  <c r="C96" i="1"/>
  <c r="C95" i="1"/>
  <c r="C83" i="1"/>
  <c r="C82" i="1"/>
  <c r="C81" i="1"/>
  <c r="C141" i="1" l="1"/>
  <c r="E141" i="1"/>
  <c r="G141" i="1"/>
  <c r="G140" i="1"/>
  <c r="E140" i="1"/>
  <c r="C140" i="1"/>
  <c r="G139" i="1"/>
  <c r="E139" i="1"/>
  <c r="C139" i="1"/>
  <c r="C138" i="1"/>
  <c r="C137" i="1"/>
  <c r="D230" i="1"/>
  <c r="F230" i="1" s="1"/>
  <c r="H230" i="1" s="1"/>
  <c r="D229" i="1"/>
  <c r="F229" i="1" s="1"/>
  <c r="H229" i="1" s="1"/>
  <c r="A229" i="1"/>
  <c r="A230" i="1" s="1"/>
  <c r="D228" i="1"/>
  <c r="F228" i="1" s="1"/>
  <c r="H228" i="1" s="1"/>
  <c r="J228" i="1" s="1"/>
  <c r="A228" i="1"/>
  <c r="D227" i="1"/>
  <c r="F227" i="1" s="1"/>
  <c r="H227" i="1" s="1"/>
  <c r="F208" i="1"/>
  <c r="H208" i="1" s="1"/>
  <c r="D208" i="1"/>
  <c r="D207" i="1"/>
  <c r="F207" i="1" s="1"/>
  <c r="H207" i="1" s="1"/>
  <c r="J207" i="1" s="1"/>
  <c r="A207" i="1"/>
  <c r="A208" i="1" s="1"/>
  <c r="D206" i="1"/>
  <c r="F206" i="1" s="1"/>
  <c r="H206" i="1" s="1"/>
  <c r="A206" i="1"/>
  <c r="I205" i="1"/>
  <c r="D205" i="1"/>
  <c r="F205" i="1" s="1"/>
  <c r="H205" i="1" s="1"/>
  <c r="L173" i="1" l="1"/>
  <c r="L172" i="1"/>
  <c r="K172" i="1"/>
  <c r="K171" i="1"/>
  <c r="J171" i="1"/>
  <c r="G137" i="1" l="1"/>
  <c r="G138" i="1"/>
  <c r="E138" i="1"/>
  <c r="E137" i="1"/>
  <c r="D220" i="1"/>
  <c r="D219" i="1"/>
  <c r="D218" i="1"/>
  <c r="D198" i="1"/>
  <c r="D197" i="1"/>
  <c r="F197" i="1" s="1"/>
  <c r="H197" i="1" s="1"/>
  <c r="D195" i="1"/>
  <c r="D191" i="1"/>
  <c r="F191" i="1" s="1"/>
  <c r="H191" i="1" s="1"/>
  <c r="D190" i="1"/>
  <c r="F190" i="1" s="1"/>
  <c r="H190" i="1" s="1"/>
  <c r="D189" i="1"/>
  <c r="D186" i="1"/>
  <c r="D185" i="1"/>
  <c r="D184" i="1"/>
  <c r="D183" i="1"/>
  <c r="F183" i="1" s="1"/>
  <c r="H183" i="1" s="1"/>
  <c r="D181" i="1"/>
  <c r="D180" i="1"/>
  <c r="F180" i="1" s="1"/>
  <c r="H180" i="1" s="1"/>
  <c r="D178" i="1"/>
  <c r="F178" i="1" s="1"/>
  <c r="H178" i="1" s="1"/>
  <c r="D173" i="1"/>
  <c r="D172" i="1"/>
  <c r="D170" i="1"/>
  <c r="D168" i="1"/>
  <c r="D167" i="1"/>
  <c r="D166" i="1"/>
  <c r="D165" i="1"/>
  <c r="F165" i="1" s="1"/>
  <c r="H165" i="1" s="1"/>
  <c r="D163" i="1"/>
  <c r="F163" i="1" s="1"/>
  <c r="H163" i="1" s="1"/>
  <c r="D162" i="1"/>
  <c r="D161" i="1"/>
  <c r="F189" i="1"/>
  <c r="H189" i="1"/>
  <c r="A190" i="1"/>
  <c r="A191" i="1" s="1"/>
  <c r="A189" i="1"/>
  <c r="F173" i="1"/>
  <c r="H173" i="1" s="1"/>
  <c r="F172" i="1"/>
  <c r="H172" i="1" s="1"/>
  <c r="A172" i="1"/>
  <c r="A173" i="1" s="1"/>
  <c r="A171" i="1"/>
  <c r="F170" i="1"/>
  <c r="H170" i="1" s="1"/>
  <c r="D235" i="1"/>
  <c r="F235" i="1" s="1"/>
  <c r="H235" i="1" s="1"/>
  <c r="D234" i="1"/>
  <c r="F234" i="1" s="1"/>
  <c r="H234" i="1" s="1"/>
  <c r="A233" i="1"/>
  <c r="A234" i="1" s="1"/>
  <c r="A235" i="1" s="1"/>
  <c r="D232" i="1"/>
  <c r="F232" i="1" s="1"/>
  <c r="H232" i="1" s="1"/>
  <c r="D213" i="1"/>
  <c r="F213" i="1" s="1"/>
  <c r="H213" i="1" s="1"/>
  <c r="D212" i="1"/>
  <c r="F212" i="1" s="1"/>
  <c r="H212" i="1" s="1"/>
  <c r="D211" i="1"/>
  <c r="F211" i="1" s="1"/>
  <c r="H211" i="1" s="1"/>
  <c r="A211" i="1"/>
  <c r="A212" i="1" s="1"/>
  <c r="A213" i="1" s="1"/>
  <c r="F185" i="1"/>
  <c r="H185" i="1" s="1"/>
  <c r="F184" i="1"/>
  <c r="H184" i="1" s="1"/>
  <c r="F186" i="1"/>
  <c r="H186" i="1" s="1"/>
  <c r="A184" i="1"/>
  <c r="A185" i="1" s="1"/>
  <c r="A186" i="1" s="1"/>
  <c r="F168" i="1"/>
  <c r="H168" i="1" s="1"/>
  <c r="F167" i="1"/>
  <c r="H167" i="1" s="1"/>
  <c r="F166" i="1"/>
  <c r="H166" i="1" s="1"/>
  <c r="A166" i="1"/>
  <c r="A167" i="1" s="1"/>
  <c r="A168" i="1" s="1"/>
  <c r="I220" i="1"/>
  <c r="F220" i="1"/>
  <c r="H220" i="1" s="1"/>
  <c r="F219" i="1"/>
  <c r="H219" i="1" s="1"/>
  <c r="F218" i="1"/>
  <c r="H218" i="1" s="1"/>
  <c r="A218" i="1"/>
  <c r="A219" i="1" s="1"/>
  <c r="A220" i="1" s="1"/>
  <c r="F198" i="1"/>
  <c r="H198" i="1" s="1"/>
  <c r="A196" i="1"/>
  <c r="A197" i="1" s="1"/>
  <c r="A198" i="1" s="1"/>
  <c r="F195" i="1"/>
  <c r="H195" i="1" s="1"/>
  <c r="F181" i="1"/>
  <c r="H181" i="1" s="1"/>
  <c r="I163" i="1"/>
  <c r="F162" i="1"/>
  <c r="H162" i="1" s="1"/>
  <c r="F161" i="1"/>
  <c r="H161" i="1" s="1"/>
  <c r="A179" i="1"/>
  <c r="A180" i="1" s="1"/>
  <c r="A181" i="1" s="1"/>
  <c r="A161" i="1"/>
  <c r="A162" i="1" s="1"/>
  <c r="A163" i="1" s="1"/>
  <c r="I68" i="1"/>
  <c r="B89" i="1"/>
  <c r="B75" i="1"/>
  <c r="H75" i="1"/>
  <c r="H89" i="1"/>
  <c r="J93" i="1" l="1"/>
  <c r="C92" i="1" s="1"/>
  <c r="D92" i="1" s="1"/>
  <c r="J91" i="1"/>
  <c r="J88" i="1"/>
  <c r="J90" i="1" s="1"/>
  <c r="D97" i="1"/>
  <c r="D100" i="1"/>
  <c r="D96" i="1"/>
  <c r="J92" i="1"/>
  <c r="D99" i="1"/>
  <c r="D95" i="1"/>
  <c r="D101" i="1"/>
  <c r="D98" i="1"/>
  <c r="D94" i="1"/>
  <c r="J97" i="1"/>
  <c r="J94" i="1"/>
  <c r="J95" i="1" s="1"/>
  <c r="J100" i="1" s="1"/>
  <c r="J101" i="1" s="1"/>
  <c r="C93" i="1" s="1"/>
  <c r="J98" i="1"/>
  <c r="J99" i="1"/>
  <c r="J96" i="1"/>
  <c r="D82" i="1"/>
  <c r="D85" i="1"/>
  <c r="D81" i="1"/>
  <c r="D84" i="1"/>
  <c r="D87" i="1"/>
  <c r="D83" i="1"/>
  <c r="J79" i="1"/>
  <c r="C78" i="1" s="1"/>
  <c r="D78" i="1" s="1"/>
  <c r="J77" i="1"/>
  <c r="J74" i="1"/>
  <c r="J76" i="1" s="1"/>
  <c r="D86" i="1"/>
  <c r="J78" i="1"/>
  <c r="D80" i="1"/>
  <c r="J83" i="1"/>
  <c r="J84" i="1"/>
  <c r="J85" i="1"/>
  <c r="J82" i="1"/>
  <c r="J80" i="1"/>
  <c r="J81" i="1" s="1"/>
  <c r="J86" i="1" s="1"/>
  <c r="J87" i="1" s="1"/>
  <c r="C79" i="1" s="1"/>
  <c r="E92" i="1" l="1"/>
  <c r="D93" i="1"/>
  <c r="I89" i="1" s="1"/>
  <c r="I90" i="1" s="1"/>
  <c r="G92" i="1"/>
  <c r="J89" i="1"/>
  <c r="E78" i="1"/>
  <c r="D79" i="1"/>
  <c r="I75" i="1" s="1"/>
  <c r="I76" i="1" s="1"/>
  <c r="G78" i="1"/>
  <c r="D72" i="1" s="1"/>
  <c r="J75" i="1"/>
  <c r="K118" i="1"/>
  <c r="D225" i="1"/>
  <c r="F225" i="1" s="1"/>
  <c r="H225" i="1" s="1"/>
  <c r="D224" i="1"/>
  <c r="F224" i="1" s="1"/>
  <c r="H224" i="1" s="1"/>
  <c r="D223" i="1"/>
  <c r="F223" i="1" s="1"/>
  <c r="H223" i="1" s="1"/>
  <c r="J223" i="1" s="1"/>
  <c r="D222" i="1"/>
  <c r="F222" i="1" s="1"/>
  <c r="H222" i="1" s="1"/>
  <c r="D203" i="1"/>
  <c r="F203" i="1" s="1"/>
  <c r="H203" i="1" s="1"/>
  <c r="D202" i="1"/>
  <c r="F202" i="1" s="1"/>
  <c r="D201" i="1"/>
  <c r="F201" i="1" s="1"/>
  <c r="H201" i="1" s="1"/>
  <c r="D200" i="1"/>
  <c r="F200" i="1" s="1"/>
  <c r="H200" i="1" s="1"/>
  <c r="C110" i="1"/>
  <c r="A223" i="1"/>
  <c r="A224" i="1" s="1"/>
  <c r="A225" i="1" s="1"/>
  <c r="I200" i="1"/>
  <c r="A201" i="1"/>
  <c r="A202" i="1" s="1"/>
  <c r="A203" i="1" s="1"/>
  <c r="I88" i="1" l="1"/>
  <c r="C90" i="1" s="1"/>
  <c r="I74" i="1"/>
  <c r="C76" i="1" s="1"/>
  <c r="H202" i="1"/>
  <c r="J202" i="1" s="1"/>
  <c r="J118" i="1" s="1"/>
  <c r="I118" i="1" s="1"/>
  <c r="B267" i="1"/>
  <c r="F149" i="1" l="1"/>
  <c r="H149" i="1" s="1"/>
  <c r="F150" i="1"/>
  <c r="H150" i="1" s="1"/>
  <c r="F151" i="1"/>
  <c r="H151" i="1" s="1"/>
  <c r="F148" i="1"/>
  <c r="H148" i="1" s="1"/>
  <c r="S33" i="1" l="1"/>
  <c r="F11" i="5" l="1"/>
  <c r="G11" i="5" s="1"/>
  <c r="F10" i="5"/>
  <c r="G10" i="5" s="1"/>
  <c r="F9" i="5"/>
  <c r="G9" i="5" s="1"/>
  <c r="F8" i="5"/>
  <c r="G8" i="5" s="1"/>
  <c r="G7" i="5"/>
  <c r="F7" i="5"/>
  <c r="F6" i="5"/>
  <c r="G6" i="5" s="1"/>
  <c r="F5" i="5"/>
  <c r="G5" i="5" s="1"/>
  <c r="G12" i="5" s="1"/>
  <c r="D294" i="1"/>
  <c r="B268" i="1"/>
  <c r="F264" i="1"/>
  <c r="H264" i="1" s="1"/>
  <c r="F263" i="1"/>
  <c r="H263" i="1" s="1"/>
  <c r="F262" i="1"/>
  <c r="H262" i="1" s="1"/>
  <c r="F261" i="1"/>
  <c r="H261" i="1" s="1"/>
  <c r="F260" i="1"/>
  <c r="H260" i="1" s="1"/>
  <c r="F258" i="1"/>
  <c r="H258" i="1" s="1"/>
  <c r="F257" i="1"/>
  <c r="H257" i="1" s="1"/>
  <c r="F256" i="1"/>
  <c r="H256" i="1" s="1"/>
  <c r="F255" i="1"/>
  <c r="H255" i="1" s="1"/>
  <c r="F254" i="1"/>
  <c r="H254" i="1" s="1"/>
  <c r="F252" i="1"/>
  <c r="H252" i="1" s="1"/>
  <c r="F251" i="1"/>
  <c r="H251" i="1" s="1"/>
  <c r="F250" i="1"/>
  <c r="H250" i="1" s="1"/>
  <c r="F249" i="1"/>
  <c r="H249" i="1" s="1"/>
  <c r="F248" i="1"/>
  <c r="H248" i="1" s="1"/>
  <c r="F246" i="1"/>
  <c r="H246" i="1" s="1"/>
  <c r="F245" i="1"/>
  <c r="H245" i="1" s="1"/>
  <c r="F244" i="1"/>
  <c r="H244" i="1" s="1"/>
  <c r="F243" i="1"/>
  <c r="H243" i="1" s="1"/>
  <c r="F242" i="1"/>
  <c r="H242" i="1" s="1"/>
  <c r="A242" i="1"/>
  <c r="A243" i="1" s="1"/>
  <c r="A244" i="1" s="1"/>
  <c r="A245" i="1" s="1"/>
  <c r="A246" i="1" s="1"/>
  <c r="F240" i="1"/>
  <c r="H240" i="1" s="1"/>
  <c r="F239" i="1"/>
  <c r="H239" i="1" s="1"/>
  <c r="F238" i="1"/>
  <c r="H238" i="1" s="1"/>
  <c r="A238" i="1"/>
  <c r="A239" i="1" s="1"/>
  <c r="A240" i="1" s="1"/>
  <c r="F237" i="1"/>
  <c r="H237" i="1" s="1"/>
  <c r="A149" i="1"/>
  <c r="A150" i="1" s="1"/>
  <c r="A151" i="1" s="1"/>
  <c r="G142" i="1"/>
  <c r="E142" i="1"/>
  <c r="C142" i="1"/>
  <c r="F129" i="1"/>
  <c r="G51" i="1"/>
  <c r="C51" i="1"/>
  <c r="E44" i="1"/>
  <c r="E45" i="1" s="1"/>
  <c r="E31" i="1"/>
  <c r="E28" i="1"/>
  <c r="E26" i="1"/>
  <c r="C16" i="1"/>
  <c r="I15" i="1"/>
  <c r="Z13" i="1"/>
  <c r="E8" i="1"/>
  <c r="E3" i="1"/>
  <c r="A254" i="1"/>
  <c r="H103" i="1"/>
  <c r="A260" i="1"/>
  <c r="A248" i="1"/>
  <c r="J102" i="1" l="1"/>
  <c r="J104" i="1" s="1"/>
  <c r="J106" i="1"/>
  <c r="J107" i="1"/>
  <c r="J108" i="1"/>
  <c r="C107" i="1" s="1"/>
  <c r="D111" i="1"/>
  <c r="D113" i="1"/>
  <c r="D112" i="1"/>
  <c r="D116" i="1"/>
  <c r="D110" i="1"/>
  <c r="D115" i="1"/>
  <c r="D109" i="1"/>
  <c r="D114" i="1"/>
  <c r="B103" i="1"/>
  <c r="J109" i="1" s="1"/>
  <c r="A261" i="1"/>
  <c r="A255" i="1"/>
  <c r="A249" i="1"/>
  <c r="D107" i="1" l="1"/>
  <c r="J113" i="1"/>
  <c r="J111" i="1"/>
  <c r="J112" i="1"/>
  <c r="J110" i="1"/>
  <c r="J115" i="1" s="1"/>
  <c r="J116" i="1" s="1"/>
  <c r="C108" i="1" s="1"/>
  <c r="J114" i="1"/>
  <c r="A262" i="1"/>
  <c r="A256" i="1"/>
  <c r="A250" i="1"/>
  <c r="J103" i="1" l="1"/>
  <c r="E107" i="1"/>
  <c r="C105" i="1" s="1"/>
  <c r="D108" i="1"/>
  <c r="I103" i="1" s="1"/>
  <c r="G107" i="1"/>
  <c r="G105" i="1" s="1"/>
  <c r="A263" i="1"/>
  <c r="A257" i="1"/>
  <c r="A251" i="1"/>
  <c r="F73" i="1" l="1"/>
  <c r="D73" i="1"/>
  <c r="I104" i="1"/>
  <c r="A258" i="1"/>
  <c r="A252" i="1"/>
  <c r="A264" i="1"/>
  <c r="I102" i="1" l="1"/>
  <c r="C10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<sst xmlns="http://schemas.openxmlformats.org/spreadsheetml/2006/main" count="708" uniqueCount="378">
  <si>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</si>
  <si>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</si>
  <si>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</si>
  <si>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</si>
  <si>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</si>
  <si>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</si>
  <si>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</si>
  <si>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</si>
  <si>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</si>
  <si>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</si>
  <si>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</si>
  <si>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</si>
  <si>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</si>
  <si>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</si>
  <si>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</si>
  <si>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</si>
  <si>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</si>
  <si>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</si>
  <si>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</si>
  <si>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</si>
  <si>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</si>
  <si>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</si>
  <si>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</si>
  <si>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</si>
  <si>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</si>
  <si>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</si>
  <si>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</si>
  <si>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</si>
  <si>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</si>
  <si>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</si>
  <si>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</si>
  <si>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</si>
  <si>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</si>
  <si>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</si>
  <si>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</si>
  <si>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</si>
  <si>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</si>
  <si>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</si>
  <si>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</si>
  <si>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</si>
  <si>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</si>
  <si>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</si>
  <si>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</si>
  <si>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</si>
  <si>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</si>
  <si>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</si>
  <si>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</si>
  <si>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</si>
  <si>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</si>
  <si>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</si>
  <si>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</si>
  <si>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</si>
  <si>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</si>
  <si>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</si>
  <si>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</si>
  <si>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</si>
  <si>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</si>
  <si>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</si>
  <si>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</si>
  <si>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</si>
  <si>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</si>
  <si>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</si>
  <si>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</si>
  <si>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</si>
  <si>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</si>
  <si>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</si>
  <si>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</si>
  <si>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</si>
  <si>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</si>
  <si>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</si>
  <si>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</si>
  <si>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</si>
  <si>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</si>
  <si>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</si>
  <si>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</si>
  <si>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</si>
  <si>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</si>
  <si>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</si>
  <si>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</si>
  <si>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</si>
  <si>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</si>
  <si>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</si>
  <si>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</si>
  <si>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</si>
  <si>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</si>
  <si>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</si>
  <si>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</si>
  <si>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</si>
  <si>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</si>
  <si>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</si>
  <si>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</si>
  <si>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</si>
  <si>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</si>
  <si>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</si>
  <si>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</si>
  <si>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</si>
  <si>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</si>
  <si>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</si>
  <si>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</si>
  <si>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</si>
  <si>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</si>
  <si>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</si>
  <si>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</si>
  <si>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</si>
  <si>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</si>
  <si>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</si>
  <si>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</si>
  <si>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</si>
  <si>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</si>
  <si>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</si>
  <si>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</si>
  <si>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</si>
  <si>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</si>
  <si>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</si>
  <si>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</si>
  <si>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</si>
  <si>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</si>
  <si>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</si>
  <si>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</si>
  <si>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</si>
  <si>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</si>
  <si>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</si>
  <si>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</si>
  <si>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</si>
  <si>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</si>
  <si>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</si>
  <si>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</si>
  <si>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</si>
  <si>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</si>
  <si>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</si>
  <si>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</si>
  <si>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</si>
  <si>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</si>
  <si>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</si>
  <si>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</si>
  <si>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</si>
  <si>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</si>
  <si>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</si>
  <si>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</si>
  <si>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</si>
  <si>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</si>
  <si>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</si>
  <si>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</si>
  <si>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</si>
  <si>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</si>
  <si>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</si>
  <si>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</si>
  <si>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</si>
  <si>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</si>
  <si>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</si>
  <si>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</si>
  <si>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</si>
  <si>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</si>
  <si>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</si>
  <si>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</si>
  <si>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</si>
  <si>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</si>
  <si>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</si>
  <si>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</si>
  <si>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</si>
  <si>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</si>
  <si>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</si>
  <si>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</si>
  <si>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</si>
  <si>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</si>
  <si>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</si>
  <si>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</si>
  <si>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</si>
  <si>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</si>
  <si>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</si>
  <si>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</si>
  <si>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</si>
  <si>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</si>
  <si>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</si>
  <si>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</si>
  <si>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</si>
  <si>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</si>
  <si>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</si>
  <si>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</si>
  <si>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</si>
  <si>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</si>
  <si>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</si>
  <si>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</si>
  <si>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</si>
  <si>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</si>
  <si>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</si>
  <si>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</si>
  <si>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</si>
  <si>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</si>
  <si>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</si>
  <si>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</si>
  <si>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</si>
  <si>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</si>
  <si>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</si>
  <si>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</si>
  <si>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</si>
  <si>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</si>
  <si>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</si>
  <si>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</si>
  <si>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</si>
  <si>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</si>
  <si>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</si>
  <si>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</si>
  <si>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</si>
  <si>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</si>
  <si>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</si>
  <si>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</si>
  <si>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</si>
  <si>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</si>
  <si>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</si>
  <si>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</si>
  <si>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</si>
  <si>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</si>
  <si>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</si>
  <si>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</si>
  <si>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</si>
  <si>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</si>
  <si>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</si>
  <si>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</si>
  <si>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</si>
  <si>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</si>
  <si>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</si>
  <si>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</si>
  <si>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</si>
  <si>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</si>
  <si>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</si>
  <si>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</si>
  <si>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</si>
  <si>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</si>
  <si>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</si>
  <si>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</si>
  <si>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</si>
  <si>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</si>
  <si>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</si>
  <si>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</si>
  <si>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</si>
  <si>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</si>
  <si>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</si>
  <si>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</si>
  <si>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</si>
  <si>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</si>
  <si>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</si>
  <si>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</si>
  <si>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</si>
  <si>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</si>
  <si>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</si>
  <si>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</si>
  <si>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</si>
  <si>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</si>
  <si>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</si>
  <si>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</si>
  <si>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</si>
  <si>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</si>
  <si>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</si>
  <si>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</si>
  <si>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</si>
  <si>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</si>
  <si>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</si>
  <si>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</si>
  <si>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</si>
  <si>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</si>
  <si>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</si>
  <si>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</si>
  <si>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</si>
  <si>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</si>
  <si>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</si>
  <si>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</si>
  <si>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</si>
  <si>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</si>
  <si>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</si>
  <si>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</si>
  <si>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</si>
  <si>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</si>
  <si>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</si>
  <si>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</si>
  <si>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</si>
  <si>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</si>
  <si>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</si>
  <si>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</si>
  <si>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</si>
  <si>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</si>
  <si>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</si>
  <si>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</si>
  <si>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</si>
  <si>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</si>
  <si>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</si>
  <si>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</si>
  <si>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</si>
  <si>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</si>
  <si>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</si>
  <si>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</si>
  <si>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</si>
  <si>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</si>
  <si>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</si>
  <si>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</si>
  <si>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</si>
  <si>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</si>
  <si>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</si>
  <si>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</si>
  <si>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</si>
  <si>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</si>
  <si>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</si>
  <si>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</si>
  <si>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the project is redevelopement project but rehab statement or rehab flats is not mentioned in approved layout plan &amp; floor plan.</t>
  </si>
  <si>
    <t>Ajmera Boulevard Private Limited</t>
  </si>
  <si>
    <t>Ajmera Boulevard</t>
  </si>
  <si>
    <t>P51800054569</t>
  </si>
  <si>
    <t>https://maps.app.goo.gl/k1FPnxYN7npW3KmY9</t>
  </si>
  <si>
    <t>19.1911749,72.8378351</t>
  </si>
  <si>
    <t>334-A/1 to 3, 360, 361/A &amp; B, 362/A &amp; B, 577, Plot (Sector II)</t>
  </si>
  <si>
    <t>Valnai</t>
  </si>
  <si>
    <t>Malad (West)</t>
  </si>
  <si>
    <t>Kanchpada</t>
  </si>
  <si>
    <t>Internal Road</t>
  </si>
  <si>
    <t>2.1 KM from Malad Railway Station</t>
  </si>
  <si>
    <t>Shree Vallabh Tower</t>
  </si>
  <si>
    <t>Existing Structure</t>
  </si>
  <si>
    <t>Existing Building</t>
  </si>
  <si>
    <t>CTS No.579</t>
  </si>
  <si>
    <t>13.40 M.Wide Existing BMC Road</t>
  </si>
  <si>
    <t>CTS No.576</t>
  </si>
  <si>
    <t>CTS No.334-D</t>
  </si>
  <si>
    <t>As per RERA - 31/12/2026</t>
  </si>
  <si>
    <t>Wing C</t>
  </si>
  <si>
    <t>Building No.2</t>
  </si>
  <si>
    <t>Wing D</t>
  </si>
  <si>
    <t>1BHK</t>
  </si>
  <si>
    <t>2BHK</t>
  </si>
  <si>
    <t>8th &amp; 15th Floor (Part Refuge Area)</t>
  </si>
  <si>
    <t>Refuge Area</t>
  </si>
  <si>
    <t>Building No.2 (Wing C &amp; D) = Gr/Stilt + 1st to 22nd Floor</t>
  </si>
  <si>
    <r>
      <t xml:space="preserve">Shop No.
</t>
    </r>
    <r>
      <rPr>
        <b/>
        <sz val="11"/>
        <rFont val="Times New Roman"/>
        <family val="1"/>
      </rPr>
      <t>(Approved Plan)</t>
    </r>
  </si>
  <si>
    <r>
      <t xml:space="preserve">Flat No.
</t>
    </r>
    <r>
      <rPr>
        <b/>
        <sz val="11"/>
        <rFont val="Times New Roman"/>
        <family val="1"/>
      </rPr>
      <t>(Approved Plan)</t>
    </r>
  </si>
  <si>
    <t>We considered Gross carpet area = Net carpet.</t>
  </si>
  <si>
    <t>Online</t>
  </si>
  <si>
    <t>Visitor</t>
  </si>
  <si>
    <t>MIS</t>
  </si>
  <si>
    <t>Fire Fighting System, Lift, Car Parking, 24*7 Water supply</t>
  </si>
  <si>
    <r>
      <t xml:space="preserve">Proposed Amenities :                                                                                                                                                                                                                         </t>
    </r>
    <r>
      <rPr>
        <b/>
        <sz val="12"/>
        <rFont val="Times New Roman"/>
        <family val="1"/>
      </rPr>
      <t xml:space="preserve">                                               </t>
    </r>
  </si>
  <si>
    <t>As per layout approved floor plans, project consists of 4 wings i.e. Building No.2 (Wing A to D), but only Wing C &amp; D are registered on Rera. So we have done APF for only Wing C &amp; D.</t>
  </si>
  <si>
    <t>We have updated revised approved CC from MCGM site on 25/11/2024.</t>
  </si>
  <si>
    <t>Kainaaz Patel 9137528773</t>
  </si>
  <si>
    <t>CHE/8526/BP(WS)/AP/OCC/1/NEW
Approved upto : Building no. 02 having Wing “C” &amp; “D” comprising of Ground floor (part) + Stilt (part) for Pit Stack parking &amp; Triple Stack Parking + 1st to 22nd upper Residential floors along with basement below the Wing ‘A’ &amp; 'B'.</t>
  </si>
  <si>
    <t>We have updated OC (On 02/04/2025).</t>
  </si>
  <si>
    <t>Pooja Kawale</t>
  </si>
  <si>
    <t>Roshan</t>
  </si>
  <si>
    <t>Recommended Rates &amp; Other charges of the Property have been revised on 23/10/2023 &amp; 30/06/2025.</t>
  </si>
  <si>
    <t>Building N0.2 (Wing A to D)</t>
  </si>
  <si>
    <t>04 Wings</t>
  </si>
  <si>
    <t>CHE/8526/BP(WS)/AP/FCC/6/Amend</t>
  </si>
  <si>
    <r>
      <t xml:space="preserve">This C.C. is re-endorsed and granted for the entire work of proposed building comprising of </t>
    </r>
    <r>
      <rPr>
        <b/>
        <sz val="12"/>
        <rFont val="Times New Roman"/>
        <family val="1"/>
      </rPr>
      <t>Wing “A”</t>
    </r>
    <r>
      <rPr>
        <sz val="12"/>
        <rFont val="Times New Roman"/>
        <family val="1"/>
      </rPr>
      <t xml:space="preserve"> comprising of Basement (part) for Services +Ground (part) + Stilt (part) + 1st to 22nd upper Residential floors + OHT+LMR having total building height 69.65 mt., </t>
    </r>
    <r>
      <rPr>
        <b/>
        <sz val="12"/>
        <rFont val="Times New Roman"/>
        <family val="1"/>
      </rPr>
      <t>Wing “B”</t>
    </r>
    <r>
      <rPr>
        <sz val="12"/>
        <rFont val="Times New Roman"/>
        <family val="1"/>
      </rPr>
      <t xml:space="preserve"> comprising of Basement (part) for Services + Ground floor (part) + Stilt (part) + 1st to 22nd upper Residential floors + OHT+LMR having total building height 69.65 mt. and </t>
    </r>
    <r>
      <rPr>
        <b/>
        <sz val="12"/>
        <rFont val="Times New Roman"/>
        <family val="1"/>
      </rPr>
      <t>Wing “C”</t>
    </r>
    <r>
      <rPr>
        <sz val="12"/>
        <rFont val="Times New Roman"/>
        <family val="1"/>
      </rPr>
      <t xml:space="preserve"> </t>
    </r>
    <r>
      <rPr>
        <b/>
        <sz val="12"/>
        <rFont val="Times New Roman"/>
        <family val="1"/>
      </rPr>
      <t>&amp;</t>
    </r>
    <r>
      <rPr>
        <sz val="12"/>
        <rFont val="Times New Roman"/>
        <family val="1"/>
      </rPr>
      <t xml:space="preserve"> </t>
    </r>
    <r>
      <rPr>
        <b/>
        <sz val="12"/>
        <rFont val="Times New Roman"/>
        <family val="1"/>
      </rPr>
      <t xml:space="preserve">“D” </t>
    </r>
    <r>
      <rPr>
        <sz val="12"/>
        <rFont val="Times New Roman"/>
        <family val="1"/>
      </rPr>
      <t>comprising of Ground floor (part) + Stilt (part) + 1st to 22nd upper Residential floors + OHT+LMR having total building height 69.65 mt. and 2 Nos. of parking Tower of the same height are proposed between Wing “B” &amp; “C” as per approved amended plan dtd. 13.06.2025.</t>
    </r>
  </si>
  <si>
    <t>Building No.2 (Wing A to D) = Gr/Stilt + 1st to 22nd Floor</t>
  </si>
  <si>
    <t>CHE/8526/BP(WS)/AP-CFO/1/New</t>
  </si>
  <si>
    <t>Building No.2 (Wing A to D) = Gr/Stilt + 1st to 22nd Floor
Total Height = 69.65 Mtrs.</t>
  </si>
  <si>
    <t>60 Years after Completion</t>
  </si>
  <si>
    <t>Wing A</t>
  </si>
  <si>
    <t>Wing B</t>
  </si>
  <si>
    <t>Ground Floor for Meter Room &amp; Parking</t>
  </si>
  <si>
    <t>1st Floor for Society Office &amp; Residential</t>
  </si>
  <si>
    <t>Society Office</t>
  </si>
  <si>
    <t>2nd to 7th, 9th to 14th &amp; 16th to 22nd Floor</t>
  </si>
  <si>
    <t>Basement Floor for Tank, Pump Room &amp; Parking</t>
  </si>
  <si>
    <t>Basement Floor for Tank &amp; Car Lift</t>
  </si>
  <si>
    <t>Building No.2 (Wing A &amp; B) = 1B + Gr/Stilt + 1st to 22nd Floor
Building No.2 (Wing C &amp; D) = Gr/Stilt + 1st to 22nd Floor</t>
  </si>
  <si>
    <t>Building No.2 (Wing A) = 1B + Gr/Stilt + 1st to 22nd Floor</t>
  </si>
  <si>
    <t>Building No.2 (Wing B) = 1B + Gr/Stilt + 1st to 22nd Floor</t>
  </si>
  <si>
    <t>Approved area of building (Sq.Mt)
(Building No.2 = Wing A to D)</t>
  </si>
  <si>
    <t>Flats - 340</t>
  </si>
  <si>
    <t>Rate 20250, Park 10L, Club charges 4L by Smith for C1904 case from cost sheet on 30/06/2025</t>
  </si>
  <si>
    <t>We have updated latest CC &amp; approved floor plans from MCGM site (On 02/09/2025).</t>
  </si>
  <si>
    <t xml:space="preserve">CHE/8526/BP(WS)/AP/337/8/Amend
</t>
  </si>
  <si>
    <t>2nd to 6th, 9th to 14th &amp; 16th to 22nd Floor</t>
  </si>
  <si>
    <t>7th Floor</t>
  </si>
  <si>
    <t xml:space="preserve">Approved Floor plan No.
Wing A &amp; B  </t>
  </si>
  <si>
    <t xml:space="preserve">Approved Floor plan No.
Wing C &amp; D  </t>
  </si>
  <si>
    <t>CHE/8526/BP(WS)/AP/OCC/1/New</t>
  </si>
  <si>
    <t>Aliaya Shaikh 8108285884</t>
  </si>
  <si>
    <t>Wing A &amp; B = Construction work is in process at the time of visit.
Wing C &amp; D = All work Completed. OC received.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</si>
</sst>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7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0" applyNumberFormat="1" applyFont="1" applyBorder="1" applyAlignment="1" applyProtection="1">
      <alignment horizontal="center" vertical="center" wrapText="1"/>
      <protection locked="0"/>
    </xf>
    <xf numFmtId="0" fontId="22" fillId="2" borderId="28" xfId="0" applyFont="1" applyFill="1" applyBorder="1"/>
    <xf numFmtId="0" fontId="23" fillId="0" borderId="29" xfId="0" applyFont="1" applyBorder="1"/>
    <xf numFmtId="0" fontId="23" fillId="0" borderId="1" xfId="0" applyFont="1" applyBorder="1"/>
    <xf numFmtId="0" fontId="23" fillId="0" borderId="4"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3"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0" fillId="0" borderId="1" xfId="1" applyFont="1" applyBorder="1" applyAlignment="1" applyProtection="1">
      <alignment vertical="top"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0" fontId="13" fillId="0" borderId="0" xfId="1" applyFont="1" applyAlignment="1">
      <alignment horizontal="center" vertical="center"/>
    </xf>
    <xf numFmtId="0" fontId="30"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0" fillId="0" borderId="1"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0" xfId="1" applyFont="1" applyAlignment="1">
      <alignment horizontal="left"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0" fontId="6" fillId="0" borderId="23" xfId="1" applyFont="1" applyBorder="1" applyAlignment="1">
      <alignment vertical="center"/>
    </xf>
    <xf numFmtId="0" fontId="6" fillId="0" borderId="0" xfId="1" applyFont="1" applyAlignment="1">
      <alignment vertical="center"/>
    </xf>
    <xf numFmtId="0" fontId="10" fillId="4" borderId="1" xfId="1" applyFont="1" applyFill="1" applyBorder="1" applyAlignment="1" applyProtection="1">
      <alignment vertical="top" wrapText="1"/>
      <protection locked="0"/>
    </xf>
    <xf numFmtId="0" fontId="7" fillId="5" borderId="1" xfId="1" applyFont="1" applyFill="1" applyBorder="1" applyAlignment="1" applyProtection="1">
      <alignment vertical="top"/>
      <protection locked="0"/>
    </xf>
    <xf numFmtId="0" fontId="10" fillId="5" borderId="1" xfId="1" applyFont="1" applyFill="1" applyBorder="1" applyAlignment="1" applyProtection="1">
      <alignment vertical="top" wrapText="1"/>
      <protection locked="0"/>
    </xf>
    <xf numFmtId="0" fontId="10" fillId="5" borderId="7" xfId="1" applyFont="1" applyFill="1" applyBorder="1" applyAlignment="1" applyProtection="1">
      <alignment horizontal="left" vertical="top" wrapText="1"/>
      <protection locked="0"/>
    </xf>
    <xf numFmtId="0" fontId="10" fillId="5" borderId="8" xfId="1" applyFont="1" applyFill="1" applyBorder="1" applyAlignment="1" applyProtection="1">
      <alignment horizontal="left" vertical="top" wrapText="1"/>
      <protection locked="0"/>
    </xf>
    <xf numFmtId="0" fontId="10" fillId="5" borderId="20" xfId="1" applyFont="1" applyFill="1" applyBorder="1" applyAlignment="1" applyProtection="1">
      <alignment horizontal="left" vertical="top" wrapText="1"/>
      <protection locked="0"/>
    </xf>
    <xf numFmtId="14" fontId="10" fillId="5" borderId="7" xfId="1" applyNumberFormat="1" applyFont="1" applyFill="1" applyBorder="1" applyAlignment="1" applyProtection="1">
      <alignment horizontal="left" vertical="top" wrapText="1"/>
      <protection locked="0"/>
    </xf>
    <xf numFmtId="14" fontId="10" fillId="5" borderId="8" xfId="1" applyNumberFormat="1" applyFont="1" applyFill="1" applyBorder="1" applyAlignment="1" applyProtection="1">
      <alignment horizontal="left"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0" fontId="10"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167" fontId="10" fillId="0" borderId="1" xfId="9" applyNumberFormat="1" applyFont="1" applyFill="1" applyBorder="1" applyAlignment="1" applyProtection="1">
      <alignment horizontal="left" vertical="top"/>
      <protection locked="0"/>
    </xf>
    <xf numFmtId="1" fontId="29" fillId="0" borderId="1" xfId="1" applyNumberFormat="1" applyFont="1" applyBorder="1" applyAlignment="1" applyProtection="1">
      <alignment horizontal="center" vertical="top" wrapText="1"/>
      <protection locked="0"/>
    </xf>
    <xf numFmtId="1" fontId="11" fillId="3" borderId="1" xfId="1" applyNumberFormat="1" applyFont="1" applyFill="1" applyBorder="1" applyAlignment="1" applyProtection="1">
      <alignment horizontal="center" vertical="center" wrapText="1"/>
      <protection locked="0"/>
    </xf>
    <xf numFmtId="1" fontId="11" fillId="5" borderId="1" xfId="1" applyNumberFormat="1" applyFont="1" applyFill="1" applyBorder="1" applyAlignment="1" applyProtection="1">
      <alignment horizontal="center" vertical="center" wrapText="1"/>
      <protection locked="0"/>
    </xf>
    <xf numFmtId="1" fontId="7" fillId="5" borderId="7" xfId="1" applyNumberFormat="1" applyFont="1" applyFill="1" applyBorder="1" applyAlignment="1" applyProtection="1">
      <alignment horizontal="center" vertical="center" wrapText="1"/>
      <protection locked="0"/>
    </xf>
    <xf numFmtId="1" fontId="7" fillId="5" borderId="20" xfId="1" applyNumberFormat="1" applyFont="1" applyFill="1" applyBorder="1" applyAlignment="1" applyProtection="1">
      <alignment horizontal="center" vertical="center" wrapText="1"/>
      <protection locked="0"/>
    </xf>
    <xf numFmtId="1" fontId="7" fillId="5" borderId="8" xfId="1" applyNumberFormat="1" applyFont="1" applyFill="1" applyBorder="1" applyAlignment="1" applyProtection="1">
      <alignment horizontal="center" vertical="center" wrapText="1"/>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7" fillId="0" borderId="30" xfId="0" applyNumberFormat="1" applyFont="1" applyBorder="1" applyAlignment="1" applyProtection="1">
      <alignment horizontal="center" vertical="center" wrapText="1"/>
      <protection locked="0"/>
    </xf>
    <xf numFmtId="1" fontId="7" fillId="0" borderId="31" xfId="0" applyNumberFormat="1" applyFont="1" applyBorder="1" applyAlignment="1" applyProtection="1">
      <alignment horizontal="center" vertical="center" wrapText="1"/>
      <protection locked="0"/>
    </xf>
    <xf numFmtId="0" fontId="9" fillId="0" borderId="31" xfId="0" applyFont="1" applyBorder="1" applyAlignment="1" applyProtection="1">
      <alignment horizontal="center" vertical="center"/>
      <protection locked="0"/>
    </xf>
    <xf numFmtId="0" fontId="9" fillId="0" borderId="31" xfId="0"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24" fillId="0" borderId="1" xfId="10" applyFill="1" applyBorder="1" applyAlignment="1" applyProtection="1">
      <alignment horizontal="left" vertical="top" wrapText="1"/>
      <protection locked="0"/>
    </xf>
    <xf numFmtId="1" fontId="11" fillId="0" borderId="1" xfId="1" applyNumberFormat="1" applyFont="1" applyBorder="1" applyAlignment="1" applyProtection="1">
      <alignment horizontal="center" vertical="top" wrapText="1"/>
      <protection locked="0"/>
    </xf>
    <xf numFmtId="1" fontId="7" fillId="0" borderId="31" xfId="0"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center" wrapText="1"/>
      <protection locked="0"/>
    </xf>
    <xf numFmtId="9" fontId="10" fillId="0" borderId="17" xfId="8" applyFont="1" applyFill="1" applyBorder="1" applyAlignment="1" applyProtection="1">
      <alignment horizontal="center" vertical="center" wrapText="1"/>
      <protection locked="0"/>
    </xf>
    <xf numFmtId="9" fontId="10" fillId="0" borderId="23"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14" fontId="10" fillId="4" borderId="7" xfId="1" applyNumberFormat="1" applyFont="1" applyFill="1" applyBorder="1" applyAlignment="1" applyProtection="1">
      <alignment horizontal="left" vertical="top" wrapText="1"/>
      <protection locked="0"/>
    </xf>
    <xf numFmtId="14" fontId="10" fillId="4" borderId="8" xfId="1" applyNumberFormat="1" applyFont="1" applyFill="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21" xfId="1" applyFont="1" applyBorder="1" applyAlignment="1" applyProtection="1">
      <alignment horizontal="left" vertical="center" wrapText="1"/>
      <protection locked="0"/>
    </xf>
    <xf numFmtId="0" fontId="11" fillId="0" borderId="14" xfId="1" applyFont="1" applyBorder="1" applyAlignment="1" applyProtection="1">
      <alignment horizontal="left" vertical="center" wrapText="1"/>
      <protection locked="0"/>
    </xf>
    <xf numFmtId="0" fontId="11" fillId="0" borderId="12" xfId="1" applyFont="1" applyBorder="1" applyAlignment="1" applyProtection="1">
      <alignment horizontal="left" vertical="center" wrapText="1"/>
      <protection locked="0"/>
    </xf>
    <xf numFmtId="0" fontId="11" fillId="0" borderId="13" xfId="1" applyFont="1" applyBorder="1" applyAlignment="1" applyProtection="1">
      <alignment horizontal="left" vertical="center" wrapText="1"/>
      <protection locked="0"/>
    </xf>
    <xf numFmtId="0" fontId="11" fillId="0" borderId="22" xfId="1" applyFont="1" applyBorder="1" applyAlignment="1" applyProtection="1">
      <alignment horizontal="left" vertical="center"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0" fontId="10" fillId="4" borderId="7" xfId="1" applyFont="1" applyFill="1" applyBorder="1" applyAlignment="1" applyProtection="1">
      <alignment horizontal="left" vertical="top" wrapText="1"/>
      <protection locked="0"/>
    </xf>
    <xf numFmtId="0" fontId="10" fillId="4" borderId="20" xfId="1" applyFont="1" applyFill="1" applyBorder="1" applyAlignment="1" applyProtection="1">
      <alignment horizontal="left" vertical="top" wrapText="1"/>
      <protection locked="0"/>
    </xf>
    <xf numFmtId="0" fontId="10" fillId="4" borderId="8" xfId="1" applyFont="1" applyFill="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1" fontId="10" fillId="0" borderId="1" xfId="1" applyNumberFormat="1" applyFont="1" applyBorder="1" applyAlignment="1" applyProtection="1">
      <alignment horizontal="left" vertical="top" wrapText="1"/>
      <protection locked="0"/>
    </xf>
    <xf numFmtId="164" fontId="10"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14" fontId="10" fillId="0" borderId="7" xfId="1" applyNumberFormat="1" applyFont="1" applyBorder="1" applyAlignment="1" applyProtection="1">
      <alignment horizontal="left" vertical="top" wrapText="1"/>
      <protection locked="0"/>
    </xf>
    <xf numFmtId="14" fontId="10"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28" fillId="0" borderId="1" xfId="1" applyFont="1" applyBorder="1" applyAlignment="1" applyProtection="1">
      <alignment horizontal="center" vertical="top" wrapText="1"/>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5" fillId="0" borderId="7" xfId="0" applyNumberFormat="1" applyFont="1" applyBorder="1" applyAlignment="1" applyProtection="1">
      <alignment vertical="top" wrapText="1"/>
      <protection locked="0"/>
    </xf>
    <xf numFmtId="1" fontId="15" fillId="0" borderId="20" xfId="0" applyNumberFormat="1" applyFont="1" applyBorder="1" applyAlignment="1" applyProtection="1">
      <alignment vertical="top" wrapText="1"/>
      <protection locked="0"/>
    </xf>
    <xf numFmtId="1" fontId="15" fillId="0" borderId="8" xfId="0" applyNumberFormat="1" applyFont="1" applyBorder="1" applyAlignment="1" applyProtection="1">
      <alignment vertical="top" wrapText="1"/>
      <protection locked="0"/>
    </xf>
    <xf numFmtId="1" fontId="9" fillId="0" borderId="1" xfId="0" applyNumberFormat="1"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0" fontId="7" fillId="5" borderId="1" xfId="1" applyFont="1" applyFill="1" applyBorder="1" applyAlignment="1" applyProtection="1">
      <alignment horizontal="left" vertical="top" wrapText="1"/>
      <protection locked="0"/>
    </xf>
    <xf numFmtId="0" fontId="10" fillId="0" borderId="2"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4" fontId="7" fillId="5" borderId="1" xfId="1" applyNumberFormat="1" applyFont="1" applyFill="1" applyBorder="1" applyAlignment="1" applyProtection="1">
      <alignment horizontal="left" vertical="top"/>
      <protection locked="0"/>
    </xf>
    <xf numFmtId="0" fontId="10" fillId="0" borderId="2"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9"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left" vertical="top" wrapText="1"/>
      <protection locked="0"/>
    </xf>
    <xf numFmtId="0" fontId="6" fillId="0" borderId="23" xfId="1" applyFont="1" applyBorder="1" applyAlignment="1">
      <alignment horizontal="center"/>
    </xf>
    <xf numFmtId="0" fontId="6" fillId="0" borderId="0" xfId="1" applyFont="1" applyAlignment="1">
      <alignment horizontal="center"/>
    </xf>
    <xf numFmtId="164" fontId="5" fillId="0" borderId="1" xfId="1" applyNumberFormat="1" applyFont="1" applyBorder="1" applyAlignment="1" applyProtection="1">
      <alignment horizontal="left" vertical="top"/>
      <protection locked="0"/>
    </xf>
    <xf numFmtId="14" fontId="5" fillId="0" borderId="7" xfId="1" applyNumberFormat="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0" fillId="0" borderId="1" xfId="1" applyFont="1" applyBorder="1" applyAlignment="1" applyProtection="1">
      <alignment horizontal="left"/>
      <protection locked="0"/>
    </xf>
    <xf numFmtId="0" fontId="11" fillId="0" borderId="3"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9" fontId="11" fillId="0" borderId="7" xfId="1" applyNumberFormat="1" applyFont="1" applyBorder="1" applyAlignment="1" applyProtection="1">
      <alignment horizontal="center" vertical="center" wrapText="1"/>
      <protection locked="0"/>
    </xf>
    <xf numFmtId="0" fontId="11" fillId="0" borderId="8" xfId="1" applyFont="1" applyBorder="1" applyAlignment="1" applyProtection="1">
      <alignment horizontal="center" vertical="center" wrapText="1"/>
      <protection locked="0"/>
    </xf>
    <xf numFmtId="0" fontId="11" fillId="0" borderId="7" xfId="1" applyFont="1" applyBorder="1" applyAlignment="1" applyProtection="1">
      <alignment horizontal="center" vertical="center" wrapText="1"/>
      <protection locked="0"/>
    </xf>
    <xf numFmtId="0" fontId="11" fillId="0" borderId="33" xfId="1" applyFont="1" applyBorder="1" applyAlignment="1" applyProtection="1">
      <alignment horizontal="center" vertical="center" wrapText="1"/>
      <protection locked="0"/>
    </xf>
    <xf numFmtId="1" fontId="11" fillId="4" borderId="1" xfId="1" applyNumberFormat="1" applyFont="1" applyFill="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9" fillId="0" borderId="21"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12"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0" fontId="6" fillId="0" borderId="3"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4" xfId="1" applyFont="1" applyBorder="1" applyAlignment="1" applyProtection="1">
      <alignment horizontal="center" vertical="top"/>
      <protection locked="0"/>
    </xf>
    <xf numFmtId="0" fontId="9" fillId="0" borderId="3"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9" fontId="6" fillId="0" borderId="1" xfId="8" applyFont="1" applyFill="1" applyBorder="1" applyAlignment="1" applyProtection="1">
      <alignment horizontal="center" vertical="top" wrapText="1"/>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3"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9" fontId="6" fillId="0" borderId="26"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8</xdr:col>
      <xdr:colOff>577850</xdr:colOff>
      <xdr:row>10</xdr:row>
      <xdr:rowOff>73025</xdr:rowOff>
    </xdr:from>
    <xdr:to>
      <xdr:col>14</xdr:col>
      <xdr:colOff>478511</xdr:colOff>
      <xdr:row>20</xdr:row>
      <xdr:rowOff>42927</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892925" y="2454275"/>
          <a:ext cx="5082261" cy="2189227"/>
        </a:xfrm>
        <a:prstGeom prst="rect">
          <a:avLst/>
        </a:prstGeom>
        <a:ln>
          <a:solidFill>
            <a:schemeClr val="tx1"/>
          </a:solidFill>
        </a:ln>
      </xdr:spPr>
    </xdr:pic>
    <xdr:clientData/>
  </xdr:twoCellAnchor>
  <xdr:twoCellAnchor editAs="oneCell">
    <xdr:from>
      <xdr:col>0</xdr:col>
      <xdr:colOff>656250</xdr:colOff>
      <xdr:row>401</xdr:row>
      <xdr:rowOff>74981</xdr:rowOff>
    </xdr:from>
    <xdr:to>
      <xdr:col>7</xdr:col>
      <xdr:colOff>201550</xdr:colOff>
      <xdr:row>420</xdr:row>
      <xdr:rowOff>88900</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56250" y="60749231"/>
          <a:ext cx="5126950" cy="3814394"/>
        </a:xfrm>
        <a:prstGeom prst="rect">
          <a:avLst/>
        </a:prstGeom>
        <a:ln>
          <a:solidFill>
            <a:schemeClr val="tx1"/>
          </a:solidFill>
        </a:ln>
      </xdr:spPr>
    </xdr:pic>
    <xdr:clientData/>
  </xdr:twoCellAnchor>
  <xdr:twoCellAnchor>
    <xdr:from>
      <xdr:col>1</xdr:col>
      <xdr:colOff>748674</xdr:colOff>
      <xdr:row>410</xdr:row>
      <xdr:rowOff>86316</xdr:rowOff>
    </xdr:from>
    <xdr:to>
      <xdr:col>5</xdr:col>
      <xdr:colOff>428204</xdr:colOff>
      <xdr:row>415</xdr:row>
      <xdr:rowOff>16466</xdr:rowOff>
    </xdr:to>
    <xdr:sp macro="" textlink="">
      <xdr:nvSpPr>
        <xdr:cNvPr id="5" name="Rectangle 4"/>
        <xdr:cNvSpPr/>
      </xdr:nvSpPr>
      <xdr:spPr>
        <a:xfrm rot="20449825">
          <a:off x="1548774" y="69752166"/>
          <a:ext cx="3184730" cy="9144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0</xdr:col>
      <xdr:colOff>641350</xdr:colOff>
      <xdr:row>380</xdr:row>
      <xdr:rowOff>82550</xdr:rowOff>
    </xdr:from>
    <xdr:to>
      <xdr:col>7</xdr:col>
      <xdr:colOff>186650</xdr:colOff>
      <xdr:row>400</xdr:row>
      <xdr:rowOff>143445</xdr:rowOff>
    </xdr:to>
    <xdr:pic>
      <xdr:nvPicPr>
        <xdr:cNvPr id="6" name="Picture 5"/>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641350" y="63842900"/>
          <a:ext cx="5400000" cy="3997895"/>
        </a:xfrm>
        <a:prstGeom prst="rect">
          <a:avLst/>
        </a:prstGeom>
        <a:ln>
          <a:solidFill>
            <a:schemeClr val="tx1"/>
          </a:solidFill>
        </a:ln>
      </xdr:spPr>
    </xdr:pic>
    <xdr:clientData/>
  </xdr:twoCellAnchor>
  <xdr:twoCellAnchor editAs="oneCell">
    <xdr:from>
      <xdr:col>1</xdr:col>
      <xdr:colOff>696800</xdr:colOff>
      <xdr:row>350</xdr:row>
      <xdr:rowOff>4262</xdr:rowOff>
    </xdr:from>
    <xdr:to>
      <xdr:col>6</xdr:col>
      <xdr:colOff>10550</xdr:colOff>
      <xdr:row>365</xdr:row>
      <xdr:rowOff>818</xdr:rowOff>
    </xdr:to>
    <xdr:pic>
      <xdr:nvPicPr>
        <xdr:cNvPr id="7" name="Picture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496900" y="57859112"/>
          <a:ext cx="3600000" cy="2946692"/>
        </a:xfrm>
        <a:prstGeom prst="rect">
          <a:avLst/>
        </a:prstGeom>
        <a:ln>
          <a:solidFill>
            <a:schemeClr val="tx1"/>
          </a:solidFill>
        </a:ln>
      </xdr:spPr>
    </xdr:pic>
    <xdr:clientData/>
  </xdr:twoCellAnchor>
  <xdr:twoCellAnchor editAs="oneCell">
    <xdr:from>
      <xdr:col>0</xdr:col>
      <xdr:colOff>596900</xdr:colOff>
      <xdr:row>337</xdr:row>
      <xdr:rowOff>127000</xdr:rowOff>
    </xdr:from>
    <xdr:to>
      <xdr:col>7</xdr:col>
      <xdr:colOff>142200</xdr:colOff>
      <xdr:row>348</xdr:row>
      <xdr:rowOff>187357</xdr:rowOff>
    </xdr:to>
    <xdr:pic>
      <xdr:nvPicPr>
        <xdr:cNvPr id="8" name="Picture 7"/>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596900" y="55422800"/>
          <a:ext cx="5400000" cy="2225707"/>
        </a:xfrm>
        <a:prstGeom prst="rect">
          <a:avLst/>
        </a:prstGeom>
        <a:ln>
          <a:solidFill>
            <a:schemeClr val="tx1"/>
          </a:solidFill>
        </a:ln>
      </xdr:spPr>
    </xdr:pic>
    <xdr:clientData/>
  </xdr:twoCellAnchor>
  <xdr:oneCellAnchor>
    <xdr:from>
      <xdr:col>4</xdr:col>
      <xdr:colOff>755024</xdr:colOff>
      <xdr:row>404</xdr:row>
      <xdr:rowOff>124416</xdr:rowOff>
    </xdr:from>
    <xdr:ext cx="836960" cy="264560"/>
    <xdr:sp macro="" textlink="">
      <xdr:nvSpPr>
        <xdr:cNvPr id="10" name="TextBox 9"/>
        <xdr:cNvSpPr txBox="1"/>
      </xdr:nvSpPr>
      <xdr:spPr>
        <a:xfrm>
          <a:off x="4241174" y="68609166"/>
          <a:ext cx="836960"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C &amp; D</a:t>
          </a:r>
        </a:p>
      </xdr:txBody>
    </xdr:sp>
    <xdr:clientData/>
  </xdr:oneCellAnchor>
  <xdr:twoCellAnchor>
    <xdr:from>
      <xdr:col>4</xdr:col>
      <xdr:colOff>609600</xdr:colOff>
      <xdr:row>405</xdr:row>
      <xdr:rowOff>192126</xdr:rowOff>
    </xdr:from>
    <xdr:to>
      <xdr:col>5</xdr:col>
      <xdr:colOff>354354</xdr:colOff>
      <xdr:row>410</xdr:row>
      <xdr:rowOff>152400</xdr:rowOff>
    </xdr:to>
    <xdr:cxnSp macro="">
      <xdr:nvCxnSpPr>
        <xdr:cNvPr id="12" name="Straight Arrow Connector 11"/>
        <xdr:cNvCxnSpPr>
          <a:stCxn id="10" idx="2"/>
        </xdr:cNvCxnSpPr>
      </xdr:nvCxnSpPr>
      <xdr:spPr>
        <a:xfrm flipH="1">
          <a:off x="4095750" y="68873726"/>
          <a:ext cx="563904" cy="9445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399424</xdr:colOff>
      <xdr:row>407</xdr:row>
      <xdr:rowOff>156166</xdr:rowOff>
    </xdr:from>
    <xdr:ext cx="1035676" cy="264560"/>
    <xdr:sp macro="" textlink="">
      <xdr:nvSpPr>
        <xdr:cNvPr id="16" name="TextBox 15"/>
        <xdr:cNvSpPr txBox="1"/>
      </xdr:nvSpPr>
      <xdr:spPr>
        <a:xfrm>
          <a:off x="2037724" y="69231466"/>
          <a:ext cx="1035676"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Parking Tower</a:t>
          </a:r>
        </a:p>
      </xdr:txBody>
    </xdr:sp>
    <xdr:clientData/>
  </xdr:oneCellAnchor>
  <xdr:twoCellAnchor>
    <xdr:from>
      <xdr:col>3</xdr:col>
      <xdr:colOff>28262</xdr:colOff>
      <xdr:row>409</xdr:row>
      <xdr:rowOff>27026</xdr:rowOff>
    </xdr:from>
    <xdr:to>
      <xdr:col>3</xdr:col>
      <xdr:colOff>685800</xdr:colOff>
      <xdr:row>411</xdr:row>
      <xdr:rowOff>171450</xdr:rowOff>
    </xdr:to>
    <xdr:cxnSp macro="">
      <xdr:nvCxnSpPr>
        <xdr:cNvPr id="17" name="Straight Arrow Connector 16"/>
        <xdr:cNvCxnSpPr>
          <a:stCxn id="16" idx="2"/>
        </xdr:cNvCxnSpPr>
      </xdr:nvCxnSpPr>
      <xdr:spPr>
        <a:xfrm>
          <a:off x="2555562" y="69496026"/>
          <a:ext cx="657538" cy="5381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100974</xdr:colOff>
      <xdr:row>409</xdr:row>
      <xdr:rowOff>105366</xdr:rowOff>
    </xdr:from>
    <xdr:ext cx="833305" cy="264560"/>
    <xdr:sp macro="" textlink="">
      <xdr:nvSpPr>
        <xdr:cNvPr id="20" name="TextBox 19"/>
        <xdr:cNvSpPr txBox="1"/>
      </xdr:nvSpPr>
      <xdr:spPr>
        <a:xfrm>
          <a:off x="901074" y="69574366"/>
          <a:ext cx="833305"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A &amp; B</a:t>
          </a:r>
        </a:p>
      </xdr:txBody>
    </xdr:sp>
    <xdr:clientData/>
  </xdr:oneCellAnchor>
  <xdr:twoCellAnchor>
    <xdr:from>
      <xdr:col>1</xdr:col>
      <xdr:colOff>517627</xdr:colOff>
      <xdr:row>410</xdr:row>
      <xdr:rowOff>173076</xdr:rowOff>
    </xdr:from>
    <xdr:to>
      <xdr:col>2</xdr:col>
      <xdr:colOff>368300</xdr:colOff>
      <xdr:row>414</xdr:row>
      <xdr:rowOff>107950</xdr:rowOff>
    </xdr:to>
    <xdr:cxnSp macro="">
      <xdr:nvCxnSpPr>
        <xdr:cNvPr id="21" name="Straight Arrow Connector 20"/>
        <xdr:cNvCxnSpPr>
          <a:stCxn id="20" idx="2"/>
        </xdr:cNvCxnSpPr>
      </xdr:nvCxnSpPr>
      <xdr:spPr>
        <a:xfrm>
          <a:off x="1317727" y="69838926"/>
          <a:ext cx="688873" cy="72227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406400</xdr:colOff>
      <xdr:row>344</xdr:row>
      <xdr:rowOff>19050</xdr:rowOff>
    </xdr:from>
    <xdr:to>
      <xdr:col>5</xdr:col>
      <xdr:colOff>273050</xdr:colOff>
      <xdr:row>345</xdr:row>
      <xdr:rowOff>133350</xdr:rowOff>
    </xdr:to>
    <xdr:sp macro="" textlink="">
      <xdr:nvSpPr>
        <xdr:cNvPr id="23" name="Rectangle 22"/>
        <xdr:cNvSpPr/>
      </xdr:nvSpPr>
      <xdr:spPr>
        <a:xfrm>
          <a:off x="3892550" y="56692800"/>
          <a:ext cx="685800" cy="311150"/>
        </a:xfrm>
        <a:prstGeom prst="rect">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431800</xdr:colOff>
      <xdr:row>343</xdr:row>
      <xdr:rowOff>184150</xdr:rowOff>
    </xdr:from>
    <xdr:to>
      <xdr:col>4</xdr:col>
      <xdr:colOff>158750</xdr:colOff>
      <xdr:row>345</xdr:row>
      <xdr:rowOff>152400</xdr:rowOff>
    </xdr:to>
    <xdr:sp macro="" textlink="">
      <xdr:nvSpPr>
        <xdr:cNvPr id="24" name="Rectangle 23"/>
        <xdr:cNvSpPr/>
      </xdr:nvSpPr>
      <xdr:spPr>
        <a:xfrm>
          <a:off x="2959100" y="56661050"/>
          <a:ext cx="685800" cy="361950"/>
        </a:xfrm>
        <a:prstGeom prst="rect">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4</xdr:col>
      <xdr:colOff>227974</xdr:colOff>
      <xdr:row>337</xdr:row>
      <xdr:rowOff>19050</xdr:rowOff>
    </xdr:from>
    <xdr:ext cx="836960" cy="264560"/>
    <xdr:sp macro="" textlink="">
      <xdr:nvSpPr>
        <xdr:cNvPr id="25" name="TextBox 24"/>
        <xdr:cNvSpPr txBox="1"/>
      </xdr:nvSpPr>
      <xdr:spPr>
        <a:xfrm>
          <a:off x="3714124" y="55314850"/>
          <a:ext cx="836960"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C &amp; D</a:t>
          </a:r>
        </a:p>
      </xdr:txBody>
    </xdr:sp>
    <xdr:clientData/>
  </xdr:oneCellAnchor>
  <xdr:twoCellAnchor>
    <xdr:from>
      <xdr:col>4</xdr:col>
      <xdr:colOff>646454</xdr:colOff>
      <xdr:row>338</xdr:row>
      <xdr:rowOff>86760</xdr:rowOff>
    </xdr:from>
    <xdr:to>
      <xdr:col>4</xdr:col>
      <xdr:colOff>749300</xdr:colOff>
      <xdr:row>344</xdr:row>
      <xdr:rowOff>19050</xdr:rowOff>
    </xdr:to>
    <xdr:cxnSp macro="">
      <xdr:nvCxnSpPr>
        <xdr:cNvPr id="26" name="Straight Arrow Connector 25"/>
        <xdr:cNvCxnSpPr>
          <a:stCxn id="25" idx="2"/>
          <a:endCxn id="23" idx="0"/>
        </xdr:cNvCxnSpPr>
      </xdr:nvCxnSpPr>
      <xdr:spPr>
        <a:xfrm>
          <a:off x="4132604" y="55579410"/>
          <a:ext cx="102846" cy="11133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520074</xdr:colOff>
      <xdr:row>337</xdr:row>
      <xdr:rowOff>146050</xdr:rowOff>
    </xdr:from>
    <xdr:ext cx="836960" cy="264560"/>
    <xdr:sp macro="" textlink="">
      <xdr:nvSpPr>
        <xdr:cNvPr id="28" name="TextBox 27"/>
        <xdr:cNvSpPr txBox="1"/>
      </xdr:nvSpPr>
      <xdr:spPr>
        <a:xfrm>
          <a:off x="2158374" y="55441850"/>
          <a:ext cx="836960"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A &amp; B</a:t>
          </a:r>
        </a:p>
      </xdr:txBody>
    </xdr:sp>
    <xdr:clientData/>
  </xdr:oneCellAnchor>
  <xdr:twoCellAnchor>
    <xdr:from>
      <xdr:col>3</xdr:col>
      <xdr:colOff>49554</xdr:colOff>
      <xdr:row>339</xdr:row>
      <xdr:rowOff>16910</xdr:rowOff>
    </xdr:from>
    <xdr:to>
      <xdr:col>3</xdr:col>
      <xdr:colOff>565150</xdr:colOff>
      <xdr:row>344</xdr:row>
      <xdr:rowOff>25400</xdr:rowOff>
    </xdr:to>
    <xdr:cxnSp macro="">
      <xdr:nvCxnSpPr>
        <xdr:cNvPr id="29" name="Straight Arrow Connector 28"/>
        <xdr:cNvCxnSpPr>
          <a:stCxn id="28" idx="2"/>
        </xdr:cNvCxnSpPr>
      </xdr:nvCxnSpPr>
      <xdr:spPr>
        <a:xfrm>
          <a:off x="2576854" y="55706410"/>
          <a:ext cx="515596" cy="9927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120650</xdr:colOff>
      <xdr:row>293</xdr:row>
      <xdr:rowOff>41275</xdr:rowOff>
    </xdr:from>
    <xdr:to>
      <xdr:col>19</xdr:col>
      <xdr:colOff>131420</xdr:colOff>
      <xdr:row>332</xdr:row>
      <xdr:rowOff>199492</xdr:rowOff>
    </xdr:to>
    <xdr:grpSp>
      <xdr:nvGrpSpPr>
        <xdr:cNvPr id="37" name="Group 36"/>
        <xdr:cNvGrpSpPr/>
      </xdr:nvGrpSpPr>
      <xdr:grpSpPr>
        <a:xfrm>
          <a:off x="9064625" y="53743225"/>
          <a:ext cx="6097245" cy="7949667"/>
          <a:chOff x="101600" y="40081200"/>
          <a:chExt cx="6379820" cy="7825842"/>
        </a:xfrm>
      </xdr:grpSpPr>
      <xdr:pic>
        <xdr:nvPicPr>
          <xdr:cNvPr id="38" name="Picture 3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456420" y="42914121"/>
            <a:ext cx="2025000" cy="270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456420" y="40081200"/>
            <a:ext cx="2025000" cy="270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01600" y="40081200"/>
            <a:ext cx="2025000" cy="270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01600" y="42914121"/>
            <a:ext cx="2025000" cy="270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79010" y="42914121"/>
            <a:ext cx="2025000" cy="270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279010" y="40081200"/>
            <a:ext cx="2025000" cy="270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481003" y="45747042"/>
            <a:ext cx="1621013" cy="2160000"/>
          </a:xfrm>
          <a:prstGeom prst="rect">
            <a:avLst/>
          </a:prstGeom>
          <a:ln>
            <a:solidFill>
              <a:schemeClr val="tx1"/>
            </a:solidFill>
          </a:ln>
        </xdr:spPr>
      </xdr:pic>
    </xdr:grpSp>
    <xdr:clientData/>
  </xdr:twoCellAnchor>
  <xdr:twoCellAnchor>
    <xdr:from>
      <xdr:col>0</xdr:col>
      <xdr:colOff>200025</xdr:colOff>
      <xdr:row>294</xdr:row>
      <xdr:rowOff>19050</xdr:rowOff>
    </xdr:from>
    <xdr:to>
      <xdr:col>7</xdr:col>
      <xdr:colOff>501593</xdr:colOff>
      <xdr:row>335</xdr:row>
      <xdr:rowOff>37587</xdr:rowOff>
    </xdr:to>
    <xdr:grpSp>
      <xdr:nvGrpSpPr>
        <xdr:cNvPr id="4" name="Group 3"/>
        <xdr:cNvGrpSpPr/>
      </xdr:nvGrpSpPr>
      <xdr:grpSpPr>
        <a:xfrm>
          <a:off x="200025" y="53921025"/>
          <a:ext cx="5883218" cy="8210037"/>
          <a:chOff x="200025" y="53511450"/>
          <a:chExt cx="5883218" cy="8210037"/>
        </a:xfrm>
      </xdr:grpSpPr>
      <xdr:pic>
        <xdr:nvPicPr>
          <xdr:cNvPr id="30" name="Picture 29"/>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33393" y="53511450"/>
            <a:ext cx="2160000" cy="288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193243" y="56492793"/>
            <a:ext cx="1890000" cy="252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189760" y="59201487"/>
            <a:ext cx="1890000" cy="252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318987" y="53511450"/>
            <a:ext cx="2160000" cy="288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196634" y="59201487"/>
            <a:ext cx="1890000" cy="252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00025" y="56510589"/>
            <a:ext cx="1890000" cy="252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196634" y="56510589"/>
            <a:ext cx="1890000" cy="252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00025" y="59201487"/>
            <a:ext cx="1890000" cy="2520000"/>
          </a:xfrm>
          <a:prstGeom prst="rect">
            <a:avLst/>
          </a:prstGeom>
          <a:ln>
            <a:solidFill>
              <a:schemeClr val="tx1"/>
            </a:solidFill>
          </a:ln>
        </xdr:spPr>
      </xdr:pic>
    </xdr:grpSp>
    <xdr:clientData/>
  </xdr:twoCellAnchor>
  <xdr:twoCellAnchor>
    <xdr:from>
      <xdr:col>5</xdr:col>
      <xdr:colOff>66675</xdr:colOff>
      <xdr:row>294</xdr:row>
      <xdr:rowOff>47625</xdr:rowOff>
    </xdr:from>
    <xdr:to>
      <xdr:col>7</xdr:col>
      <xdr:colOff>142875</xdr:colOff>
      <xdr:row>296</xdr:row>
      <xdr:rowOff>152400</xdr:rowOff>
    </xdr:to>
    <xdr:sp macro="" textlink="">
      <xdr:nvSpPr>
        <xdr:cNvPr id="9" name="Rectangle 8"/>
        <xdr:cNvSpPr/>
      </xdr:nvSpPr>
      <xdr:spPr>
        <a:xfrm>
          <a:off x="4171950" y="53949600"/>
          <a:ext cx="1552575" cy="504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ln>
                <a:noFill/>
              </a:ln>
              <a:solidFill>
                <a:srgbClr val="C00000"/>
              </a:solidFill>
            </a:rPr>
            <a:t>Wing</a:t>
          </a:r>
          <a:r>
            <a:rPr lang="en-IN" sz="2000" b="1" baseline="0">
              <a:ln>
                <a:noFill/>
              </a:ln>
              <a:solidFill>
                <a:srgbClr val="C00000"/>
              </a:solidFill>
            </a:rPr>
            <a:t> B</a:t>
          </a:r>
          <a:endParaRPr lang="en-IN" sz="2000" b="1">
            <a:ln>
              <a:noFill/>
            </a:ln>
            <a:solidFill>
              <a:srgbClr val="C00000"/>
            </a:solidFill>
          </a:endParaRPr>
        </a:p>
      </xdr:txBody>
    </xdr:sp>
    <xdr:clientData/>
  </xdr:twoCellAnchor>
  <xdr:twoCellAnchor>
    <xdr:from>
      <xdr:col>0</xdr:col>
      <xdr:colOff>476250</xdr:colOff>
      <xdr:row>308</xdr:row>
      <xdr:rowOff>190500</xdr:rowOff>
    </xdr:from>
    <xdr:to>
      <xdr:col>2</xdr:col>
      <xdr:colOff>466725</xdr:colOff>
      <xdr:row>311</xdr:row>
      <xdr:rowOff>95250</xdr:rowOff>
    </xdr:to>
    <xdr:sp macro="" textlink="">
      <xdr:nvSpPr>
        <xdr:cNvPr id="43" name="Rectangle 42"/>
        <xdr:cNvSpPr/>
      </xdr:nvSpPr>
      <xdr:spPr>
        <a:xfrm>
          <a:off x="476250" y="56883300"/>
          <a:ext cx="1552575" cy="504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ln>
                <a:noFill/>
              </a:ln>
              <a:solidFill>
                <a:srgbClr val="C00000"/>
              </a:solidFill>
            </a:rPr>
            <a:t>Wing</a:t>
          </a:r>
          <a:r>
            <a:rPr lang="en-IN" sz="2000" b="1" baseline="0">
              <a:ln>
                <a:noFill/>
              </a:ln>
              <a:solidFill>
                <a:srgbClr val="C00000"/>
              </a:solidFill>
            </a:rPr>
            <a:t> D</a:t>
          </a:r>
          <a:endParaRPr lang="en-IN" sz="2000" b="1">
            <a:ln>
              <a:noFill/>
            </a:ln>
            <a:solidFill>
              <a:srgbClr val="C00000"/>
            </a:solidFill>
          </a:endParaRPr>
        </a:p>
      </xdr:txBody>
    </xdr:sp>
    <xdr:clientData/>
  </xdr:twoCellAnchor>
  <xdr:twoCellAnchor>
    <xdr:from>
      <xdr:col>3</xdr:col>
      <xdr:colOff>390525</xdr:colOff>
      <xdr:row>308</xdr:row>
      <xdr:rowOff>180975</xdr:rowOff>
    </xdr:from>
    <xdr:to>
      <xdr:col>5</xdr:col>
      <xdr:colOff>247650</xdr:colOff>
      <xdr:row>311</xdr:row>
      <xdr:rowOff>85725</xdr:rowOff>
    </xdr:to>
    <xdr:sp macro="" textlink="">
      <xdr:nvSpPr>
        <xdr:cNvPr id="44" name="Rectangle 43"/>
        <xdr:cNvSpPr/>
      </xdr:nvSpPr>
      <xdr:spPr>
        <a:xfrm>
          <a:off x="2800350" y="56873775"/>
          <a:ext cx="1552575" cy="504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ln>
                <a:noFill/>
              </a:ln>
              <a:solidFill>
                <a:srgbClr val="C00000"/>
              </a:solidFill>
            </a:rPr>
            <a:t>Wing</a:t>
          </a:r>
          <a:r>
            <a:rPr lang="en-IN" sz="2000" b="1" baseline="0">
              <a:ln>
                <a:noFill/>
              </a:ln>
              <a:solidFill>
                <a:srgbClr val="C00000"/>
              </a:solidFill>
            </a:rPr>
            <a:t> C</a:t>
          </a:r>
          <a:endParaRPr lang="en-IN" sz="2000" b="1">
            <a:ln>
              <a:noFill/>
            </a:ln>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33618</xdr:colOff>
      <xdr:row>13</xdr:row>
      <xdr:rowOff>179294</xdr:rowOff>
    </xdr:from>
    <xdr:to>
      <xdr:col>6</xdr:col>
      <xdr:colOff>525030</xdr:colOff>
      <xdr:row>35</xdr:row>
      <xdr:rowOff>101794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6324" y="2667000"/>
          <a:ext cx="6889971" cy="4113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k1FPnxYN7npW3KmY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0"/>
  <sheetViews>
    <sheetView tabSelected="1" view="pageBreakPreview" zoomScaleNormal="100" zoomScaleSheetLayoutView="100" zoomScalePageLayoutView="85" workbookViewId="0">
      <selection activeCell="K5" sqref="K5"/>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04" t="s">
        <v>163</v>
      </c>
      <c r="B1" s="204"/>
      <c r="C1" s="204"/>
      <c r="D1" s="204"/>
      <c r="E1" s="204"/>
      <c r="F1" s="204"/>
      <c r="G1" s="204"/>
      <c r="H1" s="204"/>
    </row>
    <row r="2" spans="1:26" ht="16.5" customHeight="1" x14ac:dyDescent="0.25">
      <c r="A2" s="133" t="s">
        <v>0</v>
      </c>
      <c r="B2" s="133"/>
      <c r="C2" s="133"/>
      <c r="D2" s="133"/>
      <c r="E2" s="133"/>
      <c r="F2" s="133"/>
      <c r="G2" s="133"/>
      <c r="H2" s="133"/>
    </row>
    <row r="3" spans="1:26" x14ac:dyDescent="0.25">
      <c r="A3" s="111" t="s">
        <v>1</v>
      </c>
      <c r="B3" s="111"/>
      <c r="C3" s="111"/>
      <c r="D3" s="111"/>
      <c r="E3" s="111" t="str">
        <f ca="1">TEXT(TODAY(),"DD/MM/YYYY")</f>
        <v>04/09/2025</v>
      </c>
      <c r="F3" s="111"/>
      <c r="G3" s="111"/>
      <c r="H3" s="111"/>
      <c r="K3" s="49" t="s">
        <v>237</v>
      </c>
      <c r="L3" s="47" t="s">
        <v>235</v>
      </c>
      <c r="M3" s="47" t="s">
        <v>240</v>
      </c>
      <c r="N3" s="47" t="s">
        <v>238</v>
      </c>
      <c r="O3" s="47" t="s">
        <v>239</v>
      </c>
      <c r="P3" s="47" t="s">
        <v>241</v>
      </c>
    </row>
    <row r="4" spans="1:26" ht="15" customHeight="1" x14ac:dyDescent="0.25">
      <c r="A4" s="111" t="s">
        <v>234</v>
      </c>
      <c r="B4" s="111"/>
      <c r="C4" s="111"/>
      <c r="D4" s="111"/>
      <c r="E4" s="111" t="s">
        <v>235</v>
      </c>
      <c r="F4" s="111"/>
      <c r="G4" s="111"/>
      <c r="H4" s="111"/>
      <c r="K4" s="46" t="s">
        <v>236</v>
      </c>
      <c r="L4" s="47" t="s">
        <v>169</v>
      </c>
      <c r="M4" s="47" t="s">
        <v>245</v>
      </c>
      <c r="N4" s="47" t="s">
        <v>247</v>
      </c>
      <c r="O4" s="47" t="s">
        <v>249</v>
      </c>
      <c r="P4" s="47"/>
    </row>
    <row r="5" spans="1:26" ht="15" customHeight="1" x14ac:dyDescent="0.25">
      <c r="A5" s="111" t="s">
        <v>2</v>
      </c>
      <c r="B5" s="111"/>
      <c r="C5" s="111"/>
      <c r="D5" s="111"/>
      <c r="E5" s="111" t="s">
        <v>242</v>
      </c>
      <c r="F5" s="111"/>
      <c r="G5" s="111"/>
      <c r="H5" s="111"/>
      <c r="K5" s="46"/>
      <c r="L5" s="47" t="s">
        <v>242</v>
      </c>
      <c r="M5" s="47" t="s">
        <v>246</v>
      </c>
      <c r="N5" s="47" t="s">
        <v>248</v>
      </c>
      <c r="O5" s="47" t="s">
        <v>250</v>
      </c>
      <c r="P5" s="47"/>
    </row>
    <row r="6" spans="1:26" x14ac:dyDescent="0.25">
      <c r="A6" s="111" t="s">
        <v>3</v>
      </c>
      <c r="B6" s="111"/>
      <c r="C6" s="111"/>
      <c r="D6" s="111"/>
      <c r="E6" s="205">
        <v>45904</v>
      </c>
      <c r="F6" s="111"/>
      <c r="G6" s="111"/>
      <c r="H6" s="111"/>
      <c r="K6" s="46"/>
      <c r="L6" s="47" t="s">
        <v>243</v>
      </c>
      <c r="M6" s="47"/>
      <c r="N6" s="47"/>
      <c r="O6" s="47" t="s">
        <v>251</v>
      </c>
      <c r="P6" s="47"/>
    </row>
    <row r="7" spans="1:26" ht="16.5" customHeight="1" x14ac:dyDescent="0.25">
      <c r="A7" s="111" t="s">
        <v>4</v>
      </c>
      <c r="B7" s="111"/>
      <c r="C7" s="111"/>
      <c r="D7" s="111"/>
      <c r="E7" s="111" t="s">
        <v>304</v>
      </c>
      <c r="F7" s="111"/>
      <c r="G7" s="111"/>
      <c r="H7" s="111"/>
      <c r="K7" s="46"/>
      <c r="L7" s="47" t="s">
        <v>244</v>
      </c>
      <c r="M7" s="47"/>
      <c r="N7" s="47"/>
      <c r="O7" s="47" t="s">
        <v>251</v>
      </c>
      <c r="P7" s="47"/>
    </row>
    <row r="8" spans="1:26" ht="15" customHeight="1" x14ac:dyDescent="0.25">
      <c r="A8" s="111" t="s">
        <v>5</v>
      </c>
      <c r="B8" s="111"/>
      <c r="C8" s="111"/>
      <c r="D8" s="111"/>
      <c r="E8" s="111" t="str">
        <f>E7</f>
        <v>Ajmera Boulevard Private Limited</v>
      </c>
      <c r="F8" s="111"/>
      <c r="G8" s="111"/>
      <c r="H8" s="111"/>
      <c r="K8" s="46"/>
      <c r="L8" s="47"/>
      <c r="M8" s="47"/>
      <c r="N8" s="47"/>
      <c r="O8" s="47" t="s">
        <v>252</v>
      </c>
      <c r="P8" s="47"/>
    </row>
    <row r="9" spans="1:26" x14ac:dyDescent="0.25">
      <c r="A9" s="111" t="s">
        <v>6</v>
      </c>
      <c r="B9" s="111"/>
      <c r="C9" s="111"/>
      <c r="D9" s="111"/>
      <c r="E9" s="168" t="s">
        <v>305</v>
      </c>
      <c r="F9" s="168"/>
      <c r="G9" s="168"/>
      <c r="H9" s="168"/>
      <c r="K9" s="46"/>
      <c r="L9" s="47"/>
      <c r="M9" s="47"/>
      <c r="N9" s="47"/>
      <c r="O9" s="47" t="s">
        <v>253</v>
      </c>
      <c r="P9" s="47"/>
    </row>
    <row r="10" spans="1:26" x14ac:dyDescent="0.25">
      <c r="A10" s="111" t="s">
        <v>166</v>
      </c>
      <c r="B10" s="111"/>
      <c r="C10" s="111"/>
      <c r="D10" s="111"/>
      <c r="E10" s="111" t="s">
        <v>341</v>
      </c>
      <c r="F10" s="111"/>
      <c r="G10" s="111"/>
      <c r="H10" s="111"/>
      <c r="K10" s="46"/>
      <c r="L10" s="47"/>
      <c r="M10" s="47"/>
      <c r="N10" s="47"/>
      <c r="O10" s="47"/>
      <c r="P10" s="47"/>
    </row>
    <row r="11" spans="1:26" x14ac:dyDescent="0.25">
      <c r="A11" s="111" t="s">
        <v>167</v>
      </c>
      <c r="B11" s="111"/>
      <c r="C11" s="111"/>
      <c r="D11" s="111"/>
      <c r="E11" s="215" t="s">
        <v>376</v>
      </c>
      <c r="F11" s="215"/>
      <c r="G11" s="215"/>
      <c r="H11" s="215"/>
    </row>
    <row r="12" spans="1:26" x14ac:dyDescent="0.25">
      <c r="A12" s="111" t="s">
        <v>7</v>
      </c>
      <c r="B12" s="111"/>
      <c r="C12" s="111"/>
      <c r="D12" s="111"/>
      <c r="E12" s="111" t="s">
        <v>347</v>
      </c>
      <c r="F12" s="111"/>
      <c r="G12" s="111"/>
      <c r="H12" s="111"/>
    </row>
    <row r="13" spans="1:26" hidden="1" x14ac:dyDescent="0.25">
      <c r="A13" s="111" t="s">
        <v>170</v>
      </c>
      <c r="B13" s="111"/>
      <c r="C13" s="111"/>
      <c r="D13" s="111"/>
      <c r="E13" s="111"/>
      <c r="F13" s="111"/>
      <c r="G13" s="111"/>
      <c r="H13" s="111"/>
      <c r="S13" s="47" t="s">
        <v>178</v>
      </c>
      <c r="T13" s="47" t="s">
        <v>188</v>
      </c>
      <c r="U13" s="47" t="s">
        <v>171</v>
      </c>
      <c r="V13" s="47" t="s">
        <v>193</v>
      </c>
      <c r="W13" s="47" t="s">
        <v>211</v>
      </c>
      <c r="X13"/>
      <c r="Y13" t="s">
        <v>193</v>
      </c>
      <c r="Z13" t="e">
        <f ca="1">OFFSET($S$13,1,MATCH($G20,$S$13:$W$13,0)-1,15,1)</f>
        <v>#VALUE!</v>
      </c>
    </row>
    <row r="14" spans="1:26" x14ac:dyDescent="0.25">
      <c r="A14" s="111" t="s">
        <v>280</v>
      </c>
      <c r="B14" s="111"/>
      <c r="C14" s="111"/>
      <c r="D14" s="111"/>
      <c r="E14" s="112" t="s">
        <v>226</v>
      </c>
      <c r="F14" s="112"/>
      <c r="G14" s="112"/>
      <c r="H14" s="112"/>
      <c r="S14" s="47" t="s">
        <v>179</v>
      </c>
      <c r="T14" s="47" t="s">
        <v>186</v>
      </c>
      <c r="U14" s="47" t="s">
        <v>208</v>
      </c>
      <c r="V14" s="47" t="s">
        <v>194</v>
      </c>
      <c r="W14" s="47" t="s">
        <v>212</v>
      </c>
      <c r="X14"/>
      <c r="Y14"/>
      <c r="Z14"/>
    </row>
    <row r="15" spans="1:26" x14ac:dyDescent="0.25">
      <c r="A15" s="111" t="s">
        <v>8</v>
      </c>
      <c r="B15" s="111"/>
      <c r="C15" s="111"/>
      <c r="D15" s="111"/>
      <c r="E15" s="112" t="s">
        <v>306</v>
      </c>
      <c r="F15" s="111"/>
      <c r="G15" s="111"/>
      <c r="H15" s="111"/>
      <c r="I15" s="223" t="e">
        <f ca="1">OFFSET($D$5,1,MATCH($J13,$D$5:$H$5,0)-1,15,1)</f>
        <v>#N/A</v>
      </c>
      <c r="J15" s="224"/>
      <c r="K15" s="224"/>
      <c r="L15" s="224"/>
      <c r="M15" s="224"/>
      <c r="N15" s="224"/>
      <c r="O15" s="224"/>
      <c r="P15" s="224"/>
      <c r="S15" s="47" t="s">
        <v>180</v>
      </c>
      <c r="T15" s="47" t="s">
        <v>187</v>
      </c>
      <c r="U15" s="47" t="s">
        <v>209</v>
      </c>
      <c r="V15" s="47" t="s">
        <v>195</v>
      </c>
      <c r="W15" s="47" t="s">
        <v>225</v>
      </c>
      <c r="X15"/>
      <c r="Y15"/>
      <c r="Z15"/>
    </row>
    <row r="16" spans="1:26" ht="48.75" customHeight="1" x14ac:dyDescent="0.25">
      <c r="A16" s="112" t="s">
        <v>9</v>
      </c>
      <c r="B16" s="112"/>
      <c r="C16" s="112" t="str">
        <f>CONCATENATE((IF(OR(E9="",E9="NA"),"",E9)),", ",(IF(OR(A17="",A17="NA"),"",A17)),".",(IF(OR(C17="",C17="NA"),"",C17)),", near ",(IF(OR(C22="",C22="NA"),"",C22)),", ",(IF(OR(C19="",C19="NA"),"",C19)),", ",(IF(OR(C18="",C18="NA"),"",C18)),", ",(IF(OR(G19="",G19="NA"),"",G19)),", ",(IF(OR(C20="",C20="NA"),"",C20)),", ",(IF(OR(C21="",C21="NA"),"",C21)),", ",(IF(OR(G20="",G20="NA"),"",G20))," - ",(IF(OR(G21="",G21="NA"),"",G21)),".")</f>
        <v>Ajmera Boulevard, CTS No.334-A/1 to 3, 360, 361/A &amp; B, 362/A &amp; B, 577, Plot (Sector II), near Shree Vallabh Tower, Internal Road, Kanchpada, Valnai, Malad (West), Borivali, Mumbai - 400064.</v>
      </c>
      <c r="D16" s="112"/>
      <c r="E16" s="112"/>
      <c r="F16" s="112"/>
      <c r="G16" s="112"/>
      <c r="H16" s="112"/>
      <c r="S16" s="47" t="s">
        <v>181</v>
      </c>
      <c r="T16" s="47" t="s">
        <v>189</v>
      </c>
      <c r="U16" s="47" t="s">
        <v>210</v>
      </c>
      <c r="V16" s="47" t="s">
        <v>196</v>
      </c>
      <c r="W16" s="47" t="s">
        <v>213</v>
      </c>
      <c r="X16"/>
      <c r="Y16"/>
      <c r="Z16"/>
    </row>
    <row r="17" spans="1:26" x14ac:dyDescent="0.25">
      <c r="A17" s="112" t="s">
        <v>175</v>
      </c>
      <c r="B17" s="112"/>
      <c r="C17" s="112" t="s">
        <v>309</v>
      </c>
      <c r="D17" s="112"/>
      <c r="E17" s="112"/>
      <c r="F17" s="112"/>
      <c r="G17" s="112"/>
      <c r="H17" s="112"/>
      <c r="S17" s="47" t="s">
        <v>182</v>
      </c>
      <c r="T17" s="47" t="s">
        <v>190</v>
      </c>
      <c r="U17" s="47" t="s">
        <v>171</v>
      </c>
      <c r="V17" s="47" t="s">
        <v>197</v>
      </c>
      <c r="W17" s="47" t="s">
        <v>214</v>
      </c>
      <c r="X17"/>
      <c r="Y17"/>
      <c r="Z17"/>
    </row>
    <row r="18" spans="1:26" ht="15.75" customHeight="1" x14ac:dyDescent="0.25">
      <c r="A18" s="112" t="s">
        <v>161</v>
      </c>
      <c r="B18" s="112"/>
      <c r="C18" s="112" t="s">
        <v>312</v>
      </c>
      <c r="D18" s="112"/>
      <c r="E18" s="112"/>
      <c r="F18" s="112"/>
      <c r="G18" s="112"/>
      <c r="H18" s="112"/>
      <c r="S18" s="47" t="s">
        <v>183</v>
      </c>
      <c r="T18" s="47" t="s">
        <v>188</v>
      </c>
      <c r="U18" s="47"/>
      <c r="V18" s="47" t="s">
        <v>198</v>
      </c>
      <c r="W18" s="47" t="s">
        <v>215</v>
      </c>
      <c r="X18"/>
      <c r="Y18"/>
      <c r="Z18"/>
    </row>
    <row r="19" spans="1:26" ht="15.75" customHeight="1" x14ac:dyDescent="0.25">
      <c r="A19" s="112" t="s">
        <v>10</v>
      </c>
      <c r="B19" s="112"/>
      <c r="C19" s="111" t="s">
        <v>313</v>
      </c>
      <c r="D19" s="111"/>
      <c r="E19" s="112" t="s">
        <v>69</v>
      </c>
      <c r="F19" s="112"/>
      <c r="G19" s="112" t="s">
        <v>310</v>
      </c>
      <c r="H19" s="112"/>
      <c r="S19" s="47" t="s">
        <v>184</v>
      </c>
      <c r="T19" s="47" t="s">
        <v>191</v>
      </c>
      <c r="U19" s="47"/>
      <c r="V19" s="47" t="s">
        <v>199</v>
      </c>
      <c r="W19" s="47" t="s">
        <v>216</v>
      </c>
      <c r="X19"/>
      <c r="Y19"/>
      <c r="Z19"/>
    </row>
    <row r="20" spans="1:26" x14ac:dyDescent="0.25">
      <c r="A20" s="111" t="s">
        <v>12</v>
      </c>
      <c r="B20" s="111"/>
      <c r="C20" s="112" t="s">
        <v>311</v>
      </c>
      <c r="D20" s="112"/>
      <c r="E20" s="112" t="s">
        <v>11</v>
      </c>
      <c r="F20" s="112"/>
      <c r="G20" s="231" t="s">
        <v>171</v>
      </c>
      <c r="H20" s="231"/>
      <c r="S20" s="47" t="s">
        <v>185</v>
      </c>
      <c r="T20" s="47" t="s">
        <v>192</v>
      </c>
      <c r="U20" s="47"/>
      <c r="V20" s="47" t="s">
        <v>200</v>
      </c>
      <c r="W20" s="47" t="s">
        <v>217</v>
      </c>
      <c r="X20"/>
      <c r="Y20"/>
      <c r="Z20"/>
    </row>
    <row r="21" spans="1:26" x14ac:dyDescent="0.25">
      <c r="A21" s="111" t="s">
        <v>70</v>
      </c>
      <c r="B21" s="111"/>
      <c r="C21" s="112" t="s">
        <v>209</v>
      </c>
      <c r="D21" s="112"/>
      <c r="E21" s="112" t="s">
        <v>13</v>
      </c>
      <c r="F21" s="112"/>
      <c r="G21" s="112">
        <v>400064</v>
      </c>
      <c r="H21" s="112"/>
      <c r="S21" s="47"/>
      <c r="T21" s="47"/>
      <c r="U21" s="47"/>
      <c r="V21" s="47" t="s">
        <v>201</v>
      </c>
      <c r="W21" s="47" t="s">
        <v>218</v>
      </c>
      <c r="X21"/>
      <c r="Y21"/>
      <c r="Z21"/>
    </row>
    <row r="22" spans="1:26" ht="32.25" customHeight="1" x14ac:dyDescent="0.25">
      <c r="A22" s="111" t="s">
        <v>117</v>
      </c>
      <c r="B22" s="111"/>
      <c r="C22" s="112" t="s">
        <v>315</v>
      </c>
      <c r="D22" s="112"/>
      <c r="E22" s="112" t="s">
        <v>14</v>
      </c>
      <c r="F22" s="112"/>
      <c r="G22" s="112" t="s">
        <v>314</v>
      </c>
      <c r="H22" s="112"/>
      <c r="S22" s="47"/>
      <c r="T22" s="47"/>
      <c r="U22" s="47"/>
      <c r="V22" s="47" t="s">
        <v>202</v>
      </c>
      <c r="W22" s="47" t="s">
        <v>219</v>
      </c>
      <c r="X22"/>
      <c r="Y22"/>
      <c r="Z22"/>
    </row>
    <row r="23" spans="1:26" ht="15" customHeight="1" x14ac:dyDescent="0.25">
      <c r="A23" s="112" t="s">
        <v>72</v>
      </c>
      <c r="B23" s="112"/>
      <c r="C23" s="112"/>
      <c r="D23" s="112"/>
      <c r="E23" s="111" t="s">
        <v>15</v>
      </c>
      <c r="F23" s="111"/>
      <c r="G23" s="111"/>
      <c r="H23" s="111"/>
      <c r="S23" s="47"/>
      <c r="T23" s="47"/>
      <c r="U23" s="47"/>
      <c r="V23" s="47" t="s">
        <v>203</v>
      </c>
      <c r="W23" s="47" t="s">
        <v>220</v>
      </c>
      <c r="X23"/>
      <c r="Y23"/>
      <c r="Z23"/>
    </row>
    <row r="24" spans="1:26" ht="18.75" customHeight="1" x14ac:dyDescent="0.25">
      <c r="A24" s="112"/>
      <c r="B24" s="112"/>
      <c r="C24" s="112"/>
      <c r="D24" s="112"/>
      <c r="E24" s="111"/>
      <c r="F24" s="111"/>
      <c r="G24" s="111"/>
      <c r="H24" s="111"/>
      <c r="S24" s="47"/>
      <c r="T24" s="47"/>
      <c r="U24" s="47"/>
      <c r="V24" s="47" t="s">
        <v>204</v>
      </c>
      <c r="W24" s="47" t="s">
        <v>221</v>
      </c>
      <c r="X24"/>
      <c r="Y24"/>
      <c r="Z24"/>
    </row>
    <row r="25" spans="1:26" ht="15" customHeight="1" x14ac:dyDescent="0.25">
      <c r="A25" s="166" t="s">
        <v>16</v>
      </c>
      <c r="B25" s="166"/>
      <c r="C25" s="166"/>
      <c r="D25" s="166"/>
      <c r="E25" s="112" t="s">
        <v>17</v>
      </c>
      <c r="F25" s="112"/>
      <c r="G25" s="112"/>
      <c r="H25" s="112"/>
      <c r="S25" s="47"/>
      <c r="T25" s="47"/>
      <c r="U25" s="47"/>
      <c r="V25" s="47" t="s">
        <v>205</v>
      </c>
      <c r="W25" s="47" t="s">
        <v>222</v>
      </c>
      <c r="X25"/>
      <c r="Y25"/>
      <c r="Z25"/>
    </row>
    <row r="26" spans="1:26" ht="15" customHeight="1" x14ac:dyDescent="0.25">
      <c r="A26" s="117" t="s">
        <v>18</v>
      </c>
      <c r="B26" s="117"/>
      <c r="C26" s="117"/>
      <c r="D26" s="117"/>
      <c r="E26" s="112" t="str">
        <f>IF(AND(G20="Mumbai"),"Upper Class","Middle Class")</f>
        <v>Upper Class</v>
      </c>
      <c r="F26" s="112"/>
      <c r="G26" s="112"/>
      <c r="H26" s="112"/>
      <c r="S26" s="47"/>
      <c r="T26" s="47"/>
      <c r="U26" s="47"/>
      <c r="V26" s="47" t="s">
        <v>206</v>
      </c>
      <c r="W26" s="47" t="s">
        <v>223</v>
      </c>
      <c r="X26"/>
      <c r="Y26"/>
      <c r="Z26"/>
    </row>
    <row r="27" spans="1:26" x14ac:dyDescent="0.25">
      <c r="A27" s="117" t="s">
        <v>19</v>
      </c>
      <c r="B27" s="117"/>
      <c r="C27" s="117"/>
      <c r="D27" s="117"/>
      <c r="E27" s="112" t="s">
        <v>20</v>
      </c>
      <c r="F27" s="112"/>
      <c r="G27" s="112"/>
      <c r="H27" s="112"/>
      <c r="S27" s="47"/>
      <c r="T27" s="47"/>
      <c r="U27" s="47"/>
      <c r="V27" s="47" t="s">
        <v>207</v>
      </c>
      <c r="W27" s="47" t="s">
        <v>224</v>
      </c>
      <c r="X27"/>
      <c r="Y27"/>
      <c r="Z27"/>
    </row>
    <row r="28" spans="1:26" ht="15.75" customHeight="1" x14ac:dyDescent="0.25">
      <c r="A28" s="117" t="s">
        <v>21</v>
      </c>
      <c r="B28" s="117"/>
      <c r="C28" s="117"/>
      <c r="D28" s="117"/>
      <c r="E28" s="112" t="str">
        <f>IF(AND(G20="Mumbai"),"Developed","Developing")</f>
        <v>Developed</v>
      </c>
      <c r="F28" s="112"/>
      <c r="G28" s="112"/>
      <c r="H28" s="112"/>
    </row>
    <row r="29" spans="1:26" x14ac:dyDescent="0.25">
      <c r="A29" s="117" t="s">
        <v>22</v>
      </c>
      <c r="B29" s="117"/>
      <c r="C29" s="117"/>
      <c r="D29" s="117"/>
      <c r="E29" s="112" t="s">
        <v>23</v>
      </c>
      <c r="F29" s="112"/>
      <c r="G29" s="112"/>
      <c r="H29" s="112"/>
    </row>
    <row r="30" spans="1:26" ht="15.75" customHeight="1" x14ac:dyDescent="0.25">
      <c r="A30" s="117" t="s">
        <v>77</v>
      </c>
      <c r="B30" s="117"/>
      <c r="C30" s="117"/>
      <c r="D30" s="117"/>
      <c r="E30" s="112" t="s">
        <v>78</v>
      </c>
      <c r="F30" s="112"/>
      <c r="G30" s="112"/>
      <c r="H30" s="112"/>
    </row>
    <row r="31" spans="1:26" ht="15" customHeight="1" x14ac:dyDescent="0.25">
      <c r="A31" s="117" t="s">
        <v>30</v>
      </c>
      <c r="B31" s="117"/>
      <c r="C31" s="117"/>
      <c r="D31" s="117"/>
      <c r="E31" s="112"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12"/>
      <c r="G31" s="112"/>
      <c r="H31" s="112"/>
    </row>
    <row r="32" spans="1:26" ht="15.75" customHeight="1" x14ac:dyDescent="0.25">
      <c r="A32" s="117" t="s">
        <v>88</v>
      </c>
      <c r="B32" s="117"/>
      <c r="C32" s="117"/>
      <c r="D32" s="117"/>
      <c r="E32" s="112" t="s">
        <v>31</v>
      </c>
      <c r="F32" s="112"/>
      <c r="G32" s="112"/>
      <c r="H32" s="112"/>
    </row>
    <row r="33" spans="1:19" s="19" customFormat="1" x14ac:dyDescent="0.25">
      <c r="A33" s="203" t="s">
        <v>89</v>
      </c>
      <c r="B33" s="203"/>
      <c r="C33" s="200" t="s">
        <v>172</v>
      </c>
      <c r="D33" s="201"/>
      <c r="E33" s="202"/>
      <c r="F33" s="200" t="s">
        <v>29</v>
      </c>
      <c r="G33" s="201"/>
      <c r="H33" s="202"/>
      <c r="S33" s="19" t="e">
        <f ca="1">OFFSET($S$13,1,MATCH($G20,$S$13:$W$13,0)-1,15,1)</f>
        <v>#VALUE!</v>
      </c>
    </row>
    <row r="34" spans="1:19" s="19" customFormat="1" x14ac:dyDescent="0.25">
      <c r="A34" s="185" t="s">
        <v>24</v>
      </c>
      <c r="B34" s="185" t="s">
        <v>28</v>
      </c>
      <c r="C34" s="186" t="s">
        <v>318</v>
      </c>
      <c r="D34" s="187"/>
      <c r="E34" s="188"/>
      <c r="F34" s="186" t="s">
        <v>316</v>
      </c>
      <c r="G34" s="187"/>
      <c r="H34" s="188"/>
    </row>
    <row r="35" spans="1:19" x14ac:dyDescent="0.25">
      <c r="A35" s="185" t="s">
        <v>25</v>
      </c>
      <c r="B35" s="185" t="s">
        <v>28</v>
      </c>
      <c r="C35" s="186" t="s">
        <v>319</v>
      </c>
      <c r="D35" s="187"/>
      <c r="E35" s="188"/>
      <c r="F35" s="186" t="s">
        <v>313</v>
      </c>
      <c r="G35" s="187"/>
      <c r="H35" s="188"/>
    </row>
    <row r="36" spans="1:19" s="19" customFormat="1" x14ac:dyDescent="0.25">
      <c r="A36" s="185" t="s">
        <v>27</v>
      </c>
      <c r="B36" s="185" t="s">
        <v>28</v>
      </c>
      <c r="C36" s="186" t="s">
        <v>320</v>
      </c>
      <c r="D36" s="187"/>
      <c r="E36" s="188"/>
      <c r="F36" s="186" t="s">
        <v>313</v>
      </c>
      <c r="G36" s="187"/>
      <c r="H36" s="188"/>
    </row>
    <row r="37" spans="1:19" x14ac:dyDescent="0.25">
      <c r="A37" s="185" t="s">
        <v>26</v>
      </c>
      <c r="B37" s="185" t="s">
        <v>28</v>
      </c>
      <c r="C37" s="186" t="s">
        <v>321</v>
      </c>
      <c r="D37" s="187"/>
      <c r="E37" s="188"/>
      <c r="F37" s="186" t="s">
        <v>317</v>
      </c>
      <c r="G37" s="187"/>
      <c r="H37" s="188"/>
    </row>
    <row r="38" spans="1:19" x14ac:dyDescent="0.25">
      <c r="A38" s="117" t="s">
        <v>281</v>
      </c>
      <c r="B38" s="117"/>
      <c r="C38" s="117"/>
      <c r="D38" s="117"/>
      <c r="E38" s="117"/>
      <c r="F38" s="117"/>
      <c r="G38" s="117"/>
      <c r="H38" s="117"/>
    </row>
    <row r="39" spans="1:19" ht="15.75" customHeight="1" x14ac:dyDescent="0.25">
      <c r="A39" s="117" t="s">
        <v>164</v>
      </c>
      <c r="B39" s="117"/>
      <c r="C39" s="180" t="s">
        <v>308</v>
      </c>
      <c r="D39" s="180"/>
      <c r="E39" s="180"/>
      <c r="F39" s="180"/>
      <c r="G39" s="180"/>
      <c r="H39" s="180"/>
    </row>
    <row r="40" spans="1:19" x14ac:dyDescent="0.25">
      <c r="A40" s="117" t="s">
        <v>160</v>
      </c>
      <c r="B40" s="117"/>
      <c r="C40" s="143" t="s">
        <v>307</v>
      </c>
      <c r="D40" s="112"/>
      <c r="E40" s="112"/>
      <c r="F40" s="112"/>
      <c r="G40" s="112"/>
      <c r="H40" s="112"/>
    </row>
    <row r="41" spans="1:19" x14ac:dyDescent="0.25">
      <c r="A41" s="180" t="s">
        <v>32</v>
      </c>
      <c r="B41" s="180"/>
      <c r="C41" s="180"/>
      <c r="D41" s="180"/>
      <c r="E41" s="180"/>
      <c r="F41" s="180"/>
      <c r="G41" s="180"/>
      <c r="H41" s="180"/>
    </row>
    <row r="42" spans="1:19" x14ac:dyDescent="0.25">
      <c r="A42" s="117" t="s">
        <v>33</v>
      </c>
      <c r="B42" s="117"/>
      <c r="C42" s="117"/>
      <c r="D42" s="117"/>
      <c r="E42" s="189">
        <v>12383.27</v>
      </c>
      <c r="F42" s="189"/>
      <c r="G42" s="189"/>
      <c r="H42" s="189"/>
    </row>
    <row r="43" spans="1:19" x14ac:dyDescent="0.25">
      <c r="A43" s="117" t="s">
        <v>34</v>
      </c>
      <c r="B43" s="117"/>
      <c r="C43" s="117"/>
      <c r="D43" s="117"/>
      <c r="E43" s="225">
        <v>1</v>
      </c>
      <c r="F43" s="225"/>
      <c r="G43" s="225"/>
      <c r="H43" s="225"/>
    </row>
    <row r="44" spans="1:19" x14ac:dyDescent="0.25">
      <c r="A44" s="111" t="s">
        <v>35</v>
      </c>
      <c r="B44" s="111"/>
      <c r="C44" s="111"/>
      <c r="D44" s="111"/>
      <c r="E44" s="191">
        <f>E46/E42-E43</f>
        <v>1.3981242434348924</v>
      </c>
      <c r="F44" s="191"/>
      <c r="G44" s="191"/>
      <c r="H44" s="191"/>
    </row>
    <row r="45" spans="1:19" x14ac:dyDescent="0.25">
      <c r="A45" s="111" t="s">
        <v>36</v>
      </c>
      <c r="B45" s="111"/>
      <c r="C45" s="111"/>
      <c r="D45" s="111"/>
      <c r="E45" s="191">
        <f>E43+E44</f>
        <v>2.3981242434348924</v>
      </c>
      <c r="F45" s="191"/>
      <c r="G45" s="191"/>
      <c r="H45" s="191"/>
    </row>
    <row r="46" spans="1:19" x14ac:dyDescent="0.25">
      <c r="A46" s="111" t="s">
        <v>87</v>
      </c>
      <c r="B46" s="111"/>
      <c r="C46" s="111"/>
      <c r="D46" s="111"/>
      <c r="E46" s="192">
        <v>29696.62</v>
      </c>
      <c r="F46" s="192"/>
      <c r="G46" s="192"/>
      <c r="H46" s="192"/>
    </row>
    <row r="47" spans="1:19" x14ac:dyDescent="0.25">
      <c r="A47" s="111" t="s">
        <v>37</v>
      </c>
      <c r="B47" s="111"/>
      <c r="C47" s="111"/>
      <c r="D47" s="111"/>
      <c r="E47" s="111" t="s">
        <v>348</v>
      </c>
      <c r="F47" s="111"/>
      <c r="G47" s="111"/>
      <c r="H47" s="111"/>
    </row>
    <row r="48" spans="1:19" x14ac:dyDescent="0.25">
      <c r="A48" s="168" t="s">
        <v>38</v>
      </c>
      <c r="B48" s="168"/>
      <c r="C48" s="168"/>
      <c r="D48" s="168"/>
      <c r="E48" s="168"/>
      <c r="F48" s="168"/>
      <c r="G48" s="168"/>
      <c r="H48" s="168"/>
    </row>
    <row r="49" spans="1:24" ht="33.75" customHeight="1" x14ac:dyDescent="0.25">
      <c r="A49" s="158" t="s">
        <v>149</v>
      </c>
      <c r="B49" s="159"/>
      <c r="C49" s="174" t="s">
        <v>256</v>
      </c>
      <c r="D49" s="175"/>
      <c r="E49" s="175"/>
      <c r="F49" s="175"/>
      <c r="G49" s="175"/>
      <c r="H49" s="176"/>
      <c r="R49" t="s">
        <v>254</v>
      </c>
      <c r="S49" t="s">
        <v>171</v>
      </c>
      <c r="T49" t="s">
        <v>178</v>
      </c>
      <c r="U49" t="s">
        <v>193</v>
      </c>
      <c r="V49" t="s">
        <v>188</v>
      </c>
    </row>
    <row r="50" spans="1:24" x14ac:dyDescent="0.25">
      <c r="A50" s="158" t="s">
        <v>39</v>
      </c>
      <c r="B50" s="159"/>
      <c r="C50" s="158" t="s">
        <v>370</v>
      </c>
      <c r="D50" s="196"/>
      <c r="E50" s="159"/>
      <c r="F50" s="61" t="s">
        <v>40</v>
      </c>
      <c r="G50" s="197">
        <v>45821</v>
      </c>
      <c r="H50" s="198"/>
      <c r="R50"/>
      <c r="S50" t="s">
        <v>255</v>
      </c>
      <c r="T50" t="s">
        <v>260</v>
      </c>
      <c r="U50" t="s">
        <v>271</v>
      </c>
      <c r="V50" t="s">
        <v>276</v>
      </c>
    </row>
    <row r="51" spans="1:24" ht="30.75" customHeight="1" x14ac:dyDescent="0.25">
      <c r="A51" s="181" t="s">
        <v>373</v>
      </c>
      <c r="B51" s="183"/>
      <c r="C51" s="181" t="str">
        <f>C50</f>
        <v xml:space="preserve">CHE/8526/BP(WS)/AP/337/8/Amend
</v>
      </c>
      <c r="D51" s="182"/>
      <c r="E51" s="183"/>
      <c r="F51" s="93" t="s">
        <v>40</v>
      </c>
      <c r="G51" s="160">
        <f>G50</f>
        <v>45821</v>
      </c>
      <c r="H51" s="161"/>
      <c r="R51"/>
      <c r="S51" t="s">
        <v>256</v>
      </c>
      <c r="T51" t="s">
        <v>261</v>
      </c>
      <c r="U51" t="s">
        <v>269</v>
      </c>
      <c r="V51" t="s">
        <v>277</v>
      </c>
    </row>
    <row r="52" spans="1:24" ht="30.75" customHeight="1" x14ac:dyDescent="0.25">
      <c r="A52" s="96" t="s">
        <v>374</v>
      </c>
      <c r="B52" s="97"/>
      <c r="C52" s="96" t="s">
        <v>375</v>
      </c>
      <c r="D52" s="98"/>
      <c r="E52" s="97"/>
      <c r="F52" s="95" t="s">
        <v>40</v>
      </c>
      <c r="G52" s="99">
        <v>45734</v>
      </c>
      <c r="H52" s="100"/>
      <c r="R52"/>
      <c r="S52" t="s">
        <v>256</v>
      </c>
      <c r="T52" t="s">
        <v>261</v>
      </c>
      <c r="U52" t="s">
        <v>269</v>
      </c>
      <c r="V52" t="s">
        <v>277</v>
      </c>
    </row>
    <row r="53" spans="1:24" s="20" customFormat="1" ht="15.75" customHeight="1" x14ac:dyDescent="0.25">
      <c r="A53" s="162" t="s">
        <v>153</v>
      </c>
      <c r="B53" s="163"/>
      <c r="C53" s="158" t="s">
        <v>349</v>
      </c>
      <c r="D53" s="196"/>
      <c r="E53" s="159"/>
      <c r="F53" s="61" t="s">
        <v>40</v>
      </c>
      <c r="G53" s="197">
        <v>45838</v>
      </c>
      <c r="H53" s="198"/>
      <c r="R53"/>
      <c r="S53" t="s">
        <v>257</v>
      </c>
      <c r="T53" t="s">
        <v>262</v>
      </c>
      <c r="U53" t="s">
        <v>259</v>
      </c>
      <c r="V53" t="s">
        <v>278</v>
      </c>
    </row>
    <row r="54" spans="1:24" s="20" customFormat="1" ht="291.95" customHeight="1" x14ac:dyDescent="0.25">
      <c r="A54" s="164"/>
      <c r="B54" s="165"/>
      <c r="C54" s="158" t="s">
        <v>350</v>
      </c>
      <c r="D54" s="196"/>
      <c r="E54" s="159"/>
      <c r="F54" s="61" t="s">
        <v>116</v>
      </c>
      <c r="G54" s="197">
        <v>46139</v>
      </c>
      <c r="H54" s="198"/>
      <c r="R54"/>
      <c r="S54" t="s">
        <v>258</v>
      </c>
      <c r="T54" t="s">
        <v>265</v>
      </c>
      <c r="U54" t="s">
        <v>272</v>
      </c>
    </row>
    <row r="55" spans="1:24" s="20" customFormat="1" ht="18.75" customHeight="1" x14ac:dyDescent="0.25">
      <c r="A55" s="162" t="s">
        <v>282</v>
      </c>
      <c r="B55" s="163"/>
      <c r="C55" s="193" t="s">
        <v>352</v>
      </c>
      <c r="D55" s="194"/>
      <c r="E55" s="195"/>
      <c r="F55" s="17" t="s">
        <v>40</v>
      </c>
      <c r="G55" s="226">
        <v>45718</v>
      </c>
      <c r="H55" s="195"/>
      <c r="R55"/>
      <c r="S55" t="s">
        <v>257</v>
      </c>
      <c r="T55" t="s">
        <v>262</v>
      </c>
      <c r="U55" t="s">
        <v>259</v>
      </c>
      <c r="V55" t="s">
        <v>278</v>
      </c>
    </row>
    <row r="56" spans="1:24" s="20" customFormat="1" ht="33.950000000000003" customHeight="1" x14ac:dyDescent="0.25">
      <c r="A56" s="164"/>
      <c r="B56" s="165"/>
      <c r="C56" s="177" t="s">
        <v>353</v>
      </c>
      <c r="D56" s="178"/>
      <c r="E56" s="178"/>
      <c r="F56" s="178"/>
      <c r="G56" s="178"/>
      <c r="H56" s="179"/>
      <c r="R56"/>
      <c r="S56" t="s">
        <v>259</v>
      </c>
      <c r="T56" t="s">
        <v>263</v>
      </c>
      <c r="U56" t="s">
        <v>273</v>
      </c>
      <c r="V56" s="18"/>
      <c r="W56" s="18"/>
      <c r="X56" s="18"/>
    </row>
    <row r="57" spans="1:24" s="20" customFormat="1" ht="34.5" hidden="1" customHeight="1" x14ac:dyDescent="0.25">
      <c r="A57" s="227" t="s">
        <v>283</v>
      </c>
      <c r="B57" s="228"/>
      <c r="C57" s="193"/>
      <c r="D57" s="194"/>
      <c r="E57" s="195"/>
      <c r="F57" s="17" t="s">
        <v>40</v>
      </c>
      <c r="G57" s="193"/>
      <c r="H57" s="195"/>
      <c r="R57"/>
      <c r="S57" s="18"/>
      <c r="T57" t="s">
        <v>264</v>
      </c>
      <c r="U57" t="s">
        <v>274</v>
      </c>
      <c r="V57" s="18"/>
      <c r="W57" s="18"/>
      <c r="X57" s="18"/>
    </row>
    <row r="58" spans="1:24" s="20" customFormat="1" ht="41.25" hidden="1" customHeight="1" x14ac:dyDescent="0.25">
      <c r="A58" s="229"/>
      <c r="B58" s="230"/>
      <c r="C58" s="193"/>
      <c r="D58" s="194"/>
      <c r="E58" s="194"/>
      <c r="F58" s="194"/>
      <c r="G58" s="194"/>
      <c r="H58" s="195"/>
      <c r="R58"/>
      <c r="S58" s="18"/>
      <c r="T58" t="s">
        <v>266</v>
      </c>
      <c r="U58" t="s">
        <v>275</v>
      </c>
      <c r="V58" s="18"/>
      <c r="W58" s="18"/>
      <c r="X58" s="18"/>
    </row>
    <row r="59" spans="1:24" s="20" customFormat="1" ht="15.75" hidden="1" customHeight="1" x14ac:dyDescent="0.25">
      <c r="A59" s="227" t="s">
        <v>284</v>
      </c>
      <c r="B59" s="228"/>
      <c r="C59" s="193"/>
      <c r="D59" s="194"/>
      <c r="E59" s="195"/>
      <c r="F59" s="17" t="s">
        <v>40</v>
      </c>
      <c r="G59" s="193"/>
      <c r="H59" s="195"/>
      <c r="R59"/>
      <c r="S59" s="18"/>
      <c r="T59" t="s">
        <v>267</v>
      </c>
      <c r="U59" s="18" t="s">
        <v>298</v>
      </c>
      <c r="V59" s="18"/>
      <c r="W59" s="18"/>
      <c r="X59" s="18"/>
    </row>
    <row r="60" spans="1:24" s="20" customFormat="1" ht="33.75" hidden="1" customHeight="1" x14ac:dyDescent="0.25">
      <c r="A60" s="229"/>
      <c r="B60" s="230"/>
      <c r="C60" s="166"/>
      <c r="D60" s="166"/>
      <c r="E60" s="166"/>
      <c r="F60" s="17" t="s">
        <v>116</v>
      </c>
      <c r="G60" s="166"/>
      <c r="H60" s="166"/>
      <c r="R60"/>
      <c r="S60" s="18"/>
      <c r="T60" t="s">
        <v>268</v>
      </c>
      <c r="U60" s="18"/>
      <c r="V60" s="18"/>
      <c r="W60" s="18"/>
      <c r="X60" s="18"/>
    </row>
    <row r="61" spans="1:24" ht="125.25" customHeight="1" x14ac:dyDescent="0.25">
      <c r="A61" s="213" t="s">
        <v>41</v>
      </c>
      <c r="B61" s="213"/>
      <c r="C61" s="213" t="s">
        <v>342</v>
      </c>
      <c r="D61" s="213"/>
      <c r="E61" s="213"/>
      <c r="F61" s="94" t="s">
        <v>40</v>
      </c>
      <c r="G61" s="216">
        <v>45734</v>
      </c>
      <c r="H61" s="216"/>
      <c r="R61"/>
      <c r="T61" t="s">
        <v>270</v>
      </c>
    </row>
    <row r="62" spans="1:24" x14ac:dyDescent="0.25">
      <c r="A62" s="199" t="s">
        <v>43</v>
      </c>
      <c r="B62" s="199"/>
      <c r="C62" s="199"/>
      <c r="D62" s="199"/>
      <c r="E62" s="199"/>
      <c r="F62" s="199"/>
      <c r="G62" s="199"/>
      <c r="H62" s="199"/>
      <c r="T62" t="s">
        <v>279</v>
      </c>
    </row>
    <row r="63" spans="1:24" ht="33" customHeight="1" x14ac:dyDescent="0.25">
      <c r="A63" s="166" t="s">
        <v>366</v>
      </c>
      <c r="B63" s="166"/>
      <c r="C63" s="166"/>
      <c r="D63" s="117">
        <v>18365.72</v>
      </c>
      <c r="E63" s="117"/>
      <c r="F63" s="117"/>
      <c r="G63" s="117"/>
      <c r="H63" s="117"/>
      <c r="R63"/>
    </row>
    <row r="64" spans="1:24" x14ac:dyDescent="0.25">
      <c r="A64" s="112" t="s">
        <v>44</v>
      </c>
      <c r="B64" s="111"/>
      <c r="C64" s="111"/>
      <c r="D64" s="215" t="s">
        <v>367</v>
      </c>
      <c r="E64" s="215"/>
      <c r="F64" s="215"/>
      <c r="G64" s="215"/>
      <c r="H64" s="215"/>
      <c r="I64" s="21"/>
      <c r="R64"/>
    </row>
    <row r="65" spans="1:19" ht="31.5" customHeight="1" x14ac:dyDescent="0.25">
      <c r="A65" s="112" t="s">
        <v>45</v>
      </c>
      <c r="B65" s="112"/>
      <c r="C65" s="112"/>
      <c r="D65" s="112" t="s">
        <v>363</v>
      </c>
      <c r="E65" s="111"/>
      <c r="F65" s="111"/>
      <c r="G65" s="111"/>
      <c r="H65" s="111"/>
      <c r="R65"/>
    </row>
    <row r="66" spans="1:19" ht="15.75" customHeight="1" x14ac:dyDescent="0.25">
      <c r="A66" s="112" t="s">
        <v>85</v>
      </c>
      <c r="B66" s="112"/>
      <c r="C66" s="112"/>
      <c r="D66" s="112" t="s">
        <v>351</v>
      </c>
      <c r="E66" s="111"/>
      <c r="F66" s="111"/>
      <c r="G66" s="111"/>
      <c r="H66" s="111"/>
      <c r="R66"/>
    </row>
    <row r="67" spans="1:19" ht="15.75" customHeight="1" x14ac:dyDescent="0.25">
      <c r="A67" s="111" t="s">
        <v>42</v>
      </c>
      <c r="B67" s="111"/>
      <c r="C67" s="111"/>
      <c r="D67" s="112" t="s">
        <v>322</v>
      </c>
      <c r="E67" s="112"/>
      <c r="F67" s="112"/>
      <c r="G67" s="112"/>
      <c r="H67" s="112"/>
      <c r="J67" s="22"/>
      <c r="K67" s="21"/>
      <c r="N67" s="21"/>
      <c r="S67"/>
    </row>
    <row r="68" spans="1:19" ht="15.75" customHeight="1" x14ac:dyDescent="0.25">
      <c r="A68" s="111" t="s">
        <v>83</v>
      </c>
      <c r="B68" s="111"/>
      <c r="C68" s="111"/>
      <c r="D68" s="190" t="s">
        <v>354</v>
      </c>
      <c r="E68" s="190"/>
      <c r="F68" s="190"/>
      <c r="G68" s="190"/>
      <c r="H68" s="190"/>
      <c r="I68" s="190" t="str">
        <f>(IF(L61="NA","60 Years After Completion",IF(L61&lt;&gt;"NA",""&amp;60-ROUNDDOWN((J3-L61)/360,0)&amp;" Years"," ")))</f>
        <v>60 Years</v>
      </c>
      <c r="J68" s="190"/>
      <c r="K68" s="190"/>
      <c r="L68" s="190"/>
      <c r="M68" s="190"/>
      <c r="N68" s="21"/>
      <c r="S68"/>
    </row>
    <row r="69" spans="1:19" ht="15.75" customHeight="1" x14ac:dyDescent="0.25">
      <c r="A69" s="111" t="s">
        <v>84</v>
      </c>
      <c r="B69" s="111"/>
      <c r="C69" s="111"/>
      <c r="D69" s="112" t="s">
        <v>23</v>
      </c>
      <c r="E69" s="112"/>
      <c r="F69" s="112"/>
      <c r="G69" s="112"/>
      <c r="H69" s="112"/>
      <c r="J69" s="23"/>
      <c r="K69" s="23"/>
      <c r="S69"/>
    </row>
    <row r="70" spans="1:19" x14ac:dyDescent="0.25">
      <c r="A70" s="111" t="s">
        <v>338</v>
      </c>
      <c r="B70" s="111"/>
      <c r="C70" s="111"/>
      <c r="D70" s="112" t="s">
        <v>337</v>
      </c>
      <c r="E70" s="112"/>
      <c r="F70" s="112"/>
      <c r="G70" s="112"/>
      <c r="H70" s="112"/>
      <c r="S70"/>
    </row>
    <row r="71" spans="1:19" x14ac:dyDescent="0.25">
      <c r="A71" s="112" t="s">
        <v>145</v>
      </c>
      <c r="B71" s="112"/>
      <c r="C71" s="112"/>
      <c r="D71" s="112" t="s">
        <v>28</v>
      </c>
      <c r="E71" s="112"/>
      <c r="F71" s="112"/>
      <c r="G71" s="112"/>
      <c r="H71" s="112"/>
      <c r="I71" s="24"/>
      <c r="J71" s="24"/>
      <c r="K71" s="24"/>
      <c r="L71" s="24"/>
      <c r="M71" s="24"/>
      <c r="N71" s="24"/>
    </row>
    <row r="72" spans="1:19" ht="15.75" customHeight="1" x14ac:dyDescent="0.25">
      <c r="A72" s="214" t="s">
        <v>82</v>
      </c>
      <c r="B72" s="214"/>
      <c r="C72" s="214"/>
      <c r="D72" s="217" t="str">
        <f ca="1">(IF(G78&gt;95%,"Nothing",IF(G78&gt;0%,"Cement, Aggregate, Steel, etc",IF(G78=0%,"Work not yet Started"))))</f>
        <v>Cement, Aggregate, Steel, etc</v>
      </c>
      <c r="E72" s="217"/>
      <c r="F72" s="217"/>
      <c r="G72" s="217"/>
      <c r="H72" s="217"/>
      <c r="J72" s="23"/>
      <c r="S72"/>
    </row>
    <row r="73" spans="1:19" ht="33.75" customHeight="1" thickBot="1" x14ac:dyDescent="0.3">
      <c r="A73" s="217" t="s">
        <v>113</v>
      </c>
      <c r="B73" s="217"/>
      <c r="C73" s="217"/>
      <c r="D73" s="217" t="str">
        <f ca="1">(IF(D72="Nothing","Yes",IF(D72="Cement, Aggregate, Steel, etc","Under Construction",IF(D72="Work not yet Started","Work not yet Started"))))</f>
        <v>Under Construction</v>
      </c>
      <c r="E73" s="217"/>
      <c r="F73" s="217" t="str">
        <f ca="1">(IF(D72="Nothing","Yes",IF(D72="Cement, Aggregate, Steel, etc","Under Construction",IF(D72="Work not yet Started","Work not yet Started"))))</f>
        <v>Under Construction</v>
      </c>
      <c r="G73" s="217"/>
      <c r="H73" s="217"/>
      <c r="S73"/>
    </row>
    <row r="74" spans="1:19" ht="15.75" customHeight="1" x14ac:dyDescent="0.25">
      <c r="A74" s="244" t="s">
        <v>135</v>
      </c>
      <c r="B74" s="245"/>
      <c r="C74" s="246" t="s">
        <v>364</v>
      </c>
      <c r="D74" s="247"/>
      <c r="E74" s="247"/>
      <c r="F74" s="247"/>
      <c r="G74" s="247"/>
      <c r="H74" s="248"/>
      <c r="I74" s="40" t="str">
        <f ca="1">IF(D87=100%,"All work Completed. Possession granted to the Building.",IF(D86=100%,"All work Completed, Waiting for OC",I75&amp;""&amp;I76&amp;""&amp;J75&amp;""&amp;J74&amp;" "&amp;J76))</f>
        <v>Excavation, Plinth Completed, RCC upto 9 Slab, Brickwork upto 8 Floor, Internal Plaster upto 6 Floor, External Plaster upto 5.2 Floor Completed</v>
      </c>
      <c r="J74" s="41"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9 Slab, Brickwork upto 8 Floor, Internal Plaster upto 6 Floor, External Plaster upto 5.2 Floor</v>
      </c>
      <c r="S74"/>
    </row>
    <row r="75" spans="1:19" x14ac:dyDescent="0.25">
      <c r="A75" s="249" t="s">
        <v>137</v>
      </c>
      <c r="B75" s="250">
        <f>IF(AND(ISNUMBER(SEARCH("1B",C74))),1,IF(AND(ISNUMBER(SEARCH("2B",C74))),2,IF(AND(ISNUMBER(SEARCH("3B",C74))),3,IF(AND(ISNUMBER(SEARCH("4B",C74))),4,IF(ISNUMBER(SEARCH("5B",C74)),5,0)))))</f>
        <v>1</v>
      </c>
      <c r="C75" s="250" t="s">
        <v>68</v>
      </c>
      <c r="D75" s="250">
        <v>1</v>
      </c>
      <c r="E75" s="250" t="s">
        <v>67</v>
      </c>
      <c r="F75" s="250">
        <v>0</v>
      </c>
      <c r="G75" s="250" t="s">
        <v>76</v>
      </c>
      <c r="H75" s="251">
        <f ca="1">--TRIM(RIGHT(SUBSTITUTE(LEFT(C74,_xlfn.AGGREGATE(16,6,FIND({0,1,2,3,4,5,6,7,8,9},C74,ROW(INDIRECT("1:"&amp;LEN(C74)))),1))," ",REPT(" ",LEN(C74))),LEN(C74)))</f>
        <v>22</v>
      </c>
      <c r="I75" s="42" t="str">
        <f ca="1">IF(D78=100%,"Excavation","")&amp;IF(D79=100%,", Plinth","")&amp;IF(D80=100%,", RCC Slab","")&amp;IF(D81=100%,", Brickwork","")&amp;IF(D82=100%,", Internal Plaster","")&amp;IF(D83=100%,", External Plaster","")&amp;IF(D84=100%,", Flooring","")&amp;IF(D85=100%,", Painting","")&amp;IF(D86=100%,", Building common Amenities","")</f>
        <v>Excavation, Plinth</v>
      </c>
      <c r="J75" s="43"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0.75" customHeight="1" x14ac:dyDescent="0.25">
      <c r="A76" s="252" t="s">
        <v>86</v>
      </c>
      <c r="B76" s="253"/>
      <c r="C76" s="254" t="str">
        <f ca="1">I74</f>
        <v>Excavation, Plinth Completed, RCC upto 9 Slab, Brickwork upto 8 Floor, Internal Plaster upto 6 Floor, External Plaster upto 5.2 Floor Completed</v>
      </c>
      <c r="D76" s="254"/>
      <c r="E76" s="254"/>
      <c r="F76" s="254"/>
      <c r="G76" s="254"/>
      <c r="H76" s="255"/>
      <c r="I76" s="42" t="str">
        <f ca="1">IF(I75&lt;&gt;""," Completed","")</f>
        <v xml:space="preserve"> Completed</v>
      </c>
      <c r="J76" s="43" t="str">
        <f ca="1">IF(J74&lt;&gt;"","Completed","")</f>
        <v>Completed</v>
      </c>
      <c r="S76"/>
    </row>
    <row r="77" spans="1:19" ht="15.75" customHeight="1" x14ac:dyDescent="0.25">
      <c r="A77" s="256" t="s">
        <v>46</v>
      </c>
      <c r="B77" s="257"/>
      <c r="C77" s="258" t="s">
        <v>134</v>
      </c>
      <c r="D77" s="258" t="s">
        <v>79</v>
      </c>
      <c r="E77" s="257" t="s">
        <v>81</v>
      </c>
      <c r="F77" s="257"/>
      <c r="G77" s="257" t="s">
        <v>80</v>
      </c>
      <c r="H77" s="259"/>
      <c r="I77" s="13" t="s">
        <v>136</v>
      </c>
      <c r="J77" s="25">
        <f ca="1">H75*25%</f>
        <v>5.5</v>
      </c>
      <c r="S77"/>
    </row>
    <row r="78" spans="1:19" x14ac:dyDescent="0.25">
      <c r="A78" s="256" t="s">
        <v>123</v>
      </c>
      <c r="B78" s="257"/>
      <c r="C78" s="258">
        <f ca="1">J79</f>
        <v>22</v>
      </c>
      <c r="D78" s="260">
        <f ca="1">((100/H75)*C78)/100</f>
        <v>1.0000000000000002</v>
      </c>
      <c r="E78" s="261">
        <f ca="1">(((C79/H75*10)+(40/(D75+F75+H75)*C80)+(7.5/(H75)*C81)+(7.5/(H75)*C82)+(10/H75*C83)+(10/H75*C84)+(5/H75*C85)+(5/H75*C86)+(5/H75*C87))/100)</f>
        <v>0.32788537549407115</v>
      </c>
      <c r="F78" s="262"/>
      <c r="G78" s="261">
        <f ca="1">((((C78/H75)*20)+((C79/H75)*25)+(30/(H75+F75+D75)*C80)+(5/H75*C81)+(5/H75*C82)+(5/H75*C83)+(5/H75*C84)+(0/H75*C85)+(0/H75*C86)+(5/H75*C87))/100)</f>
        <v>0.61102766798418973</v>
      </c>
      <c r="H78" s="263"/>
      <c r="I78" s="13" t="s">
        <v>96</v>
      </c>
      <c r="J78" s="26">
        <f ca="1">H75*50%</f>
        <v>11</v>
      </c>
    </row>
    <row r="79" spans="1:19" x14ac:dyDescent="0.25">
      <c r="A79" s="256" t="s">
        <v>47</v>
      </c>
      <c r="B79" s="257"/>
      <c r="C79" s="258">
        <f ca="1">J87</f>
        <v>22</v>
      </c>
      <c r="D79" s="260">
        <f ca="1">((100/H75)*C79)/100</f>
        <v>1.0000000000000002</v>
      </c>
      <c r="E79" s="264"/>
      <c r="F79" s="265"/>
      <c r="G79" s="264"/>
      <c r="H79" s="266"/>
      <c r="I79" s="13" t="s">
        <v>97</v>
      </c>
      <c r="J79" s="26">
        <f ca="1">H75</f>
        <v>22</v>
      </c>
      <c r="S79"/>
    </row>
    <row r="80" spans="1:19" ht="15.75" customHeight="1" x14ac:dyDescent="0.25">
      <c r="A80" s="256" t="s">
        <v>124</v>
      </c>
      <c r="B80" s="257"/>
      <c r="C80" s="258">
        <v>9</v>
      </c>
      <c r="D80" s="260">
        <f ca="1">((100/(D75+F75+H75))*C80)/100</f>
        <v>0.39130434782608697</v>
      </c>
      <c r="E80" s="264"/>
      <c r="F80" s="265"/>
      <c r="G80" s="264"/>
      <c r="H80" s="266"/>
      <c r="I80" s="13" t="s">
        <v>98</v>
      </c>
      <c r="J80" s="27">
        <f ca="1">(IF(B75&gt;1,(H75/(B75+2)),H75/4))</f>
        <v>5.5</v>
      </c>
      <c r="S80"/>
    </row>
    <row r="81" spans="1:19" ht="15.75" customHeight="1" x14ac:dyDescent="0.25">
      <c r="A81" s="256" t="s">
        <v>131</v>
      </c>
      <c r="B81" s="257" t="s">
        <v>125</v>
      </c>
      <c r="C81" s="258">
        <f>C80-1</f>
        <v>8</v>
      </c>
      <c r="D81" s="260">
        <f ca="1">((100/H75)*C81)/100</f>
        <v>0.36363636363636365</v>
      </c>
      <c r="E81" s="264"/>
      <c r="F81" s="265"/>
      <c r="G81" s="264"/>
      <c r="H81" s="266"/>
      <c r="I81" s="13" t="s">
        <v>99</v>
      </c>
      <c r="J81" s="27">
        <f ca="1">(IF(B75&gt;1,(H75/(B75+2)+J80),H75/4+J80))</f>
        <v>11</v>
      </c>
    </row>
    <row r="82" spans="1:19" ht="15.75" customHeight="1" x14ac:dyDescent="0.25">
      <c r="A82" s="256" t="s">
        <v>132</v>
      </c>
      <c r="B82" s="257" t="s">
        <v>125</v>
      </c>
      <c r="C82" s="258">
        <f>C81*0.75</f>
        <v>6</v>
      </c>
      <c r="D82" s="260">
        <f ca="1">((100/H75)*C82)/100</f>
        <v>0.27272727272727271</v>
      </c>
      <c r="E82" s="264"/>
      <c r="F82" s="265"/>
      <c r="G82" s="264"/>
      <c r="H82" s="266"/>
      <c r="I82" s="13" t="s">
        <v>143</v>
      </c>
      <c r="J82" s="27">
        <f>(IF(B75&gt;1,(H75/(B75+2)+J81),0))</f>
        <v>0</v>
      </c>
    </row>
    <row r="83" spans="1:19" ht="15" customHeight="1" x14ac:dyDescent="0.25">
      <c r="A83" s="256" t="s">
        <v>130</v>
      </c>
      <c r="B83" s="257" t="s">
        <v>127</v>
      </c>
      <c r="C83" s="267">
        <f>C81*0.65</f>
        <v>5.2</v>
      </c>
      <c r="D83" s="260">
        <f ca="1">((100/(H75))*C83)/100</f>
        <v>0.23636363636363641</v>
      </c>
      <c r="E83" s="264"/>
      <c r="F83" s="265"/>
      <c r="G83" s="264"/>
      <c r="H83" s="266"/>
      <c r="I83" s="13" t="s">
        <v>138</v>
      </c>
      <c r="J83" s="27">
        <f>(IF(B75&gt;2,(H75/(B75+2)+J82),0))</f>
        <v>0</v>
      </c>
    </row>
    <row r="84" spans="1:19" ht="15.75" customHeight="1" x14ac:dyDescent="0.25">
      <c r="A84" s="256" t="s">
        <v>126</v>
      </c>
      <c r="B84" s="257" t="s">
        <v>126</v>
      </c>
      <c r="C84" s="258">
        <v>0</v>
      </c>
      <c r="D84" s="260">
        <f ca="1">((100/H75)*C84)/100</f>
        <v>0</v>
      </c>
      <c r="E84" s="264"/>
      <c r="F84" s="265"/>
      <c r="G84" s="264"/>
      <c r="H84" s="266"/>
      <c r="I84" s="13" t="s">
        <v>139</v>
      </c>
      <c r="J84" s="28">
        <f>(IF(B75&gt;3,(H75/(B75+2)+J83),0))</f>
        <v>0</v>
      </c>
    </row>
    <row r="85" spans="1:19" ht="15.75" customHeight="1" x14ac:dyDescent="0.25">
      <c r="A85" s="256" t="s">
        <v>133</v>
      </c>
      <c r="B85" s="257"/>
      <c r="C85" s="258">
        <v>0</v>
      </c>
      <c r="D85" s="260">
        <f ca="1">((100/H75)*C85)/100</f>
        <v>0</v>
      </c>
      <c r="E85" s="264"/>
      <c r="F85" s="265"/>
      <c r="G85" s="264"/>
      <c r="H85" s="266"/>
      <c r="I85" s="13" t="s">
        <v>140</v>
      </c>
      <c r="J85" s="27">
        <f>(IF(B75&gt;4,(H75/(B75+2)+J84),0))</f>
        <v>0</v>
      </c>
    </row>
    <row r="86" spans="1:19" ht="15.75" customHeight="1" x14ac:dyDescent="0.25">
      <c r="A86" s="256" t="s">
        <v>128</v>
      </c>
      <c r="B86" s="257" t="s">
        <v>128</v>
      </c>
      <c r="C86" s="258">
        <v>0</v>
      </c>
      <c r="D86" s="260">
        <f ca="1">((100/(H75))*C86)/100</f>
        <v>0</v>
      </c>
      <c r="E86" s="264"/>
      <c r="F86" s="265"/>
      <c r="G86" s="264"/>
      <c r="H86" s="266"/>
      <c r="I86" s="13" t="s">
        <v>144</v>
      </c>
      <c r="J86" s="27">
        <f ca="1">(IF(B75=1,(H75/(B75+3)+J81),IF(B75=0,(H75/4+J81),IF(B75&gt;1,0))))</f>
        <v>16.5</v>
      </c>
    </row>
    <row r="87" spans="1:19" ht="16.5" thickBot="1" x14ac:dyDescent="0.3">
      <c r="A87" s="268" t="s">
        <v>129</v>
      </c>
      <c r="B87" s="269"/>
      <c r="C87" s="270">
        <v>0</v>
      </c>
      <c r="D87" s="271">
        <f ca="1">((100/(H75))*C87)/100</f>
        <v>0</v>
      </c>
      <c r="E87" s="272"/>
      <c r="F87" s="273"/>
      <c r="G87" s="272"/>
      <c r="H87" s="274"/>
      <c r="I87" s="14" t="s">
        <v>100</v>
      </c>
      <c r="J87" s="29">
        <f ca="1">(IF(B75&gt;1.5,(H75/(B75+2)+J81+MAX(0,J82-J81)+MAX(0,J83-J82)+MAX(0,J84-J83)+MAX(0,J85-J84)+MAX(0,J86-J85)),IF(B75=1,(H75/(B75+3)+J86),IF(B75=0,H75/4+J86))))</f>
        <v>22</v>
      </c>
    </row>
    <row r="88" spans="1:19" ht="15.75" customHeight="1" x14ac:dyDescent="0.25">
      <c r="A88" s="218" t="s">
        <v>135</v>
      </c>
      <c r="B88" s="219"/>
      <c r="C88" s="246" t="s">
        <v>365</v>
      </c>
      <c r="D88" s="247"/>
      <c r="E88" s="247"/>
      <c r="F88" s="247"/>
      <c r="G88" s="247"/>
      <c r="H88" s="248"/>
      <c r="I88" s="40" t="str">
        <f ca="1">IF(D101=100%,"All work Completed. Possession granted to the Building.",IF(D100=100%,"All work Completed, Waiting for OC",I89&amp;""&amp;I90&amp;""&amp;J89&amp;""&amp;J88&amp;" "&amp;J90))</f>
        <v>Excavation, Plinth, RCC Slab, Brickwork Completed, Internal Plaster upto 16.5 Floor, External Plaster upto 14.3 Floor Completed</v>
      </c>
      <c r="J88" s="41"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Internal Plaster upto 16.5 Floor, External Plaster upto 14.3 Floor</v>
      </c>
      <c r="S88"/>
    </row>
    <row r="89" spans="1:19" x14ac:dyDescent="0.25">
      <c r="A89" s="15" t="s">
        <v>137</v>
      </c>
      <c r="B89" s="44">
        <f>IF(AND(ISNUMBER(SEARCH("1B",C88))),1,IF(AND(ISNUMBER(SEARCH("2B",C88))),2,IF(AND(ISNUMBER(SEARCH("3B",C88))),3,IF(AND(ISNUMBER(SEARCH("4B",C88))),4,IF(ISNUMBER(SEARCH("5B",C88)),5,0)))))</f>
        <v>1</v>
      </c>
      <c r="C89" s="44" t="s">
        <v>68</v>
      </c>
      <c r="D89" s="44">
        <v>1</v>
      </c>
      <c r="E89" s="44" t="s">
        <v>67</v>
      </c>
      <c r="F89" s="44">
        <v>0</v>
      </c>
      <c r="G89" s="44" t="s">
        <v>76</v>
      </c>
      <c r="H89" s="16">
        <f ca="1">--TRIM(RIGHT(SUBSTITUTE(LEFT(C88,_xlfn.AGGREGATE(16,6,FIND({0,1,2,3,4,5,6,7,8,9},C88,ROW(INDIRECT("1:"&amp;LEN(C88)))),1))," ",REPT(" ",LEN(C88))),LEN(C88)))</f>
        <v>22</v>
      </c>
      <c r="I89" s="42" t="str">
        <f ca="1">IF(D92=100%,"Excavation","")&amp;IF(D93=100%,", Plinth","")&amp;IF(D94=100%,", RCC Slab","")&amp;IF(D95=100%,", Brickwork","")&amp;IF(D96=100%,", Internal Plaster","")&amp;IF(D97=100%,", External Plaster","")&amp;IF(D98=100%,", Flooring","")&amp;IF(D99=100%,", Painting","")&amp;IF(D100=100%,", Building common Amenities","")</f>
        <v>Excavation, Plinth, RCC Slab, Brickwork</v>
      </c>
      <c r="J89" s="43"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ht="33" customHeight="1" x14ac:dyDescent="0.25">
      <c r="A90" s="167" t="s">
        <v>86</v>
      </c>
      <c r="B90" s="168"/>
      <c r="C90" s="113" t="str">
        <f ca="1">I88</f>
        <v>Excavation, Plinth, RCC Slab, Brickwork Completed, Internal Plaster upto 16.5 Floor, External Plaster upto 14.3 Floor Completed</v>
      </c>
      <c r="D90" s="113"/>
      <c r="E90" s="113"/>
      <c r="F90" s="113"/>
      <c r="G90" s="113"/>
      <c r="H90" s="114"/>
      <c r="I90" s="42" t="str">
        <f ca="1">IF(I89&lt;&gt;""," Completed","")</f>
        <v xml:space="preserve"> Completed</v>
      </c>
      <c r="J90" s="43" t="str">
        <f ca="1">IF(J88&lt;&gt;"","Completed","")</f>
        <v>Completed</v>
      </c>
      <c r="S90"/>
    </row>
    <row r="91" spans="1:19" ht="15.75" customHeight="1" x14ac:dyDescent="0.25">
      <c r="A91" s="115" t="s">
        <v>46</v>
      </c>
      <c r="B91" s="116"/>
      <c r="C91" s="85" t="s">
        <v>134</v>
      </c>
      <c r="D91" s="85" t="s">
        <v>79</v>
      </c>
      <c r="E91" s="116" t="s">
        <v>81</v>
      </c>
      <c r="F91" s="116"/>
      <c r="G91" s="116" t="s">
        <v>80</v>
      </c>
      <c r="H91" s="184"/>
      <c r="I91" s="13" t="s">
        <v>136</v>
      </c>
      <c r="J91" s="25">
        <f ca="1">H89*25%</f>
        <v>5.5</v>
      </c>
      <c r="S91"/>
    </row>
    <row r="92" spans="1:19" x14ac:dyDescent="0.25">
      <c r="A92" s="115" t="s">
        <v>123</v>
      </c>
      <c r="B92" s="116"/>
      <c r="C92" s="85">
        <f ca="1">J93</f>
        <v>22</v>
      </c>
      <c r="D92" s="63">
        <f ca="1">((100/H89)*C92)/100</f>
        <v>1.0000000000000002</v>
      </c>
      <c r="E92" s="147">
        <f ca="1">(((C93/H89*10)+(40/(D89+F89+H89)*C94)+(7.5/(H89)*C95)+(7.5/(H89)*C96)+(10/H89*C97)+(10/H89*C98)+(5/H89*C99)+(5/H89*C100)+(5/H89*C101))/100)</f>
        <v>0.69625000000000004</v>
      </c>
      <c r="F92" s="148"/>
      <c r="G92" s="147">
        <f ca="1">((((C92/H89)*20)+((C93/H89)*25)+(30/(H89+F89+D89)*C94)+(5/H89*C95)+(5/H89*C96)+(5/H89*C97)+(5/H89*C98)+(0/H89*C99)+(0/H89*C100)+(5/H89*C101))/100)</f>
        <v>0.87</v>
      </c>
      <c r="H92" s="153"/>
      <c r="I92" s="13" t="s">
        <v>96</v>
      </c>
      <c r="J92" s="26">
        <f ca="1">H89*50%</f>
        <v>11</v>
      </c>
    </row>
    <row r="93" spans="1:19" x14ac:dyDescent="0.25">
      <c r="A93" s="115" t="s">
        <v>47</v>
      </c>
      <c r="B93" s="116"/>
      <c r="C93" s="85">
        <f ca="1">J101</f>
        <v>22</v>
      </c>
      <c r="D93" s="63">
        <f ca="1">((100/H89)*C93)/100</f>
        <v>1.0000000000000002</v>
      </c>
      <c r="E93" s="149"/>
      <c r="F93" s="150"/>
      <c r="G93" s="149"/>
      <c r="H93" s="154"/>
      <c r="I93" s="13" t="s">
        <v>97</v>
      </c>
      <c r="J93" s="26">
        <f ca="1">H89</f>
        <v>22</v>
      </c>
      <c r="S93"/>
    </row>
    <row r="94" spans="1:19" ht="15.75" customHeight="1" x14ac:dyDescent="0.25">
      <c r="A94" s="115" t="s">
        <v>124</v>
      </c>
      <c r="B94" s="116"/>
      <c r="C94" s="85">
        <v>23</v>
      </c>
      <c r="D94" s="63">
        <f ca="1">((100/(D89+F89+H89))*C94)/100</f>
        <v>1</v>
      </c>
      <c r="E94" s="149"/>
      <c r="F94" s="150"/>
      <c r="G94" s="149"/>
      <c r="H94" s="154"/>
      <c r="I94" s="13" t="s">
        <v>98</v>
      </c>
      <c r="J94" s="27">
        <f ca="1">(IF(B89&gt;1,(H89/(B89+2)),H89/4))</f>
        <v>5.5</v>
      </c>
      <c r="S94"/>
    </row>
    <row r="95" spans="1:19" ht="15.75" customHeight="1" x14ac:dyDescent="0.25">
      <c r="A95" s="115" t="s">
        <v>131</v>
      </c>
      <c r="B95" s="116" t="s">
        <v>125</v>
      </c>
      <c r="C95" s="85">
        <f>C94-1</f>
        <v>22</v>
      </c>
      <c r="D95" s="63">
        <f ca="1">((100/H89)*C95)/100</f>
        <v>1.0000000000000002</v>
      </c>
      <c r="E95" s="149"/>
      <c r="F95" s="150"/>
      <c r="G95" s="149"/>
      <c r="H95" s="154"/>
      <c r="I95" s="13" t="s">
        <v>99</v>
      </c>
      <c r="J95" s="27">
        <f ca="1">(IF(B89&gt;1,(H89/(B89+2)+J94),H89/4+J94))</f>
        <v>11</v>
      </c>
    </row>
    <row r="96" spans="1:19" ht="15.75" customHeight="1" x14ac:dyDescent="0.25">
      <c r="A96" s="115" t="s">
        <v>132</v>
      </c>
      <c r="B96" s="116" t="s">
        <v>125</v>
      </c>
      <c r="C96" s="64">
        <f>C95*0.75</f>
        <v>16.5</v>
      </c>
      <c r="D96" s="63">
        <f ca="1">((100/H89)*C96)/100</f>
        <v>0.75</v>
      </c>
      <c r="E96" s="149"/>
      <c r="F96" s="150"/>
      <c r="G96" s="149"/>
      <c r="H96" s="154"/>
      <c r="I96" s="13" t="s">
        <v>143</v>
      </c>
      <c r="J96" s="27">
        <f>(IF(B89&gt;1,(H89/(B89+2)+J95),0))</f>
        <v>0</v>
      </c>
    </row>
    <row r="97" spans="1:19" ht="15" customHeight="1" x14ac:dyDescent="0.25">
      <c r="A97" s="115" t="s">
        <v>130</v>
      </c>
      <c r="B97" s="116" t="s">
        <v>127</v>
      </c>
      <c r="C97" s="64">
        <f>C95*0.65</f>
        <v>14.3</v>
      </c>
      <c r="D97" s="63">
        <f ca="1">((100/(H89))*C97)/100</f>
        <v>0.65000000000000013</v>
      </c>
      <c r="E97" s="149"/>
      <c r="F97" s="150"/>
      <c r="G97" s="149"/>
      <c r="H97" s="154"/>
      <c r="I97" s="13" t="s">
        <v>138</v>
      </c>
      <c r="J97" s="27">
        <f>(IF(B89&gt;2,(H89/(B89+2)+J96),0))</f>
        <v>0</v>
      </c>
    </row>
    <row r="98" spans="1:19" ht="15.75" customHeight="1" x14ac:dyDescent="0.25">
      <c r="A98" s="115" t="s">
        <v>126</v>
      </c>
      <c r="B98" s="116" t="s">
        <v>126</v>
      </c>
      <c r="C98" s="85">
        <v>0</v>
      </c>
      <c r="D98" s="63">
        <f ca="1">((100/H89)*C98)/100</f>
        <v>0</v>
      </c>
      <c r="E98" s="149"/>
      <c r="F98" s="150"/>
      <c r="G98" s="149"/>
      <c r="H98" s="154"/>
      <c r="I98" s="13" t="s">
        <v>139</v>
      </c>
      <c r="J98" s="28">
        <f>(IF(B89&gt;3,(H89/(B89+2)+J97),0))</f>
        <v>0</v>
      </c>
    </row>
    <row r="99" spans="1:19" ht="15.75" customHeight="1" x14ac:dyDescent="0.25">
      <c r="A99" s="115" t="s">
        <v>133</v>
      </c>
      <c r="B99" s="116"/>
      <c r="C99" s="85">
        <v>0</v>
      </c>
      <c r="D99" s="63">
        <f ca="1">((100/H89)*C99)/100</f>
        <v>0</v>
      </c>
      <c r="E99" s="149"/>
      <c r="F99" s="150"/>
      <c r="G99" s="149"/>
      <c r="H99" s="154"/>
      <c r="I99" s="13" t="s">
        <v>140</v>
      </c>
      <c r="J99" s="27">
        <f>(IF(B89&gt;4,(H89/(B89+2)+J98),0))</f>
        <v>0</v>
      </c>
    </row>
    <row r="100" spans="1:19" ht="15.75" customHeight="1" x14ac:dyDescent="0.25">
      <c r="A100" s="115" t="s">
        <v>128</v>
      </c>
      <c r="B100" s="116" t="s">
        <v>128</v>
      </c>
      <c r="C100" s="85">
        <v>0</v>
      </c>
      <c r="D100" s="63">
        <f ca="1">((100/(H89))*C100)/100</f>
        <v>0</v>
      </c>
      <c r="E100" s="149"/>
      <c r="F100" s="150"/>
      <c r="G100" s="149"/>
      <c r="H100" s="154"/>
      <c r="I100" s="13" t="s">
        <v>144</v>
      </c>
      <c r="J100" s="27">
        <f ca="1">(IF(B89=1,(H89/(B89+3)+J95),IF(B89=0,(H89/4+J95),IF(B89&gt;1,0))))</f>
        <v>16.5</v>
      </c>
    </row>
    <row r="101" spans="1:19" ht="16.5" thickBot="1" x14ac:dyDescent="0.3">
      <c r="A101" s="156" t="s">
        <v>129</v>
      </c>
      <c r="B101" s="157"/>
      <c r="C101" s="86">
        <v>0</v>
      </c>
      <c r="D101" s="66">
        <f ca="1">((100/(H89))*C101)/100</f>
        <v>0</v>
      </c>
      <c r="E101" s="151"/>
      <c r="F101" s="152"/>
      <c r="G101" s="151"/>
      <c r="H101" s="155"/>
      <c r="I101" s="14" t="s">
        <v>100</v>
      </c>
      <c r="J101" s="29">
        <f ca="1">(IF(B89&gt;1.5,(H89/(B89+2)+J95+MAX(0,J96-J95)+MAX(0,J97-J96)+MAX(0,J98-J97)+MAX(0,J99-J98)+MAX(0,J100-J99)),IF(B89=1,(H89/(B89+3)+J100),IF(B89=0,H89/4+J100))))</f>
        <v>22</v>
      </c>
    </row>
    <row r="102" spans="1:19" ht="17.45" customHeight="1" x14ac:dyDescent="0.25">
      <c r="A102" s="169" t="s">
        <v>135</v>
      </c>
      <c r="B102" s="170"/>
      <c r="C102" s="171" t="s">
        <v>330</v>
      </c>
      <c r="D102" s="172"/>
      <c r="E102" s="172"/>
      <c r="F102" s="172"/>
      <c r="G102" s="172"/>
      <c r="H102" s="173"/>
      <c r="I102" s="40" t="str">
        <f ca="1">IF(D116=100%,"All work Completed. Possession granted to the Building.",IF(D115=100%,"All work Completed, Waiting for OC",I103&amp;""&amp;I104&amp;""&amp;J103&amp;""&amp;J102&amp;" "&amp;J104))</f>
        <v>All work Completed. Possession granted to the Building.</v>
      </c>
      <c r="J102" s="41" t="str">
        <f ca="1">(IF(C109=(D103+F103+H103),"",IF(C109&gt;0,", RCC upto "&amp;C109&amp;" Slab","")))&amp;(IF(C110=H103,"",IF(C110&gt;0,", Brickwork upto "&amp;C110&amp;" Floor","")))&amp;(IF(C111=H103,"",IF(C111&gt;0,", Internal Plaster upto "&amp;C111&amp;" Floor","")))&amp;(IF(C112=H103,"",IF(C112&gt;0,", External Plaster upto "&amp;C112&amp;" Floor","")))&amp;(IF(C113=H103,"",IF(C113&gt;0,", Flooring upto "&amp;C113&amp;" Floor","")))&amp;(IF(C114=H103,"",IF(C114&gt;0,", Painting upto "&amp;C114&amp;" Floor","")))&amp;(IF(C115=H103,"",IF(C115&gt;0,", Finishing upto "&amp;C115&amp;" Floor","")))&amp;(IF(C116=H103,"",IF(C116&gt;0,", Possession upto "&amp;C116&amp;" Floor","")))</f>
        <v/>
      </c>
      <c r="S102"/>
    </row>
    <row r="103" spans="1:19" x14ac:dyDescent="0.25">
      <c r="A103" s="15" t="s">
        <v>137</v>
      </c>
      <c r="B103" s="44">
        <f>IF(AND(ISNUMBER(SEARCH("1B",C102))),1,IF(AND(ISNUMBER(SEARCH("2B",C102))),2,IF(AND(ISNUMBER(SEARCH("3B",C102))),3,IF(AND(ISNUMBER(SEARCH("4B",C102))),4,IF(ISNUMBER(SEARCH("5B",C102)),5,0)))))</f>
        <v>0</v>
      </c>
      <c r="C103" s="44" t="s">
        <v>68</v>
      </c>
      <c r="D103" s="44">
        <v>1</v>
      </c>
      <c r="E103" s="44" t="s">
        <v>67</v>
      </c>
      <c r="F103" s="44">
        <v>0</v>
      </c>
      <c r="G103" s="44" t="s">
        <v>76</v>
      </c>
      <c r="H103" s="16">
        <f ca="1">--TRIM(RIGHT(SUBSTITUTE(LEFT(C102,_xlfn.AGGREGATE(16,6,FIND({0,1,2,3,4,5,6,7,8,9},C102,ROW(INDIRECT("1:"&amp;LEN(C102)))),1))," ",REPT(" ",LEN(C102))),LEN(C102)))</f>
        <v>22</v>
      </c>
      <c r="I103" s="42" t="str">
        <f ca="1">IF(D107=100%,"Excavation","")&amp;IF(D108=100%,", Plinth","")&amp;IF(D109=100%,", RCC Slab","")&amp;IF(D110=100%,", Brickwork","")&amp;IF(D111=100%,", Internal Plaster","")&amp;IF(D112=100%,", External Plaster","")&amp;IF(D113=100%,", Flooring","")&amp;IF(D114=100%,", Painting","")&amp;IF(D115=100%,", Building common Amenities","")</f>
        <v>Excavation, Plinth, RCC Slab, Brickwork, Internal Plaster, External Plaster, Flooring, Painting, Building common Amenities</v>
      </c>
      <c r="J103" s="43"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3"/>
    </row>
    <row r="104" spans="1:19" ht="17.100000000000001" customHeight="1" x14ac:dyDescent="0.25">
      <c r="A104" s="167" t="s">
        <v>86</v>
      </c>
      <c r="B104" s="168"/>
      <c r="C104" s="113" t="str">
        <f ca="1">I102</f>
        <v>All work Completed. Possession granted to the Building.</v>
      </c>
      <c r="D104" s="113"/>
      <c r="E104" s="113"/>
      <c r="F104" s="113"/>
      <c r="G104" s="113"/>
      <c r="H104" s="114"/>
      <c r="I104" s="42" t="str">
        <f ca="1">IF(I103&lt;&gt;""," Completed","")</f>
        <v xml:space="preserve"> Completed</v>
      </c>
      <c r="J104" s="43" t="str">
        <f ca="1">IF(J102&lt;&gt;"","Completed","")</f>
        <v/>
      </c>
      <c r="S104"/>
    </row>
    <row r="105" spans="1:19" ht="30.95" customHeight="1" x14ac:dyDescent="0.25">
      <c r="A105" s="232" t="s">
        <v>81</v>
      </c>
      <c r="B105" s="233"/>
      <c r="C105" s="234">
        <f ca="1">E107</f>
        <v>1</v>
      </c>
      <c r="D105" s="235"/>
      <c r="E105" s="236" t="s">
        <v>80</v>
      </c>
      <c r="F105" s="235"/>
      <c r="G105" s="234">
        <f ca="1">G107</f>
        <v>1</v>
      </c>
      <c r="H105" s="237"/>
      <c r="I105" s="42"/>
      <c r="J105" s="43"/>
      <c r="S105"/>
    </row>
    <row r="106" spans="1:19" ht="15.75" hidden="1" customHeight="1" x14ac:dyDescent="0.25">
      <c r="A106" s="115" t="s">
        <v>46</v>
      </c>
      <c r="B106" s="116"/>
      <c r="C106" s="62" t="s">
        <v>134</v>
      </c>
      <c r="D106" s="62" t="s">
        <v>79</v>
      </c>
      <c r="E106" s="116" t="s">
        <v>81</v>
      </c>
      <c r="F106" s="116"/>
      <c r="G106" s="116" t="s">
        <v>80</v>
      </c>
      <c r="H106" s="184"/>
      <c r="I106" s="13" t="s">
        <v>136</v>
      </c>
      <c r="J106" s="25">
        <f ca="1">H103*25%</f>
        <v>5.5</v>
      </c>
      <c r="S106"/>
    </row>
    <row r="107" spans="1:19" hidden="1" x14ac:dyDescent="0.25">
      <c r="A107" s="115" t="s">
        <v>123</v>
      </c>
      <c r="B107" s="116"/>
      <c r="C107" s="62">
        <f ca="1">J108</f>
        <v>22</v>
      </c>
      <c r="D107" s="63">
        <f ca="1">((100/H103)*C107)/100</f>
        <v>1.0000000000000002</v>
      </c>
      <c r="E107" s="147">
        <f ca="1">(((C108/H103*10)+(40/(D103+F103+H103)*C109)+(7.5/(H103)*C110)+(7.5/(H103)*C111)+(10/H103*C112)+(10/H103*C113)+(5/H103*C114)+(5/H103*C115)+(5/H103*C116))/100)</f>
        <v>1</v>
      </c>
      <c r="F107" s="148"/>
      <c r="G107" s="147">
        <f ca="1">((((C107/H103)*20)+((C108/H103)*25)+(30/(H103+F103+D103)*C109)+(5/H103*C110)+(5/H103*C111)+(5/H103*C112)+(5/H103*C113)+(0/H103*C114)+(0/H103*C115)+(5/H103*C116))/100)</f>
        <v>1</v>
      </c>
      <c r="H107" s="153"/>
      <c r="I107" s="13" t="s">
        <v>96</v>
      </c>
      <c r="J107" s="26">
        <f ca="1">H103*50%</f>
        <v>11</v>
      </c>
    </row>
    <row r="108" spans="1:19" hidden="1" x14ac:dyDescent="0.25">
      <c r="A108" s="115" t="s">
        <v>47</v>
      </c>
      <c r="B108" s="116"/>
      <c r="C108" s="62">
        <f ca="1">J116</f>
        <v>22</v>
      </c>
      <c r="D108" s="63">
        <f ca="1">((100/H103)*C108)/100</f>
        <v>1.0000000000000002</v>
      </c>
      <c r="E108" s="149"/>
      <c r="F108" s="150"/>
      <c r="G108" s="149"/>
      <c r="H108" s="154"/>
      <c r="I108" s="13" t="s">
        <v>97</v>
      </c>
      <c r="J108" s="26">
        <f ca="1">H103</f>
        <v>22</v>
      </c>
      <c r="S108"/>
    </row>
    <row r="109" spans="1:19" ht="15.75" hidden="1" customHeight="1" x14ac:dyDescent="0.25">
      <c r="A109" s="115" t="s">
        <v>124</v>
      </c>
      <c r="B109" s="116"/>
      <c r="C109" s="62">
        <v>23</v>
      </c>
      <c r="D109" s="63">
        <f ca="1">((100/(D103+F103+H103))*C109)/100</f>
        <v>1</v>
      </c>
      <c r="E109" s="149"/>
      <c r="F109" s="150"/>
      <c r="G109" s="149"/>
      <c r="H109" s="154"/>
      <c r="I109" s="13" t="s">
        <v>98</v>
      </c>
      <c r="J109" s="27">
        <f ca="1">(IF(B103&gt;1,(H103/(B103+2)),H103/4))</f>
        <v>5.5</v>
      </c>
      <c r="S109"/>
    </row>
    <row r="110" spans="1:19" ht="15.75" hidden="1" customHeight="1" x14ac:dyDescent="0.25">
      <c r="A110" s="115" t="s">
        <v>131</v>
      </c>
      <c r="B110" s="116" t="s">
        <v>125</v>
      </c>
      <c r="C110" s="62">
        <f>C109-1</f>
        <v>22</v>
      </c>
      <c r="D110" s="63">
        <f ca="1">((100/H103)*C110)/100</f>
        <v>1.0000000000000002</v>
      </c>
      <c r="E110" s="149"/>
      <c r="F110" s="150"/>
      <c r="G110" s="149"/>
      <c r="H110" s="154"/>
      <c r="I110" s="13" t="s">
        <v>99</v>
      </c>
      <c r="J110" s="27">
        <f ca="1">(IF(B103&gt;1,(H103/(B103+2)+J109),H103/4+J109))</f>
        <v>11</v>
      </c>
    </row>
    <row r="111" spans="1:19" ht="15.75" hidden="1" customHeight="1" x14ac:dyDescent="0.25">
      <c r="A111" s="115" t="s">
        <v>132</v>
      </c>
      <c r="B111" s="116" t="s">
        <v>125</v>
      </c>
      <c r="C111" s="64">
        <v>22</v>
      </c>
      <c r="D111" s="63">
        <f ca="1">((100/H103)*C111)/100</f>
        <v>1.0000000000000002</v>
      </c>
      <c r="E111" s="149"/>
      <c r="F111" s="150"/>
      <c r="G111" s="149"/>
      <c r="H111" s="154"/>
      <c r="I111" s="13" t="s">
        <v>143</v>
      </c>
      <c r="J111" s="27">
        <f>(IF(B103&gt;1,(H103/(B103+2)+J110),0))</f>
        <v>0</v>
      </c>
    </row>
    <row r="112" spans="1:19" ht="15" hidden="1" customHeight="1" x14ac:dyDescent="0.25">
      <c r="A112" s="115" t="s">
        <v>130</v>
      </c>
      <c r="B112" s="116" t="s">
        <v>127</v>
      </c>
      <c r="C112" s="64">
        <v>22</v>
      </c>
      <c r="D112" s="63">
        <f ca="1">((100/(H103))*C112)/100</f>
        <v>1.0000000000000002</v>
      </c>
      <c r="E112" s="149"/>
      <c r="F112" s="150"/>
      <c r="G112" s="149"/>
      <c r="H112" s="154"/>
      <c r="I112" s="13" t="s">
        <v>138</v>
      </c>
      <c r="J112" s="27">
        <f>(IF(B103&gt;2,(H103/(B103+2)+J111),0))</f>
        <v>0</v>
      </c>
    </row>
    <row r="113" spans="1:22" ht="15.75" hidden="1" customHeight="1" x14ac:dyDescent="0.25">
      <c r="A113" s="115" t="s">
        <v>126</v>
      </c>
      <c r="B113" s="116" t="s">
        <v>126</v>
      </c>
      <c r="C113" s="62">
        <v>22</v>
      </c>
      <c r="D113" s="63">
        <f ca="1">((100/H103)*C113)/100</f>
        <v>1.0000000000000002</v>
      </c>
      <c r="E113" s="149"/>
      <c r="F113" s="150"/>
      <c r="G113" s="149"/>
      <c r="H113" s="154"/>
      <c r="I113" s="13" t="s">
        <v>139</v>
      </c>
      <c r="J113" s="28">
        <f>(IF(B103&gt;3,(H103/(B103+2)+J112),0))</f>
        <v>0</v>
      </c>
    </row>
    <row r="114" spans="1:22" ht="15.75" hidden="1" customHeight="1" x14ac:dyDescent="0.25">
      <c r="A114" s="115" t="s">
        <v>133</v>
      </c>
      <c r="B114" s="116"/>
      <c r="C114" s="62">
        <v>22</v>
      </c>
      <c r="D114" s="63">
        <f ca="1">((100/H103)*C114)/100</f>
        <v>1.0000000000000002</v>
      </c>
      <c r="E114" s="149"/>
      <c r="F114" s="150"/>
      <c r="G114" s="149"/>
      <c r="H114" s="154"/>
      <c r="I114" s="13" t="s">
        <v>140</v>
      </c>
      <c r="J114" s="27">
        <f>(IF(B103&gt;4,(H103/(B103+2)+J113),0))</f>
        <v>0</v>
      </c>
    </row>
    <row r="115" spans="1:22" ht="15.75" hidden="1" customHeight="1" x14ac:dyDescent="0.25">
      <c r="A115" s="115" t="s">
        <v>128</v>
      </c>
      <c r="B115" s="116" t="s">
        <v>128</v>
      </c>
      <c r="C115" s="77">
        <v>22</v>
      </c>
      <c r="D115" s="63">
        <f ca="1">((100/(H103))*C115)/100</f>
        <v>1.0000000000000002</v>
      </c>
      <c r="E115" s="149"/>
      <c r="F115" s="150"/>
      <c r="G115" s="149"/>
      <c r="H115" s="154"/>
      <c r="I115" s="13" t="s">
        <v>144</v>
      </c>
      <c r="J115" s="27">
        <f ca="1">(IF(B103=1,(H103/(B103+3)+J110),IF(B103=0,(H103/4+J110),IF(B103&gt;1,0))))</f>
        <v>16.5</v>
      </c>
    </row>
    <row r="116" spans="1:22" ht="16.5" hidden="1" thickBot="1" x14ac:dyDescent="0.3">
      <c r="A116" s="156" t="s">
        <v>129</v>
      </c>
      <c r="B116" s="157"/>
      <c r="C116" s="65">
        <v>22</v>
      </c>
      <c r="D116" s="66">
        <f ca="1">((100/(H103))*C116)/100</f>
        <v>1.0000000000000002</v>
      </c>
      <c r="E116" s="151"/>
      <c r="F116" s="152"/>
      <c r="G116" s="151"/>
      <c r="H116" s="155"/>
      <c r="I116" s="14" t="s">
        <v>100</v>
      </c>
      <c r="J116" s="29">
        <f ca="1">(IF(B103&gt;1.5,(H103/(B103+2)+J110+MAX(0,J111-J110)+MAX(0,J112-J111)+MAX(0,J113-J112)+MAX(0,J114-J113)+MAX(0,J115-J114)),IF(B103=1,(H103/(B103+3)+J115),IF(B103=0,H103/4+J115))))</f>
        <v>22</v>
      </c>
    </row>
    <row r="117" spans="1:22" x14ac:dyDescent="0.25">
      <c r="A117" s="118" t="s">
        <v>155</v>
      </c>
      <c r="B117" s="118"/>
      <c r="C117" s="118"/>
      <c r="D117" s="118"/>
      <c r="E117" s="118"/>
      <c r="F117" s="212" t="s">
        <v>159</v>
      </c>
      <c r="G117" s="212"/>
      <c r="H117" s="212"/>
      <c r="I117" s="71"/>
      <c r="J117" s="71" t="s">
        <v>334</v>
      </c>
      <c r="K117" s="71" t="s">
        <v>335</v>
      </c>
      <c r="L117" s="71" t="s">
        <v>336</v>
      </c>
      <c r="M117" s="71"/>
      <c r="N117" s="71"/>
      <c r="O117" s="71"/>
      <c r="R117" t="s">
        <v>254</v>
      </c>
      <c r="S117" t="s">
        <v>171</v>
      </c>
      <c r="T117" t="s">
        <v>178</v>
      </c>
      <c r="U117" t="s">
        <v>193</v>
      </c>
      <c r="V117" t="s">
        <v>188</v>
      </c>
    </row>
    <row r="118" spans="1:22" x14ac:dyDescent="0.25">
      <c r="A118" s="117" t="s">
        <v>157</v>
      </c>
      <c r="B118" s="117"/>
      <c r="C118" s="117"/>
      <c r="D118" s="117"/>
      <c r="E118" s="117"/>
      <c r="F118" s="119">
        <v>20250</v>
      </c>
      <c r="G118" s="119"/>
      <c r="H118" s="119"/>
      <c r="I118" s="74">
        <f>AVERAGE(J118:L118)</f>
        <v>20298.650338922078</v>
      </c>
      <c r="J118" s="74">
        <f>AVERAGE(J202,J223)</f>
        <v>22062.617683432902</v>
      </c>
      <c r="K118" s="74">
        <f>29000/1.5</f>
        <v>19333.333333333332</v>
      </c>
      <c r="L118" s="71">
        <v>19500</v>
      </c>
      <c r="M118" s="71"/>
      <c r="N118" s="71"/>
      <c r="O118" s="71"/>
      <c r="R118"/>
      <c r="S118">
        <v>800000</v>
      </c>
      <c r="T118">
        <v>150000</v>
      </c>
      <c r="U118">
        <v>100000</v>
      </c>
      <c r="V118">
        <v>100000</v>
      </c>
    </row>
    <row r="119" spans="1:22" hidden="1" x14ac:dyDescent="0.25">
      <c r="A119" s="117" t="s">
        <v>156</v>
      </c>
      <c r="B119" s="117"/>
      <c r="C119" s="117"/>
      <c r="D119" s="117"/>
      <c r="E119" s="117"/>
      <c r="F119" s="119"/>
      <c r="G119" s="119"/>
      <c r="H119" s="119"/>
      <c r="I119" s="71"/>
      <c r="J119" s="71"/>
      <c r="K119" s="71"/>
      <c r="L119" s="71"/>
      <c r="M119" s="71"/>
      <c r="N119" s="71"/>
      <c r="O119" s="71"/>
      <c r="R119"/>
      <c r="S119">
        <v>900000</v>
      </c>
      <c r="T119">
        <v>200000</v>
      </c>
      <c r="U119">
        <v>150000</v>
      </c>
      <c r="V119">
        <v>150000</v>
      </c>
    </row>
    <row r="120" spans="1:22" hidden="1" x14ac:dyDescent="0.25">
      <c r="A120" s="117" t="s">
        <v>158</v>
      </c>
      <c r="B120" s="117"/>
      <c r="C120" s="117"/>
      <c r="D120" s="117"/>
      <c r="E120" s="117"/>
      <c r="F120" s="119"/>
      <c r="G120" s="119"/>
      <c r="H120" s="119"/>
      <c r="I120" s="71"/>
      <c r="J120" s="71"/>
      <c r="K120" s="71"/>
      <c r="L120" s="71"/>
      <c r="M120" s="71"/>
      <c r="N120" s="71"/>
      <c r="O120" s="71"/>
      <c r="R120"/>
      <c r="S120">
        <v>1000000</v>
      </c>
      <c r="T120">
        <v>250000</v>
      </c>
      <c r="U120">
        <v>200000</v>
      </c>
      <c r="V120">
        <v>200000</v>
      </c>
    </row>
    <row r="121" spans="1:22" s="30" customFormat="1" hidden="1" x14ac:dyDescent="0.25">
      <c r="A121" s="117" t="s">
        <v>174</v>
      </c>
      <c r="B121" s="117"/>
      <c r="C121" s="117"/>
      <c r="D121" s="117"/>
      <c r="E121" s="117"/>
      <c r="F121" s="119"/>
      <c r="G121" s="119"/>
      <c r="H121" s="119"/>
      <c r="I121" s="72"/>
      <c r="J121" s="72"/>
      <c r="K121" s="72"/>
      <c r="L121" s="72"/>
      <c r="M121" s="72"/>
      <c r="N121" s="72"/>
      <c r="O121" s="72"/>
      <c r="R121"/>
      <c r="S121">
        <v>1100000</v>
      </c>
      <c r="T121">
        <v>300000</v>
      </c>
      <c r="U121">
        <v>250000</v>
      </c>
      <c r="V121" s="20">
        <v>250000</v>
      </c>
    </row>
    <row r="122" spans="1:22" s="30" customFormat="1" hidden="1" x14ac:dyDescent="0.25">
      <c r="A122" s="117" t="s">
        <v>90</v>
      </c>
      <c r="B122" s="117"/>
      <c r="C122" s="117"/>
      <c r="D122" s="117"/>
      <c r="E122" s="117"/>
      <c r="F122" s="119"/>
      <c r="G122" s="119"/>
      <c r="H122" s="119"/>
      <c r="I122" s="72"/>
      <c r="J122" s="72"/>
      <c r="K122" s="72"/>
      <c r="L122" s="72"/>
      <c r="M122" s="72"/>
      <c r="N122" s="72"/>
      <c r="O122" s="72"/>
      <c r="R122"/>
      <c r="S122">
        <v>1200000</v>
      </c>
      <c r="T122">
        <v>350000</v>
      </c>
      <c r="U122">
        <v>300000</v>
      </c>
      <c r="V122">
        <v>300000</v>
      </c>
    </row>
    <row r="123" spans="1:22" s="30" customFormat="1" x14ac:dyDescent="0.25">
      <c r="A123" s="117" t="s">
        <v>91</v>
      </c>
      <c r="B123" s="117"/>
      <c r="C123" s="117"/>
      <c r="D123" s="117"/>
      <c r="E123" s="117"/>
      <c r="F123" s="119">
        <v>400000</v>
      </c>
      <c r="G123" s="119"/>
      <c r="H123" s="119"/>
      <c r="I123" s="72"/>
      <c r="J123" s="72"/>
      <c r="K123" s="72"/>
      <c r="L123" s="72"/>
      <c r="M123" s="72"/>
      <c r="N123" s="72"/>
      <c r="O123" s="72"/>
      <c r="R123"/>
      <c r="S123">
        <v>1300000</v>
      </c>
      <c r="T123">
        <v>400000</v>
      </c>
      <c r="U123">
        <v>350000</v>
      </c>
      <c r="V123" s="20">
        <v>400000</v>
      </c>
    </row>
    <row r="124" spans="1:22" s="30" customFormat="1" hidden="1" x14ac:dyDescent="0.25">
      <c r="A124" s="117" t="s">
        <v>92</v>
      </c>
      <c r="B124" s="117"/>
      <c r="C124" s="117"/>
      <c r="D124" s="117"/>
      <c r="E124" s="117"/>
      <c r="F124" s="119"/>
      <c r="G124" s="119"/>
      <c r="H124" s="119"/>
      <c r="I124" s="72"/>
      <c r="J124" s="72"/>
      <c r="K124" s="72"/>
      <c r="L124" s="72"/>
      <c r="M124" s="72"/>
      <c r="N124" s="72"/>
      <c r="O124" s="72"/>
      <c r="R124"/>
      <c r="S124">
        <v>1400000</v>
      </c>
      <c r="T124">
        <v>500000</v>
      </c>
      <c r="U124">
        <v>400000</v>
      </c>
      <c r="V124"/>
    </row>
    <row r="125" spans="1:22" s="30" customFormat="1" hidden="1" x14ac:dyDescent="0.25">
      <c r="A125" s="117" t="s">
        <v>93</v>
      </c>
      <c r="B125" s="117"/>
      <c r="C125" s="117"/>
      <c r="D125" s="117"/>
      <c r="E125" s="117"/>
      <c r="F125" s="119"/>
      <c r="G125" s="119"/>
      <c r="H125" s="119"/>
      <c r="I125" s="72"/>
      <c r="J125" s="72"/>
      <c r="K125" s="72"/>
      <c r="L125" s="72"/>
      <c r="M125" s="72"/>
      <c r="N125" s="72"/>
      <c r="O125" s="72"/>
      <c r="R125"/>
      <c r="S125">
        <v>1500000</v>
      </c>
      <c r="T125">
        <v>600000</v>
      </c>
      <c r="U125">
        <v>500000</v>
      </c>
      <c r="V125" s="20"/>
    </row>
    <row r="126" spans="1:22" s="30" customFormat="1" hidden="1" x14ac:dyDescent="0.25">
      <c r="A126" s="117" t="s">
        <v>94</v>
      </c>
      <c r="B126" s="117"/>
      <c r="C126" s="117"/>
      <c r="D126" s="117"/>
      <c r="E126" s="117"/>
      <c r="F126" s="119"/>
      <c r="G126" s="119"/>
      <c r="H126" s="119"/>
      <c r="I126" s="72"/>
      <c r="J126" s="72"/>
      <c r="K126" s="72"/>
      <c r="L126" s="72"/>
      <c r="M126" s="72"/>
      <c r="N126" s="72"/>
      <c r="O126" s="72"/>
      <c r="R126"/>
      <c r="S126">
        <v>1600000</v>
      </c>
      <c r="T126">
        <v>700000</v>
      </c>
      <c r="U126">
        <v>600000</v>
      </c>
      <c r="V126"/>
    </row>
    <row r="127" spans="1:22" s="30" customFormat="1" hidden="1" x14ac:dyDescent="0.25">
      <c r="A127" s="117" t="s">
        <v>95</v>
      </c>
      <c r="B127" s="117"/>
      <c r="C127" s="117"/>
      <c r="D127" s="117"/>
      <c r="E127" s="117"/>
      <c r="F127" s="119"/>
      <c r="G127" s="119"/>
      <c r="H127" s="119"/>
      <c r="I127" s="72"/>
      <c r="J127" s="72"/>
      <c r="K127" s="72"/>
      <c r="L127" s="72"/>
      <c r="M127" s="72"/>
      <c r="N127" s="72"/>
      <c r="O127" s="72"/>
      <c r="R127"/>
      <c r="S127">
        <v>1700000</v>
      </c>
      <c r="T127">
        <v>800000</v>
      </c>
      <c r="U127"/>
      <c r="V127" s="20"/>
    </row>
    <row r="128" spans="1:22" x14ac:dyDescent="0.25">
      <c r="A128" s="117" t="s">
        <v>48</v>
      </c>
      <c r="B128" s="117"/>
      <c r="C128" s="117"/>
      <c r="D128" s="117"/>
      <c r="E128" s="117"/>
      <c r="F128" s="119">
        <v>1000000</v>
      </c>
      <c r="G128" s="119"/>
      <c r="H128" s="119"/>
      <c r="I128" s="87" t="s">
        <v>368</v>
      </c>
      <c r="K128" s="71"/>
      <c r="L128" s="71"/>
      <c r="M128" s="71"/>
      <c r="N128" s="71"/>
      <c r="O128" s="71"/>
      <c r="R128"/>
      <c r="S128">
        <v>1800000</v>
      </c>
      <c r="T128">
        <v>900000</v>
      </c>
      <c r="U128"/>
    </row>
    <row r="129" spans="1:22" s="31" customFormat="1" x14ac:dyDescent="0.25">
      <c r="A129" s="180" t="s">
        <v>49</v>
      </c>
      <c r="B129" s="180"/>
      <c r="C129" s="180"/>
      <c r="D129" s="180"/>
      <c r="E129" s="180"/>
      <c r="F129" s="119">
        <f>F118*0.8</f>
        <v>16200</v>
      </c>
      <c r="G129" s="119"/>
      <c r="H129" s="119"/>
      <c r="I129" s="73"/>
      <c r="J129" s="73"/>
      <c r="K129" s="73"/>
      <c r="L129" s="73"/>
      <c r="M129" s="73"/>
      <c r="N129" s="73"/>
      <c r="O129" s="73"/>
      <c r="R129" s="18"/>
      <c r="S129" s="18"/>
      <c r="T129">
        <v>1000000</v>
      </c>
      <c r="U129"/>
      <c r="V129" s="18"/>
    </row>
    <row r="130" spans="1:22" s="32" customFormat="1" ht="15.75" hidden="1" customHeight="1" x14ac:dyDescent="0.25">
      <c r="A130" s="139" t="s">
        <v>71</v>
      </c>
      <c r="B130" s="139"/>
      <c r="C130" s="139"/>
      <c r="D130" s="139"/>
      <c r="E130" s="139"/>
      <c r="F130" s="139"/>
      <c r="G130" s="139"/>
      <c r="H130" s="139"/>
      <c r="R130"/>
      <c r="S130" s="18"/>
      <c r="T130"/>
      <c r="U130"/>
      <c r="V130" s="18"/>
    </row>
    <row r="131" spans="1:22" s="32" customFormat="1" ht="15.75" hidden="1" customHeight="1" x14ac:dyDescent="0.25">
      <c r="A131" s="142" t="s">
        <v>50</v>
      </c>
      <c r="B131" s="142"/>
      <c r="C131" s="140" t="s">
        <v>74</v>
      </c>
      <c r="D131" s="140"/>
      <c r="E131" s="141" t="s">
        <v>51</v>
      </c>
      <c r="F131" s="141"/>
      <c r="G131" s="142" t="s">
        <v>52</v>
      </c>
      <c r="H131" s="142"/>
      <c r="R131"/>
      <c r="S131" s="18"/>
      <c r="T131"/>
      <c r="U131" s="18"/>
      <c r="V131" s="18"/>
    </row>
    <row r="132" spans="1:22" s="32" customFormat="1" hidden="1" x14ac:dyDescent="0.25">
      <c r="A132" s="135"/>
      <c r="B132" s="135"/>
      <c r="C132" s="136"/>
      <c r="D132" s="136"/>
      <c r="E132" s="137"/>
      <c r="F132" s="137"/>
      <c r="G132" s="138"/>
      <c r="H132" s="138"/>
      <c r="R132"/>
      <c r="S132" s="18"/>
      <c r="T132"/>
      <c r="U132" s="18"/>
      <c r="V132" s="18"/>
    </row>
    <row r="133" spans="1:22" s="32" customFormat="1" hidden="1" x14ac:dyDescent="0.25">
      <c r="A133" s="135"/>
      <c r="B133" s="135"/>
      <c r="C133" s="136"/>
      <c r="D133" s="136"/>
      <c r="E133" s="137"/>
      <c r="F133" s="137"/>
      <c r="G133" s="138"/>
      <c r="H133" s="138"/>
      <c r="R133"/>
      <c r="S133" s="18"/>
      <c r="T133"/>
      <c r="U133" s="18"/>
      <c r="V133" s="18"/>
    </row>
    <row r="134" spans="1:22" s="32" customFormat="1" hidden="1" x14ac:dyDescent="0.25">
      <c r="A134" s="139" t="s">
        <v>148</v>
      </c>
      <c r="B134" s="139"/>
      <c r="C134" s="140"/>
      <c r="D134" s="140"/>
      <c r="E134" s="141"/>
      <c r="F134" s="141"/>
      <c r="G134" s="142"/>
      <c r="H134" s="142"/>
      <c r="R134"/>
      <c r="S134" s="18"/>
      <c r="T134"/>
      <c r="U134" s="18"/>
      <c r="V134" s="18"/>
    </row>
    <row r="135" spans="1:22" s="32" customFormat="1" x14ac:dyDescent="0.25">
      <c r="A135" s="139" t="s">
        <v>66</v>
      </c>
      <c r="B135" s="139"/>
      <c r="C135" s="139"/>
      <c r="D135" s="139"/>
      <c r="E135" s="139"/>
      <c r="F135" s="139"/>
      <c r="G135" s="139"/>
      <c r="H135" s="139"/>
      <c r="T135"/>
    </row>
    <row r="136" spans="1:22" s="32" customFormat="1" ht="15.75" customHeight="1" x14ac:dyDescent="0.25">
      <c r="A136" s="142" t="s">
        <v>50</v>
      </c>
      <c r="B136" s="142"/>
      <c r="C136" s="140" t="s">
        <v>74</v>
      </c>
      <c r="D136" s="140"/>
      <c r="E136" s="141" t="s">
        <v>51</v>
      </c>
      <c r="F136" s="141"/>
      <c r="G136" s="142" t="s">
        <v>52</v>
      </c>
      <c r="H136" s="142"/>
      <c r="T136"/>
    </row>
    <row r="137" spans="1:22" s="32" customFormat="1" x14ac:dyDescent="0.25">
      <c r="A137" s="135" t="s">
        <v>355</v>
      </c>
      <c r="B137" s="135"/>
      <c r="C137" s="134">
        <f>COUNT(F161:F163)+COUNT(F165:F168)*19+COUNT(F170,F172:F173)*2</f>
        <v>85</v>
      </c>
      <c r="D137" s="134"/>
      <c r="E137" s="134">
        <f>SUM(F161:F163)+SUM(F165:F168)*19+SUM(F170,F172:F173)*2</f>
        <v>49310.529839999996</v>
      </c>
      <c r="F137" s="134"/>
      <c r="G137" s="134">
        <f>SUM(H161:H163)+SUM(H165:H168)*19+SUM(H170,H172:H173)*2</f>
        <v>73965.79475999999</v>
      </c>
      <c r="H137" s="134"/>
      <c r="T137"/>
    </row>
    <row r="138" spans="1:22" s="32" customFormat="1" x14ac:dyDescent="0.25">
      <c r="A138" s="135" t="s">
        <v>356</v>
      </c>
      <c r="B138" s="135"/>
      <c r="C138" s="134">
        <f>COUNT(F178,F180:F181)+COUNT(F183:F186)*19+COUNT(F189:F191)*2</f>
        <v>85</v>
      </c>
      <c r="D138" s="134"/>
      <c r="E138" s="134">
        <f>SUM(F178,F180:F181)+SUM(F183:F186)*19+SUM(F189:F191)*2</f>
        <v>40745.830319999994</v>
      </c>
      <c r="F138" s="134"/>
      <c r="G138" s="134">
        <f>SUM(H178,H180:H181)+SUM(H183:H186)*19+SUM(H189:H191)*2</f>
        <v>61118.74547999999</v>
      </c>
      <c r="H138" s="134"/>
      <c r="T138"/>
    </row>
    <row r="139" spans="1:22" s="32" customFormat="1" x14ac:dyDescent="0.25">
      <c r="A139" s="135" t="s">
        <v>323</v>
      </c>
      <c r="B139" s="135"/>
      <c r="C139" s="134">
        <f>COUNT(F195,F197:F198)+COUNT(F200:F203)*18+COUNT(F205:F208)+COUNT(F211:F213)*2</f>
        <v>85</v>
      </c>
      <c r="D139" s="134"/>
      <c r="E139" s="134">
        <f>SUM(F195,F197:F198)+SUM(F200:F203)*18+SUM(F205:F208)+SUM(F211:F213)*2</f>
        <v>40745.830319999994</v>
      </c>
      <c r="F139" s="134"/>
      <c r="G139" s="134">
        <f>SUM(H195,H197:H198)+SUM(H200:H203)*18+SUM(H205:H208)+SUM(H211:H213)*2</f>
        <v>61118.745479999998</v>
      </c>
      <c r="H139" s="134"/>
      <c r="T139"/>
    </row>
    <row r="140" spans="1:22" s="32" customFormat="1" x14ac:dyDescent="0.25">
      <c r="A140" s="135" t="s">
        <v>325</v>
      </c>
      <c r="B140" s="135"/>
      <c r="C140" s="134">
        <f>COUNT(F218:F220)+COUNT(F222:F225)*18+COUNT(F227:F230)+COUNT(F232,F234:F235)*2</f>
        <v>85</v>
      </c>
      <c r="D140" s="134"/>
      <c r="E140" s="134">
        <f>SUM(F218:F220)+SUM(F222:F225)*18+SUM(F227:F230)+SUM(F232,F234:F235)*2</f>
        <v>49310.529840000003</v>
      </c>
      <c r="F140" s="134"/>
      <c r="G140" s="134">
        <f>SUM(H218:H220)+SUM(H222:H225)*18+SUM(H227:H230)+SUM(H232,H234:H235)*2</f>
        <v>73965.794759999975</v>
      </c>
      <c r="H140" s="134"/>
      <c r="T140"/>
    </row>
    <row r="141" spans="1:22" s="32" customFormat="1" x14ac:dyDescent="0.25">
      <c r="A141" s="139" t="s">
        <v>148</v>
      </c>
      <c r="B141" s="139"/>
      <c r="C141" s="221">
        <f>SUM(C137:C140)</f>
        <v>340</v>
      </c>
      <c r="D141" s="140"/>
      <c r="E141" s="211">
        <f>SUM(E137:E140)</f>
        <v>180112.72031999996</v>
      </c>
      <c r="F141" s="211"/>
      <c r="G141" s="142">
        <f>SUM(G137:G140)</f>
        <v>270169.08047999995</v>
      </c>
      <c r="H141" s="142"/>
      <c r="T141"/>
    </row>
    <row r="142" spans="1:22" s="32" customFormat="1" hidden="1" x14ac:dyDescent="0.25">
      <c r="A142" s="129" t="s">
        <v>165</v>
      </c>
      <c r="B142" s="130"/>
      <c r="C142" s="131">
        <f>C134+C141</f>
        <v>340</v>
      </c>
      <c r="D142" s="131"/>
      <c r="E142" s="132">
        <f>E134+E141</f>
        <v>180112.72031999996</v>
      </c>
      <c r="F142" s="132"/>
      <c r="G142" s="145">
        <f>G134+G141</f>
        <v>270169.08047999995</v>
      </c>
      <c r="H142" s="146"/>
      <c r="T142"/>
    </row>
    <row r="143" spans="1:22" s="31" customFormat="1" x14ac:dyDescent="0.25">
      <c r="A143" s="133" t="s">
        <v>53</v>
      </c>
      <c r="B143" s="133"/>
      <c r="C143" s="133"/>
      <c r="D143" s="133"/>
      <c r="E143" s="133"/>
      <c r="F143" s="133"/>
      <c r="G143" s="133"/>
      <c r="H143" s="133"/>
      <c r="T143" s="32"/>
    </row>
    <row r="144" spans="1:22" x14ac:dyDescent="0.25">
      <c r="A144" s="133" t="s">
        <v>173</v>
      </c>
      <c r="B144" s="133"/>
      <c r="C144" s="133"/>
      <c r="D144" s="133"/>
      <c r="E144" s="133"/>
      <c r="F144" s="133"/>
      <c r="G144" s="133"/>
      <c r="H144" s="133"/>
      <c r="T144" s="32"/>
    </row>
    <row r="145" spans="1:20" ht="47.25" hidden="1" customHeight="1" x14ac:dyDescent="0.25">
      <c r="A145" s="144" t="s">
        <v>331</v>
      </c>
      <c r="B145" s="144" t="s">
        <v>176</v>
      </c>
      <c r="C145" s="144" t="s">
        <v>54</v>
      </c>
      <c r="D145" s="144" t="s">
        <v>232</v>
      </c>
      <c r="E145" s="120" t="s">
        <v>154</v>
      </c>
      <c r="F145" s="144" t="s">
        <v>55</v>
      </c>
      <c r="G145" s="120" t="s">
        <v>56</v>
      </c>
      <c r="H145" s="80" t="s">
        <v>146</v>
      </c>
      <c r="T145" s="32"/>
    </row>
    <row r="146" spans="1:20" s="34" customFormat="1" hidden="1" x14ac:dyDescent="0.25">
      <c r="A146" s="144"/>
      <c r="B146" s="144"/>
      <c r="C146" s="144"/>
      <c r="D146" s="144"/>
      <c r="E146" s="120"/>
      <c r="F146" s="144"/>
      <c r="G146" s="120"/>
      <c r="H146" s="81">
        <v>0.55000000000000004</v>
      </c>
      <c r="T146" s="32"/>
    </row>
    <row r="147" spans="1:20" s="34" customFormat="1" hidden="1" x14ac:dyDescent="0.25">
      <c r="A147" s="105" t="s">
        <v>114</v>
      </c>
      <c r="B147" s="105"/>
      <c r="C147" s="105"/>
      <c r="D147" s="105"/>
      <c r="E147" s="105"/>
      <c r="F147" s="105"/>
      <c r="G147" s="105"/>
      <c r="H147" s="105"/>
      <c r="J147" s="33"/>
      <c r="T147" s="32"/>
    </row>
    <row r="148" spans="1:20" s="34" customFormat="1" ht="15.75" hidden="1" customHeight="1" x14ac:dyDescent="0.25">
      <c r="A148" s="109">
        <v>1</v>
      </c>
      <c r="B148" s="109"/>
      <c r="C148" s="68"/>
      <c r="D148" s="68">
        <v>0</v>
      </c>
      <c r="E148" s="68">
        <v>0</v>
      </c>
      <c r="F148" s="68">
        <f>D148+(IF(E148&lt;201,E148,IF(E148&lt;301,E148/2,E148/3)))</f>
        <v>0</v>
      </c>
      <c r="G148" s="69">
        <v>0</v>
      </c>
      <c r="H148" s="68">
        <f>(F148+(IF(G148&lt;101,G148,IF(G148&lt;201,G148/2,IF(G148&lt;=301,G148/3,G148/4)))))*(($H$146)+1)</f>
        <v>0</v>
      </c>
      <c r="I148" s="33"/>
      <c r="L148" s="106"/>
      <c r="M148" s="106"/>
      <c r="N148" s="33"/>
      <c r="T148" s="32"/>
    </row>
    <row r="149" spans="1:20" s="34" customFormat="1" ht="15.75" hidden="1" customHeight="1" x14ac:dyDescent="0.25">
      <c r="A149" s="109">
        <f>A148+1</f>
        <v>2</v>
      </c>
      <c r="B149" s="109"/>
      <c r="C149" s="68"/>
      <c r="D149" s="68"/>
      <c r="E149" s="68">
        <v>0</v>
      </c>
      <c r="F149" s="68">
        <f t="shared" ref="F149:F151" si="0">D149+(IF(E149&lt;201,E149,IF(E149&lt;301,E149/2,E149/3)))</f>
        <v>0</v>
      </c>
      <c r="G149" s="68">
        <v>0</v>
      </c>
      <c r="H149" s="68">
        <f t="shared" ref="H149:H151" si="1">(F149+(IF(G149&lt;101,G149,IF(G149&lt;201,G149/2,IF(G149&lt;=301,G149/3,G149/4)))))*(($H$146)+1)</f>
        <v>0</v>
      </c>
      <c r="I149" s="33"/>
      <c r="L149" s="106"/>
      <c r="M149" s="106"/>
      <c r="N149" s="33"/>
      <c r="T149" s="31"/>
    </row>
    <row r="150" spans="1:20" s="34" customFormat="1" ht="15.75" hidden="1" customHeight="1" x14ac:dyDescent="0.25">
      <c r="A150" s="109">
        <f>A149+1</f>
        <v>3</v>
      </c>
      <c r="B150" s="109"/>
      <c r="C150" s="68"/>
      <c r="D150" s="68"/>
      <c r="E150" s="68">
        <v>0</v>
      </c>
      <c r="F150" s="68">
        <f t="shared" si="0"/>
        <v>0</v>
      </c>
      <c r="G150" s="68">
        <v>0</v>
      </c>
      <c r="H150" s="68">
        <f t="shared" si="1"/>
        <v>0</v>
      </c>
      <c r="I150" s="33"/>
      <c r="L150" s="106"/>
      <c r="M150" s="106"/>
      <c r="N150" s="33"/>
      <c r="T150" s="18"/>
    </row>
    <row r="151" spans="1:20" s="34" customFormat="1" ht="15.75" hidden="1" customHeight="1" x14ac:dyDescent="0.25">
      <c r="A151" s="109">
        <f>A150+1</f>
        <v>4</v>
      </c>
      <c r="B151" s="109"/>
      <c r="C151" s="68"/>
      <c r="D151" s="68"/>
      <c r="E151" s="68">
        <v>0</v>
      </c>
      <c r="F151" s="68">
        <f t="shared" si="0"/>
        <v>0</v>
      </c>
      <c r="G151" s="68">
        <v>0</v>
      </c>
      <c r="H151" s="68">
        <f t="shared" si="1"/>
        <v>0</v>
      </c>
      <c r="I151" s="33"/>
      <c r="L151" s="106"/>
      <c r="M151" s="106"/>
      <c r="N151" s="33"/>
      <c r="T151" s="18"/>
    </row>
    <row r="152" spans="1:20" s="34" customFormat="1" hidden="1" x14ac:dyDescent="0.25">
      <c r="A152" s="109"/>
      <c r="B152" s="109"/>
      <c r="C152" s="109"/>
      <c r="D152" s="109"/>
      <c r="E152" s="109"/>
      <c r="F152" s="109"/>
      <c r="G152" s="109"/>
      <c r="H152" s="109"/>
      <c r="I152" s="33"/>
      <c r="N152" s="33"/>
    </row>
    <row r="153" spans="1:20" ht="47.25" customHeight="1" x14ac:dyDescent="0.25">
      <c r="A153" s="144" t="s">
        <v>332</v>
      </c>
      <c r="B153" s="144" t="s">
        <v>177</v>
      </c>
      <c r="C153" s="144" t="s">
        <v>54</v>
      </c>
      <c r="D153" s="144" t="s">
        <v>232</v>
      </c>
      <c r="E153" s="144" t="s">
        <v>231</v>
      </c>
      <c r="F153" s="144" t="s">
        <v>55</v>
      </c>
      <c r="G153" s="120" t="s">
        <v>56</v>
      </c>
      <c r="H153" s="80" t="s">
        <v>146</v>
      </c>
      <c r="I153" s="33"/>
      <c r="T153" s="34"/>
    </row>
    <row r="154" spans="1:20" s="34" customFormat="1" x14ac:dyDescent="0.25">
      <c r="A154" s="144"/>
      <c r="B154" s="144"/>
      <c r="C154" s="144"/>
      <c r="D154" s="144"/>
      <c r="E154" s="144"/>
      <c r="F154" s="144"/>
      <c r="G154" s="120"/>
      <c r="H154" s="81">
        <v>0.5</v>
      </c>
      <c r="I154" s="33"/>
    </row>
    <row r="155" spans="1:20" s="60" customFormat="1" x14ac:dyDescent="0.25">
      <c r="A155" s="121" t="s">
        <v>324</v>
      </c>
      <c r="B155" s="121"/>
      <c r="C155" s="121"/>
      <c r="D155" s="121"/>
      <c r="E155" s="121"/>
      <c r="F155" s="121"/>
      <c r="G155" s="121"/>
      <c r="H155" s="121"/>
      <c r="I155" s="91"/>
      <c r="J155" s="92"/>
      <c r="T155" s="32"/>
    </row>
    <row r="156" spans="1:20" s="84" customFormat="1" x14ac:dyDescent="0.25">
      <c r="A156" s="238" t="s">
        <v>355</v>
      </c>
      <c r="B156" s="238"/>
      <c r="C156" s="238"/>
      <c r="D156" s="238"/>
      <c r="E156" s="238"/>
      <c r="F156" s="238"/>
      <c r="G156" s="238"/>
      <c r="H156" s="238"/>
      <c r="I156" s="91"/>
      <c r="J156" s="92"/>
      <c r="T156" s="32"/>
    </row>
    <row r="157" spans="1:20" s="84" customFormat="1" x14ac:dyDescent="0.25">
      <c r="A157" s="105" t="s">
        <v>361</v>
      </c>
      <c r="B157" s="105"/>
      <c r="C157" s="105"/>
      <c r="D157" s="105"/>
      <c r="E157" s="105"/>
      <c r="F157" s="105"/>
      <c r="G157" s="105"/>
      <c r="H157" s="105"/>
      <c r="I157" s="91"/>
      <c r="J157" s="92"/>
      <c r="T157" s="32"/>
    </row>
    <row r="158" spans="1:20" s="84" customFormat="1" x14ac:dyDescent="0.25">
      <c r="A158" s="105" t="s">
        <v>357</v>
      </c>
      <c r="B158" s="105"/>
      <c r="C158" s="105"/>
      <c r="D158" s="105"/>
      <c r="E158" s="105"/>
      <c r="F158" s="105"/>
      <c r="G158" s="105"/>
      <c r="H158" s="105"/>
      <c r="I158" s="91"/>
      <c r="J158" s="92"/>
      <c r="T158" s="32"/>
    </row>
    <row r="159" spans="1:20" s="84" customFormat="1" x14ac:dyDescent="0.25">
      <c r="A159" s="104" t="s">
        <v>358</v>
      </c>
      <c r="B159" s="104"/>
      <c r="C159" s="104"/>
      <c r="D159" s="104"/>
      <c r="E159" s="104"/>
      <c r="F159" s="104"/>
      <c r="G159" s="104"/>
      <c r="H159" s="104"/>
      <c r="J159" s="33"/>
    </row>
    <row r="160" spans="1:20" s="84" customFormat="1" ht="15.75" customHeight="1" x14ac:dyDescent="0.25">
      <c r="A160" s="110">
        <v>1</v>
      </c>
      <c r="B160" s="110"/>
      <c r="C160" s="107" t="s">
        <v>359</v>
      </c>
      <c r="D160" s="239"/>
      <c r="E160" s="239"/>
      <c r="F160" s="239"/>
      <c r="G160" s="239"/>
      <c r="H160" s="108"/>
      <c r="I160" s="33"/>
      <c r="L160" s="106"/>
      <c r="M160" s="106"/>
      <c r="N160" s="33"/>
    </row>
    <row r="161" spans="1:20" s="84" customFormat="1" ht="15.75" customHeight="1" x14ac:dyDescent="0.25">
      <c r="A161" s="110">
        <f>A160+1</f>
        <v>2</v>
      </c>
      <c r="B161" s="110"/>
      <c r="C161" s="82" t="s">
        <v>327</v>
      </c>
      <c r="D161" s="67">
        <f>(63.48)*10.764</f>
        <v>683.29871999999989</v>
      </c>
      <c r="E161" s="82">
        <v>0</v>
      </c>
      <c r="F161" s="82">
        <f>D161+E161</f>
        <v>683.29871999999989</v>
      </c>
      <c r="G161" s="82">
        <v>0</v>
      </c>
      <c r="H161" s="82">
        <f>F161*(($H$154)+1)+(IF(G161&lt;101,G161,IF(G161&lt;201,G161/2,IF(G161&lt;=301,G161/3,G161/4))))</f>
        <v>1024.9480799999999</v>
      </c>
      <c r="I161" s="33"/>
      <c r="L161" s="106"/>
      <c r="M161" s="106"/>
      <c r="N161" s="33"/>
    </row>
    <row r="162" spans="1:20" s="84" customFormat="1" ht="15.75" customHeight="1" x14ac:dyDescent="0.25">
      <c r="A162" s="110">
        <f>A161+1</f>
        <v>3</v>
      </c>
      <c r="B162" s="110"/>
      <c r="C162" s="82" t="s">
        <v>327</v>
      </c>
      <c r="D162" s="67">
        <f>(63.48)*10.764</f>
        <v>683.29871999999989</v>
      </c>
      <c r="E162" s="82">
        <v>0</v>
      </c>
      <c r="F162" s="82">
        <f>D162+E162</f>
        <v>683.29871999999989</v>
      </c>
      <c r="G162" s="82">
        <v>0</v>
      </c>
      <c r="H162" s="82">
        <f>F162*(($H$154)+1)+(IF(G162&lt;101,G162,IF(G162&lt;201,G162/2,IF(G162&lt;=301,G162/3,G162/4))))</f>
        <v>1024.9480799999999</v>
      </c>
      <c r="I162" s="33"/>
      <c r="L162" s="106"/>
      <c r="M162" s="106"/>
      <c r="N162" s="33"/>
    </row>
    <row r="163" spans="1:20" s="84" customFormat="1" ht="15.75" customHeight="1" x14ac:dyDescent="0.25">
      <c r="A163" s="110">
        <f>A162+1</f>
        <v>4</v>
      </c>
      <c r="B163" s="110"/>
      <c r="C163" s="82" t="s">
        <v>326</v>
      </c>
      <c r="D163" s="67">
        <f>(44.64)*10.764</f>
        <v>480.50495999999998</v>
      </c>
      <c r="E163" s="82">
        <v>0</v>
      </c>
      <c r="F163" s="82">
        <f>D163+E163</f>
        <v>480.50495999999998</v>
      </c>
      <c r="G163" s="82">
        <v>0</v>
      </c>
      <c r="H163" s="82">
        <f>F163*(($H$154)+1)+(IF(G163&lt;101,G163,IF(G163&lt;201,G163/2,IF(G163&lt;=301,G163/3,G163/4))))</f>
        <v>720.75743999999997</v>
      </c>
      <c r="I163" s="33">
        <f>3.2*5+2.3*3.5+3.5*3.5+2.25*1.35+2.3*1.35</f>
        <v>42.442499999999995</v>
      </c>
      <c r="L163" s="106"/>
      <c r="M163" s="106"/>
      <c r="N163" s="33"/>
      <c r="T163" s="18"/>
    </row>
    <row r="164" spans="1:20" s="84" customFormat="1" x14ac:dyDescent="0.25">
      <c r="A164" s="104" t="s">
        <v>360</v>
      </c>
      <c r="B164" s="104"/>
      <c r="C164" s="104"/>
      <c r="D164" s="104"/>
      <c r="E164" s="104"/>
      <c r="F164" s="104"/>
      <c r="G164" s="104"/>
      <c r="H164" s="104"/>
      <c r="J164" s="33"/>
    </row>
    <row r="165" spans="1:20" s="84" customFormat="1" ht="15.75" customHeight="1" x14ac:dyDescent="0.25">
      <c r="A165" s="110">
        <v>1</v>
      </c>
      <c r="B165" s="110"/>
      <c r="C165" s="82" t="s">
        <v>326</v>
      </c>
      <c r="D165" s="67">
        <f>(44.42)*10.764</f>
        <v>478.13687999999996</v>
      </c>
      <c r="E165" s="82">
        <v>0</v>
      </c>
      <c r="F165" s="82">
        <f>D165+E165</f>
        <v>478.13687999999996</v>
      </c>
      <c r="G165" s="82">
        <v>0</v>
      </c>
      <c r="H165" s="82">
        <f>F165*(($H$154)+1)+(IF(G165&lt;101,G165,IF(G165&lt;201,G165/2,IF(G165&lt;=301,G165/3,G165/4))))</f>
        <v>717.20531999999992</v>
      </c>
      <c r="I165" s="33"/>
      <c r="L165" s="106"/>
      <c r="M165" s="106"/>
      <c r="N165" s="33"/>
    </row>
    <row r="166" spans="1:20" s="84" customFormat="1" ht="15.75" customHeight="1" x14ac:dyDescent="0.25">
      <c r="A166" s="110">
        <f>A165+1</f>
        <v>2</v>
      </c>
      <c r="B166" s="110"/>
      <c r="C166" s="82" t="s">
        <v>327</v>
      </c>
      <c r="D166" s="67">
        <f>(63.48)*10.764</f>
        <v>683.29871999999989</v>
      </c>
      <c r="E166" s="82">
        <v>0</v>
      </c>
      <c r="F166" s="82">
        <f>D166+E166</f>
        <v>683.29871999999989</v>
      </c>
      <c r="G166" s="82">
        <v>0</v>
      </c>
      <c r="H166" s="82">
        <f>F166*(($H$154)+1)+(IF(G166&lt;101,G166,IF(G166&lt;201,G166/2,IF(G166&lt;=301,G166/3,G166/4))))</f>
        <v>1024.9480799999999</v>
      </c>
      <c r="I166" s="33"/>
      <c r="L166" s="106"/>
      <c r="M166" s="106"/>
      <c r="N166" s="33"/>
    </row>
    <row r="167" spans="1:20" s="84" customFormat="1" ht="15.75" customHeight="1" x14ac:dyDescent="0.25">
      <c r="A167" s="110">
        <f>A166+1</f>
        <v>3</v>
      </c>
      <c r="B167" s="110"/>
      <c r="C167" s="82" t="s">
        <v>327</v>
      </c>
      <c r="D167" s="67">
        <f>(63.48)*10.764</f>
        <v>683.29871999999989</v>
      </c>
      <c r="E167" s="82">
        <v>0</v>
      </c>
      <c r="F167" s="82">
        <f>D167+E167</f>
        <v>683.29871999999989</v>
      </c>
      <c r="G167" s="82">
        <v>0</v>
      </c>
      <c r="H167" s="82">
        <f>F167*(($H$154)+1)+(IF(G167&lt;101,G167,IF(G167&lt;201,G167/2,IF(G167&lt;=301,G167/3,G167/4))))</f>
        <v>1024.9480799999999</v>
      </c>
      <c r="I167" s="33"/>
      <c r="L167" s="106"/>
      <c r="M167" s="106"/>
      <c r="N167" s="33"/>
    </row>
    <row r="168" spans="1:20" s="84" customFormat="1" ht="15.75" customHeight="1" x14ac:dyDescent="0.25">
      <c r="A168" s="110">
        <f>A167+1</f>
        <v>4</v>
      </c>
      <c r="B168" s="110"/>
      <c r="C168" s="82" t="s">
        <v>326</v>
      </c>
      <c r="D168" s="67">
        <f>(44.64)*10.764</f>
        <v>480.50495999999998</v>
      </c>
      <c r="E168" s="82">
        <v>0</v>
      </c>
      <c r="F168" s="82">
        <f>D168+E168</f>
        <v>480.50495999999998</v>
      </c>
      <c r="G168" s="82">
        <v>0</v>
      </c>
      <c r="H168" s="82">
        <f>F168*(($H$154)+1)+(IF(G168&lt;101,G168,IF(G168&lt;201,G168/2,IF(G168&lt;=301,G168/3,G168/4))))</f>
        <v>720.75743999999997</v>
      </c>
      <c r="I168" s="33"/>
      <c r="L168" s="106"/>
      <c r="M168" s="106"/>
      <c r="N168" s="33"/>
      <c r="T168" s="18"/>
    </row>
    <row r="169" spans="1:20" s="84" customFormat="1" x14ac:dyDescent="0.25">
      <c r="A169" s="104" t="s">
        <v>328</v>
      </c>
      <c r="B169" s="104"/>
      <c r="C169" s="104"/>
      <c r="D169" s="104"/>
      <c r="E169" s="104"/>
      <c r="F169" s="104"/>
      <c r="G169" s="104"/>
      <c r="H169" s="104"/>
      <c r="J169" s="33"/>
    </row>
    <row r="170" spans="1:20" s="84" customFormat="1" ht="15.75" customHeight="1" x14ac:dyDescent="0.25">
      <c r="A170" s="110">
        <v>1</v>
      </c>
      <c r="B170" s="110"/>
      <c r="C170" s="82" t="s">
        <v>326</v>
      </c>
      <c r="D170" s="67">
        <f>(44.42)*10.764</f>
        <v>478.13687999999996</v>
      </c>
      <c r="E170" s="82">
        <v>0</v>
      </c>
      <c r="F170" s="82">
        <f>D170+E170</f>
        <v>478.13687999999996</v>
      </c>
      <c r="G170" s="82">
        <v>0</v>
      </c>
      <c r="H170" s="82">
        <f>F170*(($H$154)+1)+(IF(G170&lt;101,G170,IF(G170&lt;201,G170/2,IF(G170&lt;=301,G170/3,G170/4))))</f>
        <v>717.20531999999992</v>
      </c>
      <c r="I170" s="33"/>
      <c r="L170" s="106"/>
      <c r="M170" s="106"/>
      <c r="N170" s="33"/>
    </row>
    <row r="171" spans="1:20" s="84" customFormat="1" ht="15.75" customHeight="1" x14ac:dyDescent="0.25">
      <c r="A171" s="110">
        <f>A170+1</f>
        <v>2</v>
      </c>
      <c r="B171" s="110"/>
      <c r="C171" s="107" t="s">
        <v>329</v>
      </c>
      <c r="D171" s="239"/>
      <c r="E171" s="239"/>
      <c r="F171" s="239"/>
      <c r="G171" s="239"/>
      <c r="H171" s="108"/>
      <c r="I171" s="33"/>
      <c r="J171" s="84">
        <f>17500000-580000-1200000</f>
        <v>15720000</v>
      </c>
      <c r="K171" s="33">
        <f>J171/646</f>
        <v>24334.3653250774</v>
      </c>
      <c r="L171" s="106"/>
      <c r="M171" s="106"/>
      <c r="N171" s="33"/>
    </row>
    <row r="172" spans="1:20" s="84" customFormat="1" ht="15.75" customHeight="1" x14ac:dyDescent="0.25">
      <c r="A172" s="110">
        <f>A171+1</f>
        <v>3</v>
      </c>
      <c r="B172" s="110"/>
      <c r="C172" s="82" t="s">
        <v>327</v>
      </c>
      <c r="D172" s="67">
        <f>(63.48)*10.764</f>
        <v>683.29871999999989</v>
      </c>
      <c r="E172" s="82">
        <v>0</v>
      </c>
      <c r="F172" s="82">
        <f>D172+E172</f>
        <v>683.29871999999989</v>
      </c>
      <c r="G172" s="82">
        <v>0</v>
      </c>
      <c r="H172" s="82">
        <f>F172*(($H$154)+1)+(IF(G172&lt;101,G172,IF(G172&lt;201,G172/2,IF(G172&lt;=301,G172/3,G172/4))))</f>
        <v>1024.9480799999999</v>
      </c>
      <c r="I172" s="33"/>
      <c r="K172" s="84">
        <f>24500*646</f>
        <v>15827000</v>
      </c>
      <c r="L172" s="106">
        <f>K172+580000</f>
        <v>16407000</v>
      </c>
      <c r="M172" s="106"/>
      <c r="N172" s="33"/>
    </row>
    <row r="173" spans="1:20" s="84" customFormat="1" ht="15.75" customHeight="1" x14ac:dyDescent="0.25">
      <c r="A173" s="110">
        <f>A172+1</f>
        <v>4</v>
      </c>
      <c r="B173" s="110"/>
      <c r="C173" s="82" t="s">
        <v>326</v>
      </c>
      <c r="D173" s="67">
        <f>(44.64)*10.764</f>
        <v>480.50495999999998</v>
      </c>
      <c r="E173" s="82">
        <v>0</v>
      </c>
      <c r="F173" s="82">
        <f>D173+E173</f>
        <v>480.50495999999998</v>
      </c>
      <c r="G173" s="82">
        <v>0</v>
      </c>
      <c r="H173" s="82">
        <f>F173*(($H$154)+1)+(IF(G173&lt;101,G173,IF(G173&lt;201,G173/2,IF(G173&lt;=301,G173/3,G173/4))))</f>
        <v>720.75743999999997</v>
      </c>
      <c r="I173" s="33"/>
      <c r="L173" s="106">
        <f>L172+1100000</f>
        <v>17507000</v>
      </c>
      <c r="M173" s="106"/>
      <c r="N173" s="33"/>
      <c r="T173" s="18"/>
    </row>
    <row r="174" spans="1:20" s="84" customFormat="1" x14ac:dyDescent="0.25">
      <c r="A174" s="238" t="s">
        <v>356</v>
      </c>
      <c r="B174" s="238"/>
      <c r="C174" s="238"/>
      <c r="D174" s="238"/>
      <c r="E174" s="238"/>
      <c r="F174" s="238"/>
      <c r="G174" s="238"/>
      <c r="H174" s="238"/>
      <c r="I174" s="91"/>
      <c r="J174" s="92"/>
      <c r="T174" s="32"/>
    </row>
    <row r="175" spans="1:20" s="84" customFormat="1" x14ac:dyDescent="0.25">
      <c r="A175" s="105" t="s">
        <v>362</v>
      </c>
      <c r="B175" s="105"/>
      <c r="C175" s="105"/>
      <c r="D175" s="105"/>
      <c r="E175" s="105"/>
      <c r="F175" s="105"/>
      <c r="G175" s="105"/>
      <c r="H175" s="105"/>
      <c r="I175" s="91"/>
      <c r="J175" s="92"/>
      <c r="T175" s="32"/>
    </row>
    <row r="176" spans="1:20" s="84" customFormat="1" x14ac:dyDescent="0.25">
      <c r="A176" s="105" t="s">
        <v>357</v>
      </c>
      <c r="B176" s="105"/>
      <c r="C176" s="105"/>
      <c r="D176" s="105"/>
      <c r="E176" s="105"/>
      <c r="F176" s="105"/>
      <c r="G176" s="105"/>
      <c r="H176" s="105"/>
      <c r="I176" s="91"/>
      <c r="J176" s="92"/>
      <c r="T176" s="32"/>
    </row>
    <row r="177" spans="1:20" s="84" customFormat="1" x14ac:dyDescent="0.25">
      <c r="A177" s="104" t="s">
        <v>358</v>
      </c>
      <c r="B177" s="104"/>
      <c r="C177" s="104"/>
      <c r="D177" s="104"/>
      <c r="E177" s="104"/>
      <c r="F177" s="104"/>
      <c r="G177" s="104"/>
      <c r="H177" s="104"/>
      <c r="J177" s="33"/>
    </row>
    <row r="178" spans="1:20" s="84" customFormat="1" ht="15.75" customHeight="1" x14ac:dyDescent="0.25">
      <c r="A178" s="110">
        <v>1</v>
      </c>
      <c r="B178" s="110"/>
      <c r="C178" s="82" t="s">
        <v>326</v>
      </c>
      <c r="D178" s="67">
        <f>(44.42)*10.764</f>
        <v>478.13687999999996</v>
      </c>
      <c r="E178" s="82">
        <v>0</v>
      </c>
      <c r="F178" s="82">
        <f>D178+E178</f>
        <v>478.13687999999996</v>
      </c>
      <c r="G178" s="82">
        <v>0</v>
      </c>
      <c r="H178" s="82">
        <f>F178*(($H$154)+1)+(IF(G178&lt;101,G178,IF(G178&lt;201,G178/2,IF(G178&lt;=301,G178/3,G178/4))))</f>
        <v>717.20531999999992</v>
      </c>
      <c r="I178" s="33"/>
      <c r="L178" s="106"/>
      <c r="M178" s="106"/>
      <c r="N178" s="33"/>
    </row>
    <row r="179" spans="1:20" s="84" customFormat="1" ht="15.75" customHeight="1" x14ac:dyDescent="0.25">
      <c r="A179" s="110">
        <f>A178+1</f>
        <v>2</v>
      </c>
      <c r="B179" s="110"/>
      <c r="C179" s="107" t="s">
        <v>359</v>
      </c>
      <c r="D179" s="239"/>
      <c r="E179" s="239"/>
      <c r="F179" s="239"/>
      <c r="G179" s="239"/>
      <c r="H179" s="108"/>
      <c r="I179" s="33"/>
      <c r="L179" s="106"/>
      <c r="M179" s="106"/>
      <c r="N179" s="33"/>
    </row>
    <row r="180" spans="1:20" s="84" customFormat="1" ht="15.75" customHeight="1" x14ac:dyDescent="0.25">
      <c r="A180" s="110">
        <f>A179+1</f>
        <v>3</v>
      </c>
      <c r="B180" s="110"/>
      <c r="C180" s="82" t="s">
        <v>326</v>
      </c>
      <c r="D180" s="67">
        <f>(44.64)*10.764</f>
        <v>480.50495999999998</v>
      </c>
      <c r="E180" s="82">
        <v>0</v>
      </c>
      <c r="F180" s="82">
        <f>D180+E180</f>
        <v>480.50495999999998</v>
      </c>
      <c r="G180" s="82">
        <v>0</v>
      </c>
      <c r="H180" s="82">
        <f>F180*(($H$154)+1)+(IF(G180&lt;101,G180,IF(G180&lt;201,G180/2,IF(G180&lt;=301,G180/3,G180/4))))</f>
        <v>720.75743999999997</v>
      </c>
      <c r="I180" s="33"/>
      <c r="L180" s="106"/>
      <c r="M180" s="106"/>
      <c r="N180" s="33"/>
    </row>
    <row r="181" spans="1:20" s="84" customFormat="1" ht="15.75" customHeight="1" x14ac:dyDescent="0.25">
      <c r="A181" s="110">
        <f>A180+1</f>
        <v>4</v>
      </c>
      <c r="B181" s="110"/>
      <c r="C181" s="82" t="s">
        <v>326</v>
      </c>
      <c r="D181" s="67">
        <f>(44.64)*10.764</f>
        <v>480.50495999999998</v>
      </c>
      <c r="E181" s="82">
        <v>0</v>
      </c>
      <c r="F181" s="82">
        <f>D181+E181</f>
        <v>480.50495999999998</v>
      </c>
      <c r="G181" s="82">
        <v>0</v>
      </c>
      <c r="H181" s="82">
        <f>F181*(($H$154)+1)+(IF(G181&lt;101,G181,IF(G181&lt;201,G181/2,IF(G181&lt;=301,G181/3,G181/4))))</f>
        <v>720.75743999999997</v>
      </c>
      <c r="I181" s="33"/>
      <c r="L181" s="106"/>
      <c r="M181" s="106"/>
      <c r="N181" s="33"/>
      <c r="T181" s="18"/>
    </row>
    <row r="182" spans="1:20" s="84" customFormat="1" x14ac:dyDescent="0.25">
      <c r="A182" s="104" t="s">
        <v>360</v>
      </c>
      <c r="B182" s="104"/>
      <c r="C182" s="104"/>
      <c r="D182" s="104"/>
      <c r="E182" s="104"/>
      <c r="F182" s="104"/>
      <c r="G182" s="104"/>
      <c r="H182" s="104"/>
      <c r="J182" s="33"/>
    </row>
    <row r="183" spans="1:20" s="84" customFormat="1" ht="15.75" customHeight="1" x14ac:dyDescent="0.25">
      <c r="A183" s="110">
        <v>1</v>
      </c>
      <c r="B183" s="110"/>
      <c r="C183" s="82" t="s">
        <v>326</v>
      </c>
      <c r="D183" s="67">
        <f>(44.42)*10.764</f>
        <v>478.13687999999996</v>
      </c>
      <c r="E183" s="82">
        <v>0</v>
      </c>
      <c r="F183" s="82">
        <f>D183+E183</f>
        <v>478.13687999999996</v>
      </c>
      <c r="G183" s="82">
        <v>0</v>
      </c>
      <c r="H183" s="82">
        <f>F183*(($H$154)+1)+(IF(G183&lt;101,G183,IF(G183&lt;201,G183/2,IF(G183&lt;=301,G183/3,G183/4))))</f>
        <v>717.20531999999992</v>
      </c>
      <c r="I183" s="33"/>
      <c r="L183" s="106"/>
      <c r="M183" s="106"/>
      <c r="N183" s="33"/>
    </row>
    <row r="184" spans="1:20" s="84" customFormat="1" ht="15.75" customHeight="1" x14ac:dyDescent="0.25">
      <c r="A184" s="110">
        <f>A183+1</f>
        <v>2</v>
      </c>
      <c r="B184" s="110"/>
      <c r="C184" s="82" t="s">
        <v>326</v>
      </c>
      <c r="D184" s="67">
        <f>(44.42)*10.764</f>
        <v>478.13687999999996</v>
      </c>
      <c r="E184" s="82">
        <v>0</v>
      </c>
      <c r="F184" s="82">
        <f>D184+E184</f>
        <v>478.13687999999996</v>
      </c>
      <c r="G184" s="82">
        <v>0</v>
      </c>
      <c r="H184" s="82">
        <f>F184*(($H$154)+1)+(IF(G184&lt;101,G184,IF(G184&lt;201,G184/2,IF(G184&lt;=301,G184/3,G184/4))))</f>
        <v>717.20531999999992</v>
      </c>
      <c r="I184" s="33"/>
      <c r="L184" s="106"/>
      <c r="M184" s="106"/>
      <c r="N184" s="33"/>
    </row>
    <row r="185" spans="1:20" s="84" customFormat="1" ht="15.75" customHeight="1" x14ac:dyDescent="0.25">
      <c r="A185" s="110">
        <f>A184+1</f>
        <v>3</v>
      </c>
      <c r="B185" s="110"/>
      <c r="C185" s="82" t="s">
        <v>326</v>
      </c>
      <c r="D185" s="67">
        <f>(44.64)*10.764</f>
        <v>480.50495999999998</v>
      </c>
      <c r="E185" s="82">
        <v>0</v>
      </c>
      <c r="F185" s="82">
        <f>D185+E185</f>
        <v>480.50495999999998</v>
      </c>
      <c r="G185" s="82">
        <v>0</v>
      </c>
      <c r="H185" s="82">
        <f>F185*(($H$154)+1)+(IF(G185&lt;101,G185,IF(G185&lt;201,G185/2,IF(G185&lt;=301,G185/3,G185/4))))</f>
        <v>720.75743999999997</v>
      </c>
      <c r="I185" s="33"/>
      <c r="L185" s="106"/>
      <c r="M185" s="106"/>
      <c r="N185" s="33"/>
    </row>
    <row r="186" spans="1:20" s="84" customFormat="1" ht="15.75" customHeight="1" x14ac:dyDescent="0.25">
      <c r="A186" s="110">
        <f>A185+1</f>
        <v>4</v>
      </c>
      <c r="B186" s="110"/>
      <c r="C186" s="82" t="s">
        <v>326</v>
      </c>
      <c r="D186" s="67">
        <f>(44.64)*10.764</f>
        <v>480.50495999999998</v>
      </c>
      <c r="E186" s="82">
        <v>0</v>
      </c>
      <c r="F186" s="82">
        <f>D186+E186</f>
        <v>480.50495999999998</v>
      </c>
      <c r="G186" s="82">
        <v>0</v>
      </c>
      <c r="H186" s="82">
        <f>F186*(($H$154)+1)+(IF(G186&lt;101,G186,IF(G186&lt;201,G186/2,IF(G186&lt;=301,G186/3,G186/4))))</f>
        <v>720.75743999999997</v>
      </c>
      <c r="I186" s="33"/>
      <c r="L186" s="106"/>
      <c r="M186" s="106"/>
      <c r="N186" s="33"/>
      <c r="T186" s="18"/>
    </row>
    <row r="187" spans="1:20" s="84" customFormat="1" x14ac:dyDescent="0.25">
      <c r="A187" s="104" t="s">
        <v>328</v>
      </c>
      <c r="B187" s="104"/>
      <c r="C187" s="104"/>
      <c r="D187" s="104"/>
      <c r="E187" s="104"/>
      <c r="F187" s="104"/>
      <c r="G187" s="104"/>
      <c r="H187" s="104"/>
      <c r="J187" s="33"/>
    </row>
    <row r="188" spans="1:20" s="84" customFormat="1" ht="15.75" customHeight="1" x14ac:dyDescent="0.25">
      <c r="A188" s="110">
        <v>1</v>
      </c>
      <c r="B188" s="110"/>
      <c r="C188" s="107" t="s">
        <v>329</v>
      </c>
      <c r="D188" s="239"/>
      <c r="E188" s="239"/>
      <c r="F188" s="239"/>
      <c r="G188" s="239"/>
      <c r="H188" s="108"/>
      <c r="I188" s="33"/>
      <c r="L188" s="106"/>
      <c r="M188" s="106"/>
      <c r="N188" s="33"/>
    </row>
    <row r="189" spans="1:20" s="84" customFormat="1" ht="15.75" customHeight="1" x14ac:dyDescent="0.25">
      <c r="A189" s="110">
        <f>A188+1</f>
        <v>2</v>
      </c>
      <c r="B189" s="110"/>
      <c r="C189" s="82" t="s">
        <v>326</v>
      </c>
      <c r="D189" s="67">
        <f>(44.42)*10.764</f>
        <v>478.13687999999996</v>
      </c>
      <c r="E189" s="82">
        <v>0</v>
      </c>
      <c r="F189" s="82">
        <f>D189+E189</f>
        <v>478.13687999999996</v>
      </c>
      <c r="G189" s="82">
        <v>0</v>
      </c>
      <c r="H189" s="82">
        <f>F189*(($H$154)+1)+(IF(G189&lt;101,G189,IF(G189&lt;201,G189/2,IF(G189&lt;=301,G189/3,G189/4))))</f>
        <v>717.20531999999992</v>
      </c>
      <c r="I189" s="33"/>
      <c r="L189" s="106"/>
      <c r="M189" s="106"/>
      <c r="N189" s="33"/>
    </row>
    <row r="190" spans="1:20" s="84" customFormat="1" ht="15.75" customHeight="1" x14ac:dyDescent="0.25">
      <c r="A190" s="110">
        <f>A189+1</f>
        <v>3</v>
      </c>
      <c r="B190" s="110"/>
      <c r="C190" s="82" t="s">
        <v>326</v>
      </c>
      <c r="D190" s="67">
        <f>(44.64)*10.764</f>
        <v>480.50495999999998</v>
      </c>
      <c r="E190" s="82">
        <v>0</v>
      </c>
      <c r="F190" s="82">
        <f>D190+E190</f>
        <v>480.50495999999998</v>
      </c>
      <c r="G190" s="82">
        <v>0</v>
      </c>
      <c r="H190" s="82">
        <f>F190*(($H$154)+1)+(IF(G190&lt;101,G190,IF(G190&lt;201,G190/2,IF(G190&lt;=301,G190/3,G190/4))))</f>
        <v>720.75743999999997</v>
      </c>
      <c r="I190" s="33"/>
      <c r="L190" s="106"/>
      <c r="M190" s="106"/>
      <c r="N190" s="33"/>
    </row>
    <row r="191" spans="1:20" s="84" customFormat="1" ht="15.75" customHeight="1" x14ac:dyDescent="0.25">
      <c r="A191" s="110">
        <f>A190+1</f>
        <v>4</v>
      </c>
      <c r="B191" s="110"/>
      <c r="C191" s="82" t="s">
        <v>326</v>
      </c>
      <c r="D191" s="67">
        <f>(44.64)*10.764</f>
        <v>480.50495999999998</v>
      </c>
      <c r="E191" s="82">
        <v>0</v>
      </c>
      <c r="F191" s="82">
        <f>D191+E191</f>
        <v>480.50495999999998</v>
      </c>
      <c r="G191" s="82">
        <v>0</v>
      </c>
      <c r="H191" s="82">
        <f>F191*(($H$154)+1)+(IF(G191&lt;101,G191,IF(G191&lt;201,G191/2,IF(G191&lt;=301,G191/3,G191/4))))</f>
        <v>720.75743999999997</v>
      </c>
      <c r="I191" s="33"/>
      <c r="L191" s="106"/>
      <c r="M191" s="106"/>
      <c r="N191" s="33"/>
      <c r="T191" s="18"/>
    </row>
    <row r="192" spans="1:20" s="60" customFormat="1" x14ac:dyDescent="0.25">
      <c r="A192" s="122" t="s">
        <v>323</v>
      </c>
      <c r="B192" s="122"/>
      <c r="C192" s="122"/>
      <c r="D192" s="122"/>
      <c r="E192" s="122"/>
      <c r="F192" s="122"/>
      <c r="G192" s="122"/>
      <c r="H192" s="122"/>
      <c r="J192" s="67">
        <v>10.763999999999999</v>
      </c>
      <c r="T192" s="32"/>
    </row>
    <row r="193" spans="1:20" s="60" customFormat="1" ht="15.6" customHeight="1" x14ac:dyDescent="0.25">
      <c r="A193" s="105" t="s">
        <v>357</v>
      </c>
      <c r="B193" s="105"/>
      <c r="C193" s="105"/>
      <c r="D193" s="105"/>
      <c r="E193" s="105"/>
      <c r="F193" s="105"/>
      <c r="G193" s="105"/>
      <c r="H193" s="105"/>
      <c r="J193" s="33"/>
      <c r="T193" s="32"/>
    </row>
    <row r="194" spans="1:20" s="84" customFormat="1" x14ac:dyDescent="0.25">
      <c r="A194" s="104" t="s">
        <v>358</v>
      </c>
      <c r="B194" s="104"/>
      <c r="C194" s="104"/>
      <c r="D194" s="104"/>
      <c r="E194" s="104"/>
      <c r="F194" s="104"/>
      <c r="G194" s="104"/>
      <c r="H194" s="104"/>
      <c r="J194" s="33"/>
    </row>
    <row r="195" spans="1:20" s="84" customFormat="1" ht="15.75" customHeight="1" x14ac:dyDescent="0.25">
      <c r="A195" s="110">
        <v>1</v>
      </c>
      <c r="B195" s="110"/>
      <c r="C195" s="82" t="s">
        <v>326</v>
      </c>
      <c r="D195" s="67">
        <f>(44.42)*10.764</f>
        <v>478.13687999999996</v>
      </c>
      <c r="E195" s="82">
        <v>0</v>
      </c>
      <c r="F195" s="82">
        <f>D195+E195</f>
        <v>478.13687999999996</v>
      </c>
      <c r="G195" s="82">
        <v>0</v>
      </c>
      <c r="H195" s="82">
        <f>F195*(($H$154)+1)+(IF(G195&lt;101,G195,IF(G195&lt;201,G195/2,IF(G195&lt;=301,G195/3,G195/4))))</f>
        <v>717.20531999999992</v>
      </c>
      <c r="I195" s="33"/>
      <c r="L195" s="106"/>
      <c r="M195" s="106"/>
      <c r="N195" s="33"/>
    </row>
    <row r="196" spans="1:20" s="84" customFormat="1" ht="15.75" customHeight="1" x14ac:dyDescent="0.25">
      <c r="A196" s="110">
        <f>A195+1</f>
        <v>2</v>
      </c>
      <c r="B196" s="110"/>
      <c r="C196" s="107" t="s">
        <v>359</v>
      </c>
      <c r="D196" s="239"/>
      <c r="E196" s="239"/>
      <c r="F196" s="239"/>
      <c r="G196" s="239"/>
      <c r="H196" s="108"/>
      <c r="I196" s="33"/>
      <c r="L196" s="106"/>
      <c r="M196" s="106"/>
      <c r="N196" s="33"/>
    </row>
    <row r="197" spans="1:20" s="84" customFormat="1" ht="15.75" customHeight="1" x14ac:dyDescent="0.25">
      <c r="A197" s="110">
        <f>A196+1</f>
        <v>3</v>
      </c>
      <c r="B197" s="110"/>
      <c r="C197" s="82" t="s">
        <v>326</v>
      </c>
      <c r="D197" s="67">
        <f>(44.64)*10.764</f>
        <v>480.50495999999998</v>
      </c>
      <c r="E197" s="82">
        <v>0</v>
      </c>
      <c r="F197" s="82">
        <f>D197+E197</f>
        <v>480.50495999999998</v>
      </c>
      <c r="G197" s="82">
        <v>0</v>
      </c>
      <c r="H197" s="82">
        <f>F197*(($H$154)+1)+(IF(G197&lt;101,G197,IF(G197&lt;201,G197/2,IF(G197&lt;=301,G197/3,G197/4))))</f>
        <v>720.75743999999997</v>
      </c>
      <c r="I197" s="33"/>
      <c r="L197" s="106"/>
      <c r="M197" s="106"/>
      <c r="N197" s="33"/>
    </row>
    <row r="198" spans="1:20" s="84" customFormat="1" ht="15.75" customHeight="1" x14ac:dyDescent="0.25">
      <c r="A198" s="110">
        <f>A197+1</f>
        <v>4</v>
      </c>
      <c r="B198" s="110"/>
      <c r="C198" s="82" t="s">
        <v>326</v>
      </c>
      <c r="D198" s="67">
        <f>(44.64)*10.764</f>
        <v>480.50495999999998</v>
      </c>
      <c r="E198" s="82">
        <v>0</v>
      </c>
      <c r="F198" s="82">
        <f>D198+E198</f>
        <v>480.50495999999998</v>
      </c>
      <c r="G198" s="82">
        <v>0</v>
      </c>
      <c r="H198" s="82">
        <f>F198*(($H$154)+1)+(IF(G198&lt;101,G198,IF(G198&lt;201,G198/2,IF(G198&lt;=301,G198/3,G198/4))))</f>
        <v>720.75743999999997</v>
      </c>
      <c r="I198" s="33"/>
      <c r="L198" s="106"/>
      <c r="M198" s="106"/>
      <c r="N198" s="33"/>
      <c r="T198" s="18"/>
    </row>
    <row r="199" spans="1:20" s="60" customFormat="1" ht="15.6" customHeight="1" x14ac:dyDescent="0.25">
      <c r="A199" s="104" t="s">
        <v>371</v>
      </c>
      <c r="B199" s="104"/>
      <c r="C199" s="104"/>
      <c r="D199" s="104"/>
      <c r="E199" s="104"/>
      <c r="F199" s="104"/>
      <c r="G199" s="104"/>
      <c r="H199" s="104"/>
      <c r="J199" s="33"/>
    </row>
    <row r="200" spans="1:20" s="60" customFormat="1" ht="15.75" customHeight="1" x14ac:dyDescent="0.25">
      <c r="A200" s="109">
        <v>1</v>
      </c>
      <c r="B200" s="109"/>
      <c r="C200" s="68" t="s">
        <v>326</v>
      </c>
      <c r="D200" s="70">
        <f>(44.42)*10.764</f>
        <v>478.13687999999996</v>
      </c>
      <c r="E200" s="68">
        <v>0</v>
      </c>
      <c r="F200" s="68">
        <f>D200+E200</f>
        <v>478.13687999999996</v>
      </c>
      <c r="G200" s="68">
        <v>0</v>
      </c>
      <c r="H200" s="68">
        <f>F200*(($H$154)+1)+(IF(G200&lt;101,G200,IF(G200&lt;201,G200/2,IF(G200&lt;=301,G200/3,G200/4))))</f>
        <v>717.20531999999992</v>
      </c>
      <c r="I200" s="33">
        <f>3.2*5+2.3*3.5+3.5*3.5+2.3*1.35+2.25*1.35</f>
        <v>42.442499999999995</v>
      </c>
      <c r="L200" s="106"/>
      <c r="M200" s="106"/>
      <c r="N200" s="33"/>
    </row>
    <row r="201" spans="1:20" s="60" customFormat="1" ht="15.75" customHeight="1" x14ac:dyDescent="0.25">
      <c r="A201" s="107">
        <f>A200+1</f>
        <v>2</v>
      </c>
      <c r="B201" s="108"/>
      <c r="C201" s="59" t="s">
        <v>326</v>
      </c>
      <c r="D201" s="67">
        <f>(44.42)*10.764</f>
        <v>478.13687999999996</v>
      </c>
      <c r="E201" s="59">
        <v>0</v>
      </c>
      <c r="F201" s="59">
        <f>D201+E201</f>
        <v>478.13687999999996</v>
      </c>
      <c r="G201" s="59">
        <v>0</v>
      </c>
      <c r="H201" s="59">
        <f>F201*(($H$154)+1)+(IF(G201&lt;101,G201,IF(G201&lt;201,G201/2,IF(G201&lt;=301,G201/3,G201/4))))</f>
        <v>717.20531999999992</v>
      </c>
      <c r="I201" s="33"/>
      <c r="L201" s="106"/>
      <c r="M201" s="106"/>
      <c r="N201" s="33"/>
    </row>
    <row r="202" spans="1:20" s="60" customFormat="1" ht="15.75" customHeight="1" x14ac:dyDescent="0.25">
      <c r="A202" s="107">
        <f>A201+1</f>
        <v>3</v>
      </c>
      <c r="B202" s="108"/>
      <c r="C202" s="59" t="s">
        <v>326</v>
      </c>
      <c r="D202" s="67">
        <f>(44.64)*10.764</f>
        <v>480.50495999999998</v>
      </c>
      <c r="E202" s="59">
        <v>0</v>
      </c>
      <c r="F202" s="59">
        <f>D202+E202</f>
        <v>480.50495999999998</v>
      </c>
      <c r="G202" s="59">
        <v>0</v>
      </c>
      <c r="H202" s="59">
        <f>F202*(($H$154)+1)+(IF(G202&lt;101,G202,IF(G202&lt;201,G202/2,IF(G202&lt;=301,G202/3,G202/4))))</f>
        <v>720.75743999999997</v>
      </c>
      <c r="I202" s="33"/>
      <c r="J202" s="33">
        <f>15700000/H202</f>
        <v>21782.64021804617</v>
      </c>
      <c r="L202" s="106"/>
      <c r="M202" s="106"/>
      <c r="N202" s="33"/>
    </row>
    <row r="203" spans="1:20" s="60" customFormat="1" ht="15.75" customHeight="1" x14ac:dyDescent="0.25">
      <c r="A203" s="107">
        <f>A202+1</f>
        <v>4</v>
      </c>
      <c r="B203" s="108"/>
      <c r="C203" s="59" t="s">
        <v>326</v>
      </c>
      <c r="D203" s="67">
        <f>(44.64)*10.764</f>
        <v>480.50495999999998</v>
      </c>
      <c r="E203" s="59">
        <v>0</v>
      </c>
      <c r="F203" s="59">
        <f>D203+E203</f>
        <v>480.50495999999998</v>
      </c>
      <c r="G203" s="59">
        <v>0</v>
      </c>
      <c r="H203" s="59">
        <f>F203*(($H$154)+1)+(IF(G203&lt;101,G203,IF(G203&lt;201,G203/2,IF(G203&lt;=301,G203/3,G203/4))))</f>
        <v>720.75743999999997</v>
      </c>
      <c r="I203" s="33"/>
      <c r="L203" s="106"/>
      <c r="M203" s="106"/>
      <c r="N203" s="33"/>
      <c r="T203" s="18"/>
    </row>
    <row r="204" spans="1:20" s="88" customFormat="1" ht="15.6" customHeight="1" x14ac:dyDescent="0.25">
      <c r="A204" s="104" t="s">
        <v>372</v>
      </c>
      <c r="B204" s="104"/>
      <c r="C204" s="104"/>
      <c r="D204" s="104"/>
      <c r="E204" s="104"/>
      <c r="F204" s="104"/>
      <c r="G204" s="104"/>
      <c r="H204" s="104"/>
      <c r="J204" s="33"/>
    </row>
    <row r="205" spans="1:20" s="88" customFormat="1" ht="15.75" customHeight="1" x14ac:dyDescent="0.25">
      <c r="A205" s="109">
        <v>1</v>
      </c>
      <c r="B205" s="109"/>
      <c r="C205" s="90" t="s">
        <v>326</v>
      </c>
      <c r="D205" s="70">
        <f>(44.42)*10.764</f>
        <v>478.13687999999996</v>
      </c>
      <c r="E205" s="90">
        <v>0</v>
      </c>
      <c r="F205" s="90">
        <f>D205+E205</f>
        <v>478.13687999999996</v>
      </c>
      <c r="G205" s="90">
        <v>0</v>
      </c>
      <c r="H205" s="90">
        <f>F205*(($H$154)+1)+(IF(G205&lt;101,G205,IF(G205&lt;201,G205/2,IF(G205&lt;=301,G205/3,G205/4))))</f>
        <v>717.20531999999992</v>
      </c>
      <c r="I205" s="33">
        <f>3.2*5+2.3*3.5+3.5*3.5+2.3*1.35+2.25*1.35</f>
        <v>42.442499999999995</v>
      </c>
      <c r="L205" s="106"/>
      <c r="M205" s="106"/>
      <c r="N205" s="33"/>
    </row>
    <row r="206" spans="1:20" s="88" customFormat="1" ht="15.75" customHeight="1" x14ac:dyDescent="0.25">
      <c r="A206" s="107">
        <f>A205+1</f>
        <v>2</v>
      </c>
      <c r="B206" s="108"/>
      <c r="C206" s="89" t="s">
        <v>326</v>
      </c>
      <c r="D206" s="67">
        <f>(44.42)*10.764</f>
        <v>478.13687999999996</v>
      </c>
      <c r="E206" s="89">
        <v>0</v>
      </c>
      <c r="F206" s="89">
        <f>D206+E206</f>
        <v>478.13687999999996</v>
      </c>
      <c r="G206" s="89">
        <v>0</v>
      </c>
      <c r="H206" s="89">
        <f>F206*(($H$154)+1)+(IF(G206&lt;101,G206,IF(G206&lt;201,G206/2,IF(G206&lt;=301,G206/3,G206/4))))</f>
        <v>717.20531999999992</v>
      </c>
      <c r="I206" s="33"/>
      <c r="L206" s="106"/>
      <c r="M206" s="106"/>
      <c r="N206" s="33"/>
    </row>
    <row r="207" spans="1:20" s="88" customFormat="1" ht="15.75" customHeight="1" x14ac:dyDescent="0.25">
      <c r="A207" s="107">
        <f>A206+1</f>
        <v>3</v>
      </c>
      <c r="B207" s="108"/>
      <c r="C207" s="89" t="s">
        <v>326</v>
      </c>
      <c r="D207" s="67">
        <f>(44.64)*10.764</f>
        <v>480.50495999999998</v>
      </c>
      <c r="E207" s="89">
        <v>0</v>
      </c>
      <c r="F207" s="89">
        <f>D207+E207</f>
        <v>480.50495999999998</v>
      </c>
      <c r="G207" s="89">
        <v>0</v>
      </c>
      <c r="H207" s="89">
        <f>F207*(($H$154)+1)+(IF(G207&lt;101,G207,IF(G207&lt;201,G207/2,IF(G207&lt;=301,G207/3,G207/4))))</f>
        <v>720.75743999999997</v>
      </c>
      <c r="I207" s="33"/>
      <c r="J207" s="33">
        <f>15700000/H207</f>
        <v>21782.64021804617</v>
      </c>
      <c r="L207" s="106"/>
      <c r="M207" s="106"/>
      <c r="N207" s="33"/>
    </row>
    <row r="208" spans="1:20" s="88" customFormat="1" ht="15.75" customHeight="1" x14ac:dyDescent="0.25">
      <c r="A208" s="107">
        <f>A207+1</f>
        <v>4</v>
      </c>
      <c r="B208" s="108"/>
      <c r="C208" s="89" t="s">
        <v>326</v>
      </c>
      <c r="D208" s="67">
        <f>(44.64)*10.764</f>
        <v>480.50495999999998</v>
      </c>
      <c r="E208" s="89">
        <v>0</v>
      </c>
      <c r="F208" s="89">
        <f>D208+E208</f>
        <v>480.50495999999998</v>
      </c>
      <c r="G208" s="89">
        <v>0</v>
      </c>
      <c r="H208" s="89">
        <f>F208*(($H$154)+1)+(IF(G208&lt;101,G208,IF(G208&lt;201,G208/2,IF(G208&lt;=301,G208/3,G208/4))))</f>
        <v>720.75743999999997</v>
      </c>
      <c r="I208" s="33"/>
      <c r="L208" s="106"/>
      <c r="M208" s="106"/>
      <c r="N208" s="33"/>
      <c r="T208" s="18"/>
    </row>
    <row r="209" spans="1:20" s="84" customFormat="1" x14ac:dyDescent="0.25">
      <c r="A209" s="240" t="s">
        <v>328</v>
      </c>
      <c r="B209" s="241"/>
      <c r="C209" s="241"/>
      <c r="D209" s="241"/>
      <c r="E209" s="241"/>
      <c r="F209" s="241"/>
      <c r="G209" s="241"/>
      <c r="H209" s="242"/>
      <c r="J209" s="33"/>
    </row>
    <row r="210" spans="1:20" s="84" customFormat="1" ht="15.75" customHeight="1" x14ac:dyDescent="0.25">
      <c r="A210" s="107">
        <v>1</v>
      </c>
      <c r="B210" s="108"/>
      <c r="C210" s="107" t="s">
        <v>329</v>
      </c>
      <c r="D210" s="239"/>
      <c r="E210" s="239"/>
      <c r="F210" s="239"/>
      <c r="G210" s="239"/>
      <c r="H210" s="108"/>
      <c r="I210" s="33"/>
      <c r="L210" s="106"/>
      <c r="M210" s="106"/>
      <c r="N210" s="33"/>
    </row>
    <row r="211" spans="1:20" s="84" customFormat="1" ht="15.75" customHeight="1" x14ac:dyDescent="0.25">
      <c r="A211" s="107">
        <f>A210+1</f>
        <v>2</v>
      </c>
      <c r="B211" s="108"/>
      <c r="C211" s="82" t="s">
        <v>326</v>
      </c>
      <c r="D211" s="67">
        <f>(44.42)*10.764</f>
        <v>478.13687999999996</v>
      </c>
      <c r="E211" s="82">
        <v>0</v>
      </c>
      <c r="F211" s="82">
        <f>D211+E211</f>
        <v>478.13687999999996</v>
      </c>
      <c r="G211" s="82">
        <v>0</v>
      </c>
      <c r="H211" s="82">
        <f>F211*(($H$154)+1)+(IF(G211&lt;101,G211,IF(G211&lt;201,G211/2,IF(G211&lt;=301,G211/3,G211/4))))</f>
        <v>717.20531999999992</v>
      </c>
      <c r="I211" s="33"/>
      <c r="L211" s="106"/>
      <c r="M211" s="106"/>
      <c r="N211" s="33"/>
    </row>
    <row r="212" spans="1:20" s="84" customFormat="1" ht="15.75" customHeight="1" x14ac:dyDescent="0.25">
      <c r="A212" s="107">
        <f>A211+1</f>
        <v>3</v>
      </c>
      <c r="B212" s="108"/>
      <c r="C212" s="82" t="s">
        <v>326</v>
      </c>
      <c r="D212" s="67">
        <f>(44.64)*10.764</f>
        <v>480.50495999999998</v>
      </c>
      <c r="E212" s="82">
        <v>0</v>
      </c>
      <c r="F212" s="82">
        <f>D212+E212</f>
        <v>480.50495999999998</v>
      </c>
      <c r="G212" s="82">
        <v>0</v>
      </c>
      <c r="H212" s="82">
        <f>F212*(($H$154)+1)+(IF(G212&lt;101,G212,IF(G212&lt;201,G212/2,IF(G212&lt;=301,G212/3,G212/4))))</f>
        <v>720.75743999999997</v>
      </c>
      <c r="I212" s="33"/>
      <c r="L212" s="106"/>
      <c r="M212" s="106"/>
      <c r="N212" s="33"/>
    </row>
    <row r="213" spans="1:20" s="84" customFormat="1" ht="15.75" customHeight="1" x14ac:dyDescent="0.25">
      <c r="A213" s="107">
        <f>A212+1</f>
        <v>4</v>
      </c>
      <c r="B213" s="108"/>
      <c r="C213" s="82" t="s">
        <v>326</v>
      </c>
      <c r="D213" s="67">
        <f>(44.64)*10.764</f>
        <v>480.50495999999998</v>
      </c>
      <c r="E213" s="82">
        <v>0</v>
      </c>
      <c r="F213" s="82">
        <f>D213+E213</f>
        <v>480.50495999999998</v>
      </c>
      <c r="G213" s="82">
        <v>0</v>
      </c>
      <c r="H213" s="82">
        <f>F213*(($H$154)+1)+(IF(G213&lt;101,G213,IF(G213&lt;201,G213/2,IF(G213&lt;=301,G213/3,G213/4))))</f>
        <v>720.75743999999997</v>
      </c>
      <c r="I213" s="33"/>
      <c r="L213" s="106"/>
      <c r="M213" s="106"/>
      <c r="N213" s="33"/>
      <c r="T213" s="18"/>
    </row>
    <row r="214" spans="1:20" s="60" customFormat="1" x14ac:dyDescent="0.25">
      <c r="A214" s="123" t="s">
        <v>325</v>
      </c>
      <c r="B214" s="124"/>
      <c r="C214" s="124"/>
      <c r="D214" s="124"/>
      <c r="E214" s="124"/>
      <c r="F214" s="124"/>
      <c r="G214" s="124"/>
      <c r="H214" s="125"/>
      <c r="J214" s="33"/>
      <c r="T214" s="32"/>
    </row>
    <row r="215" spans="1:20" s="60" customFormat="1" ht="15.6" customHeight="1" x14ac:dyDescent="0.25">
      <c r="A215" s="105" t="s">
        <v>357</v>
      </c>
      <c r="B215" s="105"/>
      <c r="C215" s="105"/>
      <c r="D215" s="105"/>
      <c r="E215" s="105"/>
      <c r="F215" s="105"/>
      <c r="G215" s="105"/>
      <c r="H215" s="105"/>
      <c r="J215" s="33"/>
      <c r="T215" s="32"/>
    </row>
    <row r="216" spans="1:20" s="84" customFormat="1" x14ac:dyDescent="0.25">
      <c r="A216" s="104" t="s">
        <v>358</v>
      </c>
      <c r="B216" s="104"/>
      <c r="C216" s="104"/>
      <c r="D216" s="104"/>
      <c r="E216" s="104"/>
      <c r="F216" s="104"/>
      <c r="G216" s="104"/>
      <c r="H216" s="104"/>
      <c r="J216" s="33"/>
    </row>
    <row r="217" spans="1:20" s="84" customFormat="1" ht="15.75" customHeight="1" x14ac:dyDescent="0.25">
      <c r="A217" s="110">
        <v>1</v>
      </c>
      <c r="B217" s="110"/>
      <c r="C217" s="107" t="s">
        <v>359</v>
      </c>
      <c r="D217" s="239"/>
      <c r="E217" s="239"/>
      <c r="F217" s="239"/>
      <c r="G217" s="239"/>
      <c r="H217" s="108"/>
      <c r="I217" s="33"/>
      <c r="L217" s="106"/>
      <c r="M217" s="106"/>
      <c r="N217" s="33"/>
    </row>
    <row r="218" spans="1:20" s="84" customFormat="1" ht="15.75" customHeight="1" x14ac:dyDescent="0.25">
      <c r="A218" s="110">
        <f>A217+1</f>
        <v>2</v>
      </c>
      <c r="B218" s="110"/>
      <c r="C218" s="82" t="s">
        <v>327</v>
      </c>
      <c r="D218" s="67">
        <f>(63.48)*10.764</f>
        <v>683.29871999999989</v>
      </c>
      <c r="E218" s="82">
        <v>0</v>
      </c>
      <c r="F218" s="82">
        <f>D218+E218</f>
        <v>683.29871999999989</v>
      </c>
      <c r="G218" s="82">
        <v>0</v>
      </c>
      <c r="H218" s="82">
        <f>F218*(($H$154)+1)+(IF(G218&lt;101,G218,IF(G218&lt;201,G218/2,IF(G218&lt;=301,G218/3,G218/4))))</f>
        <v>1024.9480799999999</v>
      </c>
      <c r="I218" s="33"/>
      <c r="L218" s="106"/>
      <c r="M218" s="106"/>
      <c r="N218" s="33"/>
    </row>
    <row r="219" spans="1:20" s="84" customFormat="1" ht="15.75" customHeight="1" x14ac:dyDescent="0.25">
      <c r="A219" s="110">
        <f>A218+1</f>
        <v>3</v>
      </c>
      <c r="B219" s="110"/>
      <c r="C219" s="82" t="s">
        <v>327</v>
      </c>
      <c r="D219" s="67">
        <f>(63.48)*10.764</f>
        <v>683.29871999999989</v>
      </c>
      <c r="E219" s="82">
        <v>0</v>
      </c>
      <c r="F219" s="82">
        <f>D219+E219</f>
        <v>683.29871999999989</v>
      </c>
      <c r="G219" s="82">
        <v>0</v>
      </c>
      <c r="H219" s="82">
        <f>F219*(($H$154)+1)+(IF(G219&lt;101,G219,IF(G219&lt;201,G219/2,IF(G219&lt;=301,G219/3,G219/4))))</f>
        <v>1024.9480799999999</v>
      </c>
      <c r="I219" s="33"/>
      <c r="L219" s="106"/>
      <c r="M219" s="106"/>
      <c r="N219" s="33"/>
    </row>
    <row r="220" spans="1:20" s="84" customFormat="1" ht="15.75" customHeight="1" x14ac:dyDescent="0.25">
      <c r="A220" s="110">
        <f>A219+1</f>
        <v>4</v>
      </c>
      <c r="B220" s="110"/>
      <c r="C220" s="82" t="s">
        <v>326</v>
      </c>
      <c r="D220" s="67">
        <f>(44.64)*10.764</f>
        <v>480.50495999999998</v>
      </c>
      <c r="E220" s="82">
        <v>0</v>
      </c>
      <c r="F220" s="82">
        <f>D220+E220</f>
        <v>480.50495999999998</v>
      </c>
      <c r="G220" s="82">
        <v>0</v>
      </c>
      <c r="H220" s="82">
        <f>F220*(($H$154)+1)+(IF(G220&lt;101,G220,IF(G220&lt;201,G220/2,IF(G220&lt;=301,G220/3,G220/4))))</f>
        <v>720.75743999999997</v>
      </c>
      <c r="I220" s="33">
        <f>3.2*5+2.3*3.5+3.5*3.5+2.25*1.35+2.3*1.35</f>
        <v>42.442499999999995</v>
      </c>
      <c r="L220" s="106"/>
      <c r="M220" s="106"/>
      <c r="N220" s="33"/>
      <c r="T220" s="18"/>
    </row>
    <row r="221" spans="1:20" s="60" customFormat="1" ht="15.6" customHeight="1" x14ac:dyDescent="0.25">
      <c r="A221" s="104" t="s">
        <v>371</v>
      </c>
      <c r="B221" s="104"/>
      <c r="C221" s="104"/>
      <c r="D221" s="104"/>
      <c r="E221" s="104"/>
      <c r="F221" s="104"/>
      <c r="G221" s="104"/>
      <c r="H221" s="104"/>
      <c r="J221" s="33"/>
    </row>
    <row r="222" spans="1:20" s="60" customFormat="1" ht="15.75" customHeight="1" x14ac:dyDescent="0.25">
      <c r="A222" s="107">
        <v>1</v>
      </c>
      <c r="B222" s="108"/>
      <c r="C222" s="59" t="s">
        <v>326</v>
      </c>
      <c r="D222" s="67">
        <f>(44.42)*10.764</f>
        <v>478.13687999999996</v>
      </c>
      <c r="E222" s="59">
        <v>0</v>
      </c>
      <c r="F222" s="59">
        <f>D222+E222</f>
        <v>478.13687999999996</v>
      </c>
      <c r="G222" s="59">
        <v>0</v>
      </c>
      <c r="H222" s="59">
        <f>F222*(($H$154)+1)+(IF(G222&lt;101,G222,IF(G222&lt;201,G222/2,IF(G222&lt;=301,G222/3,G222/4))))</f>
        <v>717.20531999999992</v>
      </c>
      <c r="I222" s="33"/>
      <c r="L222" s="106"/>
      <c r="M222" s="106"/>
      <c r="N222" s="33"/>
    </row>
    <row r="223" spans="1:20" s="60" customFormat="1" ht="15.75" customHeight="1" x14ac:dyDescent="0.25">
      <c r="A223" s="107">
        <f>A222+1</f>
        <v>2</v>
      </c>
      <c r="B223" s="108"/>
      <c r="C223" s="59" t="s">
        <v>327</v>
      </c>
      <c r="D223" s="67">
        <f>(63.48)*10.764</f>
        <v>683.29871999999989</v>
      </c>
      <c r="E223" s="59">
        <v>0</v>
      </c>
      <c r="F223" s="59">
        <f>D223+E223</f>
        <v>683.29871999999989</v>
      </c>
      <c r="G223" s="59">
        <v>0</v>
      </c>
      <c r="H223" s="59">
        <f>F223*(($H$154)+1)+(IF(G223&lt;101,G223,IF(G223&lt;201,G223/2,IF(G223&lt;=301,G223/3,G223/4))))</f>
        <v>1024.9480799999999</v>
      </c>
      <c r="I223" s="33"/>
      <c r="J223" s="33">
        <f>22900000/H223</f>
        <v>22342.595148819637</v>
      </c>
      <c r="L223" s="106"/>
      <c r="M223" s="106"/>
      <c r="N223" s="33"/>
    </row>
    <row r="224" spans="1:20" s="60" customFormat="1" ht="15.75" customHeight="1" x14ac:dyDescent="0.25">
      <c r="A224" s="107">
        <f>A223+1</f>
        <v>3</v>
      </c>
      <c r="B224" s="108"/>
      <c r="C224" s="59" t="s">
        <v>327</v>
      </c>
      <c r="D224" s="67">
        <f>(63.48)*10.764</f>
        <v>683.29871999999989</v>
      </c>
      <c r="E224" s="59">
        <v>0</v>
      </c>
      <c r="F224" s="59">
        <f>D224+E224</f>
        <v>683.29871999999989</v>
      </c>
      <c r="G224" s="59">
        <v>0</v>
      </c>
      <c r="H224" s="59">
        <f>F224*(($H$154)+1)+(IF(G224&lt;101,G224,IF(G224&lt;201,G224/2,IF(G224&lt;=301,G224/3,G224/4))))</f>
        <v>1024.9480799999999</v>
      </c>
      <c r="I224" s="33"/>
      <c r="L224" s="106"/>
      <c r="M224" s="106"/>
      <c r="N224" s="33"/>
    </row>
    <row r="225" spans="1:20" s="60" customFormat="1" ht="15.75" customHeight="1" x14ac:dyDescent="0.25">
      <c r="A225" s="107">
        <f>A224+1</f>
        <v>4</v>
      </c>
      <c r="B225" s="108"/>
      <c r="C225" s="59" t="s">
        <v>326</v>
      </c>
      <c r="D225" s="67">
        <f>(44.64)*10.764</f>
        <v>480.50495999999998</v>
      </c>
      <c r="E225" s="59">
        <v>0</v>
      </c>
      <c r="F225" s="59">
        <f>D225+E225</f>
        <v>480.50495999999998</v>
      </c>
      <c r="G225" s="59">
        <v>0</v>
      </c>
      <c r="H225" s="59">
        <f>F225*(($H$154)+1)+(IF(G225&lt;101,G225,IF(G225&lt;201,G225/2,IF(G225&lt;=301,G225/3,G225/4))))</f>
        <v>720.75743999999997</v>
      </c>
      <c r="I225" s="33"/>
      <c r="L225" s="106"/>
      <c r="M225" s="106"/>
      <c r="N225" s="33"/>
      <c r="T225" s="18"/>
    </row>
    <row r="226" spans="1:20" s="88" customFormat="1" ht="15.6" customHeight="1" x14ac:dyDescent="0.25">
      <c r="A226" s="104" t="s">
        <v>372</v>
      </c>
      <c r="B226" s="104"/>
      <c r="C226" s="104"/>
      <c r="D226" s="104"/>
      <c r="E226" s="104"/>
      <c r="F226" s="104"/>
      <c r="G226" s="104"/>
      <c r="H226" s="104"/>
      <c r="J226" s="33"/>
    </row>
    <row r="227" spans="1:20" s="88" customFormat="1" ht="15.75" customHeight="1" x14ac:dyDescent="0.25">
      <c r="A227" s="107">
        <v>1</v>
      </c>
      <c r="B227" s="108"/>
      <c r="C227" s="89" t="s">
        <v>326</v>
      </c>
      <c r="D227" s="67">
        <f>(44.42)*10.764</f>
        <v>478.13687999999996</v>
      </c>
      <c r="E227" s="89">
        <v>0</v>
      </c>
      <c r="F227" s="89">
        <f>D227+E227</f>
        <v>478.13687999999996</v>
      </c>
      <c r="G227" s="89">
        <v>0</v>
      </c>
      <c r="H227" s="89">
        <f>F227*(($H$154)+1)+(IF(G227&lt;101,G227,IF(G227&lt;201,G227/2,IF(G227&lt;=301,G227/3,G227/4))))</f>
        <v>717.20531999999992</v>
      </c>
      <c r="I227" s="33"/>
      <c r="L227" s="106"/>
      <c r="M227" s="106"/>
      <c r="N227" s="33"/>
    </row>
    <row r="228" spans="1:20" s="88" customFormat="1" ht="15.75" customHeight="1" x14ac:dyDescent="0.25">
      <c r="A228" s="107">
        <f>A227+1</f>
        <v>2</v>
      </c>
      <c r="B228" s="108"/>
      <c r="C228" s="89" t="s">
        <v>327</v>
      </c>
      <c r="D228" s="67">
        <f>(63.48)*10.764</f>
        <v>683.29871999999989</v>
      </c>
      <c r="E228" s="89">
        <v>0</v>
      </c>
      <c r="F228" s="89">
        <f>D228+E228</f>
        <v>683.29871999999989</v>
      </c>
      <c r="G228" s="89">
        <v>0</v>
      </c>
      <c r="H228" s="89">
        <f>F228*(($H$154)+1)+(IF(G228&lt;101,G228,IF(G228&lt;201,G228/2,IF(G228&lt;=301,G228/3,G228/4))))</f>
        <v>1024.9480799999999</v>
      </c>
      <c r="I228" s="33"/>
      <c r="J228" s="33">
        <f>22900000/H228</f>
        <v>22342.595148819637</v>
      </c>
      <c r="L228" s="106"/>
      <c r="M228" s="106"/>
      <c r="N228" s="33"/>
    </row>
    <row r="229" spans="1:20" s="88" customFormat="1" ht="15.75" customHeight="1" x14ac:dyDescent="0.25">
      <c r="A229" s="107">
        <f>A228+1</f>
        <v>3</v>
      </c>
      <c r="B229" s="108"/>
      <c r="C229" s="89" t="s">
        <v>327</v>
      </c>
      <c r="D229" s="67">
        <f>(63.48)*10.764</f>
        <v>683.29871999999989</v>
      </c>
      <c r="E229" s="89">
        <v>0</v>
      </c>
      <c r="F229" s="89">
        <f>D229+E229</f>
        <v>683.29871999999989</v>
      </c>
      <c r="G229" s="89">
        <v>0</v>
      </c>
      <c r="H229" s="89">
        <f>F229*(($H$154)+1)+(IF(G229&lt;101,G229,IF(G229&lt;201,G229/2,IF(G229&lt;=301,G229/3,G229/4))))</f>
        <v>1024.9480799999999</v>
      </c>
      <c r="I229" s="33"/>
      <c r="L229" s="106"/>
      <c r="M229" s="106"/>
      <c r="N229" s="33"/>
    </row>
    <row r="230" spans="1:20" s="88" customFormat="1" ht="15.75" customHeight="1" x14ac:dyDescent="0.25">
      <c r="A230" s="107">
        <f>A229+1</f>
        <v>4</v>
      </c>
      <c r="B230" s="108"/>
      <c r="C230" s="89" t="s">
        <v>326</v>
      </c>
      <c r="D230" s="67">
        <f>(44.64)*10.764</f>
        <v>480.50495999999998</v>
      </c>
      <c r="E230" s="89">
        <v>0</v>
      </c>
      <c r="F230" s="89">
        <f>D230+E230</f>
        <v>480.50495999999998</v>
      </c>
      <c r="G230" s="89">
        <v>0</v>
      </c>
      <c r="H230" s="89">
        <f>F230*(($H$154)+1)+(IF(G230&lt;101,G230,IF(G230&lt;201,G230/2,IF(G230&lt;=301,G230/3,G230/4))))</f>
        <v>720.75743999999997</v>
      </c>
      <c r="I230" s="33"/>
      <c r="L230" s="106"/>
      <c r="M230" s="106"/>
      <c r="N230" s="33"/>
      <c r="T230" s="18"/>
    </row>
    <row r="231" spans="1:20" s="84" customFormat="1" x14ac:dyDescent="0.25">
      <c r="A231" s="104" t="s">
        <v>328</v>
      </c>
      <c r="B231" s="104"/>
      <c r="C231" s="104"/>
      <c r="D231" s="104"/>
      <c r="E231" s="104"/>
      <c r="F231" s="104"/>
      <c r="G231" s="104"/>
      <c r="H231" s="104"/>
      <c r="J231" s="33"/>
    </row>
    <row r="232" spans="1:20" s="84" customFormat="1" ht="15.75" customHeight="1" x14ac:dyDescent="0.25">
      <c r="A232" s="110">
        <v>1</v>
      </c>
      <c r="B232" s="110"/>
      <c r="C232" s="82" t="s">
        <v>326</v>
      </c>
      <c r="D232" s="67">
        <f>(44.42)*10.764</f>
        <v>478.13687999999996</v>
      </c>
      <c r="E232" s="82">
        <v>0</v>
      </c>
      <c r="F232" s="82">
        <f>D232+E232</f>
        <v>478.13687999999996</v>
      </c>
      <c r="G232" s="82">
        <v>0</v>
      </c>
      <c r="H232" s="82">
        <f>F232*(($H$154)+1)+(IF(G232&lt;101,G232,IF(G232&lt;201,G232/2,IF(G232&lt;=301,G232/3,G232/4))))</f>
        <v>717.20531999999992</v>
      </c>
      <c r="I232" s="33"/>
      <c r="L232" s="106"/>
      <c r="M232" s="106"/>
      <c r="N232" s="33"/>
    </row>
    <row r="233" spans="1:20" s="84" customFormat="1" ht="15.75" customHeight="1" x14ac:dyDescent="0.25">
      <c r="A233" s="110">
        <f>A232+1</f>
        <v>2</v>
      </c>
      <c r="B233" s="110"/>
      <c r="C233" s="110" t="s">
        <v>329</v>
      </c>
      <c r="D233" s="110"/>
      <c r="E233" s="110"/>
      <c r="F233" s="110"/>
      <c r="G233" s="110"/>
      <c r="H233" s="110"/>
      <c r="I233" s="33"/>
      <c r="L233" s="106"/>
      <c r="M233" s="106"/>
      <c r="N233" s="33"/>
    </row>
    <row r="234" spans="1:20" s="84" customFormat="1" ht="15.75" customHeight="1" x14ac:dyDescent="0.25">
      <c r="A234" s="110">
        <f>A233+1</f>
        <v>3</v>
      </c>
      <c r="B234" s="110"/>
      <c r="C234" s="82" t="s">
        <v>327</v>
      </c>
      <c r="D234" s="67">
        <f>(63.48)*10.764</f>
        <v>683.29871999999989</v>
      </c>
      <c r="E234" s="82">
        <v>0</v>
      </c>
      <c r="F234" s="82">
        <f>D234+E234</f>
        <v>683.29871999999989</v>
      </c>
      <c r="G234" s="82">
        <v>0</v>
      </c>
      <c r="H234" s="82">
        <f>F234*(($H$154)+1)+(IF(G234&lt;101,G234,IF(G234&lt;201,G234/2,IF(G234&lt;=301,G234/3,G234/4))))</f>
        <v>1024.9480799999999</v>
      </c>
      <c r="I234" s="33"/>
      <c r="L234" s="106"/>
      <c r="M234" s="106"/>
      <c r="N234" s="33"/>
    </row>
    <row r="235" spans="1:20" s="84" customFormat="1" ht="16.5" customHeight="1" x14ac:dyDescent="0.25">
      <c r="A235" s="110">
        <f>A234+1</f>
        <v>4</v>
      </c>
      <c r="B235" s="110"/>
      <c r="C235" s="82" t="s">
        <v>326</v>
      </c>
      <c r="D235" s="67">
        <f>(44.64)*10.764</f>
        <v>480.50495999999998</v>
      </c>
      <c r="E235" s="82">
        <v>0</v>
      </c>
      <c r="F235" s="82">
        <f>D235+E235</f>
        <v>480.50495999999998</v>
      </c>
      <c r="G235" s="82">
        <v>0</v>
      </c>
      <c r="H235" s="82">
        <f>F235*(($H$154)+1)+(IF(G235&lt;101,G235,IF(G235&lt;201,G235/2,IF(G235&lt;=301,G235/3,G235/4))))</f>
        <v>720.75743999999997</v>
      </c>
      <c r="I235" s="33"/>
      <c r="L235" s="106"/>
      <c r="M235" s="106"/>
      <c r="N235" s="33"/>
      <c r="T235" s="18"/>
    </row>
    <row r="236" spans="1:20" s="34" customFormat="1" hidden="1" x14ac:dyDescent="0.25">
      <c r="A236" s="104" t="s">
        <v>114</v>
      </c>
      <c r="B236" s="104"/>
      <c r="C236" s="104"/>
      <c r="D236" s="104"/>
      <c r="E236" s="104"/>
      <c r="F236" s="104"/>
      <c r="G236" s="104"/>
      <c r="H236" s="104"/>
      <c r="J236" s="33"/>
    </row>
    <row r="237" spans="1:20" s="34" customFormat="1" ht="15.75" hidden="1" customHeight="1" x14ac:dyDescent="0.25">
      <c r="A237" s="110">
        <v>1</v>
      </c>
      <c r="B237" s="110"/>
      <c r="C237" s="78"/>
      <c r="D237" s="78"/>
      <c r="E237" s="78">
        <v>0</v>
      </c>
      <c r="F237" s="78">
        <f>D237+E237</f>
        <v>0</v>
      </c>
      <c r="G237" s="78">
        <v>0</v>
      </c>
      <c r="H237" s="78">
        <f>F237*(($H$154)+1)+(IF(G237&lt;101,G237,IF(G237&lt;201,G237/2,IF(G237&lt;=301,G237/3,G237/4))))</f>
        <v>0</v>
      </c>
      <c r="I237" s="33"/>
      <c r="L237" s="106"/>
      <c r="M237" s="106"/>
      <c r="N237" s="33"/>
    </row>
    <row r="238" spans="1:20" s="34" customFormat="1" ht="15.75" hidden="1" customHeight="1" x14ac:dyDescent="0.25">
      <c r="A238" s="110">
        <f>A237+1</f>
        <v>2</v>
      </c>
      <c r="B238" s="110"/>
      <c r="C238" s="78"/>
      <c r="D238" s="78"/>
      <c r="E238" s="78">
        <v>0</v>
      </c>
      <c r="F238" s="78">
        <f>D238+E238</f>
        <v>0</v>
      </c>
      <c r="G238" s="78">
        <v>0</v>
      </c>
      <c r="H238" s="78">
        <f>F238*(($H$154)+1)+(IF(G238&lt;101,G238,IF(G238&lt;201,G238/2,IF(G238&lt;=301,G238/3,G238/4))))</f>
        <v>0</v>
      </c>
      <c r="I238" s="33"/>
      <c r="L238" s="106"/>
      <c r="M238" s="106"/>
      <c r="N238" s="33"/>
    </row>
    <row r="239" spans="1:20" s="34" customFormat="1" ht="15.75" hidden="1" customHeight="1" x14ac:dyDescent="0.25">
      <c r="A239" s="110">
        <f>A238+1</f>
        <v>3</v>
      </c>
      <c r="B239" s="110"/>
      <c r="C239" s="78"/>
      <c r="D239" s="78"/>
      <c r="E239" s="78">
        <v>0</v>
      </c>
      <c r="F239" s="78">
        <f>D239+E239</f>
        <v>0</v>
      </c>
      <c r="G239" s="78">
        <v>0</v>
      </c>
      <c r="H239" s="78">
        <f>F239*(($H$154)+1)+(IF(G239&lt;101,G239,IF(G239&lt;201,G239/2,IF(G239&lt;=301,G239/3,G239/4))))</f>
        <v>0</v>
      </c>
      <c r="I239" s="33"/>
      <c r="L239" s="106"/>
      <c r="M239" s="106"/>
      <c r="N239" s="33"/>
    </row>
    <row r="240" spans="1:20" s="34" customFormat="1" ht="15.75" hidden="1" customHeight="1" x14ac:dyDescent="0.25">
      <c r="A240" s="110">
        <f>A239+1</f>
        <v>4</v>
      </c>
      <c r="B240" s="110"/>
      <c r="C240" s="78"/>
      <c r="D240" s="78"/>
      <c r="E240" s="78">
        <v>0</v>
      </c>
      <c r="F240" s="78">
        <f>D240+E240</f>
        <v>0</v>
      </c>
      <c r="G240" s="78">
        <v>0</v>
      </c>
      <c r="H240" s="78">
        <f>F240*(($H$154)+1)+(IF(G240&lt;101,G240,IF(G240&lt;201,G240/2,IF(G240&lt;=301,G240/3,G240/4))))</f>
        <v>0</v>
      </c>
      <c r="I240" s="33"/>
      <c r="L240" s="106"/>
      <c r="M240" s="106"/>
      <c r="N240" s="33"/>
      <c r="T240" s="18"/>
    </row>
    <row r="241" spans="1:14" s="34" customFormat="1" hidden="1" x14ac:dyDescent="0.25">
      <c r="A241" s="104" t="s">
        <v>115</v>
      </c>
      <c r="B241" s="104"/>
      <c r="C241" s="104"/>
      <c r="D241" s="104"/>
      <c r="E241" s="104"/>
      <c r="F241" s="104"/>
      <c r="G241" s="104"/>
      <c r="H241" s="104"/>
      <c r="I241" s="33"/>
      <c r="L241" s="106"/>
      <c r="M241" s="106"/>
    </row>
    <row r="242" spans="1:14" s="34" customFormat="1" hidden="1" x14ac:dyDescent="0.25">
      <c r="A242" s="110">
        <f>LEFT(A241,SUM(LEN(A241)-LEN(SUBSTITUTE(A241,{"0","1","2","3","4","5","6","7","8","9"},""))))*100+1</f>
        <v>201</v>
      </c>
      <c r="B242" s="110"/>
      <c r="C242" s="78"/>
      <c r="D242" s="78"/>
      <c r="E242" s="78">
        <v>0</v>
      </c>
      <c r="F242" s="78">
        <f>D242+E242</f>
        <v>0</v>
      </c>
      <c r="G242" s="78">
        <v>0</v>
      </c>
      <c r="H242" s="78">
        <f>F242*(($H$154)+1)+(IF(G242&lt;101,G242,IF(G242&lt;201,G242/2,IF(G242&lt;=301,G242/3,G242/4))))</f>
        <v>0</v>
      </c>
      <c r="I242" s="33"/>
      <c r="N242" s="33"/>
    </row>
    <row r="243" spans="1:14" s="34" customFormat="1" hidden="1" x14ac:dyDescent="0.25">
      <c r="A243" s="110">
        <f>A242+1</f>
        <v>202</v>
      </c>
      <c r="B243" s="110"/>
      <c r="C243" s="78"/>
      <c r="D243" s="78"/>
      <c r="E243" s="78">
        <v>0</v>
      </c>
      <c r="F243" s="78">
        <f>D243+E243</f>
        <v>0</v>
      </c>
      <c r="G243" s="78">
        <v>0</v>
      </c>
      <c r="H243" s="78">
        <f>F243*(($H$154)+1)+(IF(G243&lt;101,G243,IF(G243&lt;201,G243/2,IF(G243&lt;=301,G243/3,G243/4))))</f>
        <v>0</v>
      </c>
      <c r="I243" s="33"/>
      <c r="N243" s="33"/>
    </row>
    <row r="244" spans="1:14" s="34" customFormat="1" hidden="1" x14ac:dyDescent="0.25">
      <c r="A244" s="110">
        <f>A243+1</f>
        <v>203</v>
      </c>
      <c r="B244" s="110"/>
      <c r="C244" s="78"/>
      <c r="D244" s="78"/>
      <c r="E244" s="78">
        <v>0</v>
      </c>
      <c r="F244" s="78">
        <f>D244+E244</f>
        <v>0</v>
      </c>
      <c r="G244" s="78">
        <v>0</v>
      </c>
      <c r="H244" s="78">
        <f>F244*(($H$154)+1)+(IF(G244&lt;101,G244,IF(G244&lt;201,G244/2,IF(G244&lt;=301,G244/3,G244/4))))</f>
        <v>0</v>
      </c>
      <c r="I244" s="33"/>
      <c r="N244" s="33"/>
    </row>
    <row r="245" spans="1:14" s="34" customFormat="1" hidden="1" x14ac:dyDescent="0.25">
      <c r="A245" s="110">
        <f>A244+1</f>
        <v>204</v>
      </c>
      <c r="B245" s="110"/>
      <c r="C245" s="78"/>
      <c r="D245" s="78"/>
      <c r="E245" s="78">
        <v>0</v>
      </c>
      <c r="F245" s="78">
        <f>D245+E245</f>
        <v>0</v>
      </c>
      <c r="G245" s="78">
        <v>0</v>
      </c>
      <c r="H245" s="78">
        <f>F245*(($H$154)+1)+(IF(G245&lt;101,G245,IF(G245&lt;201,G245/2,IF(G245&lt;=301,G245/3,G245/4))))</f>
        <v>0</v>
      </c>
      <c r="I245" s="33"/>
      <c r="N245" s="33"/>
    </row>
    <row r="246" spans="1:14" s="34" customFormat="1" hidden="1" x14ac:dyDescent="0.25">
      <c r="A246" s="110">
        <f>A245+1</f>
        <v>205</v>
      </c>
      <c r="B246" s="110"/>
      <c r="C246" s="78"/>
      <c r="D246" s="78"/>
      <c r="E246" s="78">
        <v>0</v>
      </c>
      <c r="F246" s="78">
        <f>D246+E246</f>
        <v>0</v>
      </c>
      <c r="G246" s="78">
        <v>0</v>
      </c>
      <c r="H246" s="78">
        <f>F246*(($H$154)+1)+(IF(G246&lt;101,G246,IF(G246&lt;201,G246/2,IF(G246&lt;=301,G246/3,G246/4))))</f>
        <v>0</v>
      </c>
      <c r="I246" s="33"/>
      <c r="N246" s="33"/>
    </row>
    <row r="247" spans="1:14" s="34" customFormat="1" ht="15.75" hidden="1" customHeight="1" x14ac:dyDescent="0.25">
      <c r="A247" s="104" t="s">
        <v>147</v>
      </c>
      <c r="B247" s="104"/>
      <c r="C247" s="104"/>
      <c r="D247" s="104"/>
      <c r="E247" s="104"/>
      <c r="F247" s="104"/>
      <c r="G247" s="104"/>
      <c r="H247" s="104"/>
      <c r="I247" s="33"/>
    </row>
    <row r="248" spans="1:14" s="34" customFormat="1" ht="15.75" hidden="1" customHeight="1" x14ac:dyDescent="0.25">
      <c r="A248" s="110"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10^ROW(INDIRECT("1:"&amp;LEN((LEFT(A247,SUM(LEN(A247)-LEN(SUBSTITUTE(A247,{"0","1","2"},""))))))))/10))*100+1&amp;""&amp;" ,..,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",LEN(A247))),LEN(A247)))))))/10))*100+1</f>
        <v>301 ,.., 1501</v>
      </c>
      <c r="B248" s="110"/>
      <c r="C248" s="78"/>
      <c r="D248" s="78"/>
      <c r="E248" s="78">
        <v>0</v>
      </c>
      <c r="F248" s="78">
        <f>D248+E248</f>
        <v>0</v>
      </c>
      <c r="G248" s="78">
        <v>0</v>
      </c>
      <c r="H248" s="78">
        <f>F248*(($H$154)+1)+(IF(G248&lt;101,G248,IF(G248&lt;201,G248/2,IF(G248&lt;=301,G248/3,G248/4))))</f>
        <v>0</v>
      </c>
      <c r="I248" s="33"/>
    </row>
    <row r="249" spans="1:14" s="34" customFormat="1" ht="15.75" hidden="1" customHeight="1" x14ac:dyDescent="0.25">
      <c r="A249" s="110"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302 ,.., 1502</v>
      </c>
      <c r="B249" s="110"/>
      <c r="C249" s="78"/>
      <c r="D249" s="78"/>
      <c r="E249" s="78">
        <v>0</v>
      </c>
      <c r="F249" s="78">
        <f>D249+E249</f>
        <v>0</v>
      </c>
      <c r="G249" s="78">
        <v>0</v>
      </c>
      <c r="H249" s="78">
        <f>F249*(($H$154)+1)+(IF(G249&lt;101,G249,IF(G249&lt;201,G249/2,IF(G249&lt;=301,G249/3,G249/4))))</f>
        <v>0</v>
      </c>
      <c r="I249" s="33"/>
    </row>
    <row r="250" spans="1:14" s="34" customFormat="1" ht="15.75" hidden="1" customHeight="1" x14ac:dyDescent="0.25">
      <c r="A250" s="110"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303 ,.., 1503</v>
      </c>
      <c r="B250" s="110"/>
      <c r="C250" s="78"/>
      <c r="D250" s="78"/>
      <c r="E250" s="78">
        <v>0</v>
      </c>
      <c r="F250" s="78">
        <f>D250+E250</f>
        <v>0</v>
      </c>
      <c r="G250" s="78">
        <v>0</v>
      </c>
      <c r="H250" s="78">
        <f>F250*(($H$154)+1)+(IF(G250&lt;101,G250,IF(G250&lt;201,G250/2,IF(G250&lt;=301,G250/3,G250/4))))</f>
        <v>0</v>
      </c>
      <c r="I250" s="33"/>
    </row>
    <row r="251" spans="1:14" s="34" customFormat="1" ht="15.75" hidden="1" customHeight="1" x14ac:dyDescent="0.25">
      <c r="A251" s="110"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304 ,.., 1504</v>
      </c>
      <c r="B251" s="110"/>
      <c r="C251" s="78"/>
      <c r="D251" s="78"/>
      <c r="E251" s="78">
        <v>0</v>
      </c>
      <c r="F251" s="78">
        <f>D251+E251</f>
        <v>0</v>
      </c>
      <c r="G251" s="78">
        <v>0</v>
      </c>
      <c r="H251" s="78">
        <f>F251*(($H$154)+1)+(IF(G251&lt;101,G251,IF(G251&lt;201,G251/2,IF(G251&lt;=301,G251/3,G251/4))))</f>
        <v>0</v>
      </c>
      <c r="I251" s="33"/>
    </row>
    <row r="252" spans="1:14" s="34" customFormat="1" ht="15.75" hidden="1" customHeight="1" x14ac:dyDescent="0.25">
      <c r="A252" s="110"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10^ROW(INDIRECT("1:"&amp;LEN((LEFT(A251,SUM(LEN(A251)-LEN(SUBSTITUTE(A251,{"0","1","2"},""))))))))/10))*1+1&amp;""&amp;" ,..,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",LEN(A251))),LEN(A251)))))))/10))*1+1</f>
        <v>305 ,.., 1505</v>
      </c>
      <c r="B252" s="110"/>
      <c r="C252" s="78"/>
      <c r="D252" s="78"/>
      <c r="E252" s="78">
        <v>0</v>
      </c>
      <c r="F252" s="78">
        <f>D252+E252</f>
        <v>0</v>
      </c>
      <c r="G252" s="78">
        <v>0</v>
      </c>
      <c r="H252" s="78">
        <f>F252*(($H$154)+1)+(IF(G252&lt;101,G252,IF(G252&lt;201,G252/2,IF(G252&lt;=301,G252/3,G252/4))))</f>
        <v>0</v>
      </c>
      <c r="I252" s="33"/>
    </row>
    <row r="253" spans="1:14" s="34" customFormat="1" hidden="1" x14ac:dyDescent="0.25">
      <c r="A253" s="104" t="s">
        <v>141</v>
      </c>
      <c r="B253" s="104"/>
      <c r="C253" s="104"/>
      <c r="D253" s="104"/>
      <c r="E253" s="104"/>
      <c r="F253" s="104"/>
      <c r="G253" s="104"/>
      <c r="H253" s="104"/>
      <c r="I253" s="33"/>
    </row>
    <row r="254" spans="1:14" s="34" customFormat="1" ht="15.75" hidden="1" customHeight="1" x14ac:dyDescent="0.25">
      <c r="A254" s="110"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10^ROW(INDIRECT("1:"&amp;LEN((LEFT(A253,SUM(LEN(A253)-LEN(SUBSTITUTE(A253,{"0","1","2"},""))))))))/10))*100+1&amp;""&amp;" to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",LEN(A253))),LEN(A253)))))))/10))*100+1</f>
        <v>201 to 501</v>
      </c>
      <c r="B254" s="110"/>
      <c r="C254" s="78"/>
      <c r="D254" s="78"/>
      <c r="E254" s="78">
        <v>0</v>
      </c>
      <c r="F254" s="78">
        <f>D254+E254</f>
        <v>0</v>
      </c>
      <c r="G254" s="78">
        <v>0</v>
      </c>
      <c r="H254" s="78">
        <f>F254*(($H$154)+1)+(IF(G254&lt;101,G254,IF(G254&lt;201,G254/2,IF(G254&lt;=301,G254/3,G254/4))))</f>
        <v>0</v>
      </c>
      <c r="I254" s="33"/>
    </row>
    <row r="255" spans="1:14" s="34" customFormat="1" ht="15.75" hidden="1" customHeight="1" x14ac:dyDescent="0.25">
      <c r="A255" s="110"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to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202 to 502</v>
      </c>
      <c r="B255" s="110"/>
      <c r="C255" s="78"/>
      <c r="D255" s="78"/>
      <c r="E255" s="78">
        <v>0</v>
      </c>
      <c r="F255" s="78">
        <f>D255+E255</f>
        <v>0</v>
      </c>
      <c r="G255" s="78">
        <v>0</v>
      </c>
      <c r="H255" s="78">
        <f>F255*(($H$154)+1)+(IF(G255&lt;101,G255,IF(G255&lt;201,G255/2,IF(G255&lt;=301,G255/3,G255/4))))</f>
        <v>0</v>
      </c>
      <c r="I255" s="33"/>
    </row>
    <row r="256" spans="1:14" s="34" customFormat="1" ht="15.75" hidden="1" customHeight="1" x14ac:dyDescent="0.25">
      <c r="A256" s="110"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to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203 to 503</v>
      </c>
      <c r="B256" s="110"/>
      <c r="C256" s="78"/>
      <c r="D256" s="78"/>
      <c r="E256" s="78">
        <v>0</v>
      </c>
      <c r="F256" s="78">
        <f>D256+E256</f>
        <v>0</v>
      </c>
      <c r="G256" s="78">
        <v>0</v>
      </c>
      <c r="H256" s="78">
        <f>F256*(($H$154)+1)+(IF(G256&lt;101,G256,IF(G256&lt;201,G256/2,IF(G256&lt;=301,G256/3,G256/4))))</f>
        <v>0</v>
      </c>
      <c r="I256" s="33"/>
    </row>
    <row r="257" spans="1:20" s="34" customFormat="1" ht="15.75" hidden="1" customHeight="1" x14ac:dyDescent="0.25">
      <c r="A257" s="110"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to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204 to 504</v>
      </c>
      <c r="B257" s="110"/>
      <c r="C257" s="78"/>
      <c r="D257" s="78"/>
      <c r="E257" s="78">
        <v>0</v>
      </c>
      <c r="F257" s="78">
        <f>D257+E257</f>
        <v>0</v>
      </c>
      <c r="G257" s="78">
        <v>0</v>
      </c>
      <c r="H257" s="78">
        <f>F257*(($H$154)+1)+(IF(G257&lt;101,G257,IF(G257&lt;201,G257/2,IF(G257&lt;=301,G257/3,G257/4))))</f>
        <v>0</v>
      </c>
      <c r="I257" s="33"/>
    </row>
    <row r="258" spans="1:20" s="34" customFormat="1" ht="15.75" hidden="1" customHeight="1" x14ac:dyDescent="0.25">
      <c r="A258" s="110"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to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205 to 505</v>
      </c>
      <c r="B258" s="110"/>
      <c r="C258" s="78"/>
      <c r="D258" s="78"/>
      <c r="E258" s="78">
        <v>0</v>
      </c>
      <c r="F258" s="78">
        <f>D258+E258</f>
        <v>0</v>
      </c>
      <c r="G258" s="78">
        <v>0</v>
      </c>
      <c r="H258" s="78">
        <f>F258*(($H$154)+1)+(IF(G258&lt;101,G258,IF(G258&lt;201,G258/2,IF(G258&lt;=301,G258/3,G258/4))))</f>
        <v>0</v>
      </c>
      <c r="I258" s="33"/>
    </row>
    <row r="259" spans="1:20" s="34" customFormat="1" hidden="1" x14ac:dyDescent="0.25">
      <c r="A259" s="104" t="s">
        <v>142</v>
      </c>
      <c r="B259" s="104"/>
      <c r="C259" s="104"/>
      <c r="D259" s="104"/>
      <c r="E259" s="104"/>
      <c r="F259" s="104"/>
      <c r="G259" s="104"/>
      <c r="H259" s="104"/>
      <c r="I259" s="33"/>
    </row>
    <row r="260" spans="1:20" s="34" customFormat="1" ht="15.75" hidden="1" customHeight="1" x14ac:dyDescent="0.25">
      <c r="A260" s="110"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10^ROW(INDIRECT("1:"&amp;LEN((LEFT(A259,SUM(LEN(A259)-LEN(SUBSTITUTE(A259,{"0","1","2"},""))))))))/10))*100+1&amp;""&amp;" &amp;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",LEN(A259))),LEN(A259)))))))/10))*100+1</f>
        <v>201 &amp; 501</v>
      </c>
      <c r="B260" s="110"/>
      <c r="C260" s="78"/>
      <c r="D260" s="78"/>
      <c r="E260" s="78">
        <v>0</v>
      </c>
      <c r="F260" s="78">
        <f>D260+E260</f>
        <v>0</v>
      </c>
      <c r="G260" s="78">
        <v>0</v>
      </c>
      <c r="H260" s="78">
        <f>F260*(($H$154)+1)+(IF(G260&lt;101,G260,IF(G260&lt;201,G260/2,IF(G260&lt;=301,G260/3,G260/4))))</f>
        <v>0</v>
      </c>
      <c r="I260" s="33"/>
    </row>
    <row r="261" spans="1:20" s="34" customFormat="1" ht="15.75" hidden="1" customHeight="1" x14ac:dyDescent="0.25">
      <c r="A261" s="110"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10^ROW(INDIRECT("1:"&amp;LEN((LEFT(A260,SUM(LEN(A260)-LEN(SUBSTITUTE(A260,{"0","1","2"},""))))))))/10))*1+1&amp;""&amp;" &amp;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",LEN(A260))),LEN(A260)))))))/10))*1+1</f>
        <v>202 &amp; 502</v>
      </c>
      <c r="B261" s="110"/>
      <c r="C261" s="78"/>
      <c r="D261" s="78"/>
      <c r="E261" s="78">
        <v>0</v>
      </c>
      <c r="F261" s="78">
        <f>D261+E261</f>
        <v>0</v>
      </c>
      <c r="G261" s="78">
        <v>0</v>
      </c>
      <c r="H261" s="78">
        <f>F261*(($H$154)+1)+(IF(G261&lt;101,G261,IF(G261&lt;201,G261/2,IF(G261&lt;=301,G261/3,G261/4))))</f>
        <v>0</v>
      </c>
      <c r="I261" s="33"/>
    </row>
    <row r="262" spans="1:20" s="34" customFormat="1" ht="15.75" hidden="1" customHeight="1" x14ac:dyDescent="0.25">
      <c r="A262" s="110"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&amp;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203 &amp; 503</v>
      </c>
      <c r="B262" s="110"/>
      <c r="C262" s="78"/>
      <c r="D262" s="78"/>
      <c r="E262" s="78">
        <v>0</v>
      </c>
      <c r="F262" s="78">
        <f>D262+E262</f>
        <v>0</v>
      </c>
      <c r="G262" s="78">
        <v>0</v>
      </c>
      <c r="H262" s="78">
        <f>F262*(($H$154)+1)+(IF(G262&lt;101,G262,IF(G262&lt;201,G262/2,IF(G262&lt;=301,G262/3,G262/4))))</f>
        <v>0</v>
      </c>
      <c r="I262" s="33"/>
    </row>
    <row r="263" spans="1:20" s="34" customFormat="1" ht="15.75" hidden="1" customHeight="1" x14ac:dyDescent="0.25">
      <c r="A263" s="110"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&amp;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204 &amp; 504</v>
      </c>
      <c r="B263" s="110"/>
      <c r="C263" s="78"/>
      <c r="D263" s="78"/>
      <c r="E263" s="78">
        <v>0</v>
      </c>
      <c r="F263" s="78">
        <f>D263+E263</f>
        <v>0</v>
      </c>
      <c r="G263" s="78">
        <v>0</v>
      </c>
      <c r="H263" s="78">
        <f>F263*(($H$154)+1)+(IF(G263&lt;101,G263,IF(G263&lt;201,G263/2,IF(G263&lt;=301,G263/3,G263/4))))</f>
        <v>0</v>
      </c>
      <c r="I263" s="33"/>
    </row>
    <row r="264" spans="1:20" s="34" customFormat="1" ht="15.75" hidden="1" customHeight="1" x14ac:dyDescent="0.25">
      <c r="A264" s="110"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&amp;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205 &amp; 505</v>
      </c>
      <c r="B264" s="110"/>
      <c r="C264" s="78"/>
      <c r="D264" s="78"/>
      <c r="E264" s="78">
        <v>0</v>
      </c>
      <c r="F264" s="78">
        <f>D264+E264</f>
        <v>0</v>
      </c>
      <c r="G264" s="78">
        <v>0</v>
      </c>
      <c r="H264" s="78">
        <f>F264*(($H$154)+1)+(IF(G264&lt;101,G264,IF(G264&lt;201,G264/2,IF(G264&lt;=301,G264/3,G264/4))))</f>
        <v>0</v>
      </c>
      <c r="I264" s="33"/>
    </row>
    <row r="265" spans="1:20" s="32" customFormat="1" x14ac:dyDescent="0.25">
      <c r="A265" s="222" t="s">
        <v>64</v>
      </c>
      <c r="B265" s="222"/>
      <c r="C265" s="222"/>
      <c r="D265" s="222"/>
      <c r="E265" s="222"/>
      <c r="F265" s="222"/>
      <c r="G265" s="222"/>
      <c r="H265" s="222"/>
      <c r="T265" s="34"/>
    </row>
    <row r="266" spans="1:20" s="32" customFormat="1" ht="31.5" customHeight="1" x14ac:dyDescent="0.25">
      <c r="A266" s="39" t="s">
        <v>151</v>
      </c>
      <c r="B266" s="126" t="s">
        <v>377</v>
      </c>
      <c r="C266" s="127"/>
      <c r="D266" s="127"/>
      <c r="E266" s="127"/>
      <c r="F266" s="127"/>
      <c r="G266" s="127"/>
      <c r="H266" s="128"/>
      <c r="T266" s="34"/>
    </row>
    <row r="267" spans="1:20" s="32" customFormat="1" x14ac:dyDescent="0.25">
      <c r="A267" s="39" t="s">
        <v>151</v>
      </c>
      <c r="B267" s="126" t="str">
        <f>(IF(H153="Saleable area Loading :","We have considered Saleable area of Flats as per our Calculation.","We considered Saleable area of Flat as per Builder area Sheet."))</f>
        <v>We have considered Saleable area of Flats as per our Calculation.</v>
      </c>
      <c r="C267" s="127"/>
      <c r="D267" s="127"/>
      <c r="E267" s="127"/>
      <c r="F267" s="127"/>
      <c r="G267" s="127"/>
      <c r="H267" s="128"/>
      <c r="T267" s="34"/>
    </row>
    <row r="268" spans="1:20" s="32" customFormat="1" hidden="1" x14ac:dyDescent="0.25">
      <c r="A268" s="39" t="s">
        <v>151</v>
      </c>
      <c r="B268" s="126" t="str">
        <f>(IF(H145="Saleable area Loading :","We have considered Saleable area of Commercial as per our Calculation.","We considered Saleable area of Commercial as per Builder area Sheet."))</f>
        <v>We have considered Saleable area of Commercial as per our Calculation.</v>
      </c>
      <c r="C268" s="127"/>
      <c r="D268" s="127"/>
      <c r="E268" s="127"/>
      <c r="F268" s="127"/>
      <c r="G268" s="127"/>
      <c r="H268" s="128"/>
      <c r="T268" s="34"/>
    </row>
    <row r="269" spans="1:20" s="32" customFormat="1" x14ac:dyDescent="0.25">
      <c r="A269" s="39" t="s">
        <v>151</v>
      </c>
      <c r="B269" s="126" t="s">
        <v>118</v>
      </c>
      <c r="C269" s="127"/>
      <c r="D269" s="127"/>
      <c r="E269" s="127"/>
      <c r="F269" s="127"/>
      <c r="G269" s="127"/>
      <c r="H269" s="128"/>
      <c r="T269" s="34"/>
    </row>
    <row r="270" spans="1:20" s="32" customFormat="1" x14ac:dyDescent="0.25">
      <c r="A270" s="39" t="s">
        <v>151</v>
      </c>
      <c r="B270" s="126" t="s">
        <v>333</v>
      </c>
      <c r="C270" s="127"/>
      <c r="D270" s="127"/>
      <c r="E270" s="127"/>
      <c r="F270" s="127"/>
      <c r="G270" s="127"/>
      <c r="H270" s="128"/>
      <c r="T270" s="34"/>
    </row>
    <row r="271" spans="1:20" s="32" customFormat="1" x14ac:dyDescent="0.25">
      <c r="A271" s="39" t="s">
        <v>151</v>
      </c>
      <c r="B271" s="126" t="s">
        <v>150</v>
      </c>
      <c r="C271" s="127"/>
      <c r="D271" s="127"/>
      <c r="E271" s="127"/>
      <c r="F271" s="127"/>
      <c r="G271" s="127"/>
      <c r="H271" s="128"/>
    </row>
    <row r="272" spans="1:20" s="32" customFormat="1" x14ac:dyDescent="0.25">
      <c r="A272" s="39" t="s">
        <v>151</v>
      </c>
      <c r="B272" s="126" t="s">
        <v>119</v>
      </c>
      <c r="C272" s="127"/>
      <c r="D272" s="127"/>
      <c r="E272" s="127"/>
      <c r="F272" s="127"/>
      <c r="G272" s="127"/>
      <c r="H272" s="128"/>
    </row>
    <row r="273" spans="1:20" s="32" customFormat="1" ht="34.5" customHeight="1" x14ac:dyDescent="0.25">
      <c r="A273" s="39" t="s">
        <v>151</v>
      </c>
      <c r="B273" s="101" t="s">
        <v>152</v>
      </c>
      <c r="C273" s="102"/>
      <c r="D273" s="102"/>
      <c r="E273" s="102"/>
      <c r="F273" s="102"/>
      <c r="G273" s="102"/>
      <c r="H273" s="103"/>
    </row>
    <row r="274" spans="1:20" s="32" customFormat="1" x14ac:dyDescent="0.25">
      <c r="A274" s="39" t="s">
        <v>151</v>
      </c>
      <c r="B274" s="101" t="s">
        <v>120</v>
      </c>
      <c r="C274" s="102"/>
      <c r="D274" s="102"/>
      <c r="E274" s="102"/>
      <c r="F274" s="102"/>
      <c r="G274" s="102"/>
      <c r="H274" s="103"/>
    </row>
    <row r="275" spans="1:20" s="32" customFormat="1" ht="32.25" hidden="1" customHeight="1" x14ac:dyDescent="0.25">
      <c r="A275" s="45" t="s">
        <v>151</v>
      </c>
      <c r="B275" s="208" t="s">
        <v>303</v>
      </c>
      <c r="C275" s="209"/>
      <c r="D275" s="209"/>
      <c r="E275" s="209"/>
      <c r="F275" s="209"/>
      <c r="G275" s="209"/>
      <c r="H275" s="210"/>
    </row>
    <row r="276" spans="1:20" s="32" customFormat="1" hidden="1" x14ac:dyDescent="0.25">
      <c r="A276" s="48" t="s">
        <v>151</v>
      </c>
      <c r="B276" s="208" t="s">
        <v>233</v>
      </c>
      <c r="C276" s="209"/>
      <c r="D276" s="209"/>
      <c r="E276" s="209"/>
      <c r="F276" s="209"/>
      <c r="G276" s="209"/>
      <c r="H276" s="210"/>
    </row>
    <row r="277" spans="1:20" s="32" customFormat="1" ht="45" hidden="1" customHeight="1" x14ac:dyDescent="0.25">
      <c r="A277" s="75" t="s">
        <v>151</v>
      </c>
      <c r="B277" s="101" t="s">
        <v>339</v>
      </c>
      <c r="C277" s="102"/>
      <c r="D277" s="102"/>
      <c r="E277" s="102"/>
      <c r="F277" s="102"/>
      <c r="G277" s="102"/>
      <c r="H277" s="103"/>
    </row>
    <row r="278" spans="1:20" s="32" customFormat="1" x14ac:dyDescent="0.25">
      <c r="A278" s="58" t="s">
        <v>151</v>
      </c>
      <c r="B278" s="101" t="s">
        <v>340</v>
      </c>
      <c r="C278" s="102"/>
      <c r="D278" s="102"/>
      <c r="E278" s="102"/>
      <c r="F278" s="102"/>
      <c r="G278" s="102"/>
      <c r="H278" s="103"/>
    </row>
    <row r="279" spans="1:20" s="32" customFormat="1" x14ac:dyDescent="0.25">
      <c r="A279" s="76" t="s">
        <v>151</v>
      </c>
      <c r="B279" s="101" t="s">
        <v>343</v>
      </c>
      <c r="C279" s="102"/>
      <c r="D279" s="102"/>
      <c r="E279" s="102"/>
      <c r="F279" s="102"/>
      <c r="G279" s="102"/>
      <c r="H279" s="103"/>
    </row>
    <row r="280" spans="1:20" s="32" customFormat="1" ht="33.6" customHeight="1" x14ac:dyDescent="0.25">
      <c r="A280" s="79" t="s">
        <v>151</v>
      </c>
      <c r="B280" s="101" t="s">
        <v>346</v>
      </c>
      <c r="C280" s="102"/>
      <c r="D280" s="102"/>
      <c r="E280" s="102"/>
      <c r="F280" s="102"/>
      <c r="G280" s="102"/>
      <c r="H280" s="103"/>
    </row>
    <row r="281" spans="1:20" s="32" customFormat="1" x14ac:dyDescent="0.25">
      <c r="A281" s="83" t="s">
        <v>151</v>
      </c>
      <c r="B281" s="101" t="s">
        <v>369</v>
      </c>
      <c r="C281" s="102"/>
      <c r="D281" s="102"/>
      <c r="E281" s="102"/>
      <c r="F281" s="102"/>
      <c r="G281" s="102"/>
      <c r="H281" s="103"/>
    </row>
    <row r="282" spans="1:20" x14ac:dyDescent="0.25">
      <c r="A282" s="199" t="s">
        <v>57</v>
      </c>
      <c r="B282" s="199"/>
      <c r="C282" s="199"/>
      <c r="D282" s="199"/>
      <c r="E282" s="199"/>
      <c r="F282" s="199"/>
      <c r="G282" s="199"/>
      <c r="H282" s="199"/>
      <c r="T282" s="32"/>
    </row>
    <row r="283" spans="1:20" x14ac:dyDescent="0.25">
      <c r="A283" s="117" t="s">
        <v>58</v>
      </c>
      <c r="B283" s="117"/>
      <c r="C283" s="117"/>
      <c r="D283" s="117"/>
      <c r="E283" s="117"/>
      <c r="F283" s="117"/>
      <c r="G283" s="117"/>
      <c r="H283" s="117"/>
      <c r="T283" s="32"/>
    </row>
    <row r="284" spans="1:20" ht="15.75" customHeight="1" x14ac:dyDescent="0.25">
      <c r="A284" s="220" t="s">
        <v>59</v>
      </c>
      <c r="B284" s="220"/>
      <c r="C284" s="220"/>
      <c r="D284" s="220"/>
      <c r="E284" s="220"/>
      <c r="F284" s="220"/>
      <c r="G284" s="220"/>
      <c r="H284" s="220"/>
      <c r="T284" s="32"/>
    </row>
    <row r="285" spans="1:20" x14ac:dyDescent="0.25">
      <c r="A285" s="117" t="s">
        <v>60</v>
      </c>
      <c r="B285" s="117"/>
      <c r="C285" s="117"/>
      <c r="D285" s="117"/>
      <c r="E285" s="117"/>
      <c r="F285" s="117"/>
      <c r="G285" s="117"/>
      <c r="H285" s="117"/>
      <c r="T285" s="32"/>
    </row>
    <row r="286" spans="1:20" x14ac:dyDescent="0.25">
      <c r="A286" s="117" t="s">
        <v>61</v>
      </c>
      <c r="B286" s="117"/>
      <c r="C286" s="117"/>
      <c r="D286" s="117"/>
      <c r="E286" s="117"/>
      <c r="F286" s="117"/>
      <c r="G286" s="117"/>
      <c r="H286" s="117"/>
      <c r="T286" s="32"/>
    </row>
    <row r="287" spans="1:20" x14ac:dyDescent="0.25">
      <c r="A287" s="117" t="s">
        <v>121</v>
      </c>
      <c r="B287" s="117"/>
      <c r="C287" s="117"/>
      <c r="D287" s="117"/>
      <c r="E287" s="117"/>
      <c r="F287" s="117"/>
      <c r="G287" s="117"/>
      <c r="H287" s="117"/>
      <c r="T287" s="32"/>
    </row>
    <row r="288" spans="1:20" ht="33.950000000000003" customHeight="1" x14ac:dyDescent="0.25">
      <c r="A288" s="166" t="s">
        <v>122</v>
      </c>
      <c r="B288" s="166"/>
      <c r="C288" s="166"/>
      <c r="D288" s="166"/>
      <c r="E288" s="166"/>
      <c r="F288" s="166"/>
      <c r="G288" s="166"/>
      <c r="H288" s="166"/>
    </row>
    <row r="289" spans="1:8" x14ac:dyDescent="0.25">
      <c r="A289" s="207" t="s">
        <v>73</v>
      </c>
      <c r="B289" s="207"/>
      <c r="C289" s="207" t="s">
        <v>345</v>
      </c>
      <c r="D289" s="207"/>
      <c r="E289" s="207" t="s">
        <v>101</v>
      </c>
      <c r="F289" s="207"/>
      <c r="G289" s="207" t="s">
        <v>344</v>
      </c>
      <c r="H289" s="207"/>
    </row>
    <row r="290" spans="1:8" x14ac:dyDescent="0.25">
      <c r="A290" s="206" t="s">
        <v>75</v>
      </c>
      <c r="B290" s="206"/>
      <c r="C290" s="206"/>
      <c r="D290" s="206"/>
      <c r="E290" s="206"/>
      <c r="F290" s="206"/>
      <c r="G290" s="206"/>
      <c r="H290" s="206"/>
    </row>
    <row r="291" spans="1:8" x14ac:dyDescent="0.25">
      <c r="A291" s="206"/>
      <c r="B291" s="206"/>
      <c r="C291" s="206"/>
      <c r="D291" s="206"/>
      <c r="E291" s="206"/>
      <c r="F291" s="206"/>
      <c r="G291" s="206"/>
      <c r="H291" s="206"/>
    </row>
    <row r="292" spans="1:8" x14ac:dyDescent="0.25">
      <c r="A292" s="206"/>
      <c r="B292" s="206"/>
      <c r="C292" s="206"/>
      <c r="D292" s="206"/>
      <c r="E292" s="206"/>
      <c r="F292" s="206"/>
      <c r="G292" s="206"/>
      <c r="H292" s="206"/>
    </row>
    <row r="293" spans="1:8" x14ac:dyDescent="0.25">
      <c r="A293" s="206"/>
      <c r="B293" s="206"/>
      <c r="C293" s="206"/>
      <c r="D293" s="206"/>
      <c r="E293" s="206"/>
      <c r="F293" s="206"/>
      <c r="G293" s="206"/>
      <c r="H293" s="206"/>
    </row>
    <row r="294" spans="1:8" x14ac:dyDescent="0.25">
      <c r="A294" s="35" t="s">
        <v>62</v>
      </c>
      <c r="B294" s="36"/>
      <c r="C294" s="36"/>
      <c r="D294" s="35" t="str">
        <f>E9</f>
        <v>Ajmera Boulevard</v>
      </c>
      <c r="F294" s="36"/>
      <c r="G294" s="36"/>
      <c r="H294" s="36"/>
    </row>
    <row r="295" spans="1:8" x14ac:dyDescent="0.25">
      <c r="A295" s="36"/>
      <c r="B295" s="36"/>
      <c r="C295" s="36"/>
      <c r="D295" s="36"/>
      <c r="E295" s="36"/>
      <c r="F295" s="36"/>
      <c r="G295" s="36"/>
      <c r="H295" s="36"/>
    </row>
    <row r="296" spans="1:8" x14ac:dyDescent="0.25">
      <c r="A296" s="36"/>
      <c r="B296" s="36"/>
      <c r="C296" s="36"/>
      <c r="D296" s="36"/>
      <c r="E296" s="36"/>
      <c r="F296" s="36"/>
      <c r="G296" s="36"/>
      <c r="H296" s="36"/>
    </row>
    <row r="297" spans="1:8" ht="15" customHeight="1" x14ac:dyDescent="0.25"/>
    <row r="337" spans="1:1" x14ac:dyDescent="0.25">
      <c r="A337" s="38" t="s">
        <v>162</v>
      </c>
    </row>
    <row r="380" spans="1:1" x14ac:dyDescent="0.25">
      <c r="A380" s="38" t="s">
        <v>63</v>
      </c>
    </row>
  </sheetData>
  <mergeCells count="526">
    <mergeCell ref="B281:H281"/>
    <mergeCell ref="L170:M170"/>
    <mergeCell ref="A171:B171"/>
    <mergeCell ref="L171:M171"/>
    <mergeCell ref="C171:H171"/>
    <mergeCell ref="A187:H187"/>
    <mergeCell ref="A188:B188"/>
    <mergeCell ref="L188:M188"/>
    <mergeCell ref="A189:B189"/>
    <mergeCell ref="L189:M189"/>
    <mergeCell ref="C188:H188"/>
    <mergeCell ref="A175:H175"/>
    <mergeCell ref="A185:B185"/>
    <mergeCell ref="L185:M185"/>
    <mergeCell ref="A186:B186"/>
    <mergeCell ref="L186:M186"/>
    <mergeCell ref="A209:H209"/>
    <mergeCell ref="A210:B210"/>
    <mergeCell ref="C210:H210"/>
    <mergeCell ref="L210:M210"/>
    <mergeCell ref="A190:B190"/>
    <mergeCell ref="L190:M190"/>
    <mergeCell ref="A191:B191"/>
    <mergeCell ref="L191:M191"/>
    <mergeCell ref="L197:M197"/>
    <mergeCell ref="A198:B198"/>
    <mergeCell ref="L198:M198"/>
    <mergeCell ref="A216:H216"/>
    <mergeCell ref="A217:B217"/>
    <mergeCell ref="C217:H217"/>
    <mergeCell ref="L217:M217"/>
    <mergeCell ref="A218:B218"/>
    <mergeCell ref="L218:M218"/>
    <mergeCell ref="A211:B211"/>
    <mergeCell ref="L211:M211"/>
    <mergeCell ref="A212:B212"/>
    <mergeCell ref="L212:M212"/>
    <mergeCell ref="A213:B213"/>
    <mergeCell ref="L213:M213"/>
    <mergeCell ref="L195:M195"/>
    <mergeCell ref="A196:B196"/>
    <mergeCell ref="C196:H196"/>
    <mergeCell ref="L196:M196"/>
    <mergeCell ref="A164:H164"/>
    <mergeCell ref="A165:B165"/>
    <mergeCell ref="L165:M165"/>
    <mergeCell ref="A166:B166"/>
    <mergeCell ref="L166:M166"/>
    <mergeCell ref="A167:B167"/>
    <mergeCell ref="L167:M167"/>
    <mergeCell ref="A168:B168"/>
    <mergeCell ref="L168:M168"/>
    <mergeCell ref="A182:H182"/>
    <mergeCell ref="A183:B183"/>
    <mergeCell ref="L183:M183"/>
    <mergeCell ref="A184:B184"/>
    <mergeCell ref="L184:M184"/>
    <mergeCell ref="L180:M180"/>
    <mergeCell ref="A174:H174"/>
    <mergeCell ref="A176:H176"/>
    <mergeCell ref="A172:B172"/>
    <mergeCell ref="A181:B181"/>
    <mergeCell ref="L181:M181"/>
    <mergeCell ref="C160:H160"/>
    <mergeCell ref="C179:H179"/>
    <mergeCell ref="A194:H194"/>
    <mergeCell ref="I68:M68"/>
    <mergeCell ref="A105:B105"/>
    <mergeCell ref="C105:D105"/>
    <mergeCell ref="E105:F105"/>
    <mergeCell ref="G105:H105"/>
    <mergeCell ref="A137:B137"/>
    <mergeCell ref="C137:D137"/>
    <mergeCell ref="E137:F137"/>
    <mergeCell ref="G137:H137"/>
    <mergeCell ref="A92:B92"/>
    <mergeCell ref="E92:F101"/>
    <mergeCell ref="G92:H101"/>
    <mergeCell ref="A93:B93"/>
    <mergeCell ref="A94:B94"/>
    <mergeCell ref="A95:B95"/>
    <mergeCell ref="A96:B96"/>
    <mergeCell ref="A97:B97"/>
    <mergeCell ref="A98:B98"/>
    <mergeCell ref="A99:B99"/>
    <mergeCell ref="A100:B100"/>
    <mergeCell ref="A101:B101"/>
    <mergeCell ref="A88:B88"/>
    <mergeCell ref="C88:H88"/>
    <mergeCell ref="A90:B90"/>
    <mergeCell ref="C90:H90"/>
    <mergeCell ref="A91:B91"/>
    <mergeCell ref="E91:F91"/>
    <mergeCell ref="G91:H91"/>
    <mergeCell ref="A169:H169"/>
    <mergeCell ref="A170:B170"/>
    <mergeCell ref="A157:H157"/>
    <mergeCell ref="A162:B162"/>
    <mergeCell ref="A163:B163"/>
    <mergeCell ref="E138:F138"/>
    <mergeCell ref="G138:H138"/>
    <mergeCell ref="A156:H156"/>
    <mergeCell ref="A158:H158"/>
    <mergeCell ref="A159:H159"/>
    <mergeCell ref="A160:B160"/>
    <mergeCell ref="A161:B161"/>
    <mergeCell ref="G141:H141"/>
    <mergeCell ref="I15:P15"/>
    <mergeCell ref="F127:H127"/>
    <mergeCell ref="F125:H125"/>
    <mergeCell ref="E43:H43"/>
    <mergeCell ref="A43:D43"/>
    <mergeCell ref="A55:B56"/>
    <mergeCell ref="C55:E55"/>
    <mergeCell ref="G55:H55"/>
    <mergeCell ref="A57:B58"/>
    <mergeCell ref="C57:E57"/>
    <mergeCell ref="G57:H57"/>
    <mergeCell ref="A59:B60"/>
    <mergeCell ref="C59:E59"/>
    <mergeCell ref="G59:H59"/>
    <mergeCell ref="F34:H34"/>
    <mergeCell ref="F35:H35"/>
    <mergeCell ref="A25:D25"/>
    <mergeCell ref="E25:H25"/>
    <mergeCell ref="E20:F20"/>
    <mergeCell ref="G20:H20"/>
    <mergeCell ref="A21:B21"/>
    <mergeCell ref="C21:D21"/>
    <mergeCell ref="E21:F21"/>
    <mergeCell ref="G21:H21"/>
    <mergeCell ref="A287:H287"/>
    <mergeCell ref="A284:H284"/>
    <mergeCell ref="A242:B242"/>
    <mergeCell ref="A136:B136"/>
    <mergeCell ref="D153:D154"/>
    <mergeCell ref="E153:E154"/>
    <mergeCell ref="F118:H118"/>
    <mergeCell ref="G132:H132"/>
    <mergeCell ref="F124:H124"/>
    <mergeCell ref="C131:D131"/>
    <mergeCell ref="C141:D141"/>
    <mergeCell ref="A236:H236"/>
    <mergeCell ref="A251:B251"/>
    <mergeCell ref="F126:H126"/>
    <mergeCell ref="E131:F131"/>
    <mergeCell ref="A131:B131"/>
    <mergeCell ref="A133:B133"/>
    <mergeCell ref="C136:D136"/>
    <mergeCell ref="A122:E122"/>
    <mergeCell ref="B279:H279"/>
    <mergeCell ref="B270:H270"/>
    <mergeCell ref="A265:H265"/>
    <mergeCell ref="B271:H271"/>
    <mergeCell ref="A257:B257"/>
    <mergeCell ref="A77:B77"/>
    <mergeCell ref="E77:F77"/>
    <mergeCell ref="G77:H77"/>
    <mergeCell ref="A78:B78"/>
    <mergeCell ref="E78:F87"/>
    <mergeCell ref="G78:H87"/>
    <mergeCell ref="A79:B79"/>
    <mergeCell ref="A80:B80"/>
    <mergeCell ref="A81:B81"/>
    <mergeCell ref="A82:B82"/>
    <mergeCell ref="A83:B83"/>
    <mergeCell ref="A84:B84"/>
    <mergeCell ref="A85:B85"/>
    <mergeCell ref="A86:B86"/>
    <mergeCell ref="A87:B87"/>
    <mergeCell ref="C53:E53"/>
    <mergeCell ref="A66:C66"/>
    <mergeCell ref="D66:H66"/>
    <mergeCell ref="C54:E54"/>
    <mergeCell ref="G54:H54"/>
    <mergeCell ref="G53:H53"/>
    <mergeCell ref="A61:B61"/>
    <mergeCell ref="C61:E61"/>
    <mergeCell ref="D63:H63"/>
    <mergeCell ref="D64:H64"/>
    <mergeCell ref="G61:H61"/>
    <mergeCell ref="A282:H282"/>
    <mergeCell ref="G136:H136"/>
    <mergeCell ref="A252:B252"/>
    <mergeCell ref="C145:C146"/>
    <mergeCell ref="B153:B154"/>
    <mergeCell ref="A283:H283"/>
    <mergeCell ref="F117:H117"/>
    <mergeCell ref="F122:H122"/>
    <mergeCell ref="A237:B237"/>
    <mergeCell ref="A151:B151"/>
    <mergeCell ref="A150:B150"/>
    <mergeCell ref="A123:E123"/>
    <mergeCell ref="F123:H123"/>
    <mergeCell ref="A125:E125"/>
    <mergeCell ref="F120:H120"/>
    <mergeCell ref="A124:E124"/>
    <mergeCell ref="A152:H152"/>
    <mergeCell ref="E136:F136"/>
    <mergeCell ref="A143:H143"/>
    <mergeCell ref="A153:A154"/>
    <mergeCell ref="F153:F154"/>
    <mergeCell ref="A248:B248"/>
    <mergeCell ref="A148:B148"/>
    <mergeCell ref="B275:H275"/>
    <mergeCell ref="A290:H293"/>
    <mergeCell ref="A289:B289"/>
    <mergeCell ref="E289:F289"/>
    <mergeCell ref="C289:D289"/>
    <mergeCell ref="G289:H289"/>
    <mergeCell ref="A130:H130"/>
    <mergeCell ref="A128:E128"/>
    <mergeCell ref="F128:H128"/>
    <mergeCell ref="A129:E129"/>
    <mergeCell ref="F129:H129"/>
    <mergeCell ref="A241:H241"/>
    <mergeCell ref="A139:B139"/>
    <mergeCell ref="A250:B250"/>
    <mergeCell ref="A132:B132"/>
    <mergeCell ref="A285:H285"/>
    <mergeCell ref="A135:H135"/>
    <mergeCell ref="A288:H288"/>
    <mergeCell ref="A286:H286"/>
    <mergeCell ref="B276:H276"/>
    <mergeCell ref="A141:B141"/>
    <mergeCell ref="E141:F141"/>
    <mergeCell ref="B273:H273"/>
    <mergeCell ref="A256:B256"/>
    <mergeCell ref="A245:B24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22:B22"/>
    <mergeCell ref="C22:D22"/>
    <mergeCell ref="E22:F22"/>
    <mergeCell ref="G22:H22"/>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8:H58"/>
    <mergeCell ref="A39:B39"/>
    <mergeCell ref="F37:H37"/>
    <mergeCell ref="C50:E50"/>
    <mergeCell ref="G50:H50"/>
    <mergeCell ref="A51:B51"/>
    <mergeCell ref="A62:H62"/>
    <mergeCell ref="A63:C63"/>
    <mergeCell ref="A64:C64"/>
    <mergeCell ref="C49:H49"/>
    <mergeCell ref="F119:H119"/>
    <mergeCell ref="A119:E119"/>
    <mergeCell ref="D145:D146"/>
    <mergeCell ref="C56:H56"/>
    <mergeCell ref="A240:B240"/>
    <mergeCell ref="A106:B106"/>
    <mergeCell ref="C39:H39"/>
    <mergeCell ref="A46:D46"/>
    <mergeCell ref="A47:D47"/>
    <mergeCell ref="A48:H48"/>
    <mergeCell ref="D65:H65"/>
    <mergeCell ref="A65:C65"/>
    <mergeCell ref="A113:B113"/>
    <mergeCell ref="A45:D45"/>
    <mergeCell ref="A49:B49"/>
    <mergeCell ref="C51:E51"/>
    <mergeCell ref="A107:B107"/>
    <mergeCell ref="G106:H106"/>
    <mergeCell ref="G131:H131"/>
    <mergeCell ref="A126:E126"/>
    <mergeCell ref="A149:B149"/>
    <mergeCell ref="A238:B238"/>
    <mergeCell ref="A40:B40"/>
    <mergeCell ref="C40:H40"/>
    <mergeCell ref="F145:F146"/>
    <mergeCell ref="C132:D132"/>
    <mergeCell ref="E132:F132"/>
    <mergeCell ref="B145:B146"/>
    <mergeCell ref="A145:A146"/>
    <mergeCell ref="C153:C154"/>
    <mergeCell ref="G153:G154"/>
    <mergeCell ref="G142:H142"/>
    <mergeCell ref="E107:F116"/>
    <mergeCell ref="G107:H116"/>
    <mergeCell ref="A115:B115"/>
    <mergeCell ref="A116:B116"/>
    <mergeCell ref="A112:B112"/>
    <mergeCell ref="A50:B50"/>
    <mergeCell ref="G51:H51"/>
    <mergeCell ref="A53:B54"/>
    <mergeCell ref="C60:E60"/>
    <mergeCell ref="G60:H60"/>
    <mergeCell ref="A109:B109"/>
    <mergeCell ref="A104:B104"/>
    <mergeCell ref="A102:B102"/>
    <mergeCell ref="C102:H102"/>
    <mergeCell ref="A111:B111"/>
    <mergeCell ref="C139:D139"/>
    <mergeCell ref="E139:F139"/>
    <mergeCell ref="G139:H139"/>
    <mergeCell ref="A118:E118"/>
    <mergeCell ref="A138:B138"/>
    <mergeCell ref="C138:D138"/>
    <mergeCell ref="A264:B264"/>
    <mergeCell ref="A263:B263"/>
    <mergeCell ref="C133:D133"/>
    <mergeCell ref="E133:F133"/>
    <mergeCell ref="G133:H133"/>
    <mergeCell ref="A134:B134"/>
    <mergeCell ref="C134:D134"/>
    <mergeCell ref="E134:F134"/>
    <mergeCell ref="G134:H134"/>
    <mergeCell ref="A140:B140"/>
    <mergeCell ref="C140:D140"/>
    <mergeCell ref="E140:F140"/>
    <mergeCell ref="G140:H140"/>
    <mergeCell ref="A244:B244"/>
    <mergeCell ref="A173:B173"/>
    <mergeCell ref="A177:H177"/>
    <mergeCell ref="A178:B178"/>
    <mergeCell ref="A179:B179"/>
    <mergeCell ref="L151:M151"/>
    <mergeCell ref="L150:M150"/>
    <mergeCell ref="L149:M149"/>
    <mergeCell ref="L148:M148"/>
    <mergeCell ref="A147:H147"/>
    <mergeCell ref="E145:E146"/>
    <mergeCell ref="A144:H144"/>
    <mergeCell ref="A258:B258"/>
    <mergeCell ref="A253:H253"/>
    <mergeCell ref="A247:H247"/>
    <mergeCell ref="A254:B254"/>
    <mergeCell ref="L160:M160"/>
    <mergeCell ref="L238:M238"/>
    <mergeCell ref="L239:M239"/>
    <mergeCell ref="A222:B222"/>
    <mergeCell ref="L232:M232"/>
    <mergeCell ref="L161:M161"/>
    <mergeCell ref="L162:M162"/>
    <mergeCell ref="L163:M163"/>
    <mergeCell ref="L172:M172"/>
    <mergeCell ref="L173:M173"/>
    <mergeCell ref="L178:M178"/>
    <mergeCell ref="L179:M179"/>
    <mergeCell ref="A180:B180"/>
    <mergeCell ref="A235:B235"/>
    <mergeCell ref="B266:H266"/>
    <mergeCell ref="B267:H267"/>
    <mergeCell ref="B269:H269"/>
    <mergeCell ref="A142:B142"/>
    <mergeCell ref="C142:D142"/>
    <mergeCell ref="E142:F142"/>
    <mergeCell ref="A255:B255"/>
    <mergeCell ref="A249:B249"/>
    <mergeCell ref="A195:B195"/>
    <mergeCell ref="A197:B197"/>
    <mergeCell ref="G145:G146"/>
    <mergeCell ref="L222:M222"/>
    <mergeCell ref="A223:B223"/>
    <mergeCell ref="L233:M233"/>
    <mergeCell ref="A219:B219"/>
    <mergeCell ref="L219:M219"/>
    <mergeCell ref="A220:B220"/>
    <mergeCell ref="L220:M220"/>
    <mergeCell ref="A231:H231"/>
    <mergeCell ref="C233:H233"/>
    <mergeCell ref="A227:B227"/>
    <mergeCell ref="L227:M227"/>
    <mergeCell ref="A228:B228"/>
    <mergeCell ref="L228:M228"/>
    <mergeCell ref="A229:B229"/>
    <mergeCell ref="L229:M229"/>
    <mergeCell ref="A230:B230"/>
    <mergeCell ref="L230:M230"/>
    <mergeCell ref="A155:H155"/>
    <mergeCell ref="A192:H192"/>
    <mergeCell ref="A214:H214"/>
    <mergeCell ref="A215:H215"/>
    <mergeCell ref="A199:H199"/>
    <mergeCell ref="A200:B200"/>
    <mergeCell ref="A69:C69"/>
    <mergeCell ref="D69:H69"/>
    <mergeCell ref="C104:H104"/>
    <mergeCell ref="A108:B108"/>
    <mergeCell ref="A110:B110"/>
    <mergeCell ref="E106:F106"/>
    <mergeCell ref="A70:C70"/>
    <mergeCell ref="D70:H70"/>
    <mergeCell ref="A127:E127"/>
    <mergeCell ref="A121:E121"/>
    <mergeCell ref="A120:E120"/>
    <mergeCell ref="A117:E117"/>
    <mergeCell ref="F121:H121"/>
    <mergeCell ref="A114:B114"/>
    <mergeCell ref="D71:H71"/>
    <mergeCell ref="A72:C72"/>
    <mergeCell ref="A73:C73"/>
    <mergeCell ref="D73:H73"/>
    <mergeCell ref="A71:C71"/>
    <mergeCell ref="D72:H72"/>
    <mergeCell ref="A74:B74"/>
    <mergeCell ref="C74:H74"/>
    <mergeCell ref="A76:B76"/>
    <mergeCell ref="C76:H76"/>
    <mergeCell ref="A208:B208"/>
    <mergeCell ref="L208:M208"/>
    <mergeCell ref="A226:H226"/>
    <mergeCell ref="L235:M235"/>
    <mergeCell ref="B278:H278"/>
    <mergeCell ref="L241:M241"/>
    <mergeCell ref="A246:B246"/>
    <mergeCell ref="A243:B243"/>
    <mergeCell ref="L223:M223"/>
    <mergeCell ref="L240:M240"/>
    <mergeCell ref="L237:M237"/>
    <mergeCell ref="A234:B234"/>
    <mergeCell ref="L234:M234"/>
    <mergeCell ref="B274:H274"/>
    <mergeCell ref="A224:B224"/>
    <mergeCell ref="A239:B239"/>
    <mergeCell ref="B272:H272"/>
    <mergeCell ref="B268:H268"/>
    <mergeCell ref="A262:B262"/>
    <mergeCell ref="A259:H259"/>
    <mergeCell ref="A260:B260"/>
    <mergeCell ref="A261:B261"/>
    <mergeCell ref="A232:B232"/>
    <mergeCell ref="A233:B233"/>
    <mergeCell ref="A52:B52"/>
    <mergeCell ref="C52:E52"/>
    <mergeCell ref="G52:H52"/>
    <mergeCell ref="B280:H280"/>
    <mergeCell ref="B277:H277"/>
    <mergeCell ref="A221:H221"/>
    <mergeCell ref="A193:H193"/>
    <mergeCell ref="L200:M200"/>
    <mergeCell ref="A201:B201"/>
    <mergeCell ref="L201:M201"/>
    <mergeCell ref="A202:B202"/>
    <mergeCell ref="L202:M202"/>
    <mergeCell ref="A203:B203"/>
    <mergeCell ref="L203:M203"/>
    <mergeCell ref="L224:M224"/>
    <mergeCell ref="A225:B225"/>
    <mergeCell ref="L225:M225"/>
    <mergeCell ref="A204:H204"/>
    <mergeCell ref="A205:B205"/>
    <mergeCell ref="L205:M205"/>
    <mergeCell ref="A206:B206"/>
    <mergeCell ref="L206:M206"/>
    <mergeCell ref="A207:B207"/>
    <mergeCell ref="L207:M207"/>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289:H289">
      <formula1>"Kunal Kadam,Pranita Mhatre,Shruti Fule,Pooja Kawale,Neha Dhokale,Shruti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5:B146">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3:E154">
      <formula1>"Fungible area,Balcony Area,Chajja Area,Cornice Area,AP Area,WS Area"</formula1>
    </dataValidation>
    <dataValidation type="list" allowBlank="1" showInputMessage="1" showErrorMessage="1" sqref="H146 H15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5 H153">
      <formula1>"Saleable area Loading :,Builder Saleable Area"</formula1>
    </dataValidation>
    <dataValidation type="list" allowBlank="1" showInputMessage="1" showErrorMessage="1" sqref="D145:D146 D153:D154">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87" max="7" man="1"/>
    <brk id="293" max="16383" man="1"/>
    <brk id="336" max="16383" man="1"/>
    <brk id="37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8" sqref="C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3" t="s">
        <v>102</v>
      </c>
      <c r="C3" s="243"/>
      <c r="D3" s="243"/>
      <c r="E3" s="243"/>
      <c r="F3" s="243"/>
      <c r="G3" s="243"/>
      <c r="H3" s="243"/>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6"/>
      <c r="C4" s="46" t="s">
        <v>11</v>
      </c>
      <c r="D4" s="47" t="s">
        <v>178</v>
      </c>
      <c r="E4" s="47" t="s">
        <v>188</v>
      </c>
      <c r="F4" s="47" t="s">
        <v>171</v>
      </c>
      <c r="G4" s="47" t="s">
        <v>193</v>
      </c>
      <c r="H4" s="47" t="s">
        <v>211</v>
      </c>
      <c r="J4" t="s">
        <v>193</v>
      </c>
      <c r="K4" t="s">
        <v>209</v>
      </c>
    </row>
    <row r="5" spans="2:11" x14ac:dyDescent="0.25">
      <c r="B5" s="46"/>
      <c r="C5" s="46"/>
      <c r="D5" s="47" t="s">
        <v>179</v>
      </c>
      <c r="E5" s="47" t="s">
        <v>186</v>
      </c>
      <c r="F5" s="47" t="s">
        <v>208</v>
      </c>
      <c r="G5" s="47" t="s">
        <v>194</v>
      </c>
      <c r="H5" s="47" t="s">
        <v>212</v>
      </c>
    </row>
    <row r="6" spans="2:11" x14ac:dyDescent="0.25">
      <c r="B6" s="46"/>
      <c r="C6" s="46"/>
      <c r="D6" s="47" t="s">
        <v>180</v>
      </c>
      <c r="E6" s="47" t="s">
        <v>187</v>
      </c>
      <c r="F6" s="47" t="s">
        <v>209</v>
      </c>
      <c r="G6" s="47" t="s">
        <v>195</v>
      </c>
      <c r="H6" s="47" t="s">
        <v>225</v>
      </c>
    </row>
    <row r="7" spans="2:11" x14ac:dyDescent="0.25">
      <c r="B7" s="46"/>
      <c r="C7" s="46"/>
      <c r="D7" s="47" t="s">
        <v>181</v>
      </c>
      <c r="E7" s="47" t="s">
        <v>189</v>
      </c>
      <c r="F7" s="47" t="s">
        <v>210</v>
      </c>
      <c r="G7" s="47" t="s">
        <v>196</v>
      </c>
      <c r="H7" s="47" t="s">
        <v>213</v>
      </c>
    </row>
    <row r="8" spans="2:11" x14ac:dyDescent="0.25">
      <c r="B8" s="46"/>
      <c r="C8" s="46"/>
      <c r="D8" s="47" t="s">
        <v>182</v>
      </c>
      <c r="E8" s="47" t="s">
        <v>190</v>
      </c>
      <c r="F8" s="47"/>
      <c r="G8" s="47" t="s">
        <v>197</v>
      </c>
      <c r="H8" s="47" t="s">
        <v>214</v>
      </c>
    </row>
    <row r="9" spans="2:11" x14ac:dyDescent="0.25">
      <c r="B9" s="46"/>
      <c r="C9" s="46"/>
      <c r="D9" s="47" t="s">
        <v>183</v>
      </c>
      <c r="E9" s="47" t="s">
        <v>188</v>
      </c>
      <c r="F9" s="47"/>
      <c r="G9" s="47" t="s">
        <v>198</v>
      </c>
      <c r="H9" s="47" t="s">
        <v>215</v>
      </c>
    </row>
    <row r="10" spans="2:11" x14ac:dyDescent="0.25">
      <c r="B10" s="46"/>
      <c r="C10" s="46"/>
      <c r="D10" s="47" t="s">
        <v>184</v>
      </c>
      <c r="E10" s="47" t="s">
        <v>191</v>
      </c>
      <c r="F10" s="47"/>
      <c r="G10" s="47" t="s">
        <v>199</v>
      </c>
      <c r="H10" s="47" t="s">
        <v>216</v>
      </c>
    </row>
    <row r="11" spans="2:11" x14ac:dyDescent="0.25">
      <c r="B11" s="46"/>
      <c r="C11" s="46"/>
      <c r="D11" s="47" t="s">
        <v>185</v>
      </c>
      <c r="E11" s="47" t="s">
        <v>192</v>
      </c>
      <c r="F11" s="47"/>
      <c r="G11" s="47" t="s">
        <v>200</v>
      </c>
      <c r="H11" s="47" t="s">
        <v>217</v>
      </c>
    </row>
    <row r="12" spans="2:11" x14ac:dyDescent="0.25">
      <c r="B12" s="46"/>
      <c r="C12" s="46"/>
      <c r="D12" s="47"/>
      <c r="E12" s="47"/>
      <c r="F12" s="47"/>
      <c r="G12" s="47" t="s">
        <v>201</v>
      </c>
      <c r="H12" s="47" t="s">
        <v>218</v>
      </c>
    </row>
    <row r="13" spans="2:11" x14ac:dyDescent="0.25">
      <c r="B13" s="46"/>
      <c r="C13" s="46"/>
      <c r="D13" s="47"/>
      <c r="E13" s="47"/>
      <c r="F13" s="47"/>
      <c r="G13" s="47" t="s">
        <v>202</v>
      </c>
      <c r="H13" s="47" t="s">
        <v>219</v>
      </c>
    </row>
    <row r="14" spans="2:11" x14ac:dyDescent="0.25">
      <c r="B14" s="46"/>
      <c r="C14" s="46"/>
      <c r="D14" s="47"/>
      <c r="E14" s="47"/>
      <c r="F14" s="47"/>
      <c r="G14" s="47" t="s">
        <v>203</v>
      </c>
      <c r="H14" s="47" t="s">
        <v>220</v>
      </c>
    </row>
    <row r="15" spans="2:11" x14ac:dyDescent="0.25">
      <c r="B15" s="46"/>
      <c r="C15" s="46"/>
      <c r="D15" s="47"/>
      <c r="E15" s="47"/>
      <c r="F15" s="47"/>
      <c r="G15" s="47" t="s">
        <v>204</v>
      </c>
      <c r="H15" s="47" t="s">
        <v>221</v>
      </c>
    </row>
    <row r="16" spans="2:11" x14ac:dyDescent="0.25">
      <c r="B16" s="46"/>
      <c r="C16" s="46"/>
      <c r="D16" s="47"/>
      <c r="E16" s="47"/>
      <c r="F16" s="47"/>
      <c r="G16" s="47" t="s">
        <v>205</v>
      </c>
      <c r="H16" s="47" t="s">
        <v>222</v>
      </c>
    </row>
    <row r="17" spans="2:8" x14ac:dyDescent="0.25">
      <c r="B17" s="46"/>
      <c r="C17" s="46"/>
      <c r="D17" s="47"/>
      <c r="E17" s="47"/>
      <c r="F17" s="47"/>
      <c r="G17" s="47" t="s">
        <v>206</v>
      </c>
      <c r="H17" s="47" t="s">
        <v>223</v>
      </c>
    </row>
    <row r="18" spans="2:8" x14ac:dyDescent="0.25">
      <c r="B18" s="46"/>
      <c r="C18" s="46"/>
      <c r="D18" s="47"/>
      <c r="E18" s="47"/>
      <c r="F18" s="47"/>
      <c r="G18" s="47" t="s">
        <v>207</v>
      </c>
      <c r="H18" s="47" t="s">
        <v>224</v>
      </c>
    </row>
    <row r="24" spans="2:8" x14ac:dyDescent="0.25">
      <c r="C24" t="s">
        <v>168</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168</v>
      </c>
    </row>
    <row r="33" spans="3:11" x14ac:dyDescent="0.25">
      <c r="J33">
        <v>1</v>
      </c>
      <c r="K33">
        <v>2</v>
      </c>
    </row>
    <row r="34" spans="3:11" x14ac:dyDescent="0.25">
      <c r="C34" s="49" t="s">
        <v>237</v>
      </c>
      <c r="D34" s="47" t="s">
        <v>235</v>
      </c>
      <c r="E34" s="47" t="s">
        <v>240</v>
      </c>
      <c r="F34" s="47" t="s">
        <v>238</v>
      </c>
      <c r="G34" s="47" t="s">
        <v>239</v>
      </c>
      <c r="H34" s="47" t="s">
        <v>241</v>
      </c>
      <c r="J34" t="s">
        <v>193</v>
      </c>
      <c r="K34" t="s">
        <v>209</v>
      </c>
    </row>
    <row r="35" spans="3:11" x14ac:dyDescent="0.25">
      <c r="C35" s="46" t="s">
        <v>236</v>
      </c>
      <c r="D35" s="47" t="s">
        <v>169</v>
      </c>
      <c r="E35" s="47" t="s">
        <v>245</v>
      </c>
      <c r="F35" s="47" t="s">
        <v>247</v>
      </c>
      <c r="G35" s="47" t="s">
        <v>249</v>
      </c>
      <c r="H35" s="47"/>
    </row>
    <row r="36" spans="3:11" x14ac:dyDescent="0.25">
      <c r="C36" s="46"/>
      <c r="D36" s="47" t="s">
        <v>242</v>
      </c>
      <c r="E36" s="47" t="s">
        <v>246</v>
      </c>
      <c r="F36" s="47" t="s">
        <v>248</v>
      </c>
      <c r="G36" s="47" t="s">
        <v>250</v>
      </c>
      <c r="H36" s="47"/>
    </row>
    <row r="37" spans="3:11" x14ac:dyDescent="0.25">
      <c r="C37" s="46"/>
      <c r="D37" s="47" t="s">
        <v>243</v>
      </c>
      <c r="E37" s="47"/>
      <c r="F37" s="47"/>
      <c r="G37" s="47" t="s">
        <v>251</v>
      </c>
      <c r="H37" s="47"/>
    </row>
    <row r="38" spans="3:11" x14ac:dyDescent="0.25">
      <c r="C38" s="46"/>
      <c r="D38" s="47" t="s">
        <v>244</v>
      </c>
      <c r="E38" s="47"/>
      <c r="F38" s="47"/>
      <c r="G38" s="47" t="s">
        <v>251</v>
      </c>
      <c r="H38" s="47"/>
    </row>
    <row r="39" spans="3:11" x14ac:dyDescent="0.25">
      <c r="C39" s="46"/>
      <c r="D39" s="47"/>
      <c r="E39" s="47"/>
      <c r="F39" s="47"/>
      <c r="G39" s="47" t="s">
        <v>252</v>
      </c>
      <c r="H39" s="47"/>
    </row>
    <row r="40" spans="3:11" x14ac:dyDescent="0.25">
      <c r="C40" s="46"/>
      <c r="D40" s="47"/>
      <c r="E40" s="47"/>
      <c r="F40" s="47"/>
      <c r="G40" s="47" t="s">
        <v>253</v>
      </c>
      <c r="H40" s="47"/>
    </row>
    <row r="41" spans="3:11" x14ac:dyDescent="0.25">
      <c r="C41" s="46"/>
      <c r="D41" s="47"/>
      <c r="E41" s="47"/>
      <c r="F41" s="47"/>
      <c r="G41" s="47"/>
      <c r="H41" s="47"/>
    </row>
    <row r="43" spans="3:11" x14ac:dyDescent="0.25">
      <c r="C43" t="s">
        <v>254</v>
      </c>
    </row>
    <row r="44" spans="3:11" x14ac:dyDescent="0.25">
      <c r="C44" t="s">
        <v>171</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178</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193</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188</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0">
        <v>1</v>
      </c>
      <c r="C2" s="53" t="s">
        <v>285</v>
      </c>
    </row>
    <row r="3" spans="2:3" x14ac:dyDescent="0.25">
      <c r="B3" s="50">
        <v>2</v>
      </c>
      <c r="C3" s="51" t="s">
        <v>286</v>
      </c>
    </row>
    <row r="4" spans="2:3" x14ac:dyDescent="0.25">
      <c r="B4" s="50">
        <v>3</v>
      </c>
      <c r="C4" s="52" t="s">
        <v>287</v>
      </c>
    </row>
    <row r="5" spans="2:3" ht="30" x14ac:dyDescent="0.25">
      <c r="B5" s="50">
        <v>4</v>
      </c>
      <c r="C5" s="51" t="s">
        <v>288</v>
      </c>
    </row>
    <row r="6" spans="2:3" x14ac:dyDescent="0.25">
      <c r="B6" s="50">
        <v>5</v>
      </c>
      <c r="C6" s="52" t="s">
        <v>289</v>
      </c>
    </row>
    <row r="7" spans="2:3" ht="30" x14ac:dyDescent="0.25">
      <c r="B7" s="50">
        <v>6</v>
      </c>
      <c r="C7" s="51" t="s">
        <v>290</v>
      </c>
    </row>
    <row r="8" spans="2:3" ht="90" x14ac:dyDescent="0.25">
      <c r="B8" s="50">
        <v>7</v>
      </c>
      <c r="C8" s="51" t="s">
        <v>291</v>
      </c>
    </row>
    <row r="9" spans="2:3" x14ac:dyDescent="0.25">
      <c r="B9" s="50">
        <v>8</v>
      </c>
      <c r="C9" s="52" t="s">
        <v>292</v>
      </c>
    </row>
    <row r="10" spans="2:3" x14ac:dyDescent="0.25">
      <c r="B10" s="50">
        <v>9</v>
      </c>
      <c r="C10" s="52" t="s">
        <v>293</v>
      </c>
    </row>
    <row r="11" spans="2:3" x14ac:dyDescent="0.25">
      <c r="B11" s="50">
        <v>10</v>
      </c>
      <c r="C11" s="52" t="s">
        <v>294</v>
      </c>
    </row>
    <row r="12" spans="2:3" x14ac:dyDescent="0.25">
      <c r="B12" s="50">
        <v>11</v>
      </c>
      <c r="C12" s="52" t="s">
        <v>295</v>
      </c>
    </row>
    <row r="13" spans="2:3" x14ac:dyDescent="0.25">
      <c r="B13" s="50">
        <v>12</v>
      </c>
      <c r="C13" s="52" t="s">
        <v>296</v>
      </c>
    </row>
    <row r="14" spans="2:3" x14ac:dyDescent="0.25">
      <c r="B14" s="50">
        <v>13</v>
      </c>
      <c r="C14" s="52" t="s">
        <v>297</v>
      </c>
    </row>
    <row r="15" spans="2:3" x14ac:dyDescent="0.25">
      <c r="B15" s="50">
        <v>14</v>
      </c>
      <c r="C15" s="52" t="s">
        <v>287</v>
      </c>
    </row>
    <row r="16" spans="2:3" x14ac:dyDescent="0.25">
      <c r="B16" s="50">
        <v>15</v>
      </c>
      <c r="C16" s="52" t="s">
        <v>299</v>
      </c>
    </row>
    <row r="17" spans="2:3" ht="31.5" customHeight="1" x14ac:dyDescent="0.25">
      <c r="B17" s="54">
        <v>16</v>
      </c>
      <c r="C17" s="56" t="s">
        <v>300</v>
      </c>
    </row>
    <row r="18" spans="2:3" x14ac:dyDescent="0.25">
      <c r="B18" s="55">
        <v>17</v>
      </c>
      <c r="C18" s="56" t="s">
        <v>301</v>
      </c>
    </row>
    <row r="19" spans="2:3" x14ac:dyDescent="0.25">
      <c r="B19" s="54">
        <v>18</v>
      </c>
      <c r="C19" s="50" t="s">
        <v>302</v>
      </c>
    </row>
    <row r="20" spans="2:3" x14ac:dyDescent="0.25">
      <c r="B20" s="55">
        <v>19</v>
      </c>
      <c r="C20" s="50"/>
    </row>
    <row r="21" spans="2:3" x14ac:dyDescent="0.25">
      <c r="B21" s="57">
        <v>20</v>
      </c>
      <c r="C21" s="50"/>
    </row>
    <row r="22" spans="2:3" x14ac:dyDescent="0.25">
      <c r="B22" s="50"/>
      <c r="C22" s="50"/>
    </row>
    <row r="23" spans="2:3" x14ac:dyDescent="0.25">
      <c r="B23" s="50"/>
      <c r="C23" s="50"/>
    </row>
    <row r="24" spans="2:3" x14ac:dyDescent="0.25">
      <c r="B24" s="50"/>
      <c r="C24" s="50"/>
    </row>
    <row r="25" spans="2:3" x14ac:dyDescent="0.25">
      <c r="B25" s="50"/>
      <c r="C25" s="50"/>
    </row>
    <row r="26" spans="2:3" x14ac:dyDescent="0.25">
      <c r="B26" s="50"/>
      <c r="C26" s="5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2025-09-04T09:58:46Z</cp:lastPrinted>
  <dcterms:created xsi:type="dcterms:W3CDTF">2019-07-16T09:29:46Z</dcterms:created>
  <dcterms:modified xsi:type="dcterms:W3CDTF">2025-09-04T10:12:14Z</dcterms:modified>
</cp:coreProperties>
</file>