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03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Report!$A$1:$H$1063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138" i="1"/>
  <c r="C124" i="1"/>
  <c r="J330" i="1" l="1"/>
  <c r="K765" i="1" l="1"/>
  <c r="K783" i="1"/>
  <c r="I763" i="1" l="1"/>
  <c r="I265" i="1"/>
  <c r="I264" i="1"/>
  <c r="I263" i="1"/>
  <c r="D858" i="1"/>
  <c r="D857" i="1"/>
  <c r="D850" i="1"/>
  <c r="D849" i="1"/>
  <c r="D842" i="1"/>
  <c r="D841" i="1"/>
  <c r="D821" i="1"/>
  <c r="D810" i="1"/>
  <c r="D809" i="1"/>
  <c r="D802" i="1"/>
  <c r="D801" i="1"/>
  <c r="D800" i="1"/>
  <c r="D799" i="1"/>
  <c r="D798" i="1"/>
  <c r="D797" i="1"/>
  <c r="D796" i="1"/>
  <c r="D794" i="1"/>
  <c r="D793" i="1"/>
  <c r="D814" i="1"/>
  <c r="D806" i="1"/>
  <c r="D790" i="1"/>
  <c r="D783" i="1"/>
  <c r="D784" i="1"/>
  <c r="D782" i="1"/>
  <c r="D766" i="1"/>
  <c r="D773" i="1"/>
  <c r="D772" i="1"/>
  <c r="D770" i="1"/>
  <c r="D769" i="1"/>
  <c r="D768" i="1"/>
  <c r="K768" i="1" s="1"/>
  <c r="D767" i="1"/>
  <c r="D760" i="1"/>
  <c r="D761" i="1"/>
  <c r="A875" i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8" i="1" s="1"/>
  <c r="A889" i="1" s="1"/>
  <c r="A890" i="1" s="1"/>
  <c r="A891" i="1" s="1"/>
  <c r="D326" i="1"/>
  <c r="D325" i="1"/>
  <c r="D324" i="1"/>
  <c r="D328" i="1"/>
  <c r="K164" i="1"/>
  <c r="J269" i="1" l="1"/>
  <c r="L761" i="1"/>
  <c r="K270" i="1"/>
  <c r="D870" i="1"/>
  <c r="F870" i="1" s="1"/>
  <c r="D869" i="1"/>
  <c r="F869" i="1" s="1"/>
  <c r="D868" i="1"/>
  <c r="F868" i="1" s="1"/>
  <c r="D867" i="1"/>
  <c r="F867" i="1" s="1"/>
  <c r="D863" i="1"/>
  <c r="F863" i="1" s="1"/>
  <c r="D862" i="1"/>
  <c r="F862" i="1" s="1"/>
  <c r="D861" i="1"/>
  <c r="F861" i="1" s="1"/>
  <c r="D860" i="1"/>
  <c r="F860" i="1" s="1"/>
  <c r="D872" i="1"/>
  <c r="F872" i="1" s="1"/>
  <c r="D871" i="1"/>
  <c r="F871" i="1" s="1"/>
  <c r="A868" i="1"/>
  <c r="A869" i="1" s="1"/>
  <c r="A870" i="1" s="1"/>
  <c r="A871" i="1" s="1"/>
  <c r="A872" i="1" s="1"/>
  <c r="G867" i="1"/>
  <c r="D865" i="1"/>
  <c r="F865" i="1" s="1"/>
  <c r="A861" i="1"/>
  <c r="A862" i="1" s="1"/>
  <c r="A863" i="1" s="1"/>
  <c r="A864" i="1" s="1"/>
  <c r="A865" i="1" s="1"/>
  <c r="G860" i="1"/>
  <c r="F858" i="1"/>
  <c r="F857" i="1"/>
  <c r="D855" i="1"/>
  <c r="F855" i="1" s="1"/>
  <c r="D854" i="1"/>
  <c r="F854" i="1" s="1"/>
  <c r="D853" i="1"/>
  <c r="F853" i="1" s="1"/>
  <c r="A853" i="1"/>
  <c r="A854" i="1" s="1"/>
  <c r="A855" i="1" s="1"/>
  <c r="A856" i="1" s="1"/>
  <c r="A857" i="1" s="1"/>
  <c r="A858" i="1" s="1"/>
  <c r="G852" i="1"/>
  <c r="D852" i="1"/>
  <c r="F852" i="1" s="1"/>
  <c r="G844" i="1"/>
  <c r="F850" i="1"/>
  <c r="F849" i="1"/>
  <c r="D848" i="1"/>
  <c r="F848" i="1" s="1"/>
  <c r="D847" i="1"/>
  <c r="F847" i="1" s="1"/>
  <c r="D846" i="1"/>
  <c r="F846" i="1" s="1"/>
  <c r="D845" i="1"/>
  <c r="F845" i="1" s="1"/>
  <c r="A845" i="1"/>
  <c r="A846" i="1" s="1"/>
  <c r="A847" i="1" s="1"/>
  <c r="A848" i="1" s="1"/>
  <c r="A849" i="1" s="1"/>
  <c r="A850" i="1" s="1"/>
  <c r="D844" i="1"/>
  <c r="F844" i="1" s="1"/>
  <c r="D840" i="1"/>
  <c r="F840" i="1" s="1"/>
  <c r="D836" i="1"/>
  <c r="F836" i="1" s="1"/>
  <c r="F842" i="1"/>
  <c r="F841" i="1"/>
  <c r="D839" i="1"/>
  <c r="F839" i="1" s="1"/>
  <c r="D838" i="1"/>
  <c r="F838" i="1" s="1"/>
  <c r="D837" i="1"/>
  <c r="F837" i="1" s="1"/>
  <c r="A837" i="1"/>
  <c r="A838" i="1" s="1"/>
  <c r="A839" i="1" s="1"/>
  <c r="A840" i="1" s="1"/>
  <c r="A841" i="1" s="1"/>
  <c r="A842" i="1" s="1"/>
  <c r="G836" i="1"/>
  <c r="D832" i="1"/>
  <c r="F832" i="1" s="1"/>
  <c r="D831" i="1"/>
  <c r="F831" i="1" s="1"/>
  <c r="D830" i="1"/>
  <c r="F830" i="1" s="1"/>
  <c r="A830" i="1"/>
  <c r="A831" i="1" s="1"/>
  <c r="A832" i="1" s="1"/>
  <c r="A833" i="1" s="1"/>
  <c r="G829" i="1"/>
  <c r="D823" i="1"/>
  <c r="F823" i="1" s="1"/>
  <c r="D824" i="1"/>
  <c r="F824" i="1" s="1"/>
  <c r="D822" i="1"/>
  <c r="F822" i="1" s="1"/>
  <c r="F821" i="1"/>
  <c r="D820" i="1"/>
  <c r="F820" i="1" s="1"/>
  <c r="A820" i="1"/>
  <c r="A821" i="1" s="1"/>
  <c r="A822" i="1" s="1"/>
  <c r="A823" i="1" s="1"/>
  <c r="A824" i="1" s="1"/>
  <c r="G819" i="1"/>
  <c r="D819" i="1"/>
  <c r="F819" i="1" s="1"/>
  <c r="D813" i="1"/>
  <c r="F813" i="1" s="1"/>
  <c r="D812" i="1"/>
  <c r="F812" i="1" s="1"/>
  <c r="G812" i="1"/>
  <c r="D817" i="1"/>
  <c r="F817" i="1" s="1"/>
  <c r="D815" i="1"/>
  <c r="F815" i="1" s="1"/>
  <c r="F814" i="1"/>
  <c r="A813" i="1"/>
  <c r="A814" i="1" s="1"/>
  <c r="A815" i="1" s="1"/>
  <c r="A816" i="1" s="1"/>
  <c r="A817" i="1" s="1"/>
  <c r="F810" i="1"/>
  <c r="F809" i="1"/>
  <c r="D807" i="1"/>
  <c r="F807" i="1" s="1"/>
  <c r="F806" i="1"/>
  <c r="D805" i="1"/>
  <c r="F805" i="1" s="1"/>
  <c r="A805" i="1"/>
  <c r="A806" i="1" s="1"/>
  <c r="A807" i="1" s="1"/>
  <c r="A808" i="1" s="1"/>
  <c r="A809" i="1" s="1"/>
  <c r="A810" i="1" s="1"/>
  <c r="G804" i="1"/>
  <c r="D804" i="1"/>
  <c r="F804" i="1" s="1"/>
  <c r="F802" i="1"/>
  <c r="F801" i="1"/>
  <c r="F800" i="1"/>
  <c r="F799" i="1"/>
  <c r="F798" i="1"/>
  <c r="F797" i="1"/>
  <c r="A797" i="1"/>
  <c r="A798" i="1" s="1"/>
  <c r="A799" i="1" s="1"/>
  <c r="A800" i="1" s="1"/>
  <c r="A801" i="1" s="1"/>
  <c r="A802" i="1" s="1"/>
  <c r="G796" i="1"/>
  <c r="F796" i="1"/>
  <c r="F794" i="1"/>
  <c r="F793" i="1"/>
  <c r="D792" i="1"/>
  <c r="D791" i="1"/>
  <c r="D789" i="1"/>
  <c r="D788" i="1"/>
  <c r="J788" i="1" s="1"/>
  <c r="O850" i="1"/>
  <c r="P850" i="1"/>
  <c r="P858" i="1"/>
  <c r="O827" i="1"/>
  <c r="O817" i="1"/>
  <c r="P817" i="1"/>
  <c r="P834" i="1"/>
  <c r="P865" i="1"/>
  <c r="O842" i="1"/>
  <c r="P802" i="1"/>
  <c r="P794" i="1"/>
  <c r="P810" i="1"/>
  <c r="O834" i="1"/>
  <c r="O802" i="1"/>
  <c r="O794" i="1"/>
  <c r="O858" i="1"/>
  <c r="O810" i="1"/>
  <c r="P842" i="1"/>
  <c r="O865" i="1"/>
  <c r="P827" i="1"/>
  <c r="G267" i="1" l="1"/>
  <c r="E267" i="1"/>
  <c r="C267" i="1"/>
  <c r="O866" i="1"/>
  <c r="N865" i="1"/>
  <c r="P866" i="1"/>
  <c r="P867" i="1" s="1"/>
  <c r="P868" i="1" s="1"/>
  <c r="P869" i="1" s="1"/>
  <c r="P870" i="1" s="1"/>
  <c r="P859" i="1"/>
  <c r="P860" i="1" s="1"/>
  <c r="P861" i="1" s="1"/>
  <c r="P862" i="1" s="1"/>
  <c r="P863" i="1" s="1"/>
  <c r="N858" i="1"/>
  <c r="O859" i="1"/>
  <c r="P851" i="1"/>
  <c r="P852" i="1" s="1"/>
  <c r="P853" i="1" s="1"/>
  <c r="P854" i="1" s="1"/>
  <c r="P855" i="1" s="1"/>
  <c r="P856" i="1" s="1"/>
  <c r="N850" i="1"/>
  <c r="O851" i="1"/>
  <c r="N842" i="1"/>
  <c r="O843" i="1"/>
  <c r="P843" i="1"/>
  <c r="P844" i="1" s="1"/>
  <c r="P845" i="1" s="1"/>
  <c r="P846" i="1" s="1"/>
  <c r="P847" i="1" s="1"/>
  <c r="P848" i="1" s="1"/>
  <c r="N834" i="1"/>
  <c r="O835" i="1"/>
  <c r="P835" i="1"/>
  <c r="P836" i="1" s="1"/>
  <c r="P837" i="1" s="1"/>
  <c r="P838" i="1" s="1"/>
  <c r="P839" i="1" s="1"/>
  <c r="P840" i="1" s="1"/>
  <c r="N827" i="1"/>
  <c r="O828" i="1"/>
  <c r="P828" i="1"/>
  <c r="P829" i="1" s="1"/>
  <c r="P830" i="1" s="1"/>
  <c r="P831" i="1" s="1"/>
  <c r="O818" i="1"/>
  <c r="N817" i="1"/>
  <c r="P818" i="1"/>
  <c r="P819" i="1" s="1"/>
  <c r="P820" i="1" s="1"/>
  <c r="P821" i="1" s="1"/>
  <c r="P822" i="1" s="1"/>
  <c r="P811" i="1"/>
  <c r="P812" i="1" s="1"/>
  <c r="P813" i="1" s="1"/>
  <c r="P814" i="1" s="1"/>
  <c r="P815" i="1" s="1"/>
  <c r="N810" i="1"/>
  <c r="O811" i="1"/>
  <c r="N802" i="1"/>
  <c r="O803" i="1"/>
  <c r="P803" i="1"/>
  <c r="P804" i="1" s="1"/>
  <c r="P805" i="1" s="1"/>
  <c r="P806" i="1" s="1"/>
  <c r="P807" i="1" s="1"/>
  <c r="P808" i="1" s="1"/>
  <c r="N794" i="1"/>
  <c r="O795" i="1"/>
  <c r="P795" i="1"/>
  <c r="P796" i="1" s="1"/>
  <c r="P797" i="1" s="1"/>
  <c r="P798" i="1" s="1"/>
  <c r="P799" i="1" s="1"/>
  <c r="P800" i="1" s="1"/>
  <c r="F792" i="1"/>
  <c r="F791" i="1"/>
  <c r="F790" i="1"/>
  <c r="F789" i="1"/>
  <c r="A789" i="1"/>
  <c r="A790" i="1" s="1"/>
  <c r="A791" i="1" s="1"/>
  <c r="A792" i="1" s="1"/>
  <c r="A793" i="1" s="1"/>
  <c r="A794" i="1" s="1"/>
  <c r="G788" i="1"/>
  <c r="F788" i="1"/>
  <c r="F784" i="1"/>
  <c r="C266" i="1"/>
  <c r="F782" i="1"/>
  <c r="I782" i="1" s="1"/>
  <c r="A782" i="1"/>
  <c r="A783" i="1" s="1"/>
  <c r="A784" i="1" s="1"/>
  <c r="A785" i="1" s="1"/>
  <c r="G781" i="1"/>
  <c r="P786" i="1"/>
  <c r="O779" i="1"/>
  <c r="P779" i="1"/>
  <c r="O786" i="1"/>
  <c r="F783" i="1" l="1"/>
  <c r="E266" i="1"/>
  <c r="N866" i="1"/>
  <c r="O867" i="1"/>
  <c r="N859" i="1"/>
  <c r="O860" i="1"/>
  <c r="O852" i="1"/>
  <c r="N851" i="1"/>
  <c r="O844" i="1"/>
  <c r="N843" i="1"/>
  <c r="O836" i="1"/>
  <c r="N835" i="1"/>
  <c r="N828" i="1"/>
  <c r="O829" i="1"/>
  <c r="N818" i="1"/>
  <c r="O819" i="1"/>
  <c r="N811" i="1"/>
  <c r="O812" i="1"/>
  <c r="N803" i="1"/>
  <c r="O804" i="1"/>
  <c r="O796" i="1"/>
  <c r="N795" i="1"/>
  <c r="N786" i="1"/>
  <c r="O787" i="1"/>
  <c r="P787" i="1"/>
  <c r="P788" i="1" s="1"/>
  <c r="P789" i="1" s="1"/>
  <c r="P790" i="1" s="1"/>
  <c r="P791" i="1" s="1"/>
  <c r="P792" i="1" s="1"/>
  <c r="N779" i="1"/>
  <c r="O780" i="1"/>
  <c r="P780" i="1"/>
  <c r="P781" i="1" s="1"/>
  <c r="P782" i="1" s="1"/>
  <c r="P783" i="1" s="1"/>
  <c r="D775" i="1"/>
  <c r="F775" i="1" s="1"/>
  <c r="D774" i="1"/>
  <c r="F774" i="1" s="1"/>
  <c r="F773" i="1"/>
  <c r="A773" i="1"/>
  <c r="A774" i="1" s="1"/>
  <c r="A775" i="1" s="1"/>
  <c r="A776" i="1" s="1"/>
  <c r="G772" i="1"/>
  <c r="F772" i="1"/>
  <c r="F770" i="1"/>
  <c r="F769" i="1"/>
  <c r="F768" i="1"/>
  <c r="J768" i="1" s="1"/>
  <c r="F767" i="1"/>
  <c r="F766" i="1"/>
  <c r="D764" i="1"/>
  <c r="F764" i="1" s="1"/>
  <c r="D763" i="1"/>
  <c r="F763" i="1" s="1"/>
  <c r="D762" i="1"/>
  <c r="F761" i="1"/>
  <c r="F760" i="1"/>
  <c r="A767" i="1"/>
  <c r="A768" i="1" s="1"/>
  <c r="A769" i="1" s="1"/>
  <c r="A770" i="1" s="1"/>
  <c r="G766" i="1"/>
  <c r="A761" i="1"/>
  <c r="A762" i="1" s="1"/>
  <c r="A763" i="1" s="1"/>
  <c r="A764" i="1" s="1"/>
  <c r="G760" i="1"/>
  <c r="D335" i="1"/>
  <c r="D334" i="1"/>
  <c r="J334" i="1" s="1"/>
  <c r="D333" i="1"/>
  <c r="J333" i="1" s="1"/>
  <c r="D332" i="1"/>
  <c r="J332" i="1" s="1"/>
  <c r="D331" i="1"/>
  <c r="J331" i="1" s="1"/>
  <c r="D330" i="1"/>
  <c r="A332" i="1"/>
  <c r="A333" i="1" s="1"/>
  <c r="A334" i="1" s="1"/>
  <c r="A335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G312" i="1"/>
  <c r="D312" i="1"/>
  <c r="F312" i="1" s="1"/>
  <c r="O764" i="1"/>
  <c r="O758" i="1"/>
  <c r="P770" i="1"/>
  <c r="P764" i="1"/>
  <c r="P758" i="1"/>
  <c r="O770" i="1"/>
  <c r="E265" i="1" l="1"/>
  <c r="G266" i="1"/>
  <c r="J783" i="1"/>
  <c r="F762" i="1"/>
  <c r="G265" i="1" s="1"/>
  <c r="C265" i="1"/>
  <c r="C253" i="1"/>
  <c r="E253" i="1"/>
  <c r="O868" i="1"/>
  <c r="N867" i="1"/>
  <c r="O861" i="1"/>
  <c r="N860" i="1"/>
  <c r="N852" i="1"/>
  <c r="O853" i="1"/>
  <c r="N844" i="1"/>
  <c r="O845" i="1"/>
  <c r="N836" i="1"/>
  <c r="O837" i="1"/>
  <c r="N829" i="1"/>
  <c r="O830" i="1"/>
  <c r="N819" i="1"/>
  <c r="O820" i="1"/>
  <c r="N812" i="1"/>
  <c r="O813" i="1"/>
  <c r="N804" i="1"/>
  <c r="O805" i="1"/>
  <c r="N796" i="1"/>
  <c r="O797" i="1"/>
  <c r="O788" i="1"/>
  <c r="N787" i="1"/>
  <c r="N780" i="1"/>
  <c r="O781" i="1"/>
  <c r="N770" i="1"/>
  <c r="O771" i="1"/>
  <c r="P771" i="1"/>
  <c r="P772" i="1" s="1"/>
  <c r="P773" i="1" s="1"/>
  <c r="P774" i="1" s="1"/>
  <c r="N764" i="1"/>
  <c r="O765" i="1"/>
  <c r="P765" i="1"/>
  <c r="P766" i="1" s="1"/>
  <c r="P767" i="1" s="1"/>
  <c r="P768" i="1" s="1"/>
  <c r="P759" i="1"/>
  <c r="P760" i="1" s="1"/>
  <c r="P761" i="1" s="1"/>
  <c r="P762" i="1" s="1"/>
  <c r="N758" i="1"/>
  <c r="O759" i="1"/>
  <c r="F328" i="1"/>
  <c r="F326" i="1"/>
  <c r="F325" i="1"/>
  <c r="F324" i="1"/>
  <c r="A324" i="1"/>
  <c r="A325" i="1" s="1"/>
  <c r="A326" i="1" s="1"/>
  <c r="A327" i="1" s="1"/>
  <c r="A328" i="1" s="1"/>
  <c r="G323" i="1"/>
  <c r="C216" i="1"/>
  <c r="J226" i="1"/>
  <c r="J225" i="1"/>
  <c r="J224" i="1"/>
  <c r="J223" i="1"/>
  <c r="L221" i="1"/>
  <c r="C202" i="1"/>
  <c r="J212" i="1"/>
  <c r="J211" i="1"/>
  <c r="J210" i="1"/>
  <c r="J209" i="1"/>
  <c r="L207" i="1"/>
  <c r="C209" i="1"/>
  <c r="C210" i="1" s="1"/>
  <c r="C211" i="1" s="1"/>
  <c r="J198" i="1"/>
  <c r="J197" i="1"/>
  <c r="J196" i="1"/>
  <c r="J195" i="1"/>
  <c r="L193" i="1"/>
  <c r="C49" i="1"/>
  <c r="G49" i="1"/>
  <c r="E252" i="1" l="1"/>
  <c r="C252" i="1"/>
  <c r="G252" i="1"/>
  <c r="O869" i="1"/>
  <c r="N868" i="1"/>
  <c r="N861" i="1"/>
  <c r="O862" i="1"/>
  <c r="O854" i="1"/>
  <c r="N853" i="1"/>
  <c r="O846" i="1"/>
  <c r="N845" i="1"/>
  <c r="N837" i="1"/>
  <c r="O838" i="1"/>
  <c r="O831" i="1"/>
  <c r="N831" i="1" s="1"/>
  <c r="N830" i="1"/>
  <c r="N820" i="1"/>
  <c r="O821" i="1"/>
  <c r="N813" i="1"/>
  <c r="O814" i="1"/>
  <c r="N805" i="1"/>
  <c r="O806" i="1"/>
  <c r="O798" i="1"/>
  <c r="N797" i="1"/>
  <c r="N788" i="1"/>
  <c r="O789" i="1"/>
  <c r="N781" i="1"/>
  <c r="O782" i="1"/>
  <c r="N771" i="1"/>
  <c r="O772" i="1"/>
  <c r="O766" i="1"/>
  <c r="N765" i="1"/>
  <c r="O760" i="1"/>
  <c r="N759" i="1"/>
  <c r="D561" i="1"/>
  <c r="D554" i="1"/>
  <c r="D546" i="1"/>
  <c r="D538" i="1"/>
  <c r="D530" i="1"/>
  <c r="O870" i="1" l="1"/>
  <c r="N870" i="1" s="1"/>
  <c r="N869" i="1"/>
  <c r="O863" i="1"/>
  <c r="N863" i="1" s="1"/>
  <c r="N862" i="1"/>
  <c r="N854" i="1"/>
  <c r="O855" i="1"/>
  <c r="N846" i="1"/>
  <c r="O847" i="1"/>
  <c r="N838" i="1"/>
  <c r="O839" i="1"/>
  <c r="O822" i="1"/>
  <c r="N822" i="1" s="1"/>
  <c r="N821" i="1"/>
  <c r="O815" i="1"/>
  <c r="N815" i="1" s="1"/>
  <c r="N814" i="1"/>
  <c r="N806" i="1"/>
  <c r="O807" i="1"/>
  <c r="N798" i="1"/>
  <c r="O799" i="1"/>
  <c r="O790" i="1"/>
  <c r="N789" i="1"/>
  <c r="O783" i="1"/>
  <c r="N783" i="1" s="1"/>
  <c r="N782" i="1"/>
  <c r="N772" i="1"/>
  <c r="O773" i="1"/>
  <c r="N766" i="1"/>
  <c r="O767" i="1"/>
  <c r="N760" i="1"/>
  <c r="O761" i="1"/>
  <c r="C167" i="1"/>
  <c r="C168" i="1" s="1"/>
  <c r="C125" i="1"/>
  <c r="C97" i="1"/>
  <c r="C83" i="1"/>
  <c r="N855" i="1" l="1"/>
  <c r="O856" i="1"/>
  <c r="N856" i="1" s="1"/>
  <c r="O848" i="1"/>
  <c r="N848" i="1" s="1"/>
  <c r="N847" i="1"/>
  <c r="O840" i="1"/>
  <c r="N840" i="1" s="1"/>
  <c r="N839" i="1"/>
  <c r="O808" i="1"/>
  <c r="N808" i="1" s="1"/>
  <c r="N807" i="1"/>
  <c r="O800" i="1"/>
  <c r="N800" i="1" s="1"/>
  <c r="N799" i="1"/>
  <c r="N790" i="1"/>
  <c r="O791" i="1"/>
  <c r="O774" i="1"/>
  <c r="N774" i="1" s="1"/>
  <c r="N773" i="1"/>
  <c r="O768" i="1"/>
  <c r="N768" i="1" s="1"/>
  <c r="N767" i="1"/>
  <c r="O762" i="1"/>
  <c r="N761" i="1"/>
  <c r="C169" i="1"/>
  <c r="C127" i="1"/>
  <c r="C126" i="1"/>
  <c r="N791" i="1" l="1"/>
  <c r="O792" i="1"/>
  <c r="N792" i="1" s="1"/>
  <c r="N762" i="1"/>
  <c r="C146" i="1"/>
  <c r="J156" i="1"/>
  <c r="J155" i="1"/>
  <c r="J154" i="1"/>
  <c r="J153" i="1"/>
  <c r="C181" i="1"/>
  <c r="L179" i="1"/>
  <c r="M253" i="1" l="1"/>
  <c r="M255" i="1"/>
  <c r="J260" i="1"/>
  <c r="J259" i="1"/>
  <c r="Q590" i="1"/>
  <c r="Q592" i="1"/>
  <c r="D594" i="1"/>
  <c r="F594" i="1" s="1"/>
  <c r="Q591" i="1"/>
  <c r="D593" i="1"/>
  <c r="F593" i="1" s="1"/>
  <c r="Q589" i="1"/>
  <c r="D591" i="1"/>
  <c r="F591" i="1" s="1"/>
  <c r="Q588" i="1"/>
  <c r="D590" i="1"/>
  <c r="F590" i="1" s="1"/>
  <c r="I588" i="1" s="1"/>
  <c r="Q587" i="1"/>
  <c r="D589" i="1"/>
  <c r="F589" i="1" s="1"/>
  <c r="Q586" i="1"/>
  <c r="G588" i="1"/>
  <c r="D588" i="1"/>
  <c r="F588" i="1" s="1"/>
  <c r="D586" i="1"/>
  <c r="F586" i="1" s="1"/>
  <c r="D585" i="1"/>
  <c r="F585" i="1" s="1"/>
  <c r="D584" i="1"/>
  <c r="F584" i="1" s="1"/>
  <c r="D583" i="1"/>
  <c r="F583" i="1" s="1"/>
  <c r="D582" i="1"/>
  <c r="F582" i="1" s="1"/>
  <c r="I580" i="1" s="1"/>
  <c r="D581" i="1"/>
  <c r="F581" i="1" s="1"/>
  <c r="D580" i="1"/>
  <c r="F580" i="1" s="1"/>
  <c r="D572" i="1"/>
  <c r="F572" i="1" s="1"/>
  <c r="D576" i="1"/>
  <c r="F576" i="1" s="1"/>
  <c r="D575" i="1"/>
  <c r="F575" i="1" s="1"/>
  <c r="D574" i="1"/>
  <c r="F574" i="1" s="1"/>
  <c r="I572" i="1" s="1"/>
  <c r="D573" i="1"/>
  <c r="F573" i="1" s="1"/>
  <c r="D569" i="1"/>
  <c r="F569" i="1" s="1"/>
  <c r="D568" i="1"/>
  <c r="F568" i="1" s="1"/>
  <c r="I566" i="1" s="1"/>
  <c r="D567" i="1"/>
  <c r="F567" i="1" s="1"/>
  <c r="G567" i="1"/>
  <c r="Q584" i="1"/>
  <c r="Q583" i="1"/>
  <c r="Q582" i="1"/>
  <c r="Q581" i="1"/>
  <c r="Q580" i="1"/>
  <c r="Q579" i="1"/>
  <c r="Q578" i="1"/>
  <c r="G580" i="1"/>
  <c r="Q577" i="1"/>
  <c r="D578" i="1"/>
  <c r="F578" i="1" s="1"/>
  <c r="D577" i="1"/>
  <c r="F577" i="1" s="1"/>
  <c r="G572" i="1"/>
  <c r="D562" i="1"/>
  <c r="D555" i="1"/>
  <c r="G262" i="1" l="1"/>
  <c r="E262" i="1"/>
  <c r="C262" i="1"/>
  <c r="F555" i="1"/>
  <c r="F561" i="1"/>
  <c r="D560" i="1"/>
  <c r="F560" i="1" s="1"/>
  <c r="D559" i="1"/>
  <c r="F559" i="1" s="1"/>
  <c r="I557" i="1" s="1"/>
  <c r="D558" i="1"/>
  <c r="F558" i="1" s="1"/>
  <c r="F554" i="1"/>
  <c r="I552" i="1" s="1"/>
  <c r="D553" i="1"/>
  <c r="F553" i="1" s="1"/>
  <c r="D552" i="1"/>
  <c r="F552" i="1" s="1"/>
  <c r="I550" i="1" s="1"/>
  <c r="D551" i="1"/>
  <c r="F551" i="1" s="1"/>
  <c r="D550" i="1"/>
  <c r="F550" i="1" s="1"/>
  <c r="Q552" i="1"/>
  <c r="F562" i="1"/>
  <c r="D548" i="1"/>
  <c r="F548" i="1" s="1"/>
  <c r="D547" i="1"/>
  <c r="F547" i="1" s="1"/>
  <c r="F546" i="1"/>
  <c r="D545" i="1"/>
  <c r="F545" i="1" s="1"/>
  <c r="I543" i="1" s="1"/>
  <c r="D544" i="1"/>
  <c r="F544" i="1" s="1"/>
  <c r="D543" i="1"/>
  <c r="F543" i="1" s="1"/>
  <c r="Q546" i="1"/>
  <c r="Q540" i="1"/>
  <c r="D540" i="1"/>
  <c r="F540" i="1" s="1"/>
  <c r="D539" i="1"/>
  <c r="F539" i="1" s="1"/>
  <c r="F538" i="1"/>
  <c r="D537" i="1"/>
  <c r="F537" i="1" s="1"/>
  <c r="D536" i="1"/>
  <c r="F536" i="1" s="1"/>
  <c r="I534" i="1" s="1"/>
  <c r="D535" i="1"/>
  <c r="F535" i="1" s="1"/>
  <c r="D534" i="1"/>
  <c r="F534" i="1" s="1"/>
  <c r="Q538" i="1"/>
  <c r="D532" i="1"/>
  <c r="F532" i="1" s="1"/>
  <c r="D531" i="1"/>
  <c r="F531" i="1" s="1"/>
  <c r="F530" i="1"/>
  <c r="D526" i="1"/>
  <c r="F526" i="1" s="1"/>
  <c r="D529" i="1"/>
  <c r="F529" i="1" s="1"/>
  <c r="D528" i="1"/>
  <c r="F528" i="1" s="1"/>
  <c r="I526" i="1" s="1"/>
  <c r="D527" i="1"/>
  <c r="F527" i="1" s="1"/>
  <c r="D521" i="1"/>
  <c r="F521" i="1" s="1"/>
  <c r="D520" i="1"/>
  <c r="F520" i="1" s="1"/>
  <c r="I518" i="1" s="1"/>
  <c r="D519" i="1"/>
  <c r="G518" i="1"/>
  <c r="G557" i="1"/>
  <c r="Q553" i="1"/>
  <c r="Q551" i="1"/>
  <c r="Q550" i="1"/>
  <c r="Q549" i="1"/>
  <c r="Q548" i="1"/>
  <c r="G550" i="1"/>
  <c r="Q547" i="1"/>
  <c r="Q545" i="1"/>
  <c r="Q544" i="1"/>
  <c r="Q543" i="1"/>
  <c r="Q542" i="1"/>
  <c r="Q541" i="1"/>
  <c r="G542" i="1"/>
  <c r="Q537" i="1"/>
  <c r="Q536" i="1"/>
  <c r="Q535" i="1"/>
  <c r="Q534" i="1"/>
  <c r="Q533" i="1"/>
  <c r="Q532" i="1"/>
  <c r="G534" i="1"/>
  <c r="Q531" i="1"/>
  <c r="G526" i="1"/>
  <c r="J142" i="1"/>
  <c r="J141" i="1"/>
  <c r="J140" i="1"/>
  <c r="J139" i="1"/>
  <c r="C261" i="1" l="1"/>
  <c r="F519" i="1"/>
  <c r="G261" i="1" s="1"/>
  <c r="E261" i="1"/>
  <c r="D58" i="1"/>
  <c r="D756" i="1" l="1"/>
  <c r="F756" i="1" s="1"/>
  <c r="D754" i="1"/>
  <c r="F754" i="1" s="1"/>
  <c r="D753" i="1"/>
  <c r="F753" i="1" s="1"/>
  <c r="D752" i="1"/>
  <c r="F752" i="1" s="1"/>
  <c r="D751" i="1"/>
  <c r="F751" i="1" s="1"/>
  <c r="D750" i="1"/>
  <c r="F750" i="1" s="1"/>
  <c r="D749" i="1"/>
  <c r="F749" i="1" s="1"/>
  <c r="D748" i="1"/>
  <c r="F748" i="1" s="1"/>
  <c r="D747" i="1"/>
  <c r="F747" i="1" s="1"/>
  <c r="D746" i="1"/>
  <c r="F746" i="1" s="1"/>
  <c r="D744" i="1"/>
  <c r="F744" i="1" s="1"/>
  <c r="D743" i="1"/>
  <c r="F743" i="1" s="1"/>
  <c r="D742" i="1"/>
  <c r="F742" i="1" s="1"/>
  <c r="D741" i="1"/>
  <c r="F741" i="1" s="1"/>
  <c r="D740" i="1"/>
  <c r="F740" i="1" s="1"/>
  <c r="D739" i="1"/>
  <c r="F739" i="1" s="1"/>
  <c r="D738" i="1"/>
  <c r="F738" i="1" s="1"/>
  <c r="D737" i="1"/>
  <c r="F737" i="1" s="1"/>
  <c r="D736" i="1"/>
  <c r="F736" i="1" s="1"/>
  <c r="D735" i="1"/>
  <c r="F735" i="1" s="1"/>
  <c r="G734" i="1"/>
  <c r="D734" i="1"/>
  <c r="F734" i="1" s="1"/>
  <c r="D732" i="1"/>
  <c r="F732" i="1" s="1"/>
  <c r="D730" i="1"/>
  <c r="F730" i="1" s="1"/>
  <c r="D729" i="1"/>
  <c r="F729" i="1" s="1"/>
  <c r="D728" i="1"/>
  <c r="F728" i="1" s="1"/>
  <c r="D727" i="1"/>
  <c r="F727" i="1" s="1"/>
  <c r="D726" i="1"/>
  <c r="F726" i="1" s="1"/>
  <c r="D725" i="1"/>
  <c r="F725" i="1" s="1"/>
  <c r="D724" i="1"/>
  <c r="F724" i="1" s="1"/>
  <c r="D723" i="1"/>
  <c r="F723" i="1" s="1"/>
  <c r="A723" i="1"/>
  <c r="A724" i="1" s="1"/>
  <c r="A725" i="1" s="1"/>
  <c r="A726" i="1" s="1"/>
  <c r="A727" i="1" s="1"/>
  <c r="A728" i="1" s="1"/>
  <c r="A729" i="1" s="1"/>
  <c r="A730" i="1" s="1"/>
  <c r="A731" i="1" s="1"/>
  <c r="A732" i="1" s="1"/>
  <c r="G722" i="1"/>
  <c r="D722" i="1"/>
  <c r="F722" i="1" s="1"/>
  <c r="D720" i="1"/>
  <c r="D718" i="1"/>
  <c r="D717" i="1"/>
  <c r="D716" i="1"/>
  <c r="D715" i="1"/>
  <c r="D714" i="1"/>
  <c r="D713" i="1"/>
  <c r="D712" i="1"/>
  <c r="D711" i="1"/>
  <c r="D710" i="1"/>
  <c r="A711" i="1"/>
  <c r="A712" i="1" s="1"/>
  <c r="A713" i="1" s="1"/>
  <c r="A714" i="1" s="1"/>
  <c r="A715" i="1" s="1"/>
  <c r="A716" i="1" s="1"/>
  <c r="A717" i="1" s="1"/>
  <c r="A718" i="1" s="1"/>
  <c r="A719" i="1" s="1"/>
  <c r="A720" i="1" s="1"/>
  <c r="G746" i="1"/>
  <c r="D708" i="1"/>
  <c r="F708" i="1" s="1"/>
  <c r="D707" i="1"/>
  <c r="F707" i="1" s="1"/>
  <c r="D706" i="1"/>
  <c r="F706" i="1" s="1"/>
  <c r="D705" i="1"/>
  <c r="F705" i="1" s="1"/>
  <c r="D704" i="1"/>
  <c r="F704" i="1" s="1"/>
  <c r="D703" i="1"/>
  <c r="F703" i="1" s="1"/>
  <c r="D702" i="1"/>
  <c r="F702" i="1" s="1"/>
  <c r="D701" i="1"/>
  <c r="F701" i="1" s="1"/>
  <c r="D700" i="1"/>
  <c r="F700" i="1" s="1"/>
  <c r="D699" i="1"/>
  <c r="F699" i="1" s="1"/>
  <c r="G698" i="1"/>
  <c r="D698" i="1"/>
  <c r="F698" i="1" s="1"/>
  <c r="D696" i="1"/>
  <c r="F696" i="1" s="1"/>
  <c r="D695" i="1"/>
  <c r="F695" i="1" s="1"/>
  <c r="D694" i="1"/>
  <c r="F694" i="1" s="1"/>
  <c r="D693" i="1"/>
  <c r="F693" i="1" s="1"/>
  <c r="D692" i="1"/>
  <c r="F692" i="1" s="1"/>
  <c r="D691" i="1"/>
  <c r="F691" i="1" s="1"/>
  <c r="D690" i="1"/>
  <c r="F690" i="1" s="1"/>
  <c r="D689" i="1"/>
  <c r="F689" i="1" s="1"/>
  <c r="D688" i="1"/>
  <c r="F688" i="1" s="1"/>
  <c r="D687" i="1"/>
  <c r="F687" i="1" s="1"/>
  <c r="G686" i="1"/>
  <c r="D686" i="1"/>
  <c r="F686" i="1" s="1"/>
  <c r="D656" i="1"/>
  <c r="F656" i="1" s="1"/>
  <c r="D684" i="1"/>
  <c r="D683" i="1"/>
  <c r="D682" i="1"/>
  <c r="D681" i="1"/>
  <c r="D680" i="1"/>
  <c r="D678" i="1"/>
  <c r="D679" i="1"/>
  <c r="D677" i="1"/>
  <c r="D676" i="1"/>
  <c r="D675" i="1"/>
  <c r="D674" i="1"/>
  <c r="D665" i="1"/>
  <c r="D666" i="1"/>
  <c r="D664" i="1"/>
  <c r="D647" i="1"/>
  <c r="F647" i="1" s="1"/>
  <c r="A650" i="1"/>
  <c r="A651" i="1" s="1"/>
  <c r="A652" i="1" s="1"/>
  <c r="A653" i="1" s="1"/>
  <c r="A654" i="1" s="1"/>
  <c r="A655" i="1" s="1"/>
  <c r="A656" i="1" s="1"/>
  <c r="D655" i="1"/>
  <c r="F655" i="1" s="1"/>
  <c r="D654" i="1"/>
  <c r="F654" i="1" s="1"/>
  <c r="D653" i="1"/>
  <c r="F653" i="1" s="1"/>
  <c r="D652" i="1"/>
  <c r="F652" i="1" s="1"/>
  <c r="D651" i="1"/>
  <c r="F651" i="1" s="1"/>
  <c r="D650" i="1"/>
  <c r="F650" i="1" s="1"/>
  <c r="I647" i="1" s="1"/>
  <c r="G649" i="1"/>
  <c r="D646" i="1"/>
  <c r="F646" i="1" s="1"/>
  <c r="D645" i="1"/>
  <c r="F645" i="1" s="1"/>
  <c r="D644" i="1"/>
  <c r="F644" i="1" s="1"/>
  <c r="D643" i="1"/>
  <c r="F643" i="1" s="1"/>
  <c r="D642" i="1"/>
  <c r="F642" i="1" s="1"/>
  <c r="D641" i="1"/>
  <c r="F641" i="1" s="1"/>
  <c r="G640" i="1"/>
  <c r="D640" i="1"/>
  <c r="F640" i="1" s="1"/>
  <c r="D637" i="1"/>
  <c r="D636" i="1"/>
  <c r="D635" i="1"/>
  <c r="D634" i="1"/>
  <c r="D633" i="1"/>
  <c r="D632" i="1"/>
  <c r="D631" i="1"/>
  <c r="D630" i="1"/>
  <c r="A611" i="1"/>
  <c r="A612" i="1" s="1"/>
  <c r="A613" i="1" s="1"/>
  <c r="A614" i="1" s="1"/>
  <c r="A615" i="1" s="1"/>
  <c r="A616" i="1" s="1"/>
  <c r="A617" i="1" s="1"/>
  <c r="A618" i="1" s="1"/>
  <c r="D628" i="1"/>
  <c r="F628" i="1" s="1"/>
  <c r="D627" i="1"/>
  <c r="F627" i="1" s="1"/>
  <c r="D626" i="1"/>
  <c r="F626" i="1" s="1"/>
  <c r="D625" i="1"/>
  <c r="F625" i="1" s="1"/>
  <c r="D624" i="1"/>
  <c r="F624" i="1" s="1"/>
  <c r="D623" i="1"/>
  <c r="F623" i="1" s="1"/>
  <c r="D622" i="1"/>
  <c r="F622" i="1" s="1"/>
  <c r="D621" i="1"/>
  <c r="F621" i="1" s="1"/>
  <c r="G620" i="1"/>
  <c r="D620" i="1"/>
  <c r="F620" i="1" s="1"/>
  <c r="D616" i="1"/>
  <c r="D615" i="1"/>
  <c r="D618" i="1"/>
  <c r="D617" i="1"/>
  <c r="D611" i="1"/>
  <c r="D610" i="1"/>
  <c r="D614" i="1"/>
  <c r="F614" i="1" s="1"/>
  <c r="D613" i="1"/>
  <c r="F613" i="1" s="1"/>
  <c r="D612" i="1"/>
  <c r="F612" i="1" s="1"/>
  <c r="D602" i="1"/>
  <c r="D603" i="1"/>
  <c r="D601" i="1"/>
  <c r="P647" i="1"/>
  <c r="P684" i="1"/>
  <c r="P638" i="1"/>
  <c r="P732" i="1"/>
  <c r="O647" i="1"/>
  <c r="P618" i="1"/>
  <c r="O720" i="1"/>
  <c r="O684" i="1"/>
  <c r="O696" i="1"/>
  <c r="P720" i="1"/>
  <c r="O744" i="1"/>
  <c r="O618" i="1"/>
  <c r="O638" i="1"/>
  <c r="P696" i="1"/>
  <c r="P744" i="1"/>
  <c r="O732" i="1"/>
  <c r="C264" i="1" l="1"/>
  <c r="E264" i="1"/>
  <c r="C263" i="1"/>
  <c r="E263" i="1"/>
  <c r="P733" i="1"/>
  <c r="P734" i="1" s="1"/>
  <c r="P735" i="1" s="1"/>
  <c r="P736" i="1" s="1"/>
  <c r="P737" i="1" s="1"/>
  <c r="N732" i="1"/>
  <c r="O733" i="1"/>
  <c r="O721" i="1"/>
  <c r="N720" i="1"/>
  <c r="P721" i="1"/>
  <c r="P722" i="1" s="1"/>
  <c r="P723" i="1" s="1"/>
  <c r="P724" i="1" s="1"/>
  <c r="P725" i="1" s="1"/>
  <c r="O745" i="1"/>
  <c r="N744" i="1"/>
  <c r="P745" i="1"/>
  <c r="P746" i="1" s="1"/>
  <c r="P747" i="1" s="1"/>
  <c r="P748" i="1" s="1"/>
  <c r="P749" i="1" s="1"/>
  <c r="P697" i="1"/>
  <c r="P698" i="1" s="1"/>
  <c r="P699" i="1" s="1"/>
  <c r="P700" i="1" s="1"/>
  <c r="P701" i="1" s="1"/>
  <c r="N696" i="1"/>
  <c r="O697" i="1"/>
  <c r="P685" i="1"/>
  <c r="P686" i="1" s="1"/>
  <c r="P687" i="1" s="1"/>
  <c r="P688" i="1" s="1"/>
  <c r="P689" i="1" s="1"/>
  <c r="O685" i="1"/>
  <c r="N684" i="1"/>
  <c r="O639" i="1"/>
  <c r="N638" i="1"/>
  <c r="P648" i="1"/>
  <c r="P649" i="1" s="1"/>
  <c r="P650" i="1" s="1"/>
  <c r="P651" i="1" s="1"/>
  <c r="P652" i="1" s="1"/>
  <c r="O648" i="1"/>
  <c r="N647" i="1"/>
  <c r="P639" i="1"/>
  <c r="P640" i="1" s="1"/>
  <c r="P641" i="1" s="1"/>
  <c r="P642" i="1" s="1"/>
  <c r="P643" i="1" s="1"/>
  <c r="O619" i="1"/>
  <c r="N618" i="1"/>
  <c r="P619" i="1"/>
  <c r="P620" i="1" s="1"/>
  <c r="P621" i="1" s="1"/>
  <c r="P622" i="1" s="1"/>
  <c r="P623" i="1" s="1"/>
  <c r="O734" i="1" l="1"/>
  <c r="N733" i="1"/>
  <c r="N721" i="1"/>
  <c r="O722" i="1"/>
  <c r="O746" i="1"/>
  <c r="N745" i="1"/>
  <c r="O698" i="1"/>
  <c r="N697" i="1"/>
  <c r="O686" i="1"/>
  <c r="N685" i="1"/>
  <c r="N648" i="1"/>
  <c r="O649" i="1"/>
  <c r="N639" i="1"/>
  <c r="O640" i="1"/>
  <c r="N619" i="1"/>
  <c r="O620" i="1"/>
  <c r="O735" i="1" l="1"/>
  <c r="N734" i="1"/>
  <c r="O723" i="1"/>
  <c r="N722" i="1"/>
  <c r="N746" i="1"/>
  <c r="O747" i="1"/>
  <c r="N698" i="1"/>
  <c r="O699" i="1"/>
  <c r="N686" i="1"/>
  <c r="O687" i="1"/>
  <c r="O641" i="1"/>
  <c r="N640" i="1"/>
  <c r="O650" i="1"/>
  <c r="N649" i="1"/>
  <c r="O621" i="1"/>
  <c r="N620" i="1"/>
  <c r="N735" i="1" l="1"/>
  <c r="O736" i="1"/>
  <c r="N723" i="1"/>
  <c r="O724" i="1"/>
  <c r="O748" i="1"/>
  <c r="N747" i="1"/>
  <c r="O700" i="1"/>
  <c r="N699" i="1"/>
  <c r="O688" i="1"/>
  <c r="N687" i="1"/>
  <c r="N650" i="1"/>
  <c r="O651" i="1"/>
  <c r="O642" i="1"/>
  <c r="N641" i="1"/>
  <c r="O622" i="1"/>
  <c r="N621" i="1"/>
  <c r="O737" i="1" l="1"/>
  <c r="N737" i="1" s="1"/>
  <c r="N736" i="1"/>
  <c r="O725" i="1"/>
  <c r="N725" i="1" s="1"/>
  <c r="N724" i="1"/>
  <c r="N748" i="1"/>
  <c r="O749" i="1"/>
  <c r="N749" i="1" s="1"/>
  <c r="N700" i="1"/>
  <c r="O701" i="1"/>
  <c r="N701" i="1" s="1"/>
  <c r="N688" i="1"/>
  <c r="O689" i="1"/>
  <c r="N689" i="1" s="1"/>
  <c r="N642" i="1"/>
  <c r="O643" i="1"/>
  <c r="N643" i="1" s="1"/>
  <c r="O652" i="1"/>
  <c r="N652" i="1" s="1"/>
  <c r="N651" i="1"/>
  <c r="N622" i="1"/>
  <c r="O623" i="1"/>
  <c r="N623" i="1" s="1"/>
  <c r="D299" i="1" l="1"/>
  <c r="D298" i="1"/>
  <c r="D297" i="1"/>
  <c r="D296" i="1"/>
  <c r="D295" i="1"/>
  <c r="D294" i="1"/>
  <c r="D293" i="1"/>
  <c r="D292" i="1"/>
  <c r="D291" i="1"/>
  <c r="D290" i="1"/>
  <c r="D289" i="1"/>
  <c r="A290" i="1" l="1"/>
  <c r="A291" i="1" s="1"/>
  <c r="A292" i="1" s="1"/>
  <c r="A293" i="1" s="1"/>
  <c r="A294" i="1" s="1"/>
  <c r="A295" i="1" s="1"/>
  <c r="A296" i="1" s="1"/>
  <c r="A297" i="1" s="1"/>
  <c r="A298" i="1" s="1"/>
  <c r="A299" i="1" s="1"/>
  <c r="F299" i="1"/>
  <c r="F298" i="1"/>
  <c r="F297" i="1"/>
  <c r="F296" i="1"/>
  <c r="F295" i="1"/>
  <c r="F294" i="1"/>
  <c r="F293" i="1"/>
  <c r="F292" i="1"/>
  <c r="F291" i="1"/>
  <c r="F290" i="1"/>
  <c r="G289" i="1"/>
  <c r="F289" i="1"/>
  <c r="D287" i="1"/>
  <c r="D286" i="1"/>
  <c r="D285" i="1"/>
  <c r="D284" i="1"/>
  <c r="D283" i="1"/>
  <c r="D282" i="1"/>
  <c r="D281" i="1"/>
  <c r="D280" i="1"/>
  <c r="D279" i="1"/>
  <c r="D278" i="1"/>
  <c r="D277" i="1"/>
  <c r="D424" i="1"/>
  <c r="F424" i="1" s="1"/>
  <c r="D423" i="1"/>
  <c r="F423" i="1" s="1"/>
  <c r="I421" i="1" s="1"/>
  <c r="D416" i="1"/>
  <c r="F416" i="1" s="1"/>
  <c r="D415" i="1"/>
  <c r="F415" i="1" s="1"/>
  <c r="I413" i="1" s="1"/>
  <c r="D426" i="1"/>
  <c r="F426" i="1" s="1"/>
  <c r="D425" i="1"/>
  <c r="F425" i="1" s="1"/>
  <c r="D422" i="1"/>
  <c r="F422" i="1" s="1"/>
  <c r="I420" i="1" s="1"/>
  <c r="D421" i="1"/>
  <c r="F421" i="1" s="1"/>
  <c r="I419" i="1" s="1"/>
  <c r="G420" i="1"/>
  <c r="D420" i="1"/>
  <c r="F420" i="1" s="1"/>
  <c r="A413" i="1"/>
  <c r="A414" i="1" s="1"/>
  <c r="A415" i="1" s="1"/>
  <c r="A416" i="1" s="1"/>
  <c r="A417" i="1" s="1"/>
  <c r="A418" i="1" s="1"/>
  <c r="D418" i="1"/>
  <c r="F418" i="1" s="1"/>
  <c r="D414" i="1"/>
  <c r="F414" i="1" s="1"/>
  <c r="D413" i="1"/>
  <c r="F413" i="1" s="1"/>
  <c r="G412" i="1"/>
  <c r="D412" i="1"/>
  <c r="F412" i="1" s="1"/>
  <c r="I410" i="1" s="1"/>
  <c r="D402" i="1"/>
  <c r="F402" i="1" s="1"/>
  <c r="D401" i="1"/>
  <c r="F401" i="1" s="1"/>
  <c r="D400" i="1"/>
  <c r="F400" i="1" s="1"/>
  <c r="D399" i="1"/>
  <c r="F399" i="1" s="1"/>
  <c r="I397" i="1" s="1"/>
  <c r="D398" i="1"/>
  <c r="F398" i="1" s="1"/>
  <c r="I396" i="1" s="1"/>
  <c r="D397" i="1"/>
  <c r="F397" i="1" s="1"/>
  <c r="I395" i="1" s="1"/>
  <c r="G396" i="1"/>
  <c r="D396" i="1"/>
  <c r="F396" i="1" s="1"/>
  <c r="I343" i="1"/>
  <c r="I342" i="1"/>
  <c r="A353" i="1"/>
  <c r="A354" i="1" s="1"/>
  <c r="A355" i="1" s="1"/>
  <c r="A356" i="1" s="1"/>
  <c r="A357" i="1" s="1"/>
  <c r="A358" i="1" s="1"/>
  <c r="D358" i="1"/>
  <c r="F358" i="1" s="1"/>
  <c r="D357" i="1"/>
  <c r="F357" i="1" s="1"/>
  <c r="D356" i="1"/>
  <c r="F356" i="1" s="1"/>
  <c r="D355" i="1"/>
  <c r="F355" i="1" s="1"/>
  <c r="D354" i="1"/>
  <c r="F354" i="1" s="1"/>
  <c r="D353" i="1"/>
  <c r="F353" i="1" s="1"/>
  <c r="G352" i="1"/>
  <c r="D352" i="1"/>
  <c r="F352" i="1" s="1"/>
  <c r="P418" i="1"/>
  <c r="O394" i="1"/>
  <c r="P394" i="1"/>
  <c r="O410" i="1"/>
  <c r="P410" i="1"/>
  <c r="P350" i="1"/>
  <c r="O350" i="1"/>
  <c r="O418" i="1"/>
  <c r="C250" i="1" l="1"/>
  <c r="E250" i="1"/>
  <c r="P419" i="1"/>
  <c r="P420" i="1" s="1"/>
  <c r="P421" i="1" s="1"/>
  <c r="P422" i="1" s="1"/>
  <c r="P423" i="1" s="1"/>
  <c r="O419" i="1"/>
  <c r="N418" i="1"/>
  <c r="P411" i="1"/>
  <c r="P412" i="1" s="1"/>
  <c r="P413" i="1" s="1"/>
  <c r="P414" i="1" s="1"/>
  <c r="P415" i="1" s="1"/>
  <c r="N410" i="1"/>
  <c r="O411" i="1"/>
  <c r="O395" i="1"/>
  <c r="N394" i="1"/>
  <c r="P395" i="1"/>
  <c r="P396" i="1" s="1"/>
  <c r="P397" i="1" s="1"/>
  <c r="P398" i="1" s="1"/>
  <c r="P399" i="1" s="1"/>
  <c r="N350" i="1"/>
  <c r="O351" i="1"/>
  <c r="P351" i="1"/>
  <c r="P352" i="1" s="1"/>
  <c r="P353" i="1" s="1"/>
  <c r="P354" i="1" s="1"/>
  <c r="P355" i="1" s="1"/>
  <c r="C111" i="1"/>
  <c r="J258" i="1"/>
  <c r="K261" i="1" s="1"/>
  <c r="G509" i="1"/>
  <c r="D513" i="1"/>
  <c r="F513" i="1" s="1"/>
  <c r="D512" i="1"/>
  <c r="F512" i="1" s="1"/>
  <c r="D511" i="1"/>
  <c r="F511" i="1" s="1"/>
  <c r="I509" i="1" s="1"/>
  <c r="D510" i="1"/>
  <c r="F510" i="1" s="1"/>
  <c r="D507" i="1"/>
  <c r="F507" i="1" s="1"/>
  <c r="D506" i="1"/>
  <c r="F506" i="1" s="1"/>
  <c r="D505" i="1"/>
  <c r="F505" i="1" s="1"/>
  <c r="I503" i="1" s="1"/>
  <c r="D504" i="1"/>
  <c r="F504" i="1" s="1"/>
  <c r="D503" i="1"/>
  <c r="F503" i="1" s="1"/>
  <c r="D501" i="1"/>
  <c r="F501" i="1" s="1"/>
  <c r="Q499" i="1"/>
  <c r="Q498" i="1"/>
  <c r="D500" i="1"/>
  <c r="F500" i="1" s="1"/>
  <c r="Q497" i="1"/>
  <c r="D499" i="1"/>
  <c r="F499" i="1" s="1"/>
  <c r="I497" i="1" s="1"/>
  <c r="Q496" i="1"/>
  <c r="D498" i="1"/>
  <c r="F498" i="1" s="1"/>
  <c r="Q495" i="1"/>
  <c r="G497" i="1"/>
  <c r="D497" i="1"/>
  <c r="F497" i="1" s="1"/>
  <c r="Q494" i="1"/>
  <c r="D495" i="1"/>
  <c r="F495" i="1" s="1"/>
  <c r="D493" i="1"/>
  <c r="F493" i="1" s="1"/>
  <c r="D492" i="1"/>
  <c r="F492" i="1" s="1"/>
  <c r="I490" i="1" s="1"/>
  <c r="D491" i="1"/>
  <c r="F491" i="1" s="1"/>
  <c r="D490" i="1"/>
  <c r="F490" i="1" s="1"/>
  <c r="D486" i="1"/>
  <c r="F486" i="1" s="1"/>
  <c r="D484" i="1"/>
  <c r="F484" i="1" s="1"/>
  <c r="D483" i="1"/>
  <c r="F483" i="1" s="1"/>
  <c r="D488" i="1"/>
  <c r="F488" i="1" s="1"/>
  <c r="D487" i="1"/>
  <c r="F487" i="1" s="1"/>
  <c r="D485" i="1"/>
  <c r="F485" i="1" s="1"/>
  <c r="I483" i="1" s="1"/>
  <c r="D481" i="1"/>
  <c r="F481" i="1" s="1"/>
  <c r="D480" i="1"/>
  <c r="F480" i="1" s="1"/>
  <c r="D479" i="1"/>
  <c r="F479" i="1" s="1"/>
  <c r="D478" i="1"/>
  <c r="F478" i="1" s="1"/>
  <c r="I476" i="1" s="1"/>
  <c r="D477" i="1"/>
  <c r="F477" i="1" s="1"/>
  <c r="D476" i="1"/>
  <c r="D474" i="1"/>
  <c r="F474" i="1" s="1"/>
  <c r="D473" i="1"/>
  <c r="F473" i="1" s="1"/>
  <c r="G473" i="1"/>
  <c r="Q505" i="1"/>
  <c r="Q504" i="1"/>
  <c r="Q503" i="1"/>
  <c r="Q502" i="1"/>
  <c r="Q501" i="1"/>
  <c r="G503" i="1"/>
  <c r="Q493" i="1"/>
  <c r="Q492" i="1"/>
  <c r="Q491" i="1"/>
  <c r="Q490" i="1"/>
  <c r="Q489" i="1"/>
  <c r="Q488" i="1"/>
  <c r="G490" i="1"/>
  <c r="Q486" i="1"/>
  <c r="Q485" i="1"/>
  <c r="Q484" i="1"/>
  <c r="Q483" i="1"/>
  <c r="Q482" i="1"/>
  <c r="Q481" i="1"/>
  <c r="G483" i="1"/>
  <c r="Q480" i="1"/>
  <c r="G476" i="1"/>
  <c r="F335" i="1"/>
  <c r="F334" i="1"/>
  <c r="F333" i="1"/>
  <c r="F332" i="1"/>
  <c r="F331" i="1"/>
  <c r="F330" i="1"/>
  <c r="G330" i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D310" i="1"/>
  <c r="F310" i="1" s="1"/>
  <c r="G303" i="1"/>
  <c r="G253" i="1" l="1"/>
  <c r="F303" i="1"/>
  <c r="G251" i="1" s="1"/>
  <c r="E251" i="1"/>
  <c r="E254" i="1" s="1"/>
  <c r="C251" i="1"/>
  <c r="C254" i="1" s="1"/>
  <c r="F476" i="1"/>
  <c r="G260" i="1" s="1"/>
  <c r="C260" i="1"/>
  <c r="E260" i="1"/>
  <c r="N419" i="1"/>
  <c r="O420" i="1"/>
  <c r="O412" i="1"/>
  <c r="N411" i="1"/>
  <c r="N395" i="1"/>
  <c r="O396" i="1"/>
  <c r="N351" i="1"/>
  <c r="O352" i="1"/>
  <c r="C118" i="1"/>
  <c r="J128" i="1"/>
  <c r="J127" i="1"/>
  <c r="J126" i="1"/>
  <c r="J125" i="1"/>
  <c r="I248" i="1" l="1"/>
  <c r="O421" i="1"/>
  <c r="N420" i="1"/>
  <c r="O413" i="1"/>
  <c r="N412" i="1"/>
  <c r="O397" i="1"/>
  <c r="N396" i="1"/>
  <c r="O353" i="1"/>
  <c r="N352" i="1"/>
  <c r="N421" i="1" l="1"/>
  <c r="O422" i="1"/>
  <c r="N413" i="1"/>
  <c r="O414" i="1"/>
  <c r="N397" i="1"/>
  <c r="O398" i="1"/>
  <c r="O354" i="1"/>
  <c r="N353" i="1"/>
  <c r="N422" i="1" l="1"/>
  <c r="O423" i="1"/>
  <c r="N423" i="1" s="1"/>
  <c r="O415" i="1"/>
  <c r="N415" i="1" s="1"/>
  <c r="N414" i="1"/>
  <c r="N398" i="1"/>
  <c r="O399" i="1"/>
  <c r="N399" i="1" s="1"/>
  <c r="N354" i="1"/>
  <c r="O355" i="1"/>
  <c r="N355" i="1" s="1"/>
  <c r="E3" i="1" l="1"/>
  <c r="C174" i="1"/>
  <c r="J184" i="1"/>
  <c r="J183" i="1"/>
  <c r="J182" i="1"/>
  <c r="J181" i="1"/>
  <c r="C104" i="1" l="1"/>
  <c r="J113" i="1"/>
  <c r="J112" i="1"/>
  <c r="J111" i="1"/>
  <c r="Q454" i="1" l="1"/>
  <c r="A456" i="1" s="1"/>
  <c r="Q455" i="1"/>
  <c r="A457" i="1" s="1"/>
  <c r="Q456" i="1"/>
  <c r="A458" i="1" s="1"/>
  <c r="Q457" i="1"/>
  <c r="A459" i="1" s="1"/>
  <c r="Q458" i="1"/>
  <c r="A460" i="1" s="1"/>
  <c r="Q459" i="1"/>
  <c r="A461" i="1" s="1"/>
  <c r="Q453" i="1"/>
  <c r="A455" i="1" s="1"/>
  <c r="Q451" i="1"/>
  <c r="A453" i="1" s="1"/>
  <c r="Q446" i="1"/>
  <c r="A448" i="1" s="1"/>
  <c r="Q447" i="1"/>
  <c r="A449" i="1" s="1"/>
  <c r="Q448" i="1"/>
  <c r="A450" i="1" s="1"/>
  <c r="Q449" i="1"/>
  <c r="A451" i="1" s="1"/>
  <c r="Q450" i="1"/>
  <c r="A452" i="1" s="1"/>
  <c r="Q445" i="1"/>
  <c r="A447" i="1" s="1"/>
  <c r="Q436" i="1"/>
  <c r="A439" i="1" s="1"/>
  <c r="Q437" i="1"/>
  <c r="A440" i="1" s="1"/>
  <c r="Q438" i="1"/>
  <c r="A441" i="1" s="1"/>
  <c r="Q439" i="1"/>
  <c r="A442" i="1" s="1"/>
  <c r="Q440" i="1"/>
  <c r="A443" i="1" s="1"/>
  <c r="Q441" i="1"/>
  <c r="A444" i="1" s="1"/>
  <c r="Q442" i="1"/>
  <c r="A445" i="1" s="1"/>
  <c r="D469" i="1"/>
  <c r="F469" i="1" s="1"/>
  <c r="D467" i="1"/>
  <c r="F467" i="1" s="1"/>
  <c r="D466" i="1"/>
  <c r="F466" i="1" s="1"/>
  <c r="D465" i="1"/>
  <c r="F465" i="1" s="1"/>
  <c r="I463" i="1" s="1"/>
  <c r="D464" i="1"/>
  <c r="F464" i="1" s="1"/>
  <c r="G463" i="1"/>
  <c r="D463" i="1"/>
  <c r="F463" i="1" s="1"/>
  <c r="D456" i="1"/>
  <c r="F456" i="1" s="1"/>
  <c r="D455" i="1"/>
  <c r="F455" i="1" s="1"/>
  <c r="D461" i="1"/>
  <c r="F461" i="1" s="1"/>
  <c r="D460" i="1"/>
  <c r="F460" i="1" s="1"/>
  <c r="D459" i="1"/>
  <c r="F459" i="1" s="1"/>
  <c r="D458" i="1"/>
  <c r="F458" i="1" s="1"/>
  <c r="D457" i="1"/>
  <c r="F457" i="1" s="1"/>
  <c r="I455" i="1" s="1"/>
  <c r="G455" i="1"/>
  <c r="D453" i="1"/>
  <c r="F453" i="1" s="1"/>
  <c r="D451" i="1"/>
  <c r="F451" i="1" s="1"/>
  <c r="D450" i="1"/>
  <c r="F450" i="1" s="1"/>
  <c r="D449" i="1"/>
  <c r="F449" i="1" s="1"/>
  <c r="I447" i="1" s="1"/>
  <c r="D448" i="1"/>
  <c r="F448" i="1" s="1"/>
  <c r="G447" i="1"/>
  <c r="D447" i="1"/>
  <c r="F447" i="1" s="1"/>
  <c r="D445" i="1"/>
  <c r="F445" i="1" s="1"/>
  <c r="D444" i="1"/>
  <c r="F444" i="1" s="1"/>
  <c r="D443" i="1"/>
  <c r="F443" i="1" s="1"/>
  <c r="D442" i="1"/>
  <c r="F442" i="1" s="1"/>
  <c r="D441" i="1"/>
  <c r="F441" i="1" s="1"/>
  <c r="I439" i="1" s="1"/>
  <c r="D440" i="1"/>
  <c r="F440" i="1" s="1"/>
  <c r="G439" i="1"/>
  <c r="D439" i="1"/>
  <c r="F439" i="1" s="1"/>
  <c r="D437" i="1"/>
  <c r="F437" i="1" s="1"/>
  <c r="D436" i="1"/>
  <c r="F436" i="1" s="1"/>
  <c r="D435" i="1"/>
  <c r="F435" i="1" s="1"/>
  <c r="D434" i="1"/>
  <c r="F434" i="1" s="1"/>
  <c r="D433" i="1"/>
  <c r="F433" i="1" s="1"/>
  <c r="I431" i="1" s="1"/>
  <c r="D432" i="1"/>
  <c r="F432" i="1" s="1"/>
  <c r="D431" i="1"/>
  <c r="G431" i="1"/>
  <c r="F287" i="1"/>
  <c r="F283" i="1"/>
  <c r="F286" i="1"/>
  <c r="F285" i="1"/>
  <c r="F284" i="1"/>
  <c r="F282" i="1"/>
  <c r="F281" i="1"/>
  <c r="F280" i="1"/>
  <c r="F279" i="1"/>
  <c r="F278" i="1"/>
  <c r="G277" i="1"/>
  <c r="F431" i="1" l="1"/>
  <c r="G259" i="1" s="1"/>
  <c r="C259" i="1"/>
  <c r="E259" i="1"/>
  <c r="F277" i="1"/>
  <c r="C76" i="1"/>
  <c r="G250" i="1" l="1"/>
  <c r="G254" i="1" s="1"/>
  <c r="C14" i="1"/>
  <c r="F603" i="1" l="1"/>
  <c r="F602" i="1"/>
  <c r="F617" i="1"/>
  <c r="F616" i="1"/>
  <c r="F615" i="1"/>
  <c r="F611" i="1"/>
  <c r="F610" i="1"/>
  <c r="F720" i="1"/>
  <c r="F718" i="1"/>
  <c r="F717" i="1"/>
  <c r="F716" i="1"/>
  <c r="F715" i="1"/>
  <c r="F714" i="1"/>
  <c r="F713" i="1"/>
  <c r="F712" i="1"/>
  <c r="F711" i="1"/>
  <c r="F710" i="1"/>
  <c r="F682" i="1"/>
  <c r="F680" i="1"/>
  <c r="F679" i="1"/>
  <c r="F678" i="1"/>
  <c r="F677" i="1"/>
  <c r="G710" i="1"/>
  <c r="F630" i="1"/>
  <c r="I628" i="1" s="1"/>
  <c r="F674" i="1"/>
  <c r="F684" i="1"/>
  <c r="F683" i="1"/>
  <c r="F681" i="1"/>
  <c r="F676" i="1"/>
  <c r="F675" i="1"/>
  <c r="G674" i="1"/>
  <c r="F666" i="1"/>
  <c r="F665" i="1"/>
  <c r="G661" i="1"/>
  <c r="F637" i="1"/>
  <c r="F636" i="1"/>
  <c r="F635" i="1"/>
  <c r="F634" i="1"/>
  <c r="F633" i="1"/>
  <c r="F632" i="1"/>
  <c r="F631" i="1"/>
  <c r="G630" i="1"/>
  <c r="F618" i="1"/>
  <c r="G610" i="1"/>
  <c r="G599" i="1"/>
  <c r="D410" i="1"/>
  <c r="F410" i="1" s="1"/>
  <c r="D408" i="1"/>
  <c r="F408" i="1" s="1"/>
  <c r="D407" i="1"/>
  <c r="F407" i="1" s="1"/>
  <c r="I405" i="1" s="1"/>
  <c r="D406" i="1"/>
  <c r="F406" i="1" s="1"/>
  <c r="D405" i="1"/>
  <c r="F405" i="1" s="1"/>
  <c r="G404" i="1"/>
  <c r="D404" i="1"/>
  <c r="F404" i="1" s="1"/>
  <c r="I402" i="1" s="1"/>
  <c r="D394" i="1"/>
  <c r="F394" i="1" s="1"/>
  <c r="D393" i="1"/>
  <c r="F393" i="1" s="1"/>
  <c r="D392" i="1"/>
  <c r="F392" i="1" s="1"/>
  <c r="D391" i="1"/>
  <c r="F391" i="1" s="1"/>
  <c r="I389" i="1" s="1"/>
  <c r="D390" i="1"/>
  <c r="F390" i="1" s="1"/>
  <c r="I388" i="1" s="1"/>
  <c r="D389" i="1"/>
  <c r="F389" i="1" s="1"/>
  <c r="I387" i="1" s="1"/>
  <c r="D388" i="1"/>
  <c r="F388" i="1" s="1"/>
  <c r="G388" i="1"/>
  <c r="D381" i="1"/>
  <c r="F381" i="1" s="1"/>
  <c r="D380" i="1"/>
  <c r="G379" i="1"/>
  <c r="D374" i="1"/>
  <c r="F374" i="1" s="1"/>
  <c r="D372" i="1"/>
  <c r="F372" i="1" s="1"/>
  <c r="D371" i="1"/>
  <c r="F371" i="1" s="1"/>
  <c r="D370" i="1"/>
  <c r="F370" i="1" s="1"/>
  <c r="D369" i="1"/>
  <c r="F369" i="1" s="1"/>
  <c r="G368" i="1"/>
  <c r="D368" i="1"/>
  <c r="F368" i="1" s="1"/>
  <c r="D366" i="1"/>
  <c r="F366" i="1" s="1"/>
  <c r="D365" i="1"/>
  <c r="F365" i="1" s="1"/>
  <c r="D364" i="1"/>
  <c r="F364" i="1" s="1"/>
  <c r="D363" i="1"/>
  <c r="F363" i="1" s="1"/>
  <c r="D362" i="1"/>
  <c r="F362" i="1" s="1"/>
  <c r="D361" i="1"/>
  <c r="F361" i="1" s="1"/>
  <c r="D360" i="1"/>
  <c r="F360" i="1" s="1"/>
  <c r="G360" i="1"/>
  <c r="D346" i="1"/>
  <c r="F346" i="1" s="1"/>
  <c r="D345" i="1"/>
  <c r="F345" i="1" s="1"/>
  <c r="D344" i="1"/>
  <c r="G343" i="1"/>
  <c r="O628" i="1"/>
  <c r="P386" i="1"/>
  <c r="O672" i="1"/>
  <c r="P628" i="1"/>
  <c r="O402" i="1"/>
  <c r="O386" i="1"/>
  <c r="P708" i="1"/>
  <c r="P608" i="1"/>
  <c r="P358" i="1"/>
  <c r="O608" i="1"/>
  <c r="O366" i="1"/>
  <c r="P672" i="1"/>
  <c r="P402" i="1"/>
  <c r="O708" i="1"/>
  <c r="P366" i="1"/>
  <c r="O358" i="1"/>
  <c r="C257" i="1" l="1"/>
  <c r="E257" i="1"/>
  <c r="C258" i="1"/>
  <c r="E258" i="1"/>
  <c r="F664" i="1"/>
  <c r="G264" i="1" s="1"/>
  <c r="F344" i="1"/>
  <c r="G257" i="1" s="1"/>
  <c r="F380" i="1"/>
  <c r="G258" i="1" s="1"/>
  <c r="F601" i="1"/>
  <c r="G263" i="1" s="1"/>
  <c r="P709" i="1"/>
  <c r="P710" i="1" s="1"/>
  <c r="P711" i="1" s="1"/>
  <c r="P712" i="1" s="1"/>
  <c r="P713" i="1" s="1"/>
  <c r="N708" i="1"/>
  <c r="O709" i="1"/>
  <c r="P673" i="1"/>
  <c r="P674" i="1" s="1"/>
  <c r="P675" i="1" s="1"/>
  <c r="P676" i="1" s="1"/>
  <c r="P677" i="1" s="1"/>
  <c r="N672" i="1"/>
  <c r="O673" i="1"/>
  <c r="P629" i="1"/>
  <c r="P630" i="1" s="1"/>
  <c r="P631" i="1" s="1"/>
  <c r="P632" i="1" s="1"/>
  <c r="P633" i="1" s="1"/>
  <c r="N628" i="1"/>
  <c r="O629" i="1"/>
  <c r="P609" i="1"/>
  <c r="P610" i="1" s="1"/>
  <c r="P611" i="1" s="1"/>
  <c r="P612" i="1" s="1"/>
  <c r="P613" i="1" s="1"/>
  <c r="N608" i="1"/>
  <c r="O609" i="1"/>
  <c r="P403" i="1"/>
  <c r="P404" i="1" s="1"/>
  <c r="P405" i="1" s="1"/>
  <c r="P406" i="1" s="1"/>
  <c r="P407" i="1" s="1"/>
  <c r="N402" i="1"/>
  <c r="O403" i="1"/>
  <c r="P387" i="1"/>
  <c r="P388" i="1" s="1"/>
  <c r="P389" i="1" s="1"/>
  <c r="P390" i="1" s="1"/>
  <c r="P391" i="1" s="1"/>
  <c r="N386" i="1"/>
  <c r="O387" i="1"/>
  <c r="P367" i="1"/>
  <c r="P368" i="1" s="1"/>
  <c r="P369" i="1" s="1"/>
  <c r="P370" i="1" s="1"/>
  <c r="P371" i="1" s="1"/>
  <c r="N366" i="1"/>
  <c r="O367" i="1"/>
  <c r="P359" i="1"/>
  <c r="P360" i="1" s="1"/>
  <c r="P361" i="1" s="1"/>
  <c r="P362" i="1" s="1"/>
  <c r="P363" i="1" s="1"/>
  <c r="N358" i="1"/>
  <c r="O359" i="1"/>
  <c r="F16" i="5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904" i="1"/>
  <c r="F247" i="1"/>
  <c r="J169" i="1"/>
  <c r="J168" i="1"/>
  <c r="J167" i="1"/>
  <c r="C160" i="1"/>
  <c r="J99" i="1"/>
  <c r="J98" i="1"/>
  <c r="J97" i="1"/>
  <c r="C90" i="1"/>
  <c r="J85" i="1"/>
  <c r="J84" i="1"/>
  <c r="J83" i="1"/>
  <c r="D73" i="1"/>
  <c r="E41" i="1"/>
  <c r="E42" i="1" s="1"/>
  <c r="E25" i="1"/>
  <c r="E23" i="1"/>
  <c r="E7" i="1"/>
  <c r="H91" i="1"/>
  <c r="H161" i="1"/>
  <c r="H77" i="1"/>
  <c r="E268" i="1" l="1"/>
  <c r="E269" i="1" s="1"/>
  <c r="C268" i="1"/>
  <c r="C269" i="1" s="1"/>
  <c r="G268" i="1"/>
  <c r="G269" i="1" s="1"/>
  <c r="L34" i="3"/>
  <c r="K34" i="3" s="1"/>
  <c r="E34" i="3"/>
  <c r="I34" i="3"/>
  <c r="H34" i="3" s="1"/>
  <c r="I599" i="1"/>
  <c r="N709" i="1"/>
  <c r="O710" i="1"/>
  <c r="N673" i="1"/>
  <c r="O674" i="1"/>
  <c r="N629" i="1"/>
  <c r="O630" i="1"/>
  <c r="N609" i="1"/>
  <c r="O610" i="1"/>
  <c r="N403" i="1"/>
  <c r="O404" i="1"/>
  <c r="N387" i="1"/>
  <c r="O388" i="1"/>
  <c r="N367" i="1"/>
  <c r="O368" i="1"/>
  <c r="O360" i="1"/>
  <c r="N359" i="1"/>
  <c r="D166" i="1"/>
  <c r="J162" i="1"/>
  <c r="D173" i="1"/>
  <c r="D171" i="1"/>
  <c r="D169" i="1"/>
  <c r="D167" i="1"/>
  <c r="J163" i="1"/>
  <c r="C164" i="1" s="1"/>
  <c r="J161" i="1"/>
  <c r="D170" i="1"/>
  <c r="J164" i="1"/>
  <c r="J165" i="1" s="1"/>
  <c r="D168" i="1"/>
  <c r="D172" i="1"/>
  <c r="J94" i="1"/>
  <c r="J95" i="1" s="1"/>
  <c r="J100" i="1" s="1"/>
  <c r="D102" i="1"/>
  <c r="D100" i="1"/>
  <c r="D98" i="1"/>
  <c r="D101" i="1"/>
  <c r="J93" i="1"/>
  <c r="C94" i="1" s="1"/>
  <c r="J91" i="1"/>
  <c r="D99" i="1"/>
  <c r="J92" i="1"/>
  <c r="D103" i="1"/>
  <c r="D97" i="1"/>
  <c r="D96" i="1"/>
  <c r="P871" i="1"/>
  <c r="D82" i="1"/>
  <c r="J78" i="1"/>
  <c r="D87" i="1"/>
  <c r="D85" i="1"/>
  <c r="D83" i="1"/>
  <c r="D89" i="1"/>
  <c r="J79" i="1"/>
  <c r="C80" i="1" s="1"/>
  <c r="J77" i="1"/>
  <c r="D88" i="1"/>
  <c r="D84" i="1"/>
  <c r="D86" i="1"/>
  <c r="J80" i="1"/>
  <c r="D34" i="3"/>
  <c r="H147" i="1"/>
  <c r="H189" i="1"/>
  <c r="H217" i="1"/>
  <c r="H203" i="1"/>
  <c r="H119" i="1"/>
  <c r="H105" i="1"/>
  <c r="H133" i="1"/>
  <c r="H175" i="1"/>
  <c r="D224" i="1" l="1"/>
  <c r="D228" i="1"/>
  <c r="D223" i="1"/>
  <c r="D227" i="1"/>
  <c r="D226" i="1"/>
  <c r="D222" i="1"/>
  <c r="D225" i="1"/>
  <c r="J218" i="1"/>
  <c r="D229" i="1"/>
  <c r="J217" i="1"/>
  <c r="J220" i="1"/>
  <c r="J221" i="1" s="1"/>
  <c r="J219" i="1"/>
  <c r="C220" i="1" s="1"/>
  <c r="D215" i="1"/>
  <c r="D214" i="1"/>
  <c r="J203" i="1"/>
  <c r="D209" i="1"/>
  <c r="D213" i="1"/>
  <c r="J206" i="1"/>
  <c r="J207" i="1" s="1"/>
  <c r="D212" i="1"/>
  <c r="D208" i="1"/>
  <c r="J205" i="1"/>
  <c r="C206" i="1" s="1"/>
  <c r="G206" i="1" s="1"/>
  <c r="D211" i="1"/>
  <c r="D207" i="1"/>
  <c r="J204" i="1"/>
  <c r="D210" i="1"/>
  <c r="E206" i="1"/>
  <c r="D200" i="1"/>
  <c r="J189" i="1"/>
  <c r="D195" i="1"/>
  <c r="D199" i="1"/>
  <c r="J192" i="1"/>
  <c r="J193" i="1" s="1"/>
  <c r="D198" i="1"/>
  <c r="D194" i="1"/>
  <c r="J191" i="1"/>
  <c r="C192" i="1" s="1"/>
  <c r="D197" i="1"/>
  <c r="J190" i="1"/>
  <c r="D196" i="1"/>
  <c r="D201" i="1"/>
  <c r="E36" i="3"/>
  <c r="D36" i="3"/>
  <c r="J150" i="1"/>
  <c r="J151" i="1" s="1"/>
  <c r="J148" i="1"/>
  <c r="J147" i="1"/>
  <c r="D158" i="1"/>
  <c r="D156" i="1"/>
  <c r="D154" i="1"/>
  <c r="D152" i="1"/>
  <c r="J149" i="1"/>
  <c r="C150" i="1" s="1"/>
  <c r="D159" i="1"/>
  <c r="D157" i="1"/>
  <c r="D155" i="1"/>
  <c r="D153" i="1"/>
  <c r="J136" i="1"/>
  <c r="D144" i="1"/>
  <c r="D142" i="1"/>
  <c r="D140" i="1"/>
  <c r="D138" i="1"/>
  <c r="J134" i="1"/>
  <c r="J133" i="1"/>
  <c r="J135" i="1"/>
  <c r="C136" i="1" s="1"/>
  <c r="D145" i="1"/>
  <c r="D143" i="1"/>
  <c r="D141" i="1"/>
  <c r="D139" i="1"/>
  <c r="J170" i="1"/>
  <c r="G164" i="1"/>
  <c r="J122" i="1"/>
  <c r="J120" i="1"/>
  <c r="D130" i="1"/>
  <c r="D128" i="1"/>
  <c r="D126" i="1"/>
  <c r="D124" i="1"/>
  <c r="J119" i="1"/>
  <c r="J121" i="1"/>
  <c r="D131" i="1"/>
  <c r="D129" i="1"/>
  <c r="D127" i="1"/>
  <c r="D125" i="1"/>
  <c r="D187" i="1"/>
  <c r="D183" i="1"/>
  <c r="J176" i="1"/>
  <c r="D186" i="1"/>
  <c r="D182" i="1"/>
  <c r="J177" i="1"/>
  <c r="C178" i="1" s="1"/>
  <c r="D185" i="1"/>
  <c r="D181" i="1"/>
  <c r="J178" i="1"/>
  <c r="J179" i="1" s="1"/>
  <c r="J175" i="1"/>
  <c r="D184" i="1"/>
  <c r="D180" i="1"/>
  <c r="J166" i="1"/>
  <c r="J107" i="1"/>
  <c r="C108" i="1" s="1"/>
  <c r="D117" i="1"/>
  <c r="D113" i="1"/>
  <c r="J108" i="1"/>
  <c r="J109" i="1" s="1"/>
  <c r="J114" i="1" s="1"/>
  <c r="J106" i="1"/>
  <c r="D114" i="1"/>
  <c r="D110" i="1"/>
  <c r="D116" i="1"/>
  <c r="D112" i="1"/>
  <c r="D115" i="1"/>
  <c r="D111" i="1"/>
  <c r="J105" i="1"/>
  <c r="J96" i="1"/>
  <c r="D95" i="1" s="1"/>
  <c r="J81" i="1"/>
  <c r="D164" i="1"/>
  <c r="D80" i="1"/>
  <c r="O711" i="1"/>
  <c r="N710" i="1"/>
  <c r="O675" i="1"/>
  <c r="N674" i="1"/>
  <c r="O631" i="1"/>
  <c r="N630" i="1"/>
  <c r="O611" i="1"/>
  <c r="N610" i="1"/>
  <c r="O405" i="1"/>
  <c r="N404" i="1"/>
  <c r="O389" i="1"/>
  <c r="N388" i="1"/>
  <c r="O369" i="1"/>
  <c r="N368" i="1"/>
  <c r="N360" i="1"/>
  <c r="O361" i="1"/>
  <c r="D94" i="1"/>
  <c r="J222" i="1" l="1"/>
  <c r="D220" i="1"/>
  <c r="J208" i="1"/>
  <c r="J213" i="1" s="1"/>
  <c r="D206" i="1"/>
  <c r="J194" i="1"/>
  <c r="D192" i="1"/>
  <c r="D136" i="1"/>
  <c r="D150" i="1"/>
  <c r="J152" i="1"/>
  <c r="J171" i="1"/>
  <c r="E164" i="1"/>
  <c r="J137" i="1"/>
  <c r="J123" i="1"/>
  <c r="J124" i="1" s="1"/>
  <c r="G122" i="1" s="1"/>
  <c r="D165" i="1"/>
  <c r="D122" i="1"/>
  <c r="D178" i="1"/>
  <c r="J180" i="1"/>
  <c r="J110" i="1"/>
  <c r="D108" i="1"/>
  <c r="G94" i="1"/>
  <c r="E94" i="1"/>
  <c r="J101" i="1"/>
  <c r="J86" i="1"/>
  <c r="J82" i="1"/>
  <c r="O712" i="1"/>
  <c r="N711" i="1"/>
  <c r="O676" i="1"/>
  <c r="N675" i="1"/>
  <c r="O632" i="1"/>
  <c r="N631" i="1"/>
  <c r="O612" i="1"/>
  <c r="N611" i="1"/>
  <c r="O406" i="1"/>
  <c r="N405" i="1"/>
  <c r="O390" i="1"/>
  <c r="N389" i="1"/>
  <c r="O370" i="1"/>
  <c r="N369" i="1"/>
  <c r="O362" i="1"/>
  <c r="N361" i="1"/>
  <c r="J227" i="1" l="1"/>
  <c r="C221" i="1"/>
  <c r="D221" i="1" s="1"/>
  <c r="J199" i="1"/>
  <c r="C193" i="1"/>
  <c r="I200" i="1"/>
  <c r="C204" i="1" s="1"/>
  <c r="J157" i="1"/>
  <c r="C151" i="1" s="1"/>
  <c r="I158" i="1"/>
  <c r="C162" i="1" s="1"/>
  <c r="J138" i="1"/>
  <c r="J129" i="1"/>
  <c r="D123" i="1"/>
  <c r="E122" i="1"/>
  <c r="J185" i="1"/>
  <c r="J115" i="1"/>
  <c r="I88" i="1"/>
  <c r="C92" i="1" s="1"/>
  <c r="J87" i="1"/>
  <c r="C81" i="1" s="1"/>
  <c r="N712" i="1"/>
  <c r="O713" i="1"/>
  <c r="N713" i="1" s="1"/>
  <c r="N676" i="1"/>
  <c r="O677" i="1"/>
  <c r="N677" i="1" s="1"/>
  <c r="N632" i="1"/>
  <c r="O633" i="1"/>
  <c r="N633" i="1" s="1"/>
  <c r="N612" i="1"/>
  <c r="O613" i="1"/>
  <c r="N613" i="1" s="1"/>
  <c r="N406" i="1"/>
  <c r="O407" i="1"/>
  <c r="N407" i="1" s="1"/>
  <c r="N390" i="1"/>
  <c r="O391" i="1"/>
  <c r="N391" i="1" s="1"/>
  <c r="N370" i="1"/>
  <c r="O371" i="1"/>
  <c r="N371" i="1" s="1"/>
  <c r="N362" i="1"/>
  <c r="O363" i="1"/>
  <c r="N363" i="1" s="1"/>
  <c r="G220" i="1" l="1"/>
  <c r="E220" i="1"/>
  <c r="I214" i="1" s="1"/>
  <c r="C218" i="1" s="1"/>
  <c r="D193" i="1"/>
  <c r="E192" i="1"/>
  <c r="I186" i="1" s="1"/>
  <c r="C190" i="1" s="1"/>
  <c r="G192" i="1"/>
  <c r="J143" i="1"/>
  <c r="C137" i="1" s="1"/>
  <c r="E150" i="1"/>
  <c r="I144" i="1" s="1"/>
  <c r="C148" i="1" s="1"/>
  <c r="D151" i="1"/>
  <c r="G150" i="1"/>
  <c r="I116" i="1"/>
  <c r="C120" i="1" s="1"/>
  <c r="D179" i="1"/>
  <c r="E178" i="1"/>
  <c r="I172" i="1" s="1"/>
  <c r="C176" i="1" s="1"/>
  <c r="G178" i="1"/>
  <c r="E108" i="1"/>
  <c r="I102" i="1" s="1"/>
  <c r="C106" i="1" s="1"/>
  <c r="D109" i="1"/>
  <c r="G108" i="1"/>
  <c r="G80" i="1"/>
  <c r="D75" i="1" s="1"/>
  <c r="F230" i="1" s="1"/>
  <c r="E80" i="1"/>
  <c r="I74" i="1" s="1"/>
  <c r="C78" i="1" s="1"/>
  <c r="D81" i="1"/>
  <c r="O871" i="1"/>
  <c r="N871" i="1" s="1"/>
  <c r="D137" i="1" l="1"/>
  <c r="E136" i="1"/>
  <c r="I130" i="1" s="1"/>
  <c r="C134" i="1" s="1"/>
  <c r="G136" i="1"/>
</calcChain>
</file>

<file path=xl/sharedStrings.xml><?xml version="1.0" encoding="utf-8"?>
<sst xmlns="http://schemas.openxmlformats.org/spreadsheetml/2006/main" count="1477" uniqueCount="451">
  <si>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</si>
  <si>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</si>
  <si>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</si>
  <si>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</si>
  <si>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</si>
  <si>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</si>
  <si>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</si>
  <si>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</si>
  <si>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</si>
  <si>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</si>
  <si>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</si>
  <si>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</si>
  <si>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</si>
  <si>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</si>
  <si>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</si>
  <si>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</si>
  <si>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</si>
  <si>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</si>
  <si>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</si>
  <si>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</si>
  <si>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</si>
  <si>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</si>
  <si>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</si>
  <si>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</si>
  <si>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</si>
  <si>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</si>
  <si>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</si>
  <si>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</si>
  <si>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</si>
  <si>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</si>
  <si>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</si>
  <si>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</si>
  <si>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</si>
  <si>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</si>
  <si>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</si>
  <si>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</si>
  <si>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</si>
  <si>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</si>
  <si>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</si>
  <si>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</si>
  <si>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</si>
  <si>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</si>
  <si>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</si>
  <si>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</si>
  <si>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</si>
  <si>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</si>
  <si>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</si>
  <si>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</si>
  <si>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</si>
  <si>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</si>
  <si>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</si>
  <si>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</si>
  <si>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</si>
  <si>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</si>
  <si>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</si>
  <si>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</si>
  <si>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</si>
  <si>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</si>
  <si>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</si>
  <si>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</si>
  <si>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</si>
  <si>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</si>
  <si>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</si>
  <si>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</si>
  <si>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</si>
  <si>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</si>
  <si>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</si>
  <si>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</si>
  <si>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</si>
  <si>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</si>
  <si>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</si>
  <si>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</si>
  <si>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</si>
  <si>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</si>
  <si>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</si>
  <si>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</si>
  <si>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</si>
  <si>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</si>
  <si>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</si>
  <si>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</si>
  <si>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</si>
  <si>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</si>
  <si>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</si>
  <si>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</si>
  <si>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</si>
  <si>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</si>
  <si>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</si>
  <si>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</si>
  <si>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</si>
  <si>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</si>
  <si>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</si>
  <si>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</si>
  <si>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</si>
  <si>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</si>
  <si>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</si>
  <si>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</si>
  <si>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</si>
  <si>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</si>
  <si>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</si>
  <si>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</si>
  <si>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</si>
  <si>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</si>
  <si>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</si>
  <si>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</si>
  <si>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</si>
  <si>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</si>
  <si>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</si>
  <si>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</si>
  <si>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</si>
  <si>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</si>
  <si>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</si>
  <si>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</si>
  <si>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</si>
  <si>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</si>
  <si>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</si>
  <si>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</si>
  <si>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</si>
  <si>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</si>
  <si>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</si>
  <si>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</si>
  <si>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</si>
  <si>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</si>
  <si>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</si>
  <si>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</si>
  <si>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</si>
  <si>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</si>
  <si>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</si>
  <si>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</si>
  <si>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</si>
  <si>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</si>
  <si>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</si>
  <si>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</si>
  <si>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</si>
  <si>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</si>
  <si>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</si>
  <si>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</si>
  <si>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</si>
  <si>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</si>
  <si>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</si>
  <si>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</si>
  <si>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</si>
  <si>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</si>
  <si>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</si>
  <si>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</si>
  <si>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</si>
  <si>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</si>
  <si>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</si>
  <si>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</si>
  <si>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</si>
  <si>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</si>
  <si>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</si>
  <si>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</si>
  <si>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</si>
  <si>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</si>
  <si>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</si>
  <si>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</si>
  <si>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</si>
  <si>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</si>
  <si>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</si>
  <si>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</si>
  <si>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</si>
  <si>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</si>
  <si>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</si>
  <si>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</si>
  <si>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</si>
  <si>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</si>
  <si>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</si>
  <si>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</si>
  <si>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</si>
  <si>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</si>
  <si>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</si>
  <si>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Sector 2A</t>
  </si>
  <si>
    <t>Penkarpada</t>
  </si>
  <si>
    <t>Thane</t>
  </si>
  <si>
    <t>Wing A</t>
  </si>
  <si>
    <t xml:space="preserve">1st &amp; 2nd Basement Floor for Parking </t>
  </si>
  <si>
    <t>Wing B</t>
  </si>
  <si>
    <t>1st Podium Floor for Part Residential &amp; Part Parking</t>
  </si>
  <si>
    <t>2BHK</t>
  </si>
  <si>
    <t>101,..,3201</t>
  </si>
  <si>
    <t>102,..,3202</t>
  </si>
  <si>
    <t>103,..,3203</t>
  </si>
  <si>
    <t>104,..,3204</t>
  </si>
  <si>
    <t>105,..,3205</t>
  </si>
  <si>
    <t>106,..,3206</t>
  </si>
  <si>
    <t>107,..,3207</t>
  </si>
  <si>
    <t>601,..,3101</t>
  </si>
  <si>
    <t>602,..,3102</t>
  </si>
  <si>
    <t>603,..,3103</t>
  </si>
  <si>
    <t>604,..,3104</t>
  </si>
  <si>
    <t>605,..,3105</t>
  </si>
  <si>
    <t>606,..,3106</t>
  </si>
  <si>
    <t>607,..,3107</t>
  </si>
  <si>
    <t>Parking</t>
  </si>
  <si>
    <t>101,..,3301</t>
  </si>
  <si>
    <t>102,..,3302</t>
  </si>
  <si>
    <t>103,..,3303</t>
  </si>
  <si>
    <t>104,..,3304</t>
  </si>
  <si>
    <t>105,..,3305</t>
  </si>
  <si>
    <t>106,..,3306</t>
  </si>
  <si>
    <t>107,..,3307</t>
  </si>
  <si>
    <t>Refuge Area</t>
  </si>
  <si>
    <t>Wing G</t>
  </si>
  <si>
    <t>Wing H</t>
  </si>
  <si>
    <t>1BHK</t>
  </si>
  <si>
    <t>101,..,3001</t>
  </si>
  <si>
    <t>102,..,3002</t>
  </si>
  <si>
    <t>103,..,3003</t>
  </si>
  <si>
    <t>104,..,3004</t>
  </si>
  <si>
    <t>105,..,3005</t>
  </si>
  <si>
    <t>106,..,3006</t>
  </si>
  <si>
    <t>107,..,3007</t>
  </si>
  <si>
    <t>108,..,3008</t>
  </si>
  <si>
    <t>109,..,3009</t>
  </si>
  <si>
    <t>110,..,3010</t>
  </si>
  <si>
    <t>111,..,3011</t>
  </si>
  <si>
    <t>RERA No. &amp; Name</t>
  </si>
  <si>
    <t>Residential</t>
  </si>
  <si>
    <t>Poonam Estate Cluster 3</t>
  </si>
  <si>
    <t xml:space="preserve">Open Plot </t>
  </si>
  <si>
    <t>Srishti Road</t>
  </si>
  <si>
    <t>Survey No</t>
  </si>
  <si>
    <t>Mira Road East</t>
  </si>
  <si>
    <t>601,..,2601</t>
  </si>
  <si>
    <t>602,..,2602</t>
  </si>
  <si>
    <t>603,..,2603</t>
  </si>
  <si>
    <t>604,..,2604</t>
  </si>
  <si>
    <t>605,..,2605</t>
  </si>
  <si>
    <t>606,..,2606</t>
  </si>
  <si>
    <t>607,..,2607</t>
  </si>
  <si>
    <t>608,..,2608</t>
  </si>
  <si>
    <t>609,..,2609</t>
  </si>
  <si>
    <t>610,..,2610</t>
  </si>
  <si>
    <t>611,..,2611</t>
  </si>
  <si>
    <t>Ground Floor for Parking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</si>
  <si>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</si>
  <si>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</si>
  <si>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</si>
  <si>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</si>
  <si>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</si>
  <si>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</si>
  <si>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</si>
  <si>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</si>
  <si>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</si>
  <si>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</si>
  <si>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</si>
  <si>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124000/-</t>
  </si>
  <si>
    <t>Entity Formation Charges</t>
  </si>
  <si>
    <t>10000/-</t>
  </si>
  <si>
    <t>Electricity Connection Charges</t>
  </si>
  <si>
    <t>50000/-</t>
  </si>
  <si>
    <t>Legal Documentation Charges</t>
  </si>
  <si>
    <t>15000/-</t>
  </si>
  <si>
    <t>Water Connection</t>
  </si>
  <si>
    <t>20000/-</t>
  </si>
  <si>
    <t>Charges for EMP</t>
  </si>
  <si>
    <t>25000/-</t>
  </si>
  <si>
    <t>Added by Ajinkya &amp; Sanket on 12/02/2021</t>
  </si>
  <si>
    <t>Rate of the Flat by Subvention Scheme Per Sq. Ft. ( on Saleable area)</t>
  </si>
  <si>
    <t>7,50,000/-</t>
  </si>
  <si>
    <t>Rate includes all taxes &amp; Gst done by ajinkya on 17/02/2021</t>
  </si>
  <si>
    <t>Wing C</t>
  </si>
  <si>
    <t xml:space="preserve">1st Basement Floor for Parking </t>
  </si>
  <si>
    <t>Ground Floor for Commercial &amp; Parking</t>
  </si>
  <si>
    <t>Shop</t>
  </si>
  <si>
    <t>1st Podium Floor for Part Commercial &amp; Part Parking</t>
  </si>
  <si>
    <t>2nd Podium Floor for Amenities</t>
  </si>
  <si>
    <t>1st Floor for Residential</t>
  </si>
  <si>
    <t>2nd to 5th, 7th to 10th, 12th to 15th, 17th to 20th, 22nd to 25th, 27th to 30th Floor</t>
  </si>
  <si>
    <t>6th, 11th, 16th, 21st &amp; 26th Floor (Part Refuge Floor)</t>
  </si>
  <si>
    <t>31st Floor (Part Refuge Area)</t>
  </si>
  <si>
    <t xml:space="preserve">32nd &amp; 33rd Floor </t>
  </si>
  <si>
    <t>Approved Plans, CC.</t>
  </si>
  <si>
    <t>Commercial Area Details :</t>
  </si>
  <si>
    <t>No. of Shops</t>
  </si>
  <si>
    <t>No. of Flats</t>
  </si>
  <si>
    <t>We considered Gross carpet area = Net carpet + Balcony.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</si>
  <si>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</si>
  <si>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</si>
  <si>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>We considered  Saleable area of flat as per our calculation.</t>
  </si>
  <si>
    <t>We considered  Saleable area of shop as per our calculation.</t>
  </si>
  <si>
    <t>Wing A  = 2B + G/St + 2 Podium (Pt) + 1st Floor to 33rd Floor</t>
  </si>
  <si>
    <t>Wing B  = 2B + G/St + 2 Podium (Pt) + 1st Floor to 33rd Floor</t>
  </si>
  <si>
    <t>Wing C  = 2B + G/St + 2 Podium (Pt) + 1st Floor to 33rd Floor</t>
  </si>
  <si>
    <t>6th, 11th, 16th, 21st, 26th &amp; 31st Floor (Part Refuge Floor)</t>
  </si>
  <si>
    <t>Location Link</t>
  </si>
  <si>
    <t>https://goo.gl/maps/gV8hLYjigqg9BuRH6</t>
  </si>
  <si>
    <t>Wing D  = 2B + G/St + 2 Podium (Pt) + 1st Floor to 33rd Floor</t>
  </si>
  <si>
    <t>Approved Floor plan No.  
(Wing D)</t>
  </si>
  <si>
    <t>MBMNP/NR/1561/2023-24</t>
  </si>
  <si>
    <t>Shop No.
(Sale Plan)</t>
  </si>
  <si>
    <t>Wing D</t>
  </si>
  <si>
    <t xml:space="preserve">Shop </t>
  </si>
  <si>
    <t>1st Podium Floor for Commercial &amp; Parking</t>
  </si>
  <si>
    <t>2nd Podium Floor for Amenities &amp; Residential</t>
  </si>
  <si>
    <t>P01</t>
  </si>
  <si>
    <t>P02</t>
  </si>
  <si>
    <t>2nd to 5th, 7th to 10th, 12th to 15th, 17th to 20th, 22nd to 25th, 27th to 28th Floor</t>
  </si>
  <si>
    <t>4.5BHK</t>
  </si>
  <si>
    <t xml:space="preserve">2nd Podium Floor for Amenities </t>
  </si>
  <si>
    <t>29th &amp; 30th Floor</t>
  </si>
  <si>
    <t>We have updated revised approved floor plan &amp; C.C for D Wing (on 09/09/2023).</t>
  </si>
  <si>
    <t>Layout Plan</t>
  </si>
  <si>
    <t>Latitude,Longitude</t>
  </si>
  <si>
    <t>19.27275929,72.86903383</t>
  </si>
  <si>
    <t>2nd to 5th, 7th to 10th, 12th to 15th, 17th to 20th, 22nd to 25th, 27th to 30th &amp; 32nd to 33rd Floor</t>
  </si>
  <si>
    <t>31st Floor (Part Refuge Floor)</t>
  </si>
  <si>
    <t>201,..,3001</t>
  </si>
  <si>
    <t>202,..,3002</t>
  </si>
  <si>
    <t>203,..,3003</t>
  </si>
  <si>
    <t>204,..,3004</t>
  </si>
  <si>
    <t>205,..,3005</t>
  </si>
  <si>
    <t>206,..,3006</t>
  </si>
  <si>
    <t>207,..,3007</t>
  </si>
  <si>
    <t>32nd &amp; 33rd Floor</t>
  </si>
  <si>
    <t>Entrance Lobby below</t>
  </si>
  <si>
    <t>2nd Podium Floor For Part Amenities (Enclosed Lounge, Gymnasium, 
Yoga Room &amp; Society Office) &amp; Stilt Parking</t>
  </si>
  <si>
    <t>2nd to 5th, 7th to 10th, 12th to 15th, 17th to 20th, 22nd to 25th, 27th &amp; 28th Floor</t>
  </si>
  <si>
    <t>1st Floor</t>
  </si>
  <si>
    <t>101,..,2801</t>
  </si>
  <si>
    <t>102,..,2802</t>
  </si>
  <si>
    <t>103,..,2803</t>
  </si>
  <si>
    <t>104,..,2804</t>
  </si>
  <si>
    <t>105,..,2805</t>
  </si>
  <si>
    <t>106,..,2806</t>
  </si>
  <si>
    <t>107,..,2807</t>
  </si>
  <si>
    <t>108,..,2808</t>
  </si>
  <si>
    <t>109,..,2809</t>
  </si>
  <si>
    <t>29th, 30th, 32nd &amp; 33th Floor</t>
  </si>
  <si>
    <t>4BHK</t>
  </si>
  <si>
    <t>2901,..,3301</t>
  </si>
  <si>
    <t>2902,..,3302</t>
  </si>
  <si>
    <t>2903,..,3303</t>
  </si>
  <si>
    <t>2904,..,3304</t>
  </si>
  <si>
    <t>2905,..,3305</t>
  </si>
  <si>
    <t>2906,..,3306</t>
  </si>
  <si>
    <t>2907,..,3307</t>
  </si>
  <si>
    <t>2908,..,3308</t>
  </si>
  <si>
    <t>Ground Floor for Meter Room, Entrance Lobby, Drivers Room &amp; Parking</t>
  </si>
  <si>
    <t>2nd Podium Floor For Games Room, Kids Play Room, Music Room &amp; Study Room</t>
  </si>
  <si>
    <t>2nd to 5th, 7th Floor</t>
  </si>
  <si>
    <t>8th to 10th, 12th Floor</t>
  </si>
  <si>
    <t>6th Floor (Part Refuge Floor)</t>
  </si>
  <si>
    <t>11th Floor (Part Refuge Floor)</t>
  </si>
  <si>
    <t>13th to 15th, 17th to 20th, 22nd to 25th, 27th to 30th, 32nd &amp; 33rd Floor</t>
  </si>
  <si>
    <t>1310,..,3310</t>
  </si>
  <si>
    <t>1311,..,3311</t>
  </si>
  <si>
    <t>1301,..,3301</t>
  </si>
  <si>
    <t>1302,..,3302</t>
  </si>
  <si>
    <t>1303,..,3303</t>
  </si>
  <si>
    <t>1304,..,3304</t>
  </si>
  <si>
    <t>1305,..,3305</t>
  </si>
  <si>
    <t>1306,..,3306</t>
  </si>
  <si>
    <t>1307,..,3307</t>
  </si>
  <si>
    <t>1308,..,3308</t>
  </si>
  <si>
    <t>1309,..,3309</t>
  </si>
  <si>
    <t>16th, 21st, 26th &amp; 31st Floor (Part Refuge Floor)</t>
  </si>
  <si>
    <t>We have updated revised approved floor plan &amp; C.C for A, B, C, G &amp; H Wing (on 12/12/2023).</t>
  </si>
  <si>
    <t>Wing G = 2B + G/St + 2 Podium (Pt) + 1st Floor to 33rd Floor</t>
  </si>
  <si>
    <t>Wing H = 2B + G/St + 2 Podium (Pt) + 1st Floor to 33rd Floor</t>
  </si>
  <si>
    <t>Approved Floor plan No. 
(Wing A, B, C, E, F, G &amp; H)</t>
  </si>
  <si>
    <t>Commencement Certificate No. 
(Wing A, B, C, D, E, F, G &amp; H)</t>
  </si>
  <si>
    <t xml:space="preserve">Valid Up to:  
Wing A to F = 2B + G/St + 2 Podium (Pt) + 1st Floor to 33rd Floor
Wing G &amp; H = 2B + G/St + 2 Podium (Pt) + 1st Floor to 33rd Floor
</t>
  </si>
  <si>
    <t>Wing E</t>
  </si>
  <si>
    <t>Parking Area</t>
  </si>
  <si>
    <t>1st Podium Floor for Parking &amp; Residential</t>
  </si>
  <si>
    <t>29th, 30th, 32nd &amp; 33rd Floor</t>
  </si>
  <si>
    <t>Wing F</t>
  </si>
  <si>
    <t>2nd to 5th, 7th to 10th, 12th to 15th, 17th to 20th, 22nd to 25th, 27th to 30th, 32nd &amp; 33rd Floor</t>
  </si>
  <si>
    <t>We have updated revised approved floor plan &amp; C.C for E &amp; F Wing (on 10/01/2024).</t>
  </si>
  <si>
    <t>Wing E = 2B + G/St + 2 Podium (Pt) + 1st Floor to 33rd Floor</t>
  </si>
  <si>
    <t>Wing F = 2B + G/St + 2 Podium (Pt) + 1st Floor to 33rd Floor</t>
  </si>
  <si>
    <t>13000 to 13800</t>
  </si>
  <si>
    <t>Smith</t>
  </si>
  <si>
    <t>Verbal</t>
  </si>
  <si>
    <t>Site Person - Contact Details ( Name &amp; Contact No.)</t>
  </si>
  <si>
    <t>Mr. Siddhart Sharma 9137593076</t>
  </si>
  <si>
    <t>Office No. 1031, Wing J, Akshar Business Park, Plot No. 03 Sector 25, Near APMC Market, Vashi, 
Navi Mumbai, Maharashtra 400703 TEL: 022-46090378/79/80                                                                                             E mail : vsjcapf@gmail.com. Web site : www.vsjadon.com</t>
  </si>
  <si>
    <t>% is incress as discussed with trupti on 29/10/2024.</t>
  </si>
  <si>
    <t>Ground Floor for Entrance Lobby, Meter Room, Driver Room &amp; Parking</t>
  </si>
  <si>
    <t>Wing E = 2B + G/St + 2 Podium (Pt) + 1st Floor to 33rd Floor
Wing F = 2B + G/St + 2 Podium (Pt) + 1st Floor to 33rd Floor</t>
  </si>
  <si>
    <t>Other Plot</t>
  </si>
  <si>
    <t>Sector 2</t>
  </si>
  <si>
    <t>New S No. 62/2 (Old S No. 230/2) / 
30M Wide RP Road</t>
  </si>
  <si>
    <t>30M Wide RP Road / 
New S No. 69 (Old S No.256)</t>
  </si>
  <si>
    <t>Please check for Fire Noc.</t>
  </si>
  <si>
    <t xml:space="preserve">P51700029367 - Sector 2A ­ Wing A
P51700028685 - Sector 2A ­ Wing B
P51700033851 - Sector 2A ­ Wing C
P51700047329 - Sector 2A ­ Wing D
P51700053089 - Sector 2A ­ Wing E
P51700053195 - Sector 2A ­ Wing F
P51700029365 - Sector 2A ­ Wing G  
P51700028686 - Sector 2A ­ Wing H
PR1338082400025 - Secctor 2A - Wing J, K, L
</t>
  </si>
  <si>
    <t>Wing A, B, C, D, E, F, G, H, J, K &amp; L</t>
  </si>
  <si>
    <t>11 Wings</t>
  </si>
  <si>
    <t xml:space="preserve">MBMC/RB/2024/APL/00014 </t>
  </si>
  <si>
    <t xml:space="preserve">Valid Up to:  
Wing J, K &amp; L = 2B + G/St + 2 Podium  + 1st Floor to 36th Floor
</t>
  </si>
  <si>
    <t>Commencement Certificate No. 
(Wing J, K &amp; L)</t>
  </si>
  <si>
    <t>Wing A to F = 2B + G/St + 2 Podium (Pt) + 1st Floor to 33rd Floor
Wing G &amp; H = 2B + G/St + 2 Podium (Pt) + 1st Floor to 33rd Floor
Wing J, K &amp; L = 2B + G/St + 2 Podium + 1st Floor to 36th Floor</t>
  </si>
  <si>
    <t>Approved Floor plan No.  
(Wing J, K &amp; L)</t>
  </si>
  <si>
    <t>Wing J</t>
  </si>
  <si>
    <t>Wing K</t>
  </si>
  <si>
    <t>Wing L</t>
  </si>
  <si>
    <t>Wing J = 2B + G/St + 2 Podium + 1st Floor to 36th Floor</t>
  </si>
  <si>
    <t>Wing K = 2B + G/St + 2 Podium + 1st Floor to 36th Floor</t>
  </si>
  <si>
    <t>Wing L = 2B + G/St + 2 Podium + 1st Floor to 36th Floor</t>
  </si>
  <si>
    <t>Expected Completion (As per RERA)</t>
  </si>
  <si>
    <t xml:space="preserve">Wing A to D, G &amp; H - 30/06/2027
Wing  E &amp; F - 30/06/2028
Wing J, K &amp; L - 31/12/2029
</t>
  </si>
  <si>
    <t>Restaurant</t>
  </si>
  <si>
    <t>-</t>
  </si>
  <si>
    <t>1st Podium Floor for Commercial &amp; Amenity (Children Play Area, Creche, Library etc)</t>
  </si>
  <si>
    <t>Office</t>
  </si>
  <si>
    <t>No number given</t>
  </si>
  <si>
    <t>2nd Podium Floor For Gym, Kids Play Room, Indoor Games Room, Yoga Room &amp; Lounge</t>
  </si>
  <si>
    <t>Ground Floor for  Entrance Lobby, Meter Room, Letter Room &amp; Parking</t>
  </si>
  <si>
    <t>referred from RERA plan</t>
  </si>
  <si>
    <t>6th, 11th, 16th, 21st, 26th Floor (Part Refuge Floor)</t>
  </si>
  <si>
    <t>32nd to 36th Floor</t>
  </si>
  <si>
    <t>2nd to 5th, 7th to 10th, 12th to 15th, 17th to 20th, 22nd to 25th, 27th to 30th, 32nd to 36th Floor</t>
  </si>
  <si>
    <t>Grand Total</t>
  </si>
  <si>
    <t>Name of the Project (as per RERA)</t>
  </si>
  <si>
    <t>Wing J = 2B + G/St + 2 Podium + 1st Floor to 36th Floor
Wing K = 2B + G/St + 2 Podium + 1st Floor to 36th Floor</t>
  </si>
  <si>
    <t xml:space="preserve"> Wing A to H  Referred from Builder Site</t>
  </si>
  <si>
    <t>https://www.kalpataru.com/thane/srishtinamaah?&amp;utm_source=Google&amp;utm_medium=CPC&amp;utm_campaign=SB_Kalpataru_SrishtiNamaah_Google_Leads_Search_Brand_May24&amp;utm_term=srishti%20namaah&amp;gad_source=1&amp;gbraid=0AAAAAqZgYJnnGMtn6EUxnlHcjxEfQiPCL&amp;gclid=CjwKCAjwwqfABhBcEiwAZJjC3vf91qQesDAbJegrRjNn9iK4Q5sxZuwdfVz_CydFUUALG12666bRZhoCOp4QAvD_BwE</t>
  </si>
  <si>
    <t>As per Layout</t>
  </si>
  <si>
    <t>New Survey No. 63, 65, 66, 67, 68, 64/2, 39, 49, 50, 51, 52, 60/1, 62/1, 60/2, 61, 62/2, 4, 79, 71, 74, 76, 77, 78, 69, 70, 75, (Old Survey No. 231, 232, 233, 234, 235, 240/2, 207, 217, 218, 219, 220, 228/1, 230/1, 228/2, 229/, 230/2, 175, 187, 236, 238, 239, 244, 255, 256, 257, 258)</t>
  </si>
  <si>
    <t>M/s. Eversmile Properties Private Limited</t>
  </si>
  <si>
    <t>1.8 Km from Mira Road Railway Station</t>
  </si>
  <si>
    <r>
      <t xml:space="preserve">Shop &amp; Office No.
</t>
    </r>
    <r>
      <rPr>
        <b/>
        <sz val="11"/>
        <color rgb="FF000000"/>
        <rFont val="Times New Roman"/>
        <family val="1"/>
      </rPr>
      <t>(Approved Plan)</t>
    </r>
  </si>
  <si>
    <t>As per approved 1st podium Floor Plan in Wing J, Office number is not mentioned.</t>
  </si>
  <si>
    <t>Meter Room &amp; Parking</t>
  </si>
  <si>
    <t>Entrance Lobby below &amp;  Parking</t>
  </si>
  <si>
    <t>Ground Floor for Entrance Lobby, Meter Room, Letter Room &amp; Parking</t>
  </si>
  <si>
    <t>Remark No.16</t>
  </si>
  <si>
    <t>Residential Area Details :(Flat)</t>
  </si>
  <si>
    <t>Flats - 2627, Shops - 42,  Office - 6</t>
  </si>
  <si>
    <t xml:space="preserve">Wing J </t>
  </si>
  <si>
    <t>Recommended rate of the Office Per Sq. Ft. (on Saleable area)</t>
  </si>
  <si>
    <t>Recommended rate of the Shop Per Sq. Ft. (on Saleable area)</t>
  </si>
  <si>
    <t>Recommended rate of the flat Per Sq. Ft. (on Saleable area)</t>
  </si>
  <si>
    <t xml:space="preserve">Environmental Clearance Certificate (EC) No
Valid Up for: </t>
  </si>
  <si>
    <t>We have referred approved Ground Floor, 2nd Podium Floor &amp; 1st to 30th Floor Plans For Wing K &amp; Layout Plan from RERA site (On 25/04/2025).</t>
  </si>
  <si>
    <t>SIA/MH/MIS/238569/2021</t>
  </si>
  <si>
    <t>We have updated EC on 25/04/2025</t>
  </si>
  <si>
    <t>Building Details Floor Wise</t>
  </si>
  <si>
    <t>We have added Wing J, K &amp; L (On 25/04/2025)</t>
  </si>
  <si>
    <t>Old Survey Nos.233(pt), 235(pt) &amp; 256(pt) New Survey Nos.66(pt), 68(pt) and 69(pt)
Proposed BUA = 323656.18 Sq.Mt
Wing A, B, C &amp; L = 2B + G/St + 2 Podium  + 1st Floor to 33rd Floor
Wing D = 3B + G + 2P + 1st to 33rd Floor
Wing E to H = 3B + G + 2P + 1st to 31st Floor
Wing J = 2B + G + 1st to 4th Floor
Wing K = 2B + G+ 2P + 1st to 3th Floor</t>
  </si>
  <si>
    <t>=</t>
  </si>
  <si>
    <t>As per site visi dtd 27/6/2025</t>
  </si>
  <si>
    <t>J = Excavation in process</t>
  </si>
  <si>
    <t>K = work not yet started</t>
  </si>
  <si>
    <t>Pooja</t>
  </si>
  <si>
    <t>13800 to 14000</t>
  </si>
  <si>
    <t>Recommended Rates of the Property have been revised on 12/02/2021, 24/05/2025 &amp; 28/06/2025.</t>
  </si>
  <si>
    <t>11th slab completed as discussed with site person Siddharth Sharma : 9137593076 on 04/09/2025.</t>
  </si>
  <si>
    <t>Wing A to H, J, K &amp; L = Construction work is in process at the time of Visit.(Internal Visit was not allowed).
Construction details taken from Mr. Siddharth Sharma : 9137593076.</t>
  </si>
  <si>
    <t>Ranjan Sharma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</si>
</sst>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74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5" fillId="0" borderId="0" xfId="4" applyNumberFormat="1"/>
    <xf numFmtId="0" fontId="12" fillId="0" borderId="11" xfId="1" applyFont="1" applyBorder="1" applyProtection="1">
      <protection hidden="1"/>
    </xf>
    <xf numFmtId="0" fontId="12" fillId="0" borderId="0" xfId="1" applyFont="1" applyProtection="1">
      <protection hidden="1"/>
    </xf>
    <xf numFmtId="0" fontId="14" fillId="0" borderId="0" xfId="0" applyFont="1" applyProtection="1">
      <protection hidden="1"/>
    </xf>
    <xf numFmtId="0" fontId="14" fillId="0" borderId="14" xfId="0" applyFont="1" applyBorder="1" applyProtection="1">
      <protection hidden="1"/>
    </xf>
    <xf numFmtId="1" fontId="7" fillId="0" borderId="0" xfId="1" applyNumberFormat="1" applyFont="1"/>
    <xf numFmtId="0" fontId="7" fillId="0" borderId="0" xfId="1" applyFont="1"/>
    <xf numFmtId="0" fontId="7" fillId="0" borderId="0" xfId="0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5" fillId="0" borderId="0" xfId="1" applyFont="1"/>
    <xf numFmtId="0" fontId="12" fillId="0" borderId="0" xfId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22" fillId="0" borderId="15" xfId="0" applyNumberFormat="1" applyFont="1" applyBorder="1"/>
    <xf numFmtId="0" fontId="16" fillId="0" borderId="0" xfId="1" applyFont="1"/>
    <xf numFmtId="0" fontId="6" fillId="0" borderId="0" xfId="2" applyFont="1"/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7" fillId="2" borderId="0" xfId="1" applyFont="1" applyFill="1"/>
    <xf numFmtId="14" fontId="7" fillId="2" borderId="0" xfId="1" applyNumberFormat="1" applyFont="1" applyFill="1"/>
    <xf numFmtId="0" fontId="12" fillId="5" borderId="1" xfId="1" applyFont="1" applyFill="1" applyBorder="1" applyAlignment="1" applyProtection="1">
      <alignment vertical="top"/>
      <protection locked="0"/>
    </xf>
    <xf numFmtId="0" fontId="12" fillId="5" borderId="0" xfId="1" applyFont="1" applyFill="1"/>
    <xf numFmtId="0" fontId="15" fillId="0" borderId="1" xfId="1" applyFont="1" applyBorder="1" applyAlignment="1" applyProtection="1">
      <alignment horizontal="center" wrapText="1"/>
      <protection locked="0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1" fontId="25" fillId="0" borderId="0" xfId="1" applyNumberFormat="1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wrapText="1"/>
      <protection locked="0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0" fontId="23" fillId="0" borderId="0" xfId="9"/>
    <xf numFmtId="0" fontId="25" fillId="0" borderId="0" xfId="1" applyFont="1"/>
    <xf numFmtId="0" fontId="15" fillId="0" borderId="4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15" fillId="0" borderId="5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5" fillId="0" borderId="0" xfId="1" applyFont="1" applyProtection="1">
      <protection hidden="1"/>
    </xf>
    <xf numFmtId="0" fontId="15" fillId="0" borderId="13" xfId="1" applyFont="1" applyBorder="1" applyProtection="1">
      <protection hidden="1"/>
    </xf>
    <xf numFmtId="0" fontId="26" fillId="0" borderId="0" xfId="0" applyFont="1" applyProtection="1">
      <protection hidden="1"/>
    </xf>
    <xf numFmtId="0" fontId="15" fillId="0" borderId="13" xfId="1" applyFont="1" applyBorder="1"/>
    <xf numFmtId="0" fontId="26" fillId="0" borderId="13" xfId="0" applyFont="1" applyBorder="1" applyProtection="1">
      <protection hidden="1"/>
    </xf>
    <xf numFmtId="9" fontId="15" fillId="0" borderId="1" xfId="1" applyNumberFormat="1" applyFont="1" applyBorder="1" applyAlignment="1" applyProtection="1">
      <alignment horizontal="center" vertical="center" wrapText="1"/>
      <protection hidden="1"/>
    </xf>
    <xf numFmtId="1" fontId="18" fillId="0" borderId="13" xfId="0" applyNumberFormat="1" applyFont="1" applyBorder="1"/>
    <xf numFmtId="1" fontId="18" fillId="0" borderId="13" xfId="0" applyNumberFormat="1" applyFont="1" applyBorder="1" applyAlignment="1">
      <alignment horizontal="right"/>
    </xf>
    <xf numFmtId="0" fontId="26" fillId="0" borderId="14" xfId="0" applyFont="1" applyBorder="1" applyProtection="1">
      <protection hidden="1"/>
    </xf>
    <xf numFmtId="1" fontId="18" fillId="0" borderId="15" xfId="0" applyNumberFormat="1" applyFont="1" applyBorder="1"/>
    <xf numFmtId="0" fontId="15" fillId="0" borderId="11" xfId="1" applyFont="1" applyBorder="1" applyProtection="1">
      <protection hidden="1"/>
    </xf>
    <xf numFmtId="0" fontId="15" fillId="0" borderId="12" xfId="1" applyFont="1" applyBorder="1" applyProtection="1">
      <protection hidden="1"/>
    </xf>
    <xf numFmtId="0" fontId="15" fillId="0" borderId="7" xfId="1" applyFont="1" applyBorder="1" applyAlignment="1" applyProtection="1">
      <alignment horizontal="center" wrapText="1"/>
      <protection locked="0"/>
    </xf>
    <xf numFmtId="9" fontId="15" fillId="0" borderId="7" xfId="1" applyNumberFormat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 applyProtection="1">
      <alignment horizontal="center" vertical="center" wrapText="1"/>
      <protection locked="0"/>
    </xf>
    <xf numFmtId="1" fontId="12" fillId="0" borderId="29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10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6" xfId="1" applyFont="1" applyBorder="1" applyAlignment="1" applyProtection="1">
      <alignment horizontal="left" vertical="top" wrapText="1"/>
      <protection locked="0"/>
    </xf>
    <xf numFmtId="0" fontId="25" fillId="0" borderId="17" xfId="1" applyFont="1" applyBorder="1" applyAlignment="1" applyProtection="1">
      <alignment horizontal="left" vertical="top" wrapText="1"/>
      <protection locked="0"/>
    </xf>
    <xf numFmtId="0" fontId="25" fillId="0" borderId="26" xfId="1" applyFont="1" applyBorder="1" applyAlignment="1" applyProtection="1">
      <alignment horizontal="left" vertical="top" wrapText="1"/>
      <protection locked="0"/>
    </xf>
    <xf numFmtId="0" fontId="25" fillId="0" borderId="4" xfId="1" applyFont="1" applyBorder="1" applyAlignment="1" applyProtection="1">
      <alignment horizontal="left" vertical="top"/>
      <protection locked="0"/>
    </xf>
    <xf numFmtId="0" fontId="25" fillId="0" borderId="1" xfId="1" applyFont="1" applyBorder="1" applyAlignment="1" applyProtection="1">
      <alignment horizontal="left" vertical="top"/>
      <protection locked="0"/>
    </xf>
    <xf numFmtId="0" fontId="25" fillId="0" borderId="1" xfId="1" applyFont="1" applyBorder="1" applyAlignment="1" applyProtection="1">
      <alignment horizontal="left" vertical="top" wrapText="1"/>
      <protection locked="0"/>
    </xf>
    <xf numFmtId="0" fontId="25" fillId="0" borderId="5" xfId="1" applyFont="1" applyBorder="1" applyAlignment="1" applyProtection="1">
      <alignment horizontal="left" vertical="top" wrapText="1"/>
      <protection locked="0"/>
    </xf>
    <xf numFmtId="0" fontId="15" fillId="0" borderId="4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5" fillId="0" borderId="1" xfId="1" applyNumberFormat="1" applyFont="1" applyBorder="1" applyAlignment="1" applyProtection="1">
      <alignment horizontal="center" vertical="center" wrapText="1"/>
      <protection hidden="1"/>
    </xf>
    <xf numFmtId="9" fontId="15" fillId="0" borderId="5" xfId="1" applyNumberFormat="1" applyFont="1" applyBorder="1" applyAlignment="1" applyProtection="1">
      <alignment horizontal="center" vertical="center" wrapText="1"/>
      <protection hidden="1"/>
    </xf>
    <xf numFmtId="9" fontId="15" fillId="0" borderId="7" xfId="1" applyNumberFormat="1" applyFont="1" applyBorder="1" applyAlignment="1" applyProtection="1">
      <alignment horizontal="center" vertical="center" wrapText="1"/>
      <protection hidden="1"/>
    </xf>
    <xf numFmtId="9" fontId="15" fillId="0" borderId="8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5" fillId="0" borderId="6" xfId="1" applyFont="1" applyBorder="1" applyAlignment="1" applyProtection="1">
      <alignment horizontal="center" vertical="top" wrapText="1"/>
      <protection locked="0"/>
    </xf>
    <xf numFmtId="0" fontId="15" fillId="0" borderId="7" xfId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25" fillId="0" borderId="25" xfId="1" applyFont="1" applyBorder="1" applyAlignment="1" applyProtection="1">
      <alignment horizontal="left" vertical="top" wrapText="1"/>
      <protection locked="0"/>
    </xf>
    <xf numFmtId="0" fontId="25" fillId="0" borderId="18" xfId="1" applyFont="1" applyBorder="1" applyAlignment="1" applyProtection="1">
      <alignment horizontal="left" vertical="top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67" fontId="12" fillId="5" borderId="1" xfId="1" applyNumberFormat="1" applyFont="1" applyFill="1" applyBorder="1" applyAlignment="1" applyProtection="1">
      <alignment horizontal="left" vertical="top" wrapText="1"/>
      <protection locked="0"/>
    </xf>
    <xf numFmtId="0" fontId="12" fillId="5" borderId="1" xfId="1" applyFont="1" applyFill="1" applyBorder="1" applyAlignment="1" applyProtection="1">
      <alignment horizontal="left" vertical="top" wrapText="1"/>
      <protection locked="0"/>
    </xf>
    <xf numFmtId="0" fontId="12" fillId="5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3" borderId="1" xfId="1" applyFont="1" applyFill="1" applyBorder="1" applyAlignment="1" applyProtection="1">
      <alignment horizontal="left" vertical="top"/>
      <protection locked="0"/>
    </xf>
    <xf numFmtId="0" fontId="15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5" borderId="9" xfId="1" applyFont="1" applyFill="1" applyBorder="1" applyAlignment="1" applyProtection="1">
      <alignment horizontal="left" vertical="top" wrapText="1"/>
      <protection locked="0"/>
    </xf>
    <xf numFmtId="0" fontId="12" fillId="5" borderId="24" xfId="1" applyFont="1" applyFill="1" applyBorder="1" applyAlignment="1" applyProtection="1">
      <alignment horizontal="left" vertical="top" wrapText="1"/>
      <protection locked="0"/>
    </xf>
    <xf numFmtId="0" fontId="12" fillId="5" borderId="10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23" fillId="0" borderId="9" xfId="9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0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25" fillId="0" borderId="28" xfId="1" applyNumberFormat="1" applyFont="1" applyBorder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1" fontId="13" fillId="3" borderId="9" xfId="0" applyNumberFormat="1" applyFont="1" applyFill="1" applyBorder="1" applyAlignment="1" applyProtection="1">
      <alignment vertical="top" wrapText="1"/>
      <protection locked="0"/>
    </xf>
    <xf numFmtId="1" fontId="13" fillId="3" borderId="24" xfId="0" applyNumberFormat="1" applyFont="1" applyFill="1" applyBorder="1" applyAlignment="1" applyProtection="1">
      <alignment vertical="top" wrapText="1"/>
      <protection locked="0"/>
    </xf>
    <xf numFmtId="1" fontId="13" fillId="3" borderId="10" xfId="0" applyNumberFormat="1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1.wdp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1026569</xdr:colOff>
      <xdr:row>904</xdr:row>
      <xdr:rowOff>150368</xdr:rowOff>
    </xdr:from>
    <xdr:to>
      <xdr:col>9</xdr:col>
      <xdr:colOff>584200</xdr:colOff>
      <xdr:row>906</xdr:row>
      <xdr:rowOff>74514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271919" y="186179968"/>
          <a:ext cx="776831" cy="31149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12</xdr:col>
      <xdr:colOff>14372</xdr:colOff>
      <xdr:row>963</xdr:row>
      <xdr:rowOff>47310</xdr:rowOff>
    </xdr:from>
    <xdr:to>
      <xdr:col>16</xdr:col>
      <xdr:colOff>152256</xdr:colOff>
      <xdr:row>967</xdr:row>
      <xdr:rowOff>16592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872747" y="156714510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H Wing </a:t>
          </a:r>
        </a:p>
      </xdr:txBody>
    </xdr:sp>
    <xdr:clientData/>
  </xdr:twoCellAnchor>
  <xdr:twoCellAnchor>
    <xdr:from>
      <xdr:col>8</xdr:col>
      <xdr:colOff>166144</xdr:colOff>
      <xdr:row>975</xdr:row>
      <xdr:rowOff>42419</xdr:rowOff>
    </xdr:from>
    <xdr:to>
      <xdr:col>8</xdr:col>
      <xdr:colOff>1101015</xdr:colOff>
      <xdr:row>975</xdr:row>
      <xdr:rowOff>11701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690769" y="113704244"/>
          <a:ext cx="93487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G Wing </a:t>
          </a:r>
        </a:p>
      </xdr:txBody>
    </xdr:sp>
    <xdr:clientData/>
  </xdr:twoCellAnchor>
  <xdr:twoCellAnchor editAs="oneCell">
    <xdr:from>
      <xdr:col>12</xdr:col>
      <xdr:colOff>761440</xdr:colOff>
      <xdr:row>241</xdr:row>
      <xdr:rowOff>159124</xdr:rowOff>
    </xdr:from>
    <xdr:to>
      <xdr:col>19</xdr:col>
      <xdr:colOff>431427</xdr:colOff>
      <xdr:row>269</xdr:row>
      <xdr:rowOff>97893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04469" y="51840653"/>
          <a:ext cx="2280958" cy="560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727506</xdr:colOff>
      <xdr:row>934</xdr:row>
      <xdr:rowOff>44842</xdr:rowOff>
    </xdr:from>
    <xdr:to>
      <xdr:col>8</xdr:col>
      <xdr:colOff>876300</xdr:colOff>
      <xdr:row>935</xdr:row>
      <xdr:rowOff>174625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7633131" y="155378542"/>
          <a:ext cx="148794" cy="3298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304239</xdr:colOff>
      <xdr:row>47</xdr:row>
      <xdr:rowOff>2241</xdr:rowOff>
    </xdr:from>
    <xdr:to>
      <xdr:col>18</xdr:col>
      <xdr:colOff>274989</xdr:colOff>
      <xdr:row>53</xdr:row>
      <xdr:rowOff>33466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6B4A50-14B9-449A-B5F2-027C22138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8268" y="13964770"/>
          <a:ext cx="5405603" cy="2787872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55</xdr:row>
      <xdr:rowOff>28575</xdr:rowOff>
    </xdr:from>
    <xdr:to>
      <xdr:col>12</xdr:col>
      <xdr:colOff>9957</xdr:colOff>
      <xdr:row>64</xdr:row>
      <xdr:rowOff>193647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132A27-5A4E-4639-9201-59A404BA7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0" y="15459075"/>
          <a:ext cx="3096057" cy="2467319"/>
        </a:xfrm>
        <a:prstGeom prst="rect">
          <a:avLst/>
        </a:prstGeom>
      </xdr:spPr>
    </xdr:pic>
    <xdr:clientData/>
  </xdr:twoCellAnchor>
  <xdr:twoCellAnchor editAs="oneCell">
    <xdr:from>
      <xdr:col>18</xdr:col>
      <xdr:colOff>567339</xdr:colOff>
      <xdr:row>257</xdr:row>
      <xdr:rowOff>128948</xdr:rowOff>
    </xdr:from>
    <xdr:to>
      <xdr:col>22</xdr:col>
      <xdr:colOff>180544</xdr:colOff>
      <xdr:row>271</xdr:row>
      <xdr:rowOff>216756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5128EC-A4D3-4F6F-9E3A-D7CE155A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81803" y="56639412"/>
          <a:ext cx="2062491" cy="2945308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311</xdr:row>
      <xdr:rowOff>133350</xdr:rowOff>
    </xdr:from>
    <xdr:to>
      <xdr:col>18</xdr:col>
      <xdr:colOff>313650</xdr:colOff>
      <xdr:row>326</xdr:row>
      <xdr:rowOff>140773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D4F9AC6-C93B-4268-BCFE-09DC54C15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8525" y="68941950"/>
          <a:ext cx="5400000" cy="30078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950</xdr:row>
      <xdr:rowOff>123825</xdr:rowOff>
    </xdr:from>
    <xdr:to>
      <xdr:col>7</xdr:col>
      <xdr:colOff>637500</xdr:colOff>
      <xdr:row>969</xdr:row>
      <xdr:rowOff>114300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5C8EDFEB-A770-44E6-AFC2-1382A95FC81A}"/>
            </a:ext>
          </a:extLst>
        </xdr:cNvPr>
        <xdr:cNvGrpSpPr/>
      </xdr:nvGrpSpPr>
      <xdr:grpSpPr>
        <a:xfrm>
          <a:off x="285750" y="196173725"/>
          <a:ext cx="6327100" cy="3730625"/>
          <a:chOff x="411500" y="1186642"/>
          <a:chExt cx="5400000" cy="3100335"/>
        </a:xfrm>
      </xdr:grpSpPr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793235FF-E472-44EC-AB9C-09BC97D3D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1500" y="1186642"/>
            <a:ext cx="5400000" cy="310033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3" name="TextBox 2">
            <a:extLst>
              <a:ext uri="{FF2B5EF4-FFF2-40B4-BE49-F238E27FC236}">
                <a16:creationId xmlns:a16="http://schemas.microsoft.com/office/drawing/2014/main" id="{95041FE4-4B60-47F4-8867-D04BBDEF13C4}"/>
              </a:ext>
            </a:extLst>
          </xdr:cNvPr>
          <xdr:cNvSpPr txBox="1"/>
        </xdr:nvSpPr>
        <xdr:spPr>
          <a:xfrm>
            <a:off x="3028950" y="338455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64" name="TextBox 3">
            <a:extLst>
              <a:ext uri="{FF2B5EF4-FFF2-40B4-BE49-F238E27FC236}">
                <a16:creationId xmlns:a16="http://schemas.microsoft.com/office/drawing/2014/main" id="{F5A50FB6-2DBD-4D4E-860E-DA618DBC9D00}"/>
              </a:ext>
            </a:extLst>
          </xdr:cNvPr>
          <xdr:cNvSpPr txBox="1"/>
        </xdr:nvSpPr>
        <xdr:spPr>
          <a:xfrm>
            <a:off x="2508250" y="3576082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  <xdr:sp macro="" textlink="">
        <xdr:nvSpPr>
          <xdr:cNvPr id="86" name="TextBox 4">
            <a:extLst>
              <a:ext uri="{FF2B5EF4-FFF2-40B4-BE49-F238E27FC236}">
                <a16:creationId xmlns:a16="http://schemas.microsoft.com/office/drawing/2014/main" id="{C5445CA1-C140-447F-A126-0471E046E78D}"/>
              </a:ext>
            </a:extLst>
          </xdr:cNvPr>
          <xdr:cNvSpPr txBox="1"/>
        </xdr:nvSpPr>
        <xdr:spPr>
          <a:xfrm>
            <a:off x="1631950" y="3670300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C</a:t>
            </a:r>
            <a:endParaRPr lang="en-IN" b="1"/>
          </a:p>
        </xdr:txBody>
      </xdr:sp>
      <xdr:sp macro="" textlink="">
        <xdr:nvSpPr>
          <xdr:cNvPr id="87" name="TextBox 5">
            <a:extLst>
              <a:ext uri="{FF2B5EF4-FFF2-40B4-BE49-F238E27FC236}">
                <a16:creationId xmlns:a16="http://schemas.microsoft.com/office/drawing/2014/main" id="{79D424A4-070D-408A-98C1-EE309667492B}"/>
              </a:ext>
            </a:extLst>
          </xdr:cNvPr>
          <xdr:cNvSpPr txBox="1"/>
        </xdr:nvSpPr>
        <xdr:spPr>
          <a:xfrm>
            <a:off x="1363834" y="3391416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D</a:t>
            </a:r>
            <a:endParaRPr lang="en-IN" b="1"/>
          </a:p>
        </xdr:txBody>
      </xdr:sp>
      <xdr:sp macro="" textlink="">
        <xdr:nvSpPr>
          <xdr:cNvPr id="88" name="TextBox 6">
            <a:extLst>
              <a:ext uri="{FF2B5EF4-FFF2-40B4-BE49-F238E27FC236}">
                <a16:creationId xmlns:a16="http://schemas.microsoft.com/office/drawing/2014/main" id="{0E10633F-4E21-4BA9-9F4E-F2CC253F704B}"/>
              </a:ext>
            </a:extLst>
          </xdr:cNvPr>
          <xdr:cNvSpPr txBox="1"/>
        </xdr:nvSpPr>
        <xdr:spPr>
          <a:xfrm>
            <a:off x="1201770" y="2528121"/>
            <a:ext cx="29687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E</a:t>
            </a:r>
            <a:endParaRPr lang="en-IN" b="1"/>
          </a:p>
        </xdr:txBody>
      </xdr:sp>
      <xdr:sp macro="" textlink="">
        <xdr:nvSpPr>
          <xdr:cNvPr id="89" name="TextBox 7">
            <a:extLst>
              <a:ext uri="{FF2B5EF4-FFF2-40B4-BE49-F238E27FC236}">
                <a16:creationId xmlns:a16="http://schemas.microsoft.com/office/drawing/2014/main" id="{64DD4C3D-C4C6-49B4-A70B-FD7B064CA7B3}"/>
              </a:ext>
            </a:extLst>
          </xdr:cNvPr>
          <xdr:cNvSpPr txBox="1"/>
        </xdr:nvSpPr>
        <xdr:spPr>
          <a:xfrm>
            <a:off x="1201770" y="2001892"/>
            <a:ext cx="29046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F</a:t>
            </a:r>
            <a:endParaRPr lang="en-IN" b="1"/>
          </a:p>
        </xdr:txBody>
      </xdr:sp>
      <xdr:sp macro="" textlink="">
        <xdr:nvSpPr>
          <xdr:cNvPr id="90" name="TextBox 8">
            <a:extLst>
              <a:ext uri="{FF2B5EF4-FFF2-40B4-BE49-F238E27FC236}">
                <a16:creationId xmlns:a16="http://schemas.microsoft.com/office/drawing/2014/main" id="{86894EBC-CB41-4FA9-B22A-398EEA4578A4}"/>
              </a:ext>
            </a:extLst>
          </xdr:cNvPr>
          <xdr:cNvSpPr txBox="1"/>
        </xdr:nvSpPr>
        <xdr:spPr>
          <a:xfrm>
            <a:off x="2302416" y="1706057"/>
            <a:ext cx="33214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G</a:t>
            </a:r>
            <a:endParaRPr lang="en-IN" b="1"/>
          </a:p>
        </xdr:txBody>
      </xdr:sp>
      <xdr:sp macro="" textlink="">
        <xdr:nvSpPr>
          <xdr:cNvPr id="91" name="TextBox 9">
            <a:extLst>
              <a:ext uri="{FF2B5EF4-FFF2-40B4-BE49-F238E27FC236}">
                <a16:creationId xmlns:a16="http://schemas.microsoft.com/office/drawing/2014/main" id="{5C89A7BE-BD0D-4407-B86E-CF21C90134B9}"/>
              </a:ext>
            </a:extLst>
          </xdr:cNvPr>
          <xdr:cNvSpPr txBox="1"/>
        </xdr:nvSpPr>
        <xdr:spPr>
          <a:xfrm>
            <a:off x="2858231" y="2012739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H</a:t>
            </a:r>
            <a:endParaRPr lang="en-IN" b="1"/>
          </a:p>
        </xdr:txBody>
      </xdr:sp>
      <xdr:sp macro="" textlink="">
        <xdr:nvSpPr>
          <xdr:cNvPr id="92" name="TextBox 10">
            <a:extLst>
              <a:ext uri="{FF2B5EF4-FFF2-40B4-BE49-F238E27FC236}">
                <a16:creationId xmlns:a16="http://schemas.microsoft.com/office/drawing/2014/main" id="{D188393C-14CA-408F-938B-FA4CF0E82089}"/>
              </a:ext>
            </a:extLst>
          </xdr:cNvPr>
          <xdr:cNvSpPr txBox="1"/>
        </xdr:nvSpPr>
        <xdr:spPr>
          <a:xfrm>
            <a:off x="3468944" y="2549791"/>
            <a:ext cx="2616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J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3" name="TextBox 11">
            <a:extLst>
              <a:ext uri="{FF2B5EF4-FFF2-40B4-BE49-F238E27FC236}">
                <a16:creationId xmlns:a16="http://schemas.microsoft.com/office/drawing/2014/main" id="{B4A33559-B8BB-42EC-B975-DC399CFF8D43}"/>
              </a:ext>
            </a:extLst>
          </xdr:cNvPr>
          <xdr:cNvSpPr txBox="1"/>
        </xdr:nvSpPr>
        <xdr:spPr>
          <a:xfrm>
            <a:off x="3929273" y="2365125"/>
            <a:ext cx="31130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K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4" name="TextBox 12">
            <a:extLst>
              <a:ext uri="{FF2B5EF4-FFF2-40B4-BE49-F238E27FC236}">
                <a16:creationId xmlns:a16="http://schemas.microsoft.com/office/drawing/2014/main" id="{3073C7E3-4801-4547-BBA5-6D37E9891AAF}"/>
              </a:ext>
            </a:extLst>
          </xdr:cNvPr>
          <xdr:cNvSpPr txBox="1"/>
        </xdr:nvSpPr>
        <xdr:spPr>
          <a:xfrm>
            <a:off x="4750600" y="2437746"/>
            <a:ext cx="28245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L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97D8DEE4-E288-4A04-9F1C-8A41CE767720}"/>
              </a:ext>
            </a:extLst>
          </xdr:cNvPr>
          <xdr:cNvSpPr/>
        </xdr:nvSpPr>
        <xdr:spPr>
          <a:xfrm rot="20365356">
            <a:off x="2231701" y="3157154"/>
            <a:ext cx="1146496" cy="415363"/>
          </a:xfrm>
          <a:prstGeom prst="rect">
            <a:avLst/>
          </a:prstGeom>
          <a:noFill/>
          <a:ln w="19050">
            <a:solidFill>
              <a:srgbClr val="20242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id="{3429F893-B015-4D46-835F-0BC5693307FE}"/>
              </a:ext>
            </a:extLst>
          </xdr:cNvPr>
          <xdr:cNvSpPr/>
        </xdr:nvSpPr>
        <xdr:spPr>
          <a:xfrm rot="3005721">
            <a:off x="1316103" y="3314540"/>
            <a:ext cx="1082708" cy="415363"/>
          </a:xfrm>
          <a:prstGeom prst="rect">
            <a:avLst/>
          </a:prstGeom>
          <a:noFill/>
          <a:ln w="19050">
            <a:solidFill>
              <a:srgbClr val="20242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887A4250-2987-468E-B5CD-E5B0DAED07BF}"/>
              </a:ext>
            </a:extLst>
          </xdr:cNvPr>
          <xdr:cNvSpPr/>
        </xdr:nvSpPr>
        <xdr:spPr>
          <a:xfrm rot="16415978">
            <a:off x="1085617" y="2277571"/>
            <a:ext cx="1087067" cy="415363"/>
          </a:xfrm>
          <a:prstGeom prst="rect">
            <a:avLst/>
          </a:prstGeom>
          <a:noFill/>
          <a:ln w="19050">
            <a:solidFill>
              <a:srgbClr val="20242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:a16="http://schemas.microsoft.com/office/drawing/2014/main" id="{5BCAB208-2A2E-4F67-A0D3-CA016B3DBACF}"/>
              </a:ext>
            </a:extLst>
          </xdr:cNvPr>
          <xdr:cNvSpPr/>
        </xdr:nvSpPr>
        <xdr:spPr>
          <a:xfrm rot="1759436">
            <a:off x="1927742" y="2144375"/>
            <a:ext cx="1387126" cy="511509"/>
          </a:xfrm>
          <a:prstGeom prst="rect">
            <a:avLst/>
          </a:prstGeom>
          <a:noFill/>
          <a:ln w="19050">
            <a:solidFill>
              <a:srgbClr val="20242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BAFF5C00-283E-4684-B652-75FDC0A25171}"/>
              </a:ext>
            </a:extLst>
          </xdr:cNvPr>
          <xdr:cNvSpPr/>
        </xdr:nvSpPr>
        <xdr:spPr>
          <a:xfrm rot="20365356">
            <a:off x="3338147" y="2733451"/>
            <a:ext cx="1221211" cy="409623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00" name="Rectangle 99">
            <a:extLst>
              <a:ext uri="{FF2B5EF4-FFF2-40B4-BE49-F238E27FC236}">
                <a16:creationId xmlns:a16="http://schemas.microsoft.com/office/drawing/2014/main" id="{D6B491E9-C1DD-4121-8616-2BB77F1B7928}"/>
              </a:ext>
            </a:extLst>
          </xdr:cNvPr>
          <xdr:cNvSpPr/>
        </xdr:nvSpPr>
        <xdr:spPr>
          <a:xfrm rot="1502730">
            <a:off x="4723118" y="2859701"/>
            <a:ext cx="682677" cy="409623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8</xdr:col>
      <xdr:colOff>314325</xdr:colOff>
      <xdr:row>40</xdr:row>
      <xdr:rowOff>0</xdr:rowOff>
    </xdr:from>
    <xdr:to>
      <xdr:col>18</xdr:col>
      <xdr:colOff>296030</xdr:colOff>
      <xdr:row>43</xdr:row>
      <xdr:rowOff>38189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4E315-5784-422F-A98E-D78B66D2F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19950" y="12077700"/>
          <a:ext cx="5410955" cy="638264"/>
        </a:xfrm>
        <a:prstGeom prst="rect">
          <a:avLst/>
        </a:prstGeom>
      </xdr:spPr>
    </xdr:pic>
    <xdr:clientData/>
  </xdr:twoCellAnchor>
  <xdr:twoCellAnchor editAs="oneCell">
    <xdr:from>
      <xdr:col>8</xdr:col>
      <xdr:colOff>728384</xdr:colOff>
      <xdr:row>14</xdr:row>
      <xdr:rowOff>571501</xdr:rowOff>
    </xdr:from>
    <xdr:to>
      <xdr:col>18</xdr:col>
      <xdr:colOff>18590</xdr:colOff>
      <xdr:row>18</xdr:row>
      <xdr:rowOff>331299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42413" y="6230472"/>
          <a:ext cx="4725059" cy="1171739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12</xdr:row>
      <xdr:rowOff>627529</xdr:rowOff>
    </xdr:from>
    <xdr:to>
      <xdr:col>18</xdr:col>
      <xdr:colOff>357102</xdr:colOff>
      <xdr:row>13</xdr:row>
      <xdr:rowOff>999872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95029" y="3440205"/>
          <a:ext cx="5410955" cy="2210108"/>
        </a:xfrm>
        <a:prstGeom prst="rect">
          <a:avLst/>
        </a:prstGeom>
      </xdr:spPr>
    </xdr:pic>
    <xdr:clientData/>
  </xdr:twoCellAnchor>
  <xdr:twoCellAnchor editAs="oneCell">
    <xdr:from>
      <xdr:col>12</xdr:col>
      <xdr:colOff>291353</xdr:colOff>
      <xdr:row>136</xdr:row>
      <xdr:rowOff>44822</xdr:rowOff>
    </xdr:from>
    <xdr:to>
      <xdr:col>25</xdr:col>
      <xdr:colOff>98895</xdr:colOff>
      <xdr:row>157</xdr:row>
      <xdr:rowOff>184605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34382" y="35746763"/>
          <a:ext cx="6049219" cy="4601217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773206</xdr:colOff>
      <xdr:row>1045</xdr:row>
      <xdr:rowOff>37481</xdr:rowOff>
    </xdr:from>
    <xdr:to>
      <xdr:col>6</xdr:col>
      <xdr:colOff>437029</xdr:colOff>
      <xdr:row>1061</xdr:row>
      <xdr:rowOff>133669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35206" y="217106628"/>
          <a:ext cx="3821205" cy="33234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560295</xdr:colOff>
      <xdr:row>1022</xdr:row>
      <xdr:rowOff>56030</xdr:rowOff>
    </xdr:from>
    <xdr:to>
      <xdr:col>7</xdr:col>
      <xdr:colOff>582533</xdr:colOff>
      <xdr:row>1044</xdr:row>
      <xdr:rowOff>93201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560295" y="210412480"/>
          <a:ext cx="5997588" cy="4367871"/>
          <a:chOff x="560295" y="200943883"/>
          <a:chExt cx="5726032" cy="4474700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560295" y="200943883"/>
            <a:ext cx="5726032" cy="44747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938616" y="202579941"/>
            <a:ext cx="1826559" cy="1692089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289784</xdr:colOff>
      <xdr:row>985</xdr:row>
      <xdr:rowOff>47593</xdr:rowOff>
    </xdr:from>
    <xdr:to>
      <xdr:col>7</xdr:col>
      <xdr:colOff>885457</xdr:colOff>
      <xdr:row>1017</xdr:row>
      <xdr:rowOff>39173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289784" y="203120593"/>
          <a:ext cx="6571023" cy="6290780"/>
          <a:chOff x="246641" y="202115986"/>
          <a:chExt cx="6291623" cy="6392380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 rot="5400000">
            <a:off x="196263" y="202166364"/>
            <a:ext cx="6392380" cy="629162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981075" y="203530201"/>
            <a:ext cx="9525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Office 1</a:t>
            </a:r>
          </a:p>
        </xdr:txBody>
      </xdr:sp>
      <xdr:sp macro="" textlink="">
        <xdr:nvSpPr>
          <xdr:cNvPr id="152" name="TextBox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1181100" y="205749525"/>
            <a:ext cx="381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4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3" name="TextBox 152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 txBox="1"/>
        </xdr:nvSpPr>
        <xdr:spPr>
          <a:xfrm>
            <a:off x="1007743" y="202845987"/>
            <a:ext cx="1936041" cy="5479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Not Metioned Office Number</a:t>
            </a:r>
          </a:p>
        </xdr:txBody>
      </xdr:sp>
      <xdr:sp macro="" textlink="">
        <xdr:nvSpPr>
          <xdr:cNvPr id="154" name="TextBox 153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914400" y="204006451"/>
            <a:ext cx="9525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Office 2</a:t>
            </a:r>
          </a:p>
        </xdr:txBody>
      </xdr:sp>
      <xdr:sp macro="" textlink="">
        <xdr:nvSpPr>
          <xdr:cNvPr id="155" name="TextBox 154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/>
        </xdr:nvSpPr>
        <xdr:spPr>
          <a:xfrm>
            <a:off x="952500" y="204501751"/>
            <a:ext cx="9525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Office 3</a:t>
            </a:r>
          </a:p>
        </xdr:txBody>
      </xdr:sp>
      <xdr:sp macro="" textlink="">
        <xdr:nvSpPr>
          <xdr:cNvPr id="156" name="TextBox 155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 txBox="1"/>
        </xdr:nvSpPr>
        <xdr:spPr>
          <a:xfrm>
            <a:off x="742950" y="205149451"/>
            <a:ext cx="9525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Office 4</a:t>
            </a:r>
          </a:p>
        </xdr:txBody>
      </xdr:sp>
      <xdr:sp macro="" textlink="">
        <xdr:nvSpPr>
          <xdr:cNvPr id="157" name="TextBox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819150" y="205720951"/>
            <a:ext cx="9525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Office</a:t>
            </a:r>
            <a:r>
              <a:rPr lang="en-IN" sz="1400" b="1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5</a:t>
            </a:r>
            <a:endParaRPr lang="en-IN" sz="14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10</xdr:col>
      <xdr:colOff>158750</xdr:colOff>
      <xdr:row>216</xdr:row>
      <xdr:rowOff>184150</xdr:rowOff>
    </xdr:from>
    <xdr:to>
      <xdr:col>18</xdr:col>
      <xdr:colOff>88450</xdr:colOff>
      <xdr:row>226</xdr:row>
      <xdr:rowOff>112000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3400" y="50114200"/>
          <a:ext cx="3600000" cy="189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285750</xdr:colOff>
      <xdr:row>904</xdr:row>
      <xdr:rowOff>95250</xdr:rowOff>
    </xdr:from>
    <xdr:to>
      <xdr:col>7</xdr:col>
      <xdr:colOff>986774</xdr:colOff>
      <xdr:row>948</xdr:row>
      <xdr:rowOff>0</xdr:rowOff>
    </xdr:to>
    <xdr:grpSp>
      <xdr:nvGrpSpPr>
        <xdr:cNvPr id="3" name="Group 2"/>
        <xdr:cNvGrpSpPr/>
      </xdr:nvGrpSpPr>
      <xdr:grpSpPr>
        <a:xfrm>
          <a:off x="285750" y="187096400"/>
          <a:ext cx="6676374" cy="8559800"/>
          <a:chOff x="285750" y="186905900"/>
          <a:chExt cx="6676374" cy="8559800"/>
        </a:xfrm>
      </xdr:grpSpPr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-74250" y="1872659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2183937" y="1872659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708380" y="190262692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4442124" y="1872659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2340829" y="193102592"/>
            <a:ext cx="25662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6567" y="189902692"/>
            <a:ext cx="288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pataru.com/thane/srishtinamaah?&amp;utm_source=Google&amp;utm_medium=CPC&amp;utm_campaign=SB_Kalpataru_SrishtiNamaah_Google_Leads_Search_Brand_May24&amp;utm_term=srishti%20namaah&amp;gad_source=1&amp;gbraid=0AAAAAqZgYJnnGMtn6EUxnlHcjxEfQiPCL&amp;gclid=CjwKCAjwwqfABhBcEiwAZJjC3vf91qQesDAbJegrRjNn9iK4Q5sxZuwdfVz_CydFUUALG12666bRZhoCOp4QAvD_BwE" TargetMode="External"/><Relationship Id="rId1" Type="http://schemas.openxmlformats.org/officeDocument/2006/relationships/hyperlink" Target="https://goo.gl/maps/gV8hLYjigqg9BuRH6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21"/>
  <sheetViews>
    <sheetView tabSelected="1" view="pageBreakPreview" topLeftCell="A144" zoomScaleNormal="100" zoomScaleSheetLayoutView="100" workbookViewId="0">
      <selection activeCell="C154" sqref="C154"/>
    </sheetView>
  </sheetViews>
  <sheetFormatPr defaultColWidth="9.1796875" defaultRowHeight="15.5" x14ac:dyDescent="0.35"/>
  <cols>
    <col min="1" max="1" width="11.453125" style="58" customWidth="1"/>
    <col min="2" max="2" width="12" style="58" customWidth="1"/>
    <col min="3" max="3" width="12.7265625" style="58" customWidth="1"/>
    <col min="4" max="4" width="14.1796875" style="58" customWidth="1"/>
    <col min="5" max="7" width="11.7265625" style="58" customWidth="1"/>
    <col min="8" max="8" width="18.1796875" style="58" customWidth="1"/>
    <col min="9" max="9" width="17.453125" style="26" customWidth="1"/>
    <col min="10" max="10" width="11.453125" style="26" customWidth="1"/>
    <col min="11" max="11" width="11.81640625" style="26" bestFit="1" customWidth="1"/>
    <col min="12" max="12" width="10.54296875" style="26" customWidth="1"/>
    <col min="13" max="13" width="11.81640625" style="26" customWidth="1"/>
    <col min="14" max="14" width="12.54296875" style="26" hidden="1" customWidth="1"/>
    <col min="15" max="15" width="9.81640625" style="26" hidden="1" customWidth="1"/>
    <col min="16" max="16" width="10.453125" style="26" hidden="1" customWidth="1"/>
    <col min="17" max="247" width="9.1796875" style="26"/>
    <col min="248" max="248" width="8.7265625" style="26" customWidth="1"/>
    <col min="249" max="249" width="9.81640625" style="26" customWidth="1"/>
    <col min="250" max="250" width="14.453125" style="26" customWidth="1"/>
    <col min="251" max="251" width="7.26953125" style="26" customWidth="1"/>
    <col min="252" max="252" width="5.54296875" style="26" customWidth="1"/>
    <col min="253" max="253" width="9" style="26" customWidth="1"/>
    <col min="254" max="255" width="9.81640625" style="26" customWidth="1"/>
    <col min="256" max="256" width="11.1796875" style="26" customWidth="1"/>
    <col min="257" max="257" width="2.81640625" style="26" customWidth="1"/>
    <col min="258" max="258" width="3.54296875" style="26" customWidth="1"/>
    <col min="259" max="503" width="9.1796875" style="26"/>
    <col min="504" max="504" width="8.7265625" style="26" customWidth="1"/>
    <col min="505" max="505" width="9.81640625" style="26" customWidth="1"/>
    <col min="506" max="506" width="14.453125" style="26" customWidth="1"/>
    <col min="507" max="507" width="7.26953125" style="26" customWidth="1"/>
    <col min="508" max="508" width="5.54296875" style="26" customWidth="1"/>
    <col min="509" max="509" width="9" style="26" customWidth="1"/>
    <col min="510" max="511" width="9.81640625" style="26" customWidth="1"/>
    <col min="512" max="512" width="11.1796875" style="26" customWidth="1"/>
    <col min="513" max="513" width="2.81640625" style="26" customWidth="1"/>
    <col min="514" max="514" width="3.54296875" style="26" customWidth="1"/>
    <col min="515" max="759" width="9.1796875" style="26"/>
    <col min="760" max="760" width="8.7265625" style="26" customWidth="1"/>
    <col min="761" max="761" width="9.81640625" style="26" customWidth="1"/>
    <col min="762" max="762" width="14.453125" style="26" customWidth="1"/>
    <col min="763" max="763" width="7.26953125" style="26" customWidth="1"/>
    <col min="764" max="764" width="5.54296875" style="26" customWidth="1"/>
    <col min="765" max="765" width="9" style="26" customWidth="1"/>
    <col min="766" max="767" width="9.81640625" style="26" customWidth="1"/>
    <col min="768" max="768" width="11.1796875" style="26" customWidth="1"/>
    <col min="769" max="769" width="2.81640625" style="26" customWidth="1"/>
    <col min="770" max="770" width="3.54296875" style="26" customWidth="1"/>
    <col min="771" max="1015" width="9.1796875" style="26"/>
    <col min="1016" max="1016" width="8.7265625" style="26" customWidth="1"/>
    <col min="1017" max="1017" width="9.81640625" style="26" customWidth="1"/>
    <col min="1018" max="1018" width="14.453125" style="26" customWidth="1"/>
    <col min="1019" max="1019" width="7.26953125" style="26" customWidth="1"/>
    <col min="1020" max="1020" width="5.54296875" style="26" customWidth="1"/>
    <col min="1021" max="1021" width="9" style="26" customWidth="1"/>
    <col min="1022" max="1023" width="9.81640625" style="26" customWidth="1"/>
    <col min="1024" max="1024" width="11.1796875" style="26" customWidth="1"/>
    <col min="1025" max="1025" width="2.81640625" style="26" customWidth="1"/>
    <col min="1026" max="1026" width="3.54296875" style="26" customWidth="1"/>
    <col min="1027" max="1271" width="9.1796875" style="26"/>
    <col min="1272" max="1272" width="8.7265625" style="26" customWidth="1"/>
    <col min="1273" max="1273" width="9.81640625" style="26" customWidth="1"/>
    <col min="1274" max="1274" width="14.453125" style="26" customWidth="1"/>
    <col min="1275" max="1275" width="7.26953125" style="26" customWidth="1"/>
    <col min="1276" max="1276" width="5.54296875" style="26" customWidth="1"/>
    <col min="1277" max="1277" width="9" style="26" customWidth="1"/>
    <col min="1278" max="1279" width="9.81640625" style="26" customWidth="1"/>
    <col min="1280" max="1280" width="11.1796875" style="26" customWidth="1"/>
    <col min="1281" max="1281" width="2.81640625" style="26" customWidth="1"/>
    <col min="1282" max="1282" width="3.54296875" style="26" customWidth="1"/>
    <col min="1283" max="1527" width="9.1796875" style="26"/>
    <col min="1528" max="1528" width="8.7265625" style="26" customWidth="1"/>
    <col min="1529" max="1529" width="9.81640625" style="26" customWidth="1"/>
    <col min="1530" max="1530" width="14.453125" style="26" customWidth="1"/>
    <col min="1531" max="1531" width="7.26953125" style="26" customWidth="1"/>
    <col min="1532" max="1532" width="5.54296875" style="26" customWidth="1"/>
    <col min="1533" max="1533" width="9" style="26" customWidth="1"/>
    <col min="1534" max="1535" width="9.81640625" style="26" customWidth="1"/>
    <col min="1536" max="1536" width="11.1796875" style="26" customWidth="1"/>
    <col min="1537" max="1537" width="2.81640625" style="26" customWidth="1"/>
    <col min="1538" max="1538" width="3.54296875" style="26" customWidth="1"/>
    <col min="1539" max="1783" width="9.1796875" style="26"/>
    <col min="1784" max="1784" width="8.7265625" style="26" customWidth="1"/>
    <col min="1785" max="1785" width="9.81640625" style="26" customWidth="1"/>
    <col min="1786" max="1786" width="14.453125" style="26" customWidth="1"/>
    <col min="1787" max="1787" width="7.26953125" style="26" customWidth="1"/>
    <col min="1788" max="1788" width="5.54296875" style="26" customWidth="1"/>
    <col min="1789" max="1789" width="9" style="26" customWidth="1"/>
    <col min="1790" max="1791" width="9.81640625" style="26" customWidth="1"/>
    <col min="1792" max="1792" width="11.1796875" style="26" customWidth="1"/>
    <col min="1793" max="1793" width="2.81640625" style="26" customWidth="1"/>
    <col min="1794" max="1794" width="3.54296875" style="26" customWidth="1"/>
    <col min="1795" max="2039" width="9.1796875" style="26"/>
    <col min="2040" max="2040" width="8.7265625" style="26" customWidth="1"/>
    <col min="2041" max="2041" width="9.81640625" style="26" customWidth="1"/>
    <col min="2042" max="2042" width="14.453125" style="26" customWidth="1"/>
    <col min="2043" max="2043" width="7.26953125" style="26" customWidth="1"/>
    <col min="2044" max="2044" width="5.54296875" style="26" customWidth="1"/>
    <col min="2045" max="2045" width="9" style="26" customWidth="1"/>
    <col min="2046" max="2047" width="9.81640625" style="26" customWidth="1"/>
    <col min="2048" max="2048" width="11.1796875" style="26" customWidth="1"/>
    <col min="2049" max="2049" width="2.81640625" style="26" customWidth="1"/>
    <col min="2050" max="2050" width="3.54296875" style="26" customWidth="1"/>
    <col min="2051" max="2295" width="9.1796875" style="26"/>
    <col min="2296" max="2296" width="8.7265625" style="26" customWidth="1"/>
    <col min="2297" max="2297" width="9.81640625" style="26" customWidth="1"/>
    <col min="2298" max="2298" width="14.453125" style="26" customWidth="1"/>
    <col min="2299" max="2299" width="7.26953125" style="26" customWidth="1"/>
    <col min="2300" max="2300" width="5.54296875" style="26" customWidth="1"/>
    <col min="2301" max="2301" width="9" style="26" customWidth="1"/>
    <col min="2302" max="2303" width="9.81640625" style="26" customWidth="1"/>
    <col min="2304" max="2304" width="11.1796875" style="26" customWidth="1"/>
    <col min="2305" max="2305" width="2.81640625" style="26" customWidth="1"/>
    <col min="2306" max="2306" width="3.54296875" style="26" customWidth="1"/>
    <col min="2307" max="2551" width="9.1796875" style="26"/>
    <col min="2552" max="2552" width="8.7265625" style="26" customWidth="1"/>
    <col min="2553" max="2553" width="9.81640625" style="26" customWidth="1"/>
    <col min="2554" max="2554" width="14.453125" style="26" customWidth="1"/>
    <col min="2555" max="2555" width="7.26953125" style="26" customWidth="1"/>
    <col min="2556" max="2556" width="5.54296875" style="26" customWidth="1"/>
    <col min="2557" max="2557" width="9" style="26" customWidth="1"/>
    <col min="2558" max="2559" width="9.81640625" style="26" customWidth="1"/>
    <col min="2560" max="2560" width="11.1796875" style="26" customWidth="1"/>
    <col min="2561" max="2561" width="2.81640625" style="26" customWidth="1"/>
    <col min="2562" max="2562" width="3.54296875" style="26" customWidth="1"/>
    <col min="2563" max="2807" width="9.1796875" style="26"/>
    <col min="2808" max="2808" width="8.7265625" style="26" customWidth="1"/>
    <col min="2809" max="2809" width="9.81640625" style="26" customWidth="1"/>
    <col min="2810" max="2810" width="14.453125" style="26" customWidth="1"/>
    <col min="2811" max="2811" width="7.26953125" style="26" customWidth="1"/>
    <col min="2812" max="2812" width="5.54296875" style="26" customWidth="1"/>
    <col min="2813" max="2813" width="9" style="26" customWidth="1"/>
    <col min="2814" max="2815" width="9.81640625" style="26" customWidth="1"/>
    <col min="2816" max="2816" width="11.1796875" style="26" customWidth="1"/>
    <col min="2817" max="2817" width="2.81640625" style="26" customWidth="1"/>
    <col min="2818" max="2818" width="3.54296875" style="26" customWidth="1"/>
    <col min="2819" max="3063" width="9.1796875" style="26"/>
    <col min="3064" max="3064" width="8.7265625" style="26" customWidth="1"/>
    <col min="3065" max="3065" width="9.81640625" style="26" customWidth="1"/>
    <col min="3066" max="3066" width="14.453125" style="26" customWidth="1"/>
    <col min="3067" max="3067" width="7.26953125" style="26" customWidth="1"/>
    <col min="3068" max="3068" width="5.54296875" style="26" customWidth="1"/>
    <col min="3069" max="3069" width="9" style="26" customWidth="1"/>
    <col min="3070" max="3071" width="9.81640625" style="26" customWidth="1"/>
    <col min="3072" max="3072" width="11.1796875" style="26" customWidth="1"/>
    <col min="3073" max="3073" width="2.81640625" style="26" customWidth="1"/>
    <col min="3074" max="3074" width="3.54296875" style="26" customWidth="1"/>
    <col min="3075" max="3319" width="9.1796875" style="26"/>
    <col min="3320" max="3320" width="8.7265625" style="26" customWidth="1"/>
    <col min="3321" max="3321" width="9.81640625" style="26" customWidth="1"/>
    <col min="3322" max="3322" width="14.453125" style="26" customWidth="1"/>
    <col min="3323" max="3323" width="7.26953125" style="26" customWidth="1"/>
    <col min="3324" max="3324" width="5.54296875" style="26" customWidth="1"/>
    <col min="3325" max="3325" width="9" style="26" customWidth="1"/>
    <col min="3326" max="3327" width="9.81640625" style="26" customWidth="1"/>
    <col min="3328" max="3328" width="11.1796875" style="26" customWidth="1"/>
    <col min="3329" max="3329" width="2.81640625" style="26" customWidth="1"/>
    <col min="3330" max="3330" width="3.54296875" style="26" customWidth="1"/>
    <col min="3331" max="3575" width="9.1796875" style="26"/>
    <col min="3576" max="3576" width="8.7265625" style="26" customWidth="1"/>
    <col min="3577" max="3577" width="9.81640625" style="26" customWidth="1"/>
    <col min="3578" max="3578" width="14.453125" style="26" customWidth="1"/>
    <col min="3579" max="3579" width="7.26953125" style="26" customWidth="1"/>
    <col min="3580" max="3580" width="5.54296875" style="26" customWidth="1"/>
    <col min="3581" max="3581" width="9" style="26" customWidth="1"/>
    <col min="3582" max="3583" width="9.81640625" style="26" customWidth="1"/>
    <col min="3584" max="3584" width="11.1796875" style="26" customWidth="1"/>
    <col min="3585" max="3585" width="2.81640625" style="26" customWidth="1"/>
    <col min="3586" max="3586" width="3.54296875" style="26" customWidth="1"/>
    <col min="3587" max="3831" width="9.1796875" style="26"/>
    <col min="3832" max="3832" width="8.7265625" style="26" customWidth="1"/>
    <col min="3833" max="3833" width="9.81640625" style="26" customWidth="1"/>
    <col min="3834" max="3834" width="14.453125" style="26" customWidth="1"/>
    <col min="3835" max="3835" width="7.26953125" style="26" customWidth="1"/>
    <col min="3836" max="3836" width="5.54296875" style="26" customWidth="1"/>
    <col min="3837" max="3837" width="9" style="26" customWidth="1"/>
    <col min="3838" max="3839" width="9.81640625" style="26" customWidth="1"/>
    <col min="3840" max="3840" width="11.1796875" style="26" customWidth="1"/>
    <col min="3841" max="3841" width="2.81640625" style="26" customWidth="1"/>
    <col min="3842" max="3842" width="3.54296875" style="26" customWidth="1"/>
    <col min="3843" max="4087" width="9.1796875" style="26"/>
    <col min="4088" max="4088" width="8.7265625" style="26" customWidth="1"/>
    <col min="4089" max="4089" width="9.81640625" style="26" customWidth="1"/>
    <col min="4090" max="4090" width="14.453125" style="26" customWidth="1"/>
    <col min="4091" max="4091" width="7.26953125" style="26" customWidth="1"/>
    <col min="4092" max="4092" width="5.54296875" style="26" customWidth="1"/>
    <col min="4093" max="4093" width="9" style="26" customWidth="1"/>
    <col min="4094" max="4095" width="9.81640625" style="26" customWidth="1"/>
    <col min="4096" max="4096" width="11.1796875" style="26" customWidth="1"/>
    <col min="4097" max="4097" width="2.81640625" style="26" customWidth="1"/>
    <col min="4098" max="4098" width="3.54296875" style="26" customWidth="1"/>
    <col min="4099" max="4343" width="9.1796875" style="26"/>
    <col min="4344" max="4344" width="8.7265625" style="26" customWidth="1"/>
    <col min="4345" max="4345" width="9.81640625" style="26" customWidth="1"/>
    <col min="4346" max="4346" width="14.453125" style="26" customWidth="1"/>
    <col min="4347" max="4347" width="7.26953125" style="26" customWidth="1"/>
    <col min="4348" max="4348" width="5.54296875" style="26" customWidth="1"/>
    <col min="4349" max="4349" width="9" style="26" customWidth="1"/>
    <col min="4350" max="4351" width="9.81640625" style="26" customWidth="1"/>
    <col min="4352" max="4352" width="11.1796875" style="26" customWidth="1"/>
    <col min="4353" max="4353" width="2.81640625" style="26" customWidth="1"/>
    <col min="4354" max="4354" width="3.54296875" style="26" customWidth="1"/>
    <col min="4355" max="4599" width="9.1796875" style="26"/>
    <col min="4600" max="4600" width="8.7265625" style="26" customWidth="1"/>
    <col min="4601" max="4601" width="9.81640625" style="26" customWidth="1"/>
    <col min="4602" max="4602" width="14.453125" style="26" customWidth="1"/>
    <col min="4603" max="4603" width="7.26953125" style="26" customWidth="1"/>
    <col min="4604" max="4604" width="5.54296875" style="26" customWidth="1"/>
    <col min="4605" max="4605" width="9" style="26" customWidth="1"/>
    <col min="4606" max="4607" width="9.81640625" style="26" customWidth="1"/>
    <col min="4608" max="4608" width="11.1796875" style="26" customWidth="1"/>
    <col min="4609" max="4609" width="2.81640625" style="26" customWidth="1"/>
    <col min="4610" max="4610" width="3.54296875" style="26" customWidth="1"/>
    <col min="4611" max="4855" width="9.1796875" style="26"/>
    <col min="4856" max="4856" width="8.7265625" style="26" customWidth="1"/>
    <col min="4857" max="4857" width="9.81640625" style="26" customWidth="1"/>
    <col min="4858" max="4858" width="14.453125" style="26" customWidth="1"/>
    <col min="4859" max="4859" width="7.26953125" style="26" customWidth="1"/>
    <col min="4860" max="4860" width="5.54296875" style="26" customWidth="1"/>
    <col min="4861" max="4861" width="9" style="26" customWidth="1"/>
    <col min="4862" max="4863" width="9.81640625" style="26" customWidth="1"/>
    <col min="4864" max="4864" width="11.1796875" style="26" customWidth="1"/>
    <col min="4865" max="4865" width="2.81640625" style="26" customWidth="1"/>
    <col min="4866" max="4866" width="3.54296875" style="26" customWidth="1"/>
    <col min="4867" max="5111" width="9.1796875" style="26"/>
    <col min="5112" max="5112" width="8.7265625" style="26" customWidth="1"/>
    <col min="5113" max="5113" width="9.81640625" style="26" customWidth="1"/>
    <col min="5114" max="5114" width="14.453125" style="26" customWidth="1"/>
    <col min="5115" max="5115" width="7.26953125" style="26" customWidth="1"/>
    <col min="5116" max="5116" width="5.54296875" style="26" customWidth="1"/>
    <col min="5117" max="5117" width="9" style="26" customWidth="1"/>
    <col min="5118" max="5119" width="9.81640625" style="26" customWidth="1"/>
    <col min="5120" max="5120" width="11.1796875" style="26" customWidth="1"/>
    <col min="5121" max="5121" width="2.81640625" style="26" customWidth="1"/>
    <col min="5122" max="5122" width="3.54296875" style="26" customWidth="1"/>
    <col min="5123" max="5367" width="9.1796875" style="26"/>
    <col min="5368" max="5368" width="8.7265625" style="26" customWidth="1"/>
    <col min="5369" max="5369" width="9.81640625" style="26" customWidth="1"/>
    <col min="5370" max="5370" width="14.453125" style="26" customWidth="1"/>
    <col min="5371" max="5371" width="7.26953125" style="26" customWidth="1"/>
    <col min="5372" max="5372" width="5.54296875" style="26" customWidth="1"/>
    <col min="5373" max="5373" width="9" style="26" customWidth="1"/>
    <col min="5374" max="5375" width="9.81640625" style="26" customWidth="1"/>
    <col min="5376" max="5376" width="11.1796875" style="26" customWidth="1"/>
    <col min="5377" max="5377" width="2.81640625" style="26" customWidth="1"/>
    <col min="5378" max="5378" width="3.54296875" style="26" customWidth="1"/>
    <col min="5379" max="5623" width="9.1796875" style="26"/>
    <col min="5624" max="5624" width="8.7265625" style="26" customWidth="1"/>
    <col min="5625" max="5625" width="9.81640625" style="26" customWidth="1"/>
    <col min="5626" max="5626" width="14.453125" style="26" customWidth="1"/>
    <col min="5627" max="5627" width="7.26953125" style="26" customWidth="1"/>
    <col min="5628" max="5628" width="5.54296875" style="26" customWidth="1"/>
    <col min="5629" max="5629" width="9" style="26" customWidth="1"/>
    <col min="5630" max="5631" width="9.81640625" style="26" customWidth="1"/>
    <col min="5632" max="5632" width="11.1796875" style="26" customWidth="1"/>
    <col min="5633" max="5633" width="2.81640625" style="26" customWidth="1"/>
    <col min="5634" max="5634" width="3.54296875" style="26" customWidth="1"/>
    <col min="5635" max="5879" width="9.1796875" style="26"/>
    <col min="5880" max="5880" width="8.7265625" style="26" customWidth="1"/>
    <col min="5881" max="5881" width="9.81640625" style="26" customWidth="1"/>
    <col min="5882" max="5882" width="14.453125" style="26" customWidth="1"/>
    <col min="5883" max="5883" width="7.26953125" style="26" customWidth="1"/>
    <col min="5884" max="5884" width="5.54296875" style="26" customWidth="1"/>
    <col min="5885" max="5885" width="9" style="26" customWidth="1"/>
    <col min="5886" max="5887" width="9.81640625" style="26" customWidth="1"/>
    <col min="5888" max="5888" width="11.1796875" style="26" customWidth="1"/>
    <col min="5889" max="5889" width="2.81640625" style="26" customWidth="1"/>
    <col min="5890" max="5890" width="3.54296875" style="26" customWidth="1"/>
    <col min="5891" max="6135" width="9.1796875" style="26"/>
    <col min="6136" max="6136" width="8.7265625" style="26" customWidth="1"/>
    <col min="6137" max="6137" width="9.81640625" style="26" customWidth="1"/>
    <col min="6138" max="6138" width="14.453125" style="26" customWidth="1"/>
    <col min="6139" max="6139" width="7.26953125" style="26" customWidth="1"/>
    <col min="6140" max="6140" width="5.54296875" style="26" customWidth="1"/>
    <col min="6141" max="6141" width="9" style="26" customWidth="1"/>
    <col min="6142" max="6143" width="9.81640625" style="26" customWidth="1"/>
    <col min="6144" max="6144" width="11.1796875" style="26" customWidth="1"/>
    <col min="6145" max="6145" width="2.81640625" style="26" customWidth="1"/>
    <col min="6146" max="6146" width="3.54296875" style="26" customWidth="1"/>
    <col min="6147" max="6391" width="9.1796875" style="26"/>
    <col min="6392" max="6392" width="8.7265625" style="26" customWidth="1"/>
    <col min="6393" max="6393" width="9.81640625" style="26" customWidth="1"/>
    <col min="6394" max="6394" width="14.453125" style="26" customWidth="1"/>
    <col min="6395" max="6395" width="7.26953125" style="26" customWidth="1"/>
    <col min="6396" max="6396" width="5.54296875" style="26" customWidth="1"/>
    <col min="6397" max="6397" width="9" style="26" customWidth="1"/>
    <col min="6398" max="6399" width="9.81640625" style="26" customWidth="1"/>
    <col min="6400" max="6400" width="11.1796875" style="26" customWidth="1"/>
    <col min="6401" max="6401" width="2.81640625" style="26" customWidth="1"/>
    <col min="6402" max="6402" width="3.54296875" style="26" customWidth="1"/>
    <col min="6403" max="6647" width="9.1796875" style="26"/>
    <col min="6648" max="6648" width="8.7265625" style="26" customWidth="1"/>
    <col min="6649" max="6649" width="9.81640625" style="26" customWidth="1"/>
    <col min="6650" max="6650" width="14.453125" style="26" customWidth="1"/>
    <col min="6651" max="6651" width="7.26953125" style="26" customWidth="1"/>
    <col min="6652" max="6652" width="5.54296875" style="26" customWidth="1"/>
    <col min="6653" max="6653" width="9" style="26" customWidth="1"/>
    <col min="6654" max="6655" width="9.81640625" style="26" customWidth="1"/>
    <col min="6656" max="6656" width="11.1796875" style="26" customWidth="1"/>
    <col min="6657" max="6657" width="2.81640625" style="26" customWidth="1"/>
    <col min="6658" max="6658" width="3.54296875" style="26" customWidth="1"/>
    <col min="6659" max="6903" width="9.1796875" style="26"/>
    <col min="6904" max="6904" width="8.7265625" style="26" customWidth="1"/>
    <col min="6905" max="6905" width="9.81640625" style="26" customWidth="1"/>
    <col min="6906" max="6906" width="14.453125" style="26" customWidth="1"/>
    <col min="6907" max="6907" width="7.26953125" style="26" customWidth="1"/>
    <col min="6908" max="6908" width="5.54296875" style="26" customWidth="1"/>
    <col min="6909" max="6909" width="9" style="26" customWidth="1"/>
    <col min="6910" max="6911" width="9.81640625" style="26" customWidth="1"/>
    <col min="6912" max="6912" width="11.1796875" style="26" customWidth="1"/>
    <col min="6913" max="6913" width="2.81640625" style="26" customWidth="1"/>
    <col min="6914" max="6914" width="3.54296875" style="26" customWidth="1"/>
    <col min="6915" max="7159" width="9.1796875" style="26"/>
    <col min="7160" max="7160" width="8.7265625" style="26" customWidth="1"/>
    <col min="7161" max="7161" width="9.81640625" style="26" customWidth="1"/>
    <col min="7162" max="7162" width="14.453125" style="26" customWidth="1"/>
    <col min="7163" max="7163" width="7.26953125" style="26" customWidth="1"/>
    <col min="7164" max="7164" width="5.54296875" style="26" customWidth="1"/>
    <col min="7165" max="7165" width="9" style="26" customWidth="1"/>
    <col min="7166" max="7167" width="9.81640625" style="26" customWidth="1"/>
    <col min="7168" max="7168" width="11.1796875" style="26" customWidth="1"/>
    <col min="7169" max="7169" width="2.81640625" style="26" customWidth="1"/>
    <col min="7170" max="7170" width="3.54296875" style="26" customWidth="1"/>
    <col min="7171" max="7415" width="9.1796875" style="26"/>
    <col min="7416" max="7416" width="8.7265625" style="26" customWidth="1"/>
    <col min="7417" max="7417" width="9.81640625" style="26" customWidth="1"/>
    <col min="7418" max="7418" width="14.453125" style="26" customWidth="1"/>
    <col min="7419" max="7419" width="7.26953125" style="26" customWidth="1"/>
    <col min="7420" max="7420" width="5.54296875" style="26" customWidth="1"/>
    <col min="7421" max="7421" width="9" style="26" customWidth="1"/>
    <col min="7422" max="7423" width="9.81640625" style="26" customWidth="1"/>
    <col min="7424" max="7424" width="11.1796875" style="26" customWidth="1"/>
    <col min="7425" max="7425" width="2.81640625" style="26" customWidth="1"/>
    <col min="7426" max="7426" width="3.54296875" style="26" customWidth="1"/>
    <col min="7427" max="7671" width="9.1796875" style="26"/>
    <col min="7672" max="7672" width="8.7265625" style="26" customWidth="1"/>
    <col min="7673" max="7673" width="9.81640625" style="26" customWidth="1"/>
    <col min="7674" max="7674" width="14.453125" style="26" customWidth="1"/>
    <col min="7675" max="7675" width="7.26953125" style="26" customWidth="1"/>
    <col min="7676" max="7676" width="5.54296875" style="26" customWidth="1"/>
    <col min="7677" max="7677" width="9" style="26" customWidth="1"/>
    <col min="7678" max="7679" width="9.81640625" style="26" customWidth="1"/>
    <col min="7680" max="7680" width="11.1796875" style="26" customWidth="1"/>
    <col min="7681" max="7681" width="2.81640625" style="26" customWidth="1"/>
    <col min="7682" max="7682" width="3.54296875" style="26" customWidth="1"/>
    <col min="7683" max="7927" width="9.1796875" style="26"/>
    <col min="7928" max="7928" width="8.7265625" style="26" customWidth="1"/>
    <col min="7929" max="7929" width="9.81640625" style="26" customWidth="1"/>
    <col min="7930" max="7930" width="14.453125" style="26" customWidth="1"/>
    <col min="7931" max="7931" width="7.26953125" style="26" customWidth="1"/>
    <col min="7932" max="7932" width="5.54296875" style="26" customWidth="1"/>
    <col min="7933" max="7933" width="9" style="26" customWidth="1"/>
    <col min="7934" max="7935" width="9.81640625" style="26" customWidth="1"/>
    <col min="7936" max="7936" width="11.1796875" style="26" customWidth="1"/>
    <col min="7937" max="7937" width="2.81640625" style="26" customWidth="1"/>
    <col min="7938" max="7938" width="3.54296875" style="26" customWidth="1"/>
    <col min="7939" max="8183" width="9.1796875" style="26"/>
    <col min="8184" max="8184" width="8.7265625" style="26" customWidth="1"/>
    <col min="8185" max="8185" width="9.81640625" style="26" customWidth="1"/>
    <col min="8186" max="8186" width="14.453125" style="26" customWidth="1"/>
    <col min="8187" max="8187" width="7.26953125" style="26" customWidth="1"/>
    <col min="8188" max="8188" width="5.54296875" style="26" customWidth="1"/>
    <col min="8189" max="8189" width="9" style="26" customWidth="1"/>
    <col min="8190" max="8191" width="9.81640625" style="26" customWidth="1"/>
    <col min="8192" max="8192" width="11.1796875" style="26" customWidth="1"/>
    <col min="8193" max="8193" width="2.81640625" style="26" customWidth="1"/>
    <col min="8194" max="8194" width="3.54296875" style="26" customWidth="1"/>
    <col min="8195" max="8439" width="9.1796875" style="26"/>
    <col min="8440" max="8440" width="8.7265625" style="26" customWidth="1"/>
    <col min="8441" max="8441" width="9.81640625" style="26" customWidth="1"/>
    <col min="8442" max="8442" width="14.453125" style="26" customWidth="1"/>
    <col min="8443" max="8443" width="7.26953125" style="26" customWidth="1"/>
    <col min="8444" max="8444" width="5.54296875" style="26" customWidth="1"/>
    <col min="8445" max="8445" width="9" style="26" customWidth="1"/>
    <col min="8446" max="8447" width="9.81640625" style="26" customWidth="1"/>
    <col min="8448" max="8448" width="11.1796875" style="26" customWidth="1"/>
    <col min="8449" max="8449" width="2.81640625" style="26" customWidth="1"/>
    <col min="8450" max="8450" width="3.54296875" style="26" customWidth="1"/>
    <col min="8451" max="8695" width="9.1796875" style="26"/>
    <col min="8696" max="8696" width="8.7265625" style="26" customWidth="1"/>
    <col min="8697" max="8697" width="9.81640625" style="26" customWidth="1"/>
    <col min="8698" max="8698" width="14.453125" style="26" customWidth="1"/>
    <col min="8699" max="8699" width="7.26953125" style="26" customWidth="1"/>
    <col min="8700" max="8700" width="5.54296875" style="26" customWidth="1"/>
    <col min="8701" max="8701" width="9" style="26" customWidth="1"/>
    <col min="8702" max="8703" width="9.81640625" style="26" customWidth="1"/>
    <col min="8704" max="8704" width="11.1796875" style="26" customWidth="1"/>
    <col min="8705" max="8705" width="2.81640625" style="26" customWidth="1"/>
    <col min="8706" max="8706" width="3.54296875" style="26" customWidth="1"/>
    <col min="8707" max="8951" width="9.1796875" style="26"/>
    <col min="8952" max="8952" width="8.7265625" style="26" customWidth="1"/>
    <col min="8953" max="8953" width="9.81640625" style="26" customWidth="1"/>
    <col min="8954" max="8954" width="14.453125" style="26" customWidth="1"/>
    <col min="8955" max="8955" width="7.26953125" style="26" customWidth="1"/>
    <col min="8956" max="8956" width="5.54296875" style="26" customWidth="1"/>
    <col min="8957" max="8957" width="9" style="26" customWidth="1"/>
    <col min="8958" max="8959" width="9.81640625" style="26" customWidth="1"/>
    <col min="8960" max="8960" width="11.1796875" style="26" customWidth="1"/>
    <col min="8961" max="8961" width="2.81640625" style="26" customWidth="1"/>
    <col min="8962" max="8962" width="3.54296875" style="26" customWidth="1"/>
    <col min="8963" max="9207" width="9.1796875" style="26"/>
    <col min="9208" max="9208" width="8.7265625" style="26" customWidth="1"/>
    <col min="9209" max="9209" width="9.81640625" style="26" customWidth="1"/>
    <col min="9210" max="9210" width="14.453125" style="26" customWidth="1"/>
    <col min="9211" max="9211" width="7.26953125" style="26" customWidth="1"/>
    <col min="9212" max="9212" width="5.54296875" style="26" customWidth="1"/>
    <col min="9213" max="9213" width="9" style="26" customWidth="1"/>
    <col min="9214" max="9215" width="9.81640625" style="26" customWidth="1"/>
    <col min="9216" max="9216" width="11.1796875" style="26" customWidth="1"/>
    <col min="9217" max="9217" width="2.81640625" style="26" customWidth="1"/>
    <col min="9218" max="9218" width="3.54296875" style="26" customWidth="1"/>
    <col min="9219" max="9463" width="9.1796875" style="26"/>
    <col min="9464" max="9464" width="8.7265625" style="26" customWidth="1"/>
    <col min="9465" max="9465" width="9.81640625" style="26" customWidth="1"/>
    <col min="9466" max="9466" width="14.453125" style="26" customWidth="1"/>
    <col min="9467" max="9467" width="7.26953125" style="26" customWidth="1"/>
    <col min="9468" max="9468" width="5.54296875" style="26" customWidth="1"/>
    <col min="9469" max="9469" width="9" style="26" customWidth="1"/>
    <col min="9470" max="9471" width="9.81640625" style="26" customWidth="1"/>
    <col min="9472" max="9472" width="11.1796875" style="26" customWidth="1"/>
    <col min="9473" max="9473" width="2.81640625" style="26" customWidth="1"/>
    <col min="9474" max="9474" width="3.54296875" style="26" customWidth="1"/>
    <col min="9475" max="9719" width="9.1796875" style="26"/>
    <col min="9720" max="9720" width="8.7265625" style="26" customWidth="1"/>
    <col min="9721" max="9721" width="9.81640625" style="26" customWidth="1"/>
    <col min="9722" max="9722" width="14.453125" style="26" customWidth="1"/>
    <col min="9723" max="9723" width="7.26953125" style="26" customWidth="1"/>
    <col min="9724" max="9724" width="5.54296875" style="26" customWidth="1"/>
    <col min="9725" max="9725" width="9" style="26" customWidth="1"/>
    <col min="9726" max="9727" width="9.81640625" style="26" customWidth="1"/>
    <col min="9728" max="9728" width="11.1796875" style="26" customWidth="1"/>
    <col min="9729" max="9729" width="2.81640625" style="26" customWidth="1"/>
    <col min="9730" max="9730" width="3.54296875" style="26" customWidth="1"/>
    <col min="9731" max="9975" width="9.1796875" style="26"/>
    <col min="9976" max="9976" width="8.7265625" style="26" customWidth="1"/>
    <col min="9977" max="9977" width="9.81640625" style="26" customWidth="1"/>
    <col min="9978" max="9978" width="14.453125" style="26" customWidth="1"/>
    <col min="9979" max="9979" width="7.26953125" style="26" customWidth="1"/>
    <col min="9980" max="9980" width="5.54296875" style="26" customWidth="1"/>
    <col min="9981" max="9981" width="9" style="26" customWidth="1"/>
    <col min="9982" max="9983" width="9.81640625" style="26" customWidth="1"/>
    <col min="9984" max="9984" width="11.1796875" style="26" customWidth="1"/>
    <col min="9985" max="9985" width="2.81640625" style="26" customWidth="1"/>
    <col min="9986" max="9986" width="3.54296875" style="26" customWidth="1"/>
    <col min="9987" max="10231" width="9.1796875" style="26"/>
    <col min="10232" max="10232" width="8.7265625" style="26" customWidth="1"/>
    <col min="10233" max="10233" width="9.81640625" style="26" customWidth="1"/>
    <col min="10234" max="10234" width="14.453125" style="26" customWidth="1"/>
    <col min="10235" max="10235" width="7.26953125" style="26" customWidth="1"/>
    <col min="10236" max="10236" width="5.54296875" style="26" customWidth="1"/>
    <col min="10237" max="10237" width="9" style="26" customWidth="1"/>
    <col min="10238" max="10239" width="9.81640625" style="26" customWidth="1"/>
    <col min="10240" max="10240" width="11.1796875" style="26" customWidth="1"/>
    <col min="10241" max="10241" width="2.81640625" style="26" customWidth="1"/>
    <col min="10242" max="10242" width="3.54296875" style="26" customWidth="1"/>
    <col min="10243" max="10487" width="9.1796875" style="26"/>
    <col min="10488" max="10488" width="8.7265625" style="26" customWidth="1"/>
    <col min="10489" max="10489" width="9.81640625" style="26" customWidth="1"/>
    <col min="10490" max="10490" width="14.453125" style="26" customWidth="1"/>
    <col min="10491" max="10491" width="7.26953125" style="26" customWidth="1"/>
    <col min="10492" max="10492" width="5.54296875" style="26" customWidth="1"/>
    <col min="10493" max="10493" width="9" style="26" customWidth="1"/>
    <col min="10494" max="10495" width="9.81640625" style="26" customWidth="1"/>
    <col min="10496" max="10496" width="11.1796875" style="26" customWidth="1"/>
    <col min="10497" max="10497" width="2.81640625" style="26" customWidth="1"/>
    <col min="10498" max="10498" width="3.54296875" style="26" customWidth="1"/>
    <col min="10499" max="10743" width="9.1796875" style="26"/>
    <col min="10744" max="10744" width="8.7265625" style="26" customWidth="1"/>
    <col min="10745" max="10745" width="9.81640625" style="26" customWidth="1"/>
    <col min="10746" max="10746" width="14.453125" style="26" customWidth="1"/>
    <col min="10747" max="10747" width="7.26953125" style="26" customWidth="1"/>
    <col min="10748" max="10748" width="5.54296875" style="26" customWidth="1"/>
    <col min="10749" max="10749" width="9" style="26" customWidth="1"/>
    <col min="10750" max="10751" width="9.81640625" style="26" customWidth="1"/>
    <col min="10752" max="10752" width="11.1796875" style="26" customWidth="1"/>
    <col min="10753" max="10753" width="2.81640625" style="26" customWidth="1"/>
    <col min="10754" max="10754" width="3.54296875" style="26" customWidth="1"/>
    <col min="10755" max="10999" width="9.1796875" style="26"/>
    <col min="11000" max="11000" width="8.7265625" style="26" customWidth="1"/>
    <col min="11001" max="11001" width="9.81640625" style="26" customWidth="1"/>
    <col min="11002" max="11002" width="14.453125" style="26" customWidth="1"/>
    <col min="11003" max="11003" width="7.26953125" style="26" customWidth="1"/>
    <col min="11004" max="11004" width="5.54296875" style="26" customWidth="1"/>
    <col min="11005" max="11005" width="9" style="26" customWidth="1"/>
    <col min="11006" max="11007" width="9.81640625" style="26" customWidth="1"/>
    <col min="11008" max="11008" width="11.1796875" style="26" customWidth="1"/>
    <col min="11009" max="11009" width="2.81640625" style="26" customWidth="1"/>
    <col min="11010" max="11010" width="3.54296875" style="26" customWidth="1"/>
    <col min="11011" max="11255" width="9.1796875" style="26"/>
    <col min="11256" max="11256" width="8.7265625" style="26" customWidth="1"/>
    <col min="11257" max="11257" width="9.81640625" style="26" customWidth="1"/>
    <col min="11258" max="11258" width="14.453125" style="26" customWidth="1"/>
    <col min="11259" max="11259" width="7.26953125" style="26" customWidth="1"/>
    <col min="11260" max="11260" width="5.54296875" style="26" customWidth="1"/>
    <col min="11261" max="11261" width="9" style="26" customWidth="1"/>
    <col min="11262" max="11263" width="9.81640625" style="26" customWidth="1"/>
    <col min="11264" max="11264" width="11.1796875" style="26" customWidth="1"/>
    <col min="11265" max="11265" width="2.81640625" style="26" customWidth="1"/>
    <col min="11266" max="11266" width="3.54296875" style="26" customWidth="1"/>
    <col min="11267" max="11511" width="9.1796875" style="26"/>
    <col min="11512" max="11512" width="8.7265625" style="26" customWidth="1"/>
    <col min="11513" max="11513" width="9.81640625" style="26" customWidth="1"/>
    <col min="11514" max="11514" width="14.453125" style="26" customWidth="1"/>
    <col min="11515" max="11515" width="7.26953125" style="26" customWidth="1"/>
    <col min="11516" max="11516" width="5.54296875" style="26" customWidth="1"/>
    <col min="11517" max="11517" width="9" style="26" customWidth="1"/>
    <col min="11518" max="11519" width="9.81640625" style="26" customWidth="1"/>
    <col min="11520" max="11520" width="11.1796875" style="26" customWidth="1"/>
    <col min="11521" max="11521" width="2.81640625" style="26" customWidth="1"/>
    <col min="11522" max="11522" width="3.54296875" style="26" customWidth="1"/>
    <col min="11523" max="11767" width="9.1796875" style="26"/>
    <col min="11768" max="11768" width="8.7265625" style="26" customWidth="1"/>
    <col min="11769" max="11769" width="9.81640625" style="26" customWidth="1"/>
    <col min="11770" max="11770" width="14.453125" style="26" customWidth="1"/>
    <col min="11771" max="11771" width="7.26953125" style="26" customWidth="1"/>
    <col min="11772" max="11772" width="5.54296875" style="26" customWidth="1"/>
    <col min="11773" max="11773" width="9" style="26" customWidth="1"/>
    <col min="11774" max="11775" width="9.81640625" style="26" customWidth="1"/>
    <col min="11776" max="11776" width="11.1796875" style="26" customWidth="1"/>
    <col min="11777" max="11777" width="2.81640625" style="26" customWidth="1"/>
    <col min="11778" max="11778" width="3.54296875" style="26" customWidth="1"/>
    <col min="11779" max="12023" width="9.1796875" style="26"/>
    <col min="12024" max="12024" width="8.7265625" style="26" customWidth="1"/>
    <col min="12025" max="12025" width="9.81640625" style="26" customWidth="1"/>
    <col min="12026" max="12026" width="14.453125" style="26" customWidth="1"/>
    <col min="12027" max="12027" width="7.26953125" style="26" customWidth="1"/>
    <col min="12028" max="12028" width="5.54296875" style="26" customWidth="1"/>
    <col min="12029" max="12029" width="9" style="26" customWidth="1"/>
    <col min="12030" max="12031" width="9.81640625" style="26" customWidth="1"/>
    <col min="12032" max="12032" width="11.1796875" style="26" customWidth="1"/>
    <col min="12033" max="12033" width="2.81640625" style="26" customWidth="1"/>
    <col min="12034" max="12034" width="3.54296875" style="26" customWidth="1"/>
    <col min="12035" max="12279" width="9.1796875" style="26"/>
    <col min="12280" max="12280" width="8.7265625" style="26" customWidth="1"/>
    <col min="12281" max="12281" width="9.81640625" style="26" customWidth="1"/>
    <col min="12282" max="12282" width="14.453125" style="26" customWidth="1"/>
    <col min="12283" max="12283" width="7.26953125" style="26" customWidth="1"/>
    <col min="12284" max="12284" width="5.54296875" style="26" customWidth="1"/>
    <col min="12285" max="12285" width="9" style="26" customWidth="1"/>
    <col min="12286" max="12287" width="9.81640625" style="26" customWidth="1"/>
    <col min="12288" max="12288" width="11.1796875" style="26" customWidth="1"/>
    <col min="12289" max="12289" width="2.81640625" style="26" customWidth="1"/>
    <col min="12290" max="12290" width="3.54296875" style="26" customWidth="1"/>
    <col min="12291" max="12535" width="9.1796875" style="26"/>
    <col min="12536" max="12536" width="8.7265625" style="26" customWidth="1"/>
    <col min="12537" max="12537" width="9.81640625" style="26" customWidth="1"/>
    <col min="12538" max="12538" width="14.453125" style="26" customWidth="1"/>
    <col min="12539" max="12539" width="7.26953125" style="26" customWidth="1"/>
    <col min="12540" max="12540" width="5.54296875" style="26" customWidth="1"/>
    <col min="12541" max="12541" width="9" style="26" customWidth="1"/>
    <col min="12542" max="12543" width="9.81640625" style="26" customWidth="1"/>
    <col min="12544" max="12544" width="11.1796875" style="26" customWidth="1"/>
    <col min="12545" max="12545" width="2.81640625" style="26" customWidth="1"/>
    <col min="12546" max="12546" width="3.54296875" style="26" customWidth="1"/>
    <col min="12547" max="12791" width="9.1796875" style="26"/>
    <col min="12792" max="12792" width="8.7265625" style="26" customWidth="1"/>
    <col min="12793" max="12793" width="9.81640625" style="26" customWidth="1"/>
    <col min="12794" max="12794" width="14.453125" style="26" customWidth="1"/>
    <col min="12795" max="12795" width="7.26953125" style="26" customWidth="1"/>
    <col min="12796" max="12796" width="5.54296875" style="26" customWidth="1"/>
    <col min="12797" max="12797" width="9" style="26" customWidth="1"/>
    <col min="12798" max="12799" width="9.81640625" style="26" customWidth="1"/>
    <col min="12800" max="12800" width="11.1796875" style="26" customWidth="1"/>
    <col min="12801" max="12801" width="2.81640625" style="26" customWidth="1"/>
    <col min="12802" max="12802" width="3.54296875" style="26" customWidth="1"/>
    <col min="12803" max="13047" width="9.1796875" style="26"/>
    <col min="13048" max="13048" width="8.7265625" style="26" customWidth="1"/>
    <col min="13049" max="13049" width="9.81640625" style="26" customWidth="1"/>
    <col min="13050" max="13050" width="14.453125" style="26" customWidth="1"/>
    <col min="13051" max="13051" width="7.26953125" style="26" customWidth="1"/>
    <col min="13052" max="13052" width="5.54296875" style="26" customWidth="1"/>
    <col min="13053" max="13053" width="9" style="26" customWidth="1"/>
    <col min="13054" max="13055" width="9.81640625" style="26" customWidth="1"/>
    <col min="13056" max="13056" width="11.1796875" style="26" customWidth="1"/>
    <col min="13057" max="13057" width="2.81640625" style="26" customWidth="1"/>
    <col min="13058" max="13058" width="3.54296875" style="26" customWidth="1"/>
    <col min="13059" max="13303" width="9.1796875" style="26"/>
    <col min="13304" max="13304" width="8.7265625" style="26" customWidth="1"/>
    <col min="13305" max="13305" width="9.81640625" style="26" customWidth="1"/>
    <col min="13306" max="13306" width="14.453125" style="26" customWidth="1"/>
    <col min="13307" max="13307" width="7.26953125" style="26" customWidth="1"/>
    <col min="13308" max="13308" width="5.54296875" style="26" customWidth="1"/>
    <col min="13309" max="13309" width="9" style="26" customWidth="1"/>
    <col min="13310" max="13311" width="9.81640625" style="26" customWidth="1"/>
    <col min="13312" max="13312" width="11.1796875" style="26" customWidth="1"/>
    <col min="13313" max="13313" width="2.81640625" style="26" customWidth="1"/>
    <col min="13314" max="13314" width="3.54296875" style="26" customWidth="1"/>
    <col min="13315" max="13559" width="9.1796875" style="26"/>
    <col min="13560" max="13560" width="8.7265625" style="26" customWidth="1"/>
    <col min="13561" max="13561" width="9.81640625" style="26" customWidth="1"/>
    <col min="13562" max="13562" width="14.453125" style="26" customWidth="1"/>
    <col min="13563" max="13563" width="7.26953125" style="26" customWidth="1"/>
    <col min="13564" max="13564" width="5.54296875" style="26" customWidth="1"/>
    <col min="13565" max="13565" width="9" style="26" customWidth="1"/>
    <col min="13566" max="13567" width="9.81640625" style="26" customWidth="1"/>
    <col min="13568" max="13568" width="11.1796875" style="26" customWidth="1"/>
    <col min="13569" max="13569" width="2.81640625" style="26" customWidth="1"/>
    <col min="13570" max="13570" width="3.54296875" style="26" customWidth="1"/>
    <col min="13571" max="13815" width="9.1796875" style="26"/>
    <col min="13816" max="13816" width="8.7265625" style="26" customWidth="1"/>
    <col min="13817" max="13817" width="9.81640625" style="26" customWidth="1"/>
    <col min="13818" max="13818" width="14.453125" style="26" customWidth="1"/>
    <col min="13819" max="13819" width="7.26953125" style="26" customWidth="1"/>
    <col min="13820" max="13820" width="5.54296875" style="26" customWidth="1"/>
    <col min="13821" max="13821" width="9" style="26" customWidth="1"/>
    <col min="13822" max="13823" width="9.81640625" style="26" customWidth="1"/>
    <col min="13824" max="13824" width="11.1796875" style="26" customWidth="1"/>
    <col min="13825" max="13825" width="2.81640625" style="26" customWidth="1"/>
    <col min="13826" max="13826" width="3.54296875" style="26" customWidth="1"/>
    <col min="13827" max="14071" width="9.1796875" style="26"/>
    <col min="14072" max="14072" width="8.7265625" style="26" customWidth="1"/>
    <col min="14073" max="14073" width="9.81640625" style="26" customWidth="1"/>
    <col min="14074" max="14074" width="14.453125" style="26" customWidth="1"/>
    <col min="14075" max="14075" width="7.26953125" style="26" customWidth="1"/>
    <col min="14076" max="14076" width="5.54296875" style="26" customWidth="1"/>
    <col min="14077" max="14077" width="9" style="26" customWidth="1"/>
    <col min="14078" max="14079" width="9.81640625" style="26" customWidth="1"/>
    <col min="14080" max="14080" width="11.1796875" style="26" customWidth="1"/>
    <col min="14081" max="14081" width="2.81640625" style="26" customWidth="1"/>
    <col min="14082" max="14082" width="3.54296875" style="26" customWidth="1"/>
    <col min="14083" max="14327" width="9.1796875" style="26"/>
    <col min="14328" max="14328" width="8.7265625" style="26" customWidth="1"/>
    <col min="14329" max="14329" width="9.81640625" style="26" customWidth="1"/>
    <col min="14330" max="14330" width="14.453125" style="26" customWidth="1"/>
    <col min="14331" max="14331" width="7.26953125" style="26" customWidth="1"/>
    <col min="14332" max="14332" width="5.54296875" style="26" customWidth="1"/>
    <col min="14333" max="14333" width="9" style="26" customWidth="1"/>
    <col min="14334" max="14335" width="9.81640625" style="26" customWidth="1"/>
    <col min="14336" max="14336" width="11.1796875" style="26" customWidth="1"/>
    <col min="14337" max="14337" width="2.81640625" style="26" customWidth="1"/>
    <col min="14338" max="14338" width="3.54296875" style="26" customWidth="1"/>
    <col min="14339" max="14583" width="9.1796875" style="26"/>
    <col min="14584" max="14584" width="8.7265625" style="26" customWidth="1"/>
    <col min="14585" max="14585" width="9.81640625" style="26" customWidth="1"/>
    <col min="14586" max="14586" width="14.453125" style="26" customWidth="1"/>
    <col min="14587" max="14587" width="7.26953125" style="26" customWidth="1"/>
    <col min="14588" max="14588" width="5.54296875" style="26" customWidth="1"/>
    <col min="14589" max="14589" width="9" style="26" customWidth="1"/>
    <col min="14590" max="14591" width="9.81640625" style="26" customWidth="1"/>
    <col min="14592" max="14592" width="11.1796875" style="26" customWidth="1"/>
    <col min="14593" max="14593" width="2.81640625" style="26" customWidth="1"/>
    <col min="14594" max="14594" width="3.54296875" style="26" customWidth="1"/>
    <col min="14595" max="14839" width="9.1796875" style="26"/>
    <col min="14840" max="14840" width="8.7265625" style="26" customWidth="1"/>
    <col min="14841" max="14841" width="9.81640625" style="26" customWidth="1"/>
    <col min="14842" max="14842" width="14.453125" style="26" customWidth="1"/>
    <col min="14843" max="14843" width="7.26953125" style="26" customWidth="1"/>
    <col min="14844" max="14844" width="5.54296875" style="26" customWidth="1"/>
    <col min="14845" max="14845" width="9" style="26" customWidth="1"/>
    <col min="14846" max="14847" width="9.81640625" style="26" customWidth="1"/>
    <col min="14848" max="14848" width="11.1796875" style="26" customWidth="1"/>
    <col min="14849" max="14849" width="2.81640625" style="26" customWidth="1"/>
    <col min="14850" max="14850" width="3.54296875" style="26" customWidth="1"/>
    <col min="14851" max="15095" width="9.1796875" style="26"/>
    <col min="15096" max="15096" width="8.7265625" style="26" customWidth="1"/>
    <col min="15097" max="15097" width="9.81640625" style="26" customWidth="1"/>
    <col min="15098" max="15098" width="14.453125" style="26" customWidth="1"/>
    <col min="15099" max="15099" width="7.26953125" style="26" customWidth="1"/>
    <col min="15100" max="15100" width="5.54296875" style="26" customWidth="1"/>
    <col min="15101" max="15101" width="9" style="26" customWidth="1"/>
    <col min="15102" max="15103" width="9.81640625" style="26" customWidth="1"/>
    <col min="15104" max="15104" width="11.1796875" style="26" customWidth="1"/>
    <col min="15105" max="15105" width="2.81640625" style="26" customWidth="1"/>
    <col min="15106" max="15106" width="3.54296875" style="26" customWidth="1"/>
    <col min="15107" max="15351" width="9.1796875" style="26"/>
    <col min="15352" max="15352" width="8.7265625" style="26" customWidth="1"/>
    <col min="15353" max="15353" width="9.81640625" style="26" customWidth="1"/>
    <col min="15354" max="15354" width="14.453125" style="26" customWidth="1"/>
    <col min="15355" max="15355" width="7.26953125" style="26" customWidth="1"/>
    <col min="15356" max="15356" width="5.54296875" style="26" customWidth="1"/>
    <col min="15357" max="15357" width="9" style="26" customWidth="1"/>
    <col min="15358" max="15359" width="9.81640625" style="26" customWidth="1"/>
    <col min="15360" max="15360" width="11.1796875" style="26" customWidth="1"/>
    <col min="15361" max="15361" width="2.81640625" style="26" customWidth="1"/>
    <col min="15362" max="15362" width="3.54296875" style="26" customWidth="1"/>
    <col min="15363" max="15607" width="9.1796875" style="26"/>
    <col min="15608" max="15608" width="8.7265625" style="26" customWidth="1"/>
    <col min="15609" max="15609" width="9.81640625" style="26" customWidth="1"/>
    <col min="15610" max="15610" width="14.453125" style="26" customWidth="1"/>
    <col min="15611" max="15611" width="7.26953125" style="26" customWidth="1"/>
    <col min="15612" max="15612" width="5.54296875" style="26" customWidth="1"/>
    <col min="15613" max="15613" width="9" style="26" customWidth="1"/>
    <col min="15614" max="15615" width="9.81640625" style="26" customWidth="1"/>
    <col min="15616" max="15616" width="11.1796875" style="26" customWidth="1"/>
    <col min="15617" max="15617" width="2.81640625" style="26" customWidth="1"/>
    <col min="15618" max="15618" width="3.54296875" style="26" customWidth="1"/>
    <col min="15619" max="15863" width="9.1796875" style="26"/>
    <col min="15864" max="15864" width="8.7265625" style="26" customWidth="1"/>
    <col min="15865" max="15865" width="9.81640625" style="26" customWidth="1"/>
    <col min="15866" max="15866" width="14.453125" style="26" customWidth="1"/>
    <col min="15867" max="15867" width="7.26953125" style="26" customWidth="1"/>
    <col min="15868" max="15868" width="5.54296875" style="26" customWidth="1"/>
    <col min="15869" max="15869" width="9" style="26" customWidth="1"/>
    <col min="15870" max="15871" width="9.81640625" style="26" customWidth="1"/>
    <col min="15872" max="15872" width="11.1796875" style="26" customWidth="1"/>
    <col min="15873" max="15873" width="2.81640625" style="26" customWidth="1"/>
    <col min="15874" max="15874" width="3.54296875" style="26" customWidth="1"/>
    <col min="15875" max="16119" width="9.1796875" style="26"/>
    <col min="16120" max="16120" width="8.7265625" style="26" customWidth="1"/>
    <col min="16121" max="16121" width="9.81640625" style="26" customWidth="1"/>
    <col min="16122" max="16122" width="14.453125" style="26" customWidth="1"/>
    <col min="16123" max="16123" width="7.26953125" style="26" customWidth="1"/>
    <col min="16124" max="16124" width="5.54296875" style="26" customWidth="1"/>
    <col min="16125" max="16125" width="9" style="26" customWidth="1"/>
    <col min="16126" max="16127" width="9.81640625" style="26" customWidth="1"/>
    <col min="16128" max="16128" width="11.1796875" style="26" customWidth="1"/>
    <col min="16129" max="16129" width="2.81640625" style="26" customWidth="1"/>
    <col min="16130" max="16130" width="3.54296875" style="26" customWidth="1"/>
    <col min="16131" max="16384" width="9.1796875" style="26"/>
  </cols>
  <sheetData>
    <row r="1" spans="1:8" ht="46.5" customHeight="1" x14ac:dyDescent="0.35">
      <c r="A1" s="247" t="s">
        <v>377</v>
      </c>
      <c r="B1" s="247"/>
      <c r="C1" s="247"/>
      <c r="D1" s="247"/>
      <c r="E1" s="247"/>
      <c r="F1" s="247"/>
      <c r="G1" s="247"/>
      <c r="H1" s="247"/>
    </row>
    <row r="2" spans="1:8" ht="16.5" customHeight="1" x14ac:dyDescent="0.35">
      <c r="A2" s="212" t="s">
        <v>0</v>
      </c>
      <c r="B2" s="212"/>
      <c r="C2" s="212"/>
      <c r="D2" s="212"/>
      <c r="E2" s="212"/>
      <c r="F2" s="212"/>
      <c r="G2" s="212"/>
      <c r="H2" s="212"/>
    </row>
    <row r="3" spans="1:8" x14ac:dyDescent="0.35">
      <c r="A3" s="136" t="s">
        <v>1</v>
      </c>
      <c r="B3" s="136"/>
      <c r="C3" s="136"/>
      <c r="D3" s="136"/>
      <c r="E3" s="248" t="str">
        <f ca="1">TEXT(TODAY(),"DD/MM/YYYY")</f>
        <v>04/09/2025</v>
      </c>
      <c r="F3" s="248"/>
      <c r="G3" s="248"/>
      <c r="H3" s="248"/>
    </row>
    <row r="4" spans="1:8" ht="15" customHeight="1" x14ac:dyDescent="0.35">
      <c r="A4" s="136" t="s">
        <v>2</v>
      </c>
      <c r="B4" s="136"/>
      <c r="C4" s="136"/>
      <c r="D4" s="136"/>
      <c r="E4" s="249" t="s">
        <v>170</v>
      </c>
      <c r="F4" s="249"/>
      <c r="G4" s="249"/>
      <c r="H4" s="249"/>
    </row>
    <row r="5" spans="1:8" x14ac:dyDescent="0.35">
      <c r="A5" s="136" t="s">
        <v>3</v>
      </c>
      <c r="B5" s="136"/>
      <c r="C5" s="136"/>
      <c r="D5" s="136"/>
      <c r="E5" s="248">
        <v>45903</v>
      </c>
      <c r="F5" s="248"/>
      <c r="G5" s="248"/>
      <c r="H5" s="248"/>
    </row>
    <row r="6" spans="1:8" ht="16.5" customHeight="1" x14ac:dyDescent="0.35">
      <c r="A6" s="136" t="s">
        <v>4</v>
      </c>
      <c r="B6" s="136"/>
      <c r="C6" s="136"/>
      <c r="D6" s="136"/>
      <c r="E6" s="185" t="s">
        <v>420</v>
      </c>
      <c r="F6" s="185"/>
      <c r="G6" s="185"/>
      <c r="H6" s="185"/>
    </row>
    <row r="7" spans="1:8" ht="15" customHeight="1" x14ac:dyDescent="0.35">
      <c r="A7" s="136" t="s">
        <v>5</v>
      </c>
      <c r="B7" s="136"/>
      <c r="C7" s="136"/>
      <c r="D7" s="136"/>
      <c r="E7" s="209" t="str">
        <f>E6</f>
        <v>M/s. Eversmile Properties Private Limited</v>
      </c>
      <c r="F7" s="209"/>
      <c r="G7" s="209"/>
      <c r="H7" s="209"/>
    </row>
    <row r="8" spans="1:8" x14ac:dyDescent="0.35">
      <c r="A8" s="136" t="s">
        <v>414</v>
      </c>
      <c r="B8" s="136"/>
      <c r="C8" s="136"/>
      <c r="D8" s="136"/>
      <c r="E8" s="205" t="s">
        <v>171</v>
      </c>
      <c r="F8" s="205"/>
      <c r="G8" s="205"/>
      <c r="H8" s="205"/>
    </row>
    <row r="9" spans="1:8" x14ac:dyDescent="0.35">
      <c r="A9" s="136" t="s">
        <v>143</v>
      </c>
      <c r="B9" s="136"/>
      <c r="C9" s="136"/>
      <c r="D9" s="136"/>
      <c r="E9" s="136">
        <v>2230643278</v>
      </c>
      <c r="F9" s="136"/>
      <c r="G9" s="136"/>
      <c r="H9" s="136"/>
    </row>
    <row r="10" spans="1:8" x14ac:dyDescent="0.35">
      <c r="A10" s="134" t="s">
        <v>6</v>
      </c>
      <c r="B10" s="134"/>
      <c r="C10" s="134"/>
      <c r="D10" s="134"/>
      <c r="E10" s="134" t="s">
        <v>387</v>
      </c>
      <c r="F10" s="134"/>
      <c r="G10" s="134"/>
      <c r="H10" s="134"/>
    </row>
    <row r="11" spans="1:8" hidden="1" x14ac:dyDescent="0.35">
      <c r="A11" s="134" t="s">
        <v>375</v>
      </c>
      <c r="B11" s="134"/>
      <c r="C11" s="134"/>
      <c r="D11" s="134"/>
      <c r="E11" s="134" t="s">
        <v>376</v>
      </c>
      <c r="F11" s="134"/>
      <c r="G11" s="134"/>
      <c r="H11" s="134"/>
    </row>
    <row r="12" spans="1:8" x14ac:dyDescent="0.35">
      <c r="A12" s="136" t="s">
        <v>7</v>
      </c>
      <c r="B12" s="136"/>
      <c r="C12" s="136"/>
      <c r="D12" s="136"/>
      <c r="E12" s="185" t="s">
        <v>272</v>
      </c>
      <c r="F12" s="185"/>
      <c r="G12" s="185"/>
      <c r="H12" s="185"/>
    </row>
    <row r="13" spans="1:8" ht="144.75" customHeight="1" x14ac:dyDescent="0.35">
      <c r="A13" s="136" t="s">
        <v>216</v>
      </c>
      <c r="B13" s="136"/>
      <c r="C13" s="136"/>
      <c r="D13" s="136"/>
      <c r="E13" s="185" t="s">
        <v>386</v>
      </c>
      <c r="F13" s="134"/>
      <c r="G13" s="134"/>
      <c r="H13" s="134"/>
    </row>
    <row r="14" spans="1:8" ht="79.5" customHeight="1" x14ac:dyDescent="0.35">
      <c r="A14" s="185" t="s">
        <v>8</v>
      </c>
      <c r="B14" s="185"/>
      <c r="C14" s="18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Sector 2A, Survey No.New Survey No. 63, 65, 66, 67, 68, 64/2, 39, 49, 50, 51, 52, 60/1, 62/1, 60/2, 61, 62/2, 4, 79, 71, 74, 76, 77, 78, 69, 70, 75, (Old Survey No. 231, 232, 233, 234, 235, 240/2, 207, 217, 218, 219, 220, 228/1, 230/1, 228/2, 229/, 230/2, 175, 187, 236, 238, 239, 244, 255, 256, 257, 258), near Poonam Estate Cluster 3, Srishti Road, Penkarpada, Mira Road East, Thane, Thane.</v>
      </c>
      <c r="D14" s="185"/>
      <c r="E14" s="185"/>
      <c r="F14" s="185"/>
      <c r="G14" s="185"/>
      <c r="H14" s="185"/>
    </row>
    <row r="15" spans="1:8" ht="63.75" customHeight="1" x14ac:dyDescent="0.35">
      <c r="A15" s="185" t="s">
        <v>221</v>
      </c>
      <c r="B15" s="185"/>
      <c r="C15" s="185" t="s">
        <v>419</v>
      </c>
      <c r="D15" s="185"/>
      <c r="E15" s="185"/>
      <c r="F15" s="185"/>
      <c r="G15" s="185"/>
      <c r="H15" s="185"/>
    </row>
    <row r="16" spans="1:8" ht="15.75" customHeight="1" x14ac:dyDescent="0.35">
      <c r="A16" s="185" t="s">
        <v>9</v>
      </c>
      <c r="B16" s="185"/>
      <c r="C16" s="134" t="s">
        <v>220</v>
      </c>
      <c r="D16" s="134"/>
      <c r="E16" s="185" t="s">
        <v>94</v>
      </c>
      <c r="F16" s="185"/>
      <c r="G16" s="185" t="s">
        <v>172</v>
      </c>
      <c r="H16" s="185"/>
    </row>
    <row r="17" spans="1:8" x14ac:dyDescent="0.35">
      <c r="A17" s="134" t="s">
        <v>11</v>
      </c>
      <c r="B17" s="134"/>
      <c r="C17" s="185" t="s">
        <v>222</v>
      </c>
      <c r="D17" s="185"/>
      <c r="E17" s="185" t="s">
        <v>10</v>
      </c>
      <c r="F17" s="185"/>
      <c r="G17" s="246" t="s">
        <v>173</v>
      </c>
      <c r="H17" s="246"/>
    </row>
    <row r="18" spans="1:8" x14ac:dyDescent="0.35">
      <c r="A18" s="134" t="s">
        <v>95</v>
      </c>
      <c r="B18" s="134"/>
      <c r="C18" s="185" t="s">
        <v>173</v>
      </c>
      <c r="D18" s="185"/>
      <c r="E18" s="185" t="s">
        <v>12</v>
      </c>
      <c r="F18" s="185"/>
      <c r="G18" s="185">
        <v>401107</v>
      </c>
      <c r="H18" s="185"/>
    </row>
    <row r="19" spans="1:8" ht="32.25" customHeight="1" x14ac:dyDescent="0.35">
      <c r="A19" s="134" t="s">
        <v>144</v>
      </c>
      <c r="B19" s="134"/>
      <c r="C19" s="185" t="s">
        <v>218</v>
      </c>
      <c r="D19" s="185"/>
      <c r="E19" s="185" t="s">
        <v>13</v>
      </c>
      <c r="F19" s="185"/>
      <c r="G19" s="185" t="s">
        <v>421</v>
      </c>
      <c r="H19" s="185"/>
    </row>
    <row r="20" spans="1:8" ht="15" customHeight="1" x14ac:dyDescent="0.35">
      <c r="A20" s="185" t="s">
        <v>98</v>
      </c>
      <c r="B20" s="185"/>
      <c r="C20" s="185"/>
      <c r="D20" s="185"/>
      <c r="E20" s="134" t="s">
        <v>14</v>
      </c>
      <c r="F20" s="134"/>
      <c r="G20" s="134"/>
      <c r="H20" s="134"/>
    </row>
    <row r="21" spans="1:8" ht="18.75" customHeight="1" x14ac:dyDescent="0.35">
      <c r="A21" s="185"/>
      <c r="B21" s="185"/>
      <c r="C21" s="185"/>
      <c r="D21" s="185"/>
      <c r="E21" s="134"/>
      <c r="F21" s="134"/>
      <c r="G21" s="134"/>
      <c r="H21" s="134"/>
    </row>
    <row r="22" spans="1:8" ht="15" customHeight="1" x14ac:dyDescent="0.35">
      <c r="A22" s="185" t="s">
        <v>15</v>
      </c>
      <c r="B22" s="185"/>
      <c r="C22" s="185"/>
      <c r="D22" s="185"/>
      <c r="E22" s="185" t="s">
        <v>16</v>
      </c>
      <c r="F22" s="185"/>
      <c r="G22" s="185"/>
      <c r="H22" s="185"/>
    </row>
    <row r="23" spans="1:8" ht="15" customHeight="1" x14ac:dyDescent="0.35">
      <c r="A23" s="134" t="s">
        <v>17</v>
      </c>
      <c r="B23" s="134"/>
      <c r="C23" s="134"/>
      <c r="D23" s="134"/>
      <c r="E23" s="185" t="str">
        <f>IF(AND(G17="Mumbai"),"Upper Class","Middle Class")</f>
        <v>Middle Class</v>
      </c>
      <c r="F23" s="185"/>
      <c r="G23" s="185"/>
      <c r="H23" s="185"/>
    </row>
    <row r="24" spans="1:8" x14ac:dyDescent="0.35">
      <c r="A24" s="134" t="s">
        <v>18</v>
      </c>
      <c r="B24" s="134"/>
      <c r="C24" s="134"/>
      <c r="D24" s="134"/>
      <c r="E24" s="185" t="s">
        <v>19</v>
      </c>
      <c r="F24" s="185"/>
      <c r="G24" s="185"/>
      <c r="H24" s="185"/>
    </row>
    <row r="25" spans="1:8" ht="15.75" customHeight="1" x14ac:dyDescent="0.35">
      <c r="A25" s="134" t="s">
        <v>20</v>
      </c>
      <c r="B25" s="134"/>
      <c r="C25" s="134"/>
      <c r="D25" s="134"/>
      <c r="E25" s="185" t="str">
        <f>IF(AND(G17="Mumbai"),"Developed","Developing")</f>
        <v>Developing</v>
      </c>
      <c r="F25" s="185"/>
      <c r="G25" s="185"/>
      <c r="H25" s="185"/>
    </row>
    <row r="26" spans="1:8" x14ac:dyDescent="0.35">
      <c r="A26" s="136" t="s">
        <v>21</v>
      </c>
      <c r="B26" s="136"/>
      <c r="C26" s="136"/>
      <c r="D26" s="136"/>
      <c r="E26" s="185" t="s">
        <v>22</v>
      </c>
      <c r="F26" s="185"/>
      <c r="G26" s="185"/>
      <c r="H26" s="185"/>
    </row>
    <row r="27" spans="1:8" x14ac:dyDescent="0.35">
      <c r="A27" s="136" t="s">
        <v>102</v>
      </c>
      <c r="B27" s="136"/>
      <c r="C27" s="136"/>
      <c r="D27" s="136"/>
      <c r="E27" s="185" t="s">
        <v>103</v>
      </c>
      <c r="F27" s="185"/>
      <c r="G27" s="185"/>
      <c r="H27" s="185"/>
    </row>
    <row r="28" spans="1:8" ht="15" customHeight="1" x14ac:dyDescent="0.35">
      <c r="A28" s="209" t="s">
        <v>30</v>
      </c>
      <c r="B28" s="209"/>
      <c r="C28" s="209"/>
      <c r="D28" s="209"/>
      <c r="E28" s="249" t="s">
        <v>217</v>
      </c>
      <c r="F28" s="249"/>
      <c r="G28" s="249"/>
      <c r="H28" s="249"/>
    </row>
    <row r="29" spans="1:8" x14ac:dyDescent="0.35">
      <c r="A29" s="209" t="s">
        <v>114</v>
      </c>
      <c r="B29" s="209"/>
      <c r="C29" s="209"/>
      <c r="D29" s="209"/>
      <c r="E29" s="185" t="s">
        <v>31</v>
      </c>
      <c r="F29" s="185"/>
      <c r="G29" s="185"/>
      <c r="H29" s="185"/>
    </row>
    <row r="30" spans="1:8" s="34" customFormat="1" x14ac:dyDescent="0.35">
      <c r="A30" s="244" t="s">
        <v>115</v>
      </c>
      <c r="B30" s="244"/>
      <c r="C30" s="234" t="s">
        <v>418</v>
      </c>
      <c r="D30" s="234"/>
      <c r="E30" s="234"/>
      <c r="F30" s="242" t="s">
        <v>28</v>
      </c>
      <c r="G30" s="242"/>
      <c r="H30" s="242"/>
    </row>
    <row r="31" spans="1:8" s="34" customFormat="1" x14ac:dyDescent="0.35">
      <c r="A31" s="243" t="s">
        <v>23</v>
      </c>
      <c r="B31" s="243" t="s">
        <v>27</v>
      </c>
      <c r="C31" s="245" t="s">
        <v>381</v>
      </c>
      <c r="D31" s="245"/>
      <c r="E31" s="245"/>
      <c r="F31" s="225" t="s">
        <v>218</v>
      </c>
      <c r="G31" s="225"/>
      <c r="H31" s="225"/>
    </row>
    <row r="32" spans="1:8" x14ac:dyDescent="0.35">
      <c r="A32" s="243" t="s">
        <v>24</v>
      </c>
      <c r="B32" s="243" t="s">
        <v>27</v>
      </c>
      <c r="C32" s="245" t="s">
        <v>382</v>
      </c>
      <c r="D32" s="245"/>
      <c r="E32" s="245"/>
      <c r="F32" s="225" t="s">
        <v>219</v>
      </c>
      <c r="G32" s="225"/>
      <c r="H32" s="225"/>
    </row>
    <row r="33" spans="1:8" s="34" customFormat="1" ht="30.75" customHeight="1" x14ac:dyDescent="0.35">
      <c r="A33" s="235" t="s">
        <v>26</v>
      </c>
      <c r="B33" s="235" t="s">
        <v>27</v>
      </c>
      <c r="C33" s="240" t="s">
        <v>383</v>
      </c>
      <c r="D33" s="240"/>
      <c r="E33" s="240"/>
      <c r="F33" s="235" t="s">
        <v>220</v>
      </c>
      <c r="G33" s="235"/>
      <c r="H33" s="235"/>
    </row>
    <row r="34" spans="1:8" ht="33.75" customHeight="1" x14ac:dyDescent="0.35">
      <c r="A34" s="235" t="s">
        <v>25</v>
      </c>
      <c r="B34" s="235" t="s">
        <v>27</v>
      </c>
      <c r="C34" s="240" t="s">
        <v>384</v>
      </c>
      <c r="D34" s="241"/>
      <c r="E34" s="241"/>
      <c r="F34" s="235" t="s">
        <v>219</v>
      </c>
      <c r="G34" s="235"/>
      <c r="H34" s="235"/>
    </row>
    <row r="35" spans="1:8" x14ac:dyDescent="0.35">
      <c r="A35" s="136" t="s">
        <v>29</v>
      </c>
      <c r="B35" s="136"/>
      <c r="C35" s="136"/>
      <c r="D35" s="136"/>
      <c r="E35" s="136"/>
      <c r="F35" s="136"/>
      <c r="G35" s="136"/>
      <c r="H35" s="136"/>
    </row>
    <row r="36" spans="1:8" ht="15.75" customHeight="1" x14ac:dyDescent="0.35">
      <c r="A36" s="212" t="s">
        <v>303</v>
      </c>
      <c r="B36" s="212"/>
      <c r="C36" s="231" t="s">
        <v>304</v>
      </c>
      <c r="D36" s="232"/>
      <c r="E36" s="232"/>
      <c r="F36" s="232"/>
      <c r="G36" s="232"/>
      <c r="H36" s="233"/>
    </row>
    <row r="37" spans="1:8" ht="15.75" customHeight="1" x14ac:dyDescent="0.35">
      <c r="A37" s="212" t="s">
        <v>285</v>
      </c>
      <c r="B37" s="212"/>
      <c r="C37" s="252" t="s">
        <v>286</v>
      </c>
      <c r="D37" s="253"/>
      <c r="E37" s="253"/>
      <c r="F37" s="253"/>
      <c r="G37" s="253"/>
      <c r="H37" s="254"/>
    </row>
    <row r="38" spans="1:8" x14ac:dyDescent="0.35">
      <c r="A38" s="205" t="s">
        <v>32</v>
      </c>
      <c r="B38" s="205"/>
      <c r="C38" s="205"/>
      <c r="D38" s="205"/>
      <c r="E38" s="205"/>
      <c r="F38" s="205"/>
      <c r="G38" s="205"/>
      <c r="H38" s="205"/>
    </row>
    <row r="39" spans="1:8" x14ac:dyDescent="0.35">
      <c r="A39" s="136" t="s">
        <v>33</v>
      </c>
      <c r="B39" s="136"/>
      <c r="C39" s="136"/>
      <c r="D39" s="136"/>
      <c r="E39" s="236">
        <v>216292.62</v>
      </c>
      <c r="F39" s="236"/>
      <c r="G39" s="236"/>
      <c r="H39" s="236"/>
    </row>
    <row r="40" spans="1:8" x14ac:dyDescent="0.35">
      <c r="A40" s="136" t="s">
        <v>34</v>
      </c>
      <c r="B40" s="136"/>
      <c r="C40" s="136"/>
      <c r="D40" s="136"/>
      <c r="E40" s="196">
        <v>1.1000000000000001</v>
      </c>
      <c r="F40" s="196"/>
      <c r="G40" s="196"/>
      <c r="H40" s="196"/>
    </row>
    <row r="41" spans="1:8" x14ac:dyDescent="0.35">
      <c r="A41" s="136" t="s">
        <v>35</v>
      </c>
      <c r="B41" s="136"/>
      <c r="C41" s="136"/>
      <c r="D41" s="136"/>
      <c r="E41" s="196">
        <f>E43/E39-E40</f>
        <v>0.73484845668798116</v>
      </c>
      <c r="F41" s="196"/>
      <c r="G41" s="196"/>
      <c r="H41" s="196"/>
    </row>
    <row r="42" spans="1:8" x14ac:dyDescent="0.35">
      <c r="A42" s="134" t="s">
        <v>36</v>
      </c>
      <c r="B42" s="134"/>
      <c r="C42" s="134"/>
      <c r="D42" s="134"/>
      <c r="E42" s="250">
        <f>E40+E41</f>
        <v>1.8348484566879812</v>
      </c>
      <c r="F42" s="250"/>
      <c r="G42" s="250"/>
      <c r="H42" s="250"/>
    </row>
    <row r="43" spans="1:8" x14ac:dyDescent="0.35">
      <c r="A43" s="134" t="s">
        <v>113</v>
      </c>
      <c r="B43" s="134"/>
      <c r="C43" s="134"/>
      <c r="D43" s="134"/>
      <c r="E43" s="251">
        <v>396864.18</v>
      </c>
      <c r="F43" s="251"/>
      <c r="G43" s="251"/>
      <c r="H43" s="251"/>
    </row>
    <row r="44" spans="1:8" x14ac:dyDescent="0.35">
      <c r="A44" s="134" t="s">
        <v>37</v>
      </c>
      <c r="B44" s="134"/>
      <c r="C44" s="134"/>
      <c r="D44" s="134"/>
      <c r="E44" s="134" t="s">
        <v>388</v>
      </c>
      <c r="F44" s="134"/>
      <c r="G44" s="134"/>
      <c r="H44" s="134"/>
    </row>
    <row r="45" spans="1:8" x14ac:dyDescent="0.35">
      <c r="A45" s="156" t="s">
        <v>38</v>
      </c>
      <c r="B45" s="156"/>
      <c r="C45" s="156"/>
      <c r="D45" s="156"/>
      <c r="E45" s="156"/>
      <c r="F45" s="156"/>
      <c r="G45" s="156"/>
      <c r="H45" s="156"/>
    </row>
    <row r="46" spans="1:8" x14ac:dyDescent="0.35">
      <c r="A46" s="185" t="s">
        <v>39</v>
      </c>
      <c r="B46" s="185"/>
      <c r="C46" s="185" t="s">
        <v>389</v>
      </c>
      <c r="D46" s="185"/>
      <c r="E46" s="185"/>
      <c r="F46" s="32" t="s">
        <v>40</v>
      </c>
      <c r="G46" s="186">
        <v>45492</v>
      </c>
      <c r="H46" s="186"/>
    </row>
    <row r="47" spans="1:8" ht="49.5" customHeight="1" x14ac:dyDescent="0.35">
      <c r="A47" s="185" t="s">
        <v>360</v>
      </c>
      <c r="B47" s="134"/>
      <c r="C47" s="185" t="s">
        <v>289</v>
      </c>
      <c r="D47" s="185"/>
      <c r="E47" s="185"/>
      <c r="F47" s="32" t="s">
        <v>40</v>
      </c>
      <c r="G47" s="186">
        <v>45152</v>
      </c>
      <c r="H47" s="186"/>
    </row>
    <row r="48" spans="1:8" ht="46.5" customHeight="1" x14ac:dyDescent="0.35">
      <c r="A48" s="185" t="s">
        <v>288</v>
      </c>
      <c r="B48" s="134"/>
      <c r="C48" s="185" t="s">
        <v>289</v>
      </c>
      <c r="D48" s="185"/>
      <c r="E48" s="185"/>
      <c r="F48" s="32" t="s">
        <v>40</v>
      </c>
      <c r="G48" s="186">
        <v>45152</v>
      </c>
      <c r="H48" s="186"/>
    </row>
    <row r="49" spans="1:9" ht="50.25" customHeight="1" x14ac:dyDescent="0.35">
      <c r="A49" s="185" t="s">
        <v>393</v>
      </c>
      <c r="B49" s="134"/>
      <c r="C49" s="185" t="str">
        <f>C46</f>
        <v xml:space="preserve">MBMC/RB/2024/APL/00014 </v>
      </c>
      <c r="D49" s="185"/>
      <c r="E49" s="185"/>
      <c r="F49" s="32" t="s">
        <v>40</v>
      </c>
      <c r="G49" s="186">
        <f>G46</f>
        <v>45492</v>
      </c>
      <c r="H49" s="186"/>
    </row>
    <row r="50" spans="1:9" s="65" customFormat="1" x14ac:dyDescent="0.35">
      <c r="A50" s="198" t="s">
        <v>361</v>
      </c>
      <c r="B50" s="198"/>
      <c r="C50" s="198" t="s">
        <v>289</v>
      </c>
      <c r="D50" s="199"/>
      <c r="E50" s="199"/>
      <c r="F50" s="64" t="s">
        <v>40</v>
      </c>
      <c r="G50" s="197">
        <v>45152</v>
      </c>
      <c r="H50" s="197"/>
    </row>
    <row r="51" spans="1:9" s="65" customFormat="1" ht="50.25" customHeight="1" x14ac:dyDescent="0.35">
      <c r="A51" s="198"/>
      <c r="B51" s="198"/>
      <c r="C51" s="228" t="s">
        <v>362</v>
      </c>
      <c r="D51" s="229"/>
      <c r="E51" s="229"/>
      <c r="F51" s="229"/>
      <c r="G51" s="229"/>
      <c r="H51" s="230"/>
    </row>
    <row r="52" spans="1:9" s="35" customFormat="1" x14ac:dyDescent="0.35">
      <c r="A52" s="185" t="s">
        <v>391</v>
      </c>
      <c r="B52" s="185"/>
      <c r="C52" s="185" t="s">
        <v>389</v>
      </c>
      <c r="D52" s="134"/>
      <c r="E52" s="134"/>
      <c r="F52" s="84" t="s">
        <v>40</v>
      </c>
      <c r="G52" s="186">
        <v>45492</v>
      </c>
      <c r="H52" s="186"/>
    </row>
    <row r="53" spans="1:9" s="35" customFormat="1" ht="38.25" customHeight="1" x14ac:dyDescent="0.35">
      <c r="A53" s="185"/>
      <c r="B53" s="185"/>
      <c r="C53" s="237" t="s">
        <v>390</v>
      </c>
      <c r="D53" s="238"/>
      <c r="E53" s="238"/>
      <c r="F53" s="238"/>
      <c r="G53" s="238"/>
      <c r="H53" s="239"/>
    </row>
    <row r="54" spans="1:9" x14ac:dyDescent="0.35">
      <c r="A54" s="185" t="s">
        <v>434</v>
      </c>
      <c r="B54" s="185"/>
      <c r="C54" s="185" t="s">
        <v>436</v>
      </c>
      <c r="D54" s="134"/>
      <c r="E54" s="134"/>
      <c r="F54" s="84" t="s">
        <v>40</v>
      </c>
      <c r="G54" s="186">
        <v>45028</v>
      </c>
      <c r="H54" s="186"/>
    </row>
    <row r="55" spans="1:9" ht="117.75" customHeight="1" x14ac:dyDescent="0.35">
      <c r="A55" s="185"/>
      <c r="B55" s="185"/>
      <c r="C55" s="185" t="s">
        <v>440</v>
      </c>
      <c r="D55" s="185"/>
      <c r="E55" s="185"/>
      <c r="F55" s="185"/>
      <c r="G55" s="185"/>
      <c r="H55" s="185"/>
    </row>
    <row r="56" spans="1:9" x14ac:dyDescent="0.35">
      <c r="A56" s="157" t="s">
        <v>41</v>
      </c>
      <c r="B56" s="157"/>
      <c r="C56" s="157" t="s">
        <v>125</v>
      </c>
      <c r="D56" s="156"/>
      <c r="E56" s="156" t="s">
        <v>42</v>
      </c>
      <c r="F56" s="99" t="s">
        <v>40</v>
      </c>
      <c r="G56" s="227" t="s">
        <v>27</v>
      </c>
      <c r="H56" s="227"/>
    </row>
    <row r="57" spans="1:9" x14ac:dyDescent="0.35">
      <c r="A57" s="226" t="s">
        <v>43</v>
      </c>
      <c r="B57" s="226"/>
      <c r="C57" s="226"/>
      <c r="D57" s="226"/>
      <c r="E57" s="226"/>
      <c r="F57" s="226"/>
      <c r="G57" s="226"/>
      <c r="H57" s="226"/>
      <c r="I57" s="25"/>
    </row>
    <row r="58" spans="1:9" ht="20.25" customHeight="1" x14ac:dyDescent="0.35">
      <c r="A58" s="209" t="s">
        <v>112</v>
      </c>
      <c r="B58" s="209"/>
      <c r="C58" s="209"/>
      <c r="D58" s="134">
        <f>20713.34+20496.58+19122.28+20623.41+24030.71+21384.54</f>
        <v>126370.86000000002</v>
      </c>
      <c r="E58" s="134"/>
      <c r="F58" s="134"/>
      <c r="G58" s="134"/>
      <c r="H58" s="134"/>
    </row>
    <row r="59" spans="1:9" ht="15.75" customHeight="1" x14ac:dyDescent="0.35">
      <c r="A59" s="185" t="s">
        <v>44</v>
      </c>
      <c r="B59" s="134"/>
      <c r="C59" s="134"/>
      <c r="D59" s="134" t="s">
        <v>429</v>
      </c>
      <c r="E59" s="134"/>
      <c r="F59" s="134"/>
      <c r="G59" s="134"/>
      <c r="H59" s="134"/>
    </row>
    <row r="60" spans="1:9" ht="51" customHeight="1" x14ac:dyDescent="0.35">
      <c r="A60" s="185" t="s">
        <v>45</v>
      </c>
      <c r="B60" s="185"/>
      <c r="C60" s="185"/>
      <c r="D60" s="185" t="s">
        <v>392</v>
      </c>
      <c r="E60" s="134"/>
      <c r="F60" s="134"/>
      <c r="G60" s="134"/>
      <c r="H60" s="134"/>
    </row>
    <row r="61" spans="1:9" ht="15.75" customHeight="1" x14ac:dyDescent="0.35">
      <c r="A61" s="185" t="s">
        <v>110</v>
      </c>
      <c r="B61" s="185"/>
      <c r="C61" s="185"/>
      <c r="D61" s="134" t="s">
        <v>281</v>
      </c>
      <c r="E61" s="134"/>
      <c r="F61" s="134"/>
      <c r="G61" s="134"/>
      <c r="H61" s="134"/>
    </row>
    <row r="62" spans="1:9" ht="15.75" customHeight="1" x14ac:dyDescent="0.35">
      <c r="A62" s="185"/>
      <c r="B62" s="185"/>
      <c r="C62" s="185"/>
      <c r="D62" s="134" t="s">
        <v>282</v>
      </c>
      <c r="E62" s="134"/>
      <c r="F62" s="134"/>
      <c r="G62" s="134"/>
      <c r="H62" s="134"/>
    </row>
    <row r="63" spans="1:9" ht="15.75" customHeight="1" x14ac:dyDescent="0.35">
      <c r="A63" s="185"/>
      <c r="B63" s="185"/>
      <c r="C63" s="185"/>
      <c r="D63" s="134" t="s">
        <v>283</v>
      </c>
      <c r="E63" s="134"/>
      <c r="F63" s="134"/>
      <c r="G63" s="134"/>
      <c r="H63" s="134"/>
    </row>
    <row r="64" spans="1:9" ht="15.75" customHeight="1" x14ac:dyDescent="0.35">
      <c r="A64" s="185"/>
      <c r="B64" s="185"/>
      <c r="C64" s="185"/>
      <c r="D64" s="134" t="s">
        <v>287</v>
      </c>
      <c r="E64" s="134"/>
      <c r="F64" s="134"/>
      <c r="G64" s="134"/>
      <c r="H64" s="134"/>
    </row>
    <row r="65" spans="1:14" ht="15.75" customHeight="1" x14ac:dyDescent="0.35">
      <c r="A65" s="185"/>
      <c r="B65" s="185"/>
      <c r="C65" s="185"/>
      <c r="D65" s="134" t="s">
        <v>370</v>
      </c>
      <c r="E65" s="134"/>
      <c r="F65" s="134"/>
      <c r="G65" s="134"/>
      <c r="H65" s="134"/>
    </row>
    <row r="66" spans="1:14" ht="15.75" customHeight="1" x14ac:dyDescent="0.35">
      <c r="A66" s="185"/>
      <c r="B66" s="185"/>
      <c r="C66" s="185"/>
      <c r="D66" s="134" t="s">
        <v>371</v>
      </c>
      <c r="E66" s="134"/>
      <c r="F66" s="134"/>
      <c r="G66" s="134"/>
      <c r="H66" s="134"/>
    </row>
    <row r="67" spans="1:14" ht="15.75" customHeight="1" x14ac:dyDescent="0.35">
      <c r="A67" s="185"/>
      <c r="B67" s="185"/>
      <c r="C67" s="185"/>
      <c r="D67" s="134" t="s">
        <v>358</v>
      </c>
      <c r="E67" s="134"/>
      <c r="F67" s="134"/>
      <c r="G67" s="134"/>
      <c r="H67" s="134"/>
    </row>
    <row r="68" spans="1:14" ht="15.75" customHeight="1" x14ac:dyDescent="0.35">
      <c r="A68" s="185"/>
      <c r="B68" s="185"/>
      <c r="C68" s="185"/>
      <c r="D68" s="134" t="s">
        <v>359</v>
      </c>
      <c r="E68" s="134"/>
      <c r="F68" s="134"/>
      <c r="G68" s="134"/>
      <c r="H68" s="134"/>
    </row>
    <row r="69" spans="1:14" ht="15.75" customHeight="1" x14ac:dyDescent="0.35">
      <c r="A69" s="185"/>
      <c r="B69" s="185"/>
      <c r="C69" s="185"/>
      <c r="D69" s="134" t="s">
        <v>397</v>
      </c>
      <c r="E69" s="134"/>
      <c r="F69" s="134"/>
      <c r="G69" s="134"/>
      <c r="H69" s="134"/>
    </row>
    <row r="70" spans="1:14" x14ac:dyDescent="0.35">
      <c r="A70" s="185"/>
      <c r="B70" s="185"/>
      <c r="C70" s="185"/>
      <c r="D70" s="134" t="s">
        <v>398</v>
      </c>
      <c r="E70" s="134"/>
      <c r="F70" s="134"/>
      <c r="G70" s="134"/>
      <c r="H70" s="134"/>
      <c r="J70" s="36"/>
      <c r="K70" s="25"/>
      <c r="N70" s="25"/>
    </row>
    <row r="71" spans="1:14" ht="15.75" customHeight="1" x14ac:dyDescent="0.35">
      <c r="A71" s="185"/>
      <c r="B71" s="185"/>
      <c r="C71" s="185"/>
      <c r="D71" s="134" t="s">
        <v>399</v>
      </c>
      <c r="E71" s="134"/>
      <c r="F71" s="134"/>
      <c r="G71" s="134"/>
      <c r="H71" s="134"/>
      <c r="N71" s="25"/>
    </row>
    <row r="72" spans="1:14" ht="53.25" customHeight="1" x14ac:dyDescent="0.35">
      <c r="A72" s="134" t="s">
        <v>400</v>
      </c>
      <c r="B72" s="134"/>
      <c r="C72" s="134"/>
      <c r="D72" s="202" t="s">
        <v>401</v>
      </c>
      <c r="E72" s="202"/>
      <c r="F72" s="202"/>
      <c r="G72" s="202"/>
      <c r="H72" s="202"/>
      <c r="J72" s="37"/>
      <c r="K72" s="37"/>
    </row>
    <row r="73" spans="1:14" ht="15.75" customHeight="1" thickBot="1" x14ac:dyDescent="0.4">
      <c r="A73" s="134" t="s">
        <v>108</v>
      </c>
      <c r="B73" s="134"/>
      <c r="C73" s="134"/>
      <c r="D73" s="224" t="str">
        <f>(IF(G56="NA","60 Years After Completion",IF(G56&lt;&gt;"NA",""&amp;60-ROUNDDOWN((E3-G56)/360,0)&amp;" Years"," ")))</f>
        <v>60 Years After Completion</v>
      </c>
      <c r="E73" s="224"/>
      <c r="F73" s="224"/>
      <c r="G73" s="224"/>
      <c r="H73" s="224"/>
      <c r="J73" s="37"/>
    </row>
    <row r="74" spans="1:14" s="35" customFormat="1" ht="15.75" customHeight="1" x14ac:dyDescent="0.35">
      <c r="A74" s="134" t="s">
        <v>109</v>
      </c>
      <c r="B74" s="134"/>
      <c r="C74" s="134"/>
      <c r="D74" s="185" t="s">
        <v>22</v>
      </c>
      <c r="E74" s="185"/>
      <c r="F74" s="185"/>
      <c r="G74" s="185"/>
      <c r="H74" s="185"/>
      <c r="I74" s="21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","0")))&amp;(IF(C81=0%,"",IF(C81=J80,"Footing work is process",IF(C81=J81,"Footing work Completed",IF(C81=J82,"1st Basement Completed",IF(C81=J83,"1st &amp; 2nd Basement Completed",IF(C81=J84,"1st to 3rd Basement Completed",IF(C81=J85,"1st to 4th Basement Completed",IF(C81=J86,"Plinth work is process",IF(C81=J87,"Plinth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Slab, Brickwork, Internal Plaster, External Plaster, Flooring upto 30 Floor, Painting upto 30 Floor, Finishing upto 5 Floor Completed</v>
      </c>
      <c r="J74" s="38"/>
    </row>
    <row r="75" spans="1:14" s="35" customFormat="1" ht="16" thickBot="1" x14ac:dyDescent="0.4">
      <c r="A75" s="200" t="s">
        <v>107</v>
      </c>
      <c r="B75" s="200"/>
      <c r="C75" s="200"/>
      <c r="D75" s="201" t="str">
        <f ca="1">(IF(G80&gt;95%,"Nothing",IF(G80&gt;0%,"Cement, Aggregate, Steel, etc",IF(G80=0%,"Work not yet Started"))))</f>
        <v>Cement, Aggregate, Steel, etc</v>
      </c>
      <c r="E75" s="201"/>
      <c r="F75" s="201"/>
      <c r="G75" s="201"/>
      <c r="H75" s="201"/>
      <c r="I75" s="22"/>
      <c r="J75" s="39"/>
    </row>
    <row r="76" spans="1:14" s="35" customFormat="1" x14ac:dyDescent="0.35">
      <c r="A76" s="150" t="s">
        <v>162</v>
      </c>
      <c r="B76" s="151"/>
      <c r="C76" s="152" t="str">
        <f>D61</f>
        <v>Wing A  = 2B + G/St + 2 Podium (Pt) + 1st Floor to 33rd Floor</v>
      </c>
      <c r="D76" s="153"/>
      <c r="E76" s="153"/>
      <c r="F76" s="153"/>
      <c r="G76" s="153"/>
      <c r="H76" s="154"/>
      <c r="I76" s="22" t="s">
        <v>124</v>
      </c>
      <c r="J76" s="39"/>
    </row>
    <row r="77" spans="1:14" s="35" customFormat="1" ht="15.75" customHeight="1" x14ac:dyDescent="0.35">
      <c r="A77" s="30" t="s">
        <v>164</v>
      </c>
      <c r="B77" s="31">
        <v>2</v>
      </c>
      <c r="C77" s="31" t="s">
        <v>93</v>
      </c>
      <c r="D77" s="31">
        <v>1</v>
      </c>
      <c r="E77" s="31" t="s">
        <v>92</v>
      </c>
      <c r="F77" s="31">
        <v>2</v>
      </c>
      <c r="G77" s="31" t="s">
        <v>101</v>
      </c>
      <c r="H77" s="19">
        <f ca="1">--TRIM(RIGHT(SUBSTITUTE(LEFT(C76,_xlfn.AGGREGATE(16,6,FIND({0,1,2,3,4,5,6,7,8,9},C76,ROW(INDIRECT("1:"&amp;LEN(C76)))),1))," ",REPT(" ",LEN(C76))),LEN(C76)))</f>
        <v>33</v>
      </c>
      <c r="I77" s="23" t="s">
        <v>163</v>
      </c>
      <c r="J77" s="40">
        <f ca="1">H77*25%</f>
        <v>8.25</v>
      </c>
    </row>
    <row r="78" spans="1:14" s="35" customFormat="1" ht="47.5" customHeight="1" x14ac:dyDescent="0.35">
      <c r="A78" s="155" t="s">
        <v>111</v>
      </c>
      <c r="B78" s="156"/>
      <c r="C78" s="157" t="str">
        <f ca="1">I74</f>
        <v>Excavation work Completed. Plinth work completed, RCC Slab, Brickwork, Internal Plaster, External Plaster, Flooring upto 30 Floor, Painting upto 30 Floor, Finishing upto 5 Floor Completed</v>
      </c>
      <c r="D78" s="157"/>
      <c r="E78" s="157"/>
      <c r="F78" s="157"/>
      <c r="G78" s="157"/>
      <c r="H78" s="158"/>
      <c r="I78" s="23" t="s">
        <v>119</v>
      </c>
      <c r="J78" s="43">
        <f ca="1">H77*50%</f>
        <v>16.5</v>
      </c>
    </row>
    <row r="79" spans="1:14" s="35" customFormat="1" x14ac:dyDescent="0.35">
      <c r="A79" s="159" t="s">
        <v>46</v>
      </c>
      <c r="B79" s="148"/>
      <c r="C79" s="29" t="s">
        <v>161</v>
      </c>
      <c r="D79" s="29" t="s">
        <v>104</v>
      </c>
      <c r="E79" s="148" t="s">
        <v>106</v>
      </c>
      <c r="F79" s="148"/>
      <c r="G79" s="148" t="s">
        <v>105</v>
      </c>
      <c r="H79" s="160"/>
      <c r="I79" s="23" t="s">
        <v>120</v>
      </c>
      <c r="J79" s="43">
        <f ca="1">H77</f>
        <v>33</v>
      </c>
      <c r="M79" s="75" t="s">
        <v>416</v>
      </c>
    </row>
    <row r="80" spans="1:14" s="35" customFormat="1" ht="15.75" customHeight="1" x14ac:dyDescent="0.35">
      <c r="A80" s="148" t="s">
        <v>150</v>
      </c>
      <c r="B80" s="148"/>
      <c r="C80" s="41">
        <f ca="1">J79</f>
        <v>33</v>
      </c>
      <c r="D80" s="104">
        <f ca="1">((100/H77)*C80)/100</f>
        <v>1</v>
      </c>
      <c r="E80" s="149">
        <f ca="1">(((C81/H77*10)+(40/(D77+F77+H77)*C82)+(7.5/(H77)*C83)+(7.5/(H77)*C84)+(10/H77*C85)+(10/H77*C86)+(5/H77*C87)+(5/H77*C88)+(5/H77*C89))/100)</f>
        <v>0.89393939393939392</v>
      </c>
      <c r="F80" s="149"/>
      <c r="G80" s="149">
        <f ca="1">((((C80/H77)*20)+((C81/H77)*25)+(30/(H77+F77+D77)*C82)+(5/H77*C83)+(5/H77*C84)+(5/H77*C85)+(5/H77*C86)+(0/H77*C87)+(0/H77*C88)+(5/H77*C89))/100)</f>
        <v>0.94545454545454544</v>
      </c>
      <c r="H80" s="149"/>
      <c r="I80" s="23" t="s">
        <v>121</v>
      </c>
      <c r="J80" s="45">
        <f ca="1">(IF(B77&gt;1,(H77/(B77+2)),H77/4))</f>
        <v>8.25</v>
      </c>
      <c r="K80" s="74" t="s">
        <v>417</v>
      </c>
    </row>
    <row r="81" spans="1:18" s="35" customFormat="1" ht="15.75" customHeight="1" x14ac:dyDescent="0.35">
      <c r="A81" s="148" t="s">
        <v>47</v>
      </c>
      <c r="B81" s="148"/>
      <c r="C81" s="44">
        <f ca="1">J87</f>
        <v>33</v>
      </c>
      <c r="D81" s="104">
        <f ca="1">((100/H77)*C81)/100</f>
        <v>1</v>
      </c>
      <c r="E81" s="149"/>
      <c r="F81" s="149"/>
      <c r="G81" s="149"/>
      <c r="H81" s="149"/>
      <c r="I81" s="23" t="s">
        <v>122</v>
      </c>
      <c r="J81" s="45">
        <f ca="1">(IF(B77&gt;1,(H77/(B77+2)+J80),H77/4+J80))</f>
        <v>16.5</v>
      </c>
    </row>
    <row r="82" spans="1:18" s="35" customFormat="1" ht="15.75" customHeight="1" x14ac:dyDescent="0.35">
      <c r="A82" s="225" t="s">
        <v>151</v>
      </c>
      <c r="B82" s="225"/>
      <c r="C82" s="44">
        <v>36</v>
      </c>
      <c r="D82" s="104">
        <f ca="1">((100/(D77+F77+H77))*C82)/100</f>
        <v>1</v>
      </c>
      <c r="E82" s="149"/>
      <c r="F82" s="149"/>
      <c r="G82" s="149"/>
      <c r="H82" s="149"/>
      <c r="I82" s="23" t="s">
        <v>168</v>
      </c>
      <c r="J82" s="45">
        <f ca="1">(IF(B77&gt;1,(H77/(B77+2)+J81),0))</f>
        <v>24.75</v>
      </c>
    </row>
    <row r="83" spans="1:18" s="35" customFormat="1" ht="15" customHeight="1" x14ac:dyDescent="0.35">
      <c r="A83" s="148" t="s">
        <v>158</v>
      </c>
      <c r="B83" s="148" t="s">
        <v>152</v>
      </c>
      <c r="C83" s="44">
        <f>C82-F77-1</f>
        <v>33</v>
      </c>
      <c r="D83" s="104">
        <f ca="1">((100/H77)*C83)/100</f>
        <v>1</v>
      </c>
      <c r="E83" s="149"/>
      <c r="F83" s="149"/>
      <c r="G83" s="149"/>
      <c r="H83" s="149"/>
      <c r="I83" s="23" t="s">
        <v>165</v>
      </c>
      <c r="J83" s="45">
        <f>(IF(B77&gt;2,(H77/(B77+2)+J82),0))</f>
        <v>0</v>
      </c>
    </row>
    <row r="84" spans="1:18" s="35" customFormat="1" ht="15.75" customHeight="1" x14ac:dyDescent="0.35">
      <c r="A84" s="148" t="s">
        <v>159</v>
      </c>
      <c r="B84" s="148" t="s">
        <v>152</v>
      </c>
      <c r="C84" s="44">
        <v>33</v>
      </c>
      <c r="D84" s="104">
        <f ca="1">((100/H77)*C84)/100</f>
        <v>1</v>
      </c>
      <c r="E84" s="149"/>
      <c r="F84" s="149"/>
      <c r="G84" s="149"/>
      <c r="H84" s="149"/>
      <c r="I84" s="23" t="s">
        <v>166</v>
      </c>
      <c r="J84" s="46">
        <f>(IF(B77&gt;3,(H77/(B77+2)+J83),0))</f>
        <v>0</v>
      </c>
    </row>
    <row r="85" spans="1:18" s="35" customFormat="1" ht="15.75" customHeight="1" x14ac:dyDescent="0.35">
      <c r="A85" s="148" t="s">
        <v>157</v>
      </c>
      <c r="B85" s="148" t="s">
        <v>154</v>
      </c>
      <c r="C85" s="44">
        <v>33</v>
      </c>
      <c r="D85" s="104">
        <f ca="1">((100/(H77))*C85)/100</f>
        <v>1</v>
      </c>
      <c r="E85" s="149"/>
      <c r="F85" s="149"/>
      <c r="G85" s="149"/>
      <c r="H85" s="149"/>
      <c r="I85" s="23" t="s">
        <v>167</v>
      </c>
      <c r="J85" s="45">
        <f>(IF(B77&gt;4,(H77/(B77+2)+J84),0))</f>
        <v>0</v>
      </c>
    </row>
    <row r="86" spans="1:18" s="35" customFormat="1" ht="15.75" customHeight="1" x14ac:dyDescent="0.35">
      <c r="A86" s="148" t="s">
        <v>153</v>
      </c>
      <c r="B86" s="148" t="s">
        <v>153</v>
      </c>
      <c r="C86" s="41">
        <v>30</v>
      </c>
      <c r="D86" s="104">
        <f ca="1">((100/H77)*C86)/100</f>
        <v>0.90909090909090906</v>
      </c>
      <c r="E86" s="149"/>
      <c r="F86" s="149"/>
      <c r="G86" s="149"/>
      <c r="H86" s="149"/>
      <c r="I86" s="23" t="s">
        <v>169</v>
      </c>
      <c r="J86" s="45">
        <f>(IF(B77=1,(H77/(B77+3)+J81),IF(B77=0,(H77/4+J81),IF(B77&gt;1,0))))</f>
        <v>0</v>
      </c>
    </row>
    <row r="87" spans="1:18" s="35" customFormat="1" ht="16" thickBot="1" x14ac:dyDescent="0.4">
      <c r="A87" s="148" t="s">
        <v>160</v>
      </c>
      <c r="B87" s="148"/>
      <c r="C87" s="41">
        <v>30</v>
      </c>
      <c r="D87" s="104">
        <f ca="1">((100/H77)*C87)/100</f>
        <v>0.90909090909090906</v>
      </c>
      <c r="E87" s="149"/>
      <c r="F87" s="149"/>
      <c r="G87" s="149"/>
      <c r="H87" s="149"/>
      <c r="I87" s="24" t="s">
        <v>123</v>
      </c>
      <c r="J87" s="49">
        <f ca="1">(IF(B77&gt;1.5,(H77/(B77+2)+J81+MAX(0,J82-J81)+MAX(0,J83-J82)+MAX(0,J84-J83)+MAX(0,J85-J84)+MAX(0,J86-J85)),IF(B77=1,(H77/(B77+3)+J86),IF(B77=0,H77/4+J86))))</f>
        <v>33</v>
      </c>
    </row>
    <row r="88" spans="1:18" s="35" customFormat="1" ht="15.75" customHeight="1" x14ac:dyDescent="0.35">
      <c r="A88" s="148" t="s">
        <v>155</v>
      </c>
      <c r="B88" s="148" t="s">
        <v>155</v>
      </c>
      <c r="C88" s="41">
        <v>5</v>
      </c>
      <c r="D88" s="104">
        <f ca="1">((100/(H77))*C88)/100</f>
        <v>0.15151515151515152</v>
      </c>
      <c r="E88" s="149"/>
      <c r="F88" s="149"/>
      <c r="G88" s="149"/>
      <c r="H88" s="149"/>
      <c r="I88" s="21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","0")))&amp;(IF(C95=0%,"",IF(C95=J94,"Footing work is process",IF(C95=J95,"Footing work Completed",IF(C95=J96,"1st Basement Completed",IF(C95=J97,"1st &amp; 2nd Basement Completed",IF(C95=J98,"1st to 3rd Basement Completed",IF(C95=J99,"1st to 4th Basement Completed",IF(C95=J100,"Plinth work is process",IF(C95=J101,"Plinth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Slab, Brickwork, Internal Plaster, External Plaster, Flooring upto 30 Floor, Painting upto 30 Floor, Finishing upto 5 Floor Completed</v>
      </c>
      <c r="J88" s="38"/>
    </row>
    <row r="89" spans="1:18" s="35" customFormat="1" x14ac:dyDescent="0.35">
      <c r="A89" s="148" t="s">
        <v>156</v>
      </c>
      <c r="B89" s="148"/>
      <c r="C89" s="41">
        <v>0</v>
      </c>
      <c r="D89" s="104">
        <f ca="1">((100/(H77))*C89)/100</f>
        <v>0</v>
      </c>
      <c r="E89" s="149"/>
      <c r="F89" s="149"/>
      <c r="G89" s="149"/>
      <c r="H89" s="149"/>
      <c r="I89" s="22"/>
      <c r="J89" s="39"/>
    </row>
    <row r="90" spans="1:18" s="35" customFormat="1" x14ac:dyDescent="0.35">
      <c r="A90" s="157" t="s">
        <v>162</v>
      </c>
      <c r="B90" s="157"/>
      <c r="C90" s="157" t="str">
        <f>D62</f>
        <v>Wing B  = 2B + G/St + 2 Podium (Pt) + 1st Floor to 33rd Floor</v>
      </c>
      <c r="D90" s="157"/>
      <c r="E90" s="157"/>
      <c r="F90" s="157"/>
      <c r="G90" s="157"/>
      <c r="H90" s="157"/>
      <c r="I90" s="22" t="s">
        <v>124</v>
      </c>
      <c r="J90" s="39"/>
    </row>
    <row r="91" spans="1:18" s="35" customFormat="1" ht="15.75" customHeight="1" x14ac:dyDescent="0.35">
      <c r="A91" s="105" t="s">
        <v>164</v>
      </c>
      <c r="B91" s="105">
        <v>2</v>
      </c>
      <c r="C91" s="105" t="s">
        <v>93</v>
      </c>
      <c r="D91" s="105">
        <v>1</v>
      </c>
      <c r="E91" s="105" t="s">
        <v>92</v>
      </c>
      <c r="F91" s="105">
        <v>2</v>
      </c>
      <c r="G91" s="105" t="s">
        <v>101</v>
      </c>
      <c r="H91" s="105">
        <f ca="1">--TRIM(RIGHT(SUBSTITUTE(LEFT(C90,_xlfn.AGGREGATE(16,6,FIND({0,1,2,3,4,5,6,7,8,9},C90,ROW(INDIRECT("1:"&amp;LEN(C90)))),1))," ",REPT(" ",LEN(C90))),LEN(C90)))</f>
        <v>33</v>
      </c>
      <c r="I91" s="23" t="s">
        <v>163</v>
      </c>
      <c r="J91" s="40">
        <f ca="1">H91*25%</f>
        <v>8.25</v>
      </c>
    </row>
    <row r="92" spans="1:18" s="35" customFormat="1" ht="47.5" customHeight="1" x14ac:dyDescent="0.35">
      <c r="A92" s="156" t="s">
        <v>111</v>
      </c>
      <c r="B92" s="156"/>
      <c r="C92" s="157" t="str">
        <f ca="1">I88</f>
        <v>Excavation work Completed. Plinth work completed, RCC Slab, Brickwork, Internal Plaster, External Plaster, Flooring upto 30 Floor, Painting upto 30 Floor, Finishing upto 5 Floor Completed</v>
      </c>
      <c r="D92" s="157"/>
      <c r="E92" s="157"/>
      <c r="F92" s="157"/>
      <c r="G92" s="157"/>
      <c r="H92" s="157"/>
      <c r="I92" s="23" t="s">
        <v>119</v>
      </c>
      <c r="J92" s="43">
        <f ca="1">H91*50%</f>
        <v>16.5</v>
      </c>
    </row>
    <row r="93" spans="1:18" s="35" customFormat="1" x14ac:dyDescent="0.35">
      <c r="A93" s="159" t="s">
        <v>46</v>
      </c>
      <c r="B93" s="148"/>
      <c r="C93" s="29" t="s">
        <v>161</v>
      </c>
      <c r="D93" s="29" t="s">
        <v>104</v>
      </c>
      <c r="E93" s="148" t="s">
        <v>106</v>
      </c>
      <c r="F93" s="148"/>
      <c r="G93" s="148" t="s">
        <v>105</v>
      </c>
      <c r="H93" s="160"/>
      <c r="I93" s="23" t="s">
        <v>120</v>
      </c>
      <c r="J93" s="43">
        <f ca="1">H91</f>
        <v>33</v>
      </c>
    </row>
    <row r="94" spans="1:18" s="35" customFormat="1" ht="15.75" customHeight="1" x14ac:dyDescent="0.35">
      <c r="A94" s="159" t="s">
        <v>150</v>
      </c>
      <c r="B94" s="148"/>
      <c r="C94" s="41">
        <f ca="1">J93</f>
        <v>33</v>
      </c>
      <c r="D94" s="42">
        <f ca="1">((100/H91)*C94)/100</f>
        <v>1</v>
      </c>
      <c r="E94" s="149">
        <f ca="1">(((C95/H91*10)+(40/(D91+F91+H91)*C96)+(7.5/(H91)*C97)+(7.5/(H91)*C98)+(10/H91*C99)+(10/H91*C100)+(5/H91*C101)+(5/H91*C102)+(5/H91*C103))/100)</f>
        <v>0.89393939393939392</v>
      </c>
      <c r="F94" s="149"/>
      <c r="G94" s="149">
        <f ca="1">((((C94/H91)*20)+((C95/H91)*25)+(30/(H91+F91+D91)*C96)+(5/H91*C97)+(5/H91*C98)+(5/H91*C99)+(5/H91*C100)+(0/H91*C101)+(0/H91*C102)+(5/H91*C103))/100)</f>
        <v>0.94545454545454544</v>
      </c>
      <c r="H94" s="166"/>
      <c r="I94" s="23" t="s">
        <v>121</v>
      </c>
      <c r="J94" s="45">
        <f ca="1">(IF(B91&gt;1,(H91/(B91+2)),H91/4))</f>
        <v>8.25</v>
      </c>
    </row>
    <row r="95" spans="1:18" s="35" customFormat="1" ht="15.75" customHeight="1" x14ac:dyDescent="0.35">
      <c r="A95" s="159" t="s">
        <v>47</v>
      </c>
      <c r="B95" s="148"/>
      <c r="C95" s="44">
        <v>33</v>
      </c>
      <c r="D95" s="42">
        <f ca="1">((100/H91)*C95)/100</f>
        <v>1</v>
      </c>
      <c r="E95" s="149"/>
      <c r="F95" s="149"/>
      <c r="G95" s="149"/>
      <c r="H95" s="166"/>
      <c r="I95" s="23" t="s">
        <v>122</v>
      </c>
      <c r="J95" s="45">
        <f ca="1">(IF(B91&gt;1,(H91/(B91+2)+J94),H91/4+J94))</f>
        <v>16.5</v>
      </c>
    </row>
    <row r="96" spans="1:18" s="35" customFormat="1" ht="15.75" customHeight="1" x14ac:dyDescent="0.35">
      <c r="A96" s="260" t="s">
        <v>151</v>
      </c>
      <c r="B96" s="225"/>
      <c r="C96" s="44">
        <v>36</v>
      </c>
      <c r="D96" s="42">
        <f ca="1">((100/(D91+F91+H91))*C96)/100</f>
        <v>1</v>
      </c>
      <c r="E96" s="149"/>
      <c r="F96" s="149"/>
      <c r="G96" s="149"/>
      <c r="H96" s="166"/>
      <c r="I96" s="23" t="s">
        <v>168</v>
      </c>
      <c r="J96" s="45">
        <f ca="1">(IF(B91&gt;1,(H91/(B91+2)+J95),0))</f>
        <v>24.75</v>
      </c>
      <c r="L96" s="34" t="s">
        <v>378</v>
      </c>
      <c r="M96" s="34"/>
      <c r="N96" s="34"/>
      <c r="O96" s="34"/>
      <c r="P96" s="34"/>
      <c r="Q96" s="34"/>
      <c r="R96" s="34"/>
    </row>
    <row r="97" spans="1:10" s="35" customFormat="1" ht="15" customHeight="1" x14ac:dyDescent="0.35">
      <c r="A97" s="159" t="s">
        <v>158</v>
      </c>
      <c r="B97" s="148" t="s">
        <v>152</v>
      </c>
      <c r="C97" s="44">
        <f>C96-F91-1</f>
        <v>33</v>
      </c>
      <c r="D97" s="42">
        <f ca="1">((100/H91)*C97)/100</f>
        <v>1</v>
      </c>
      <c r="E97" s="149"/>
      <c r="F97" s="149"/>
      <c r="G97" s="149"/>
      <c r="H97" s="166"/>
      <c r="I97" s="23" t="s">
        <v>165</v>
      </c>
      <c r="J97" s="45">
        <f>(IF(B91&gt;2,(H91/(B91+2)+J96),0))</f>
        <v>0</v>
      </c>
    </row>
    <row r="98" spans="1:10" s="35" customFormat="1" ht="15.75" customHeight="1" x14ac:dyDescent="0.35">
      <c r="A98" s="159" t="s">
        <v>159</v>
      </c>
      <c r="B98" s="148" t="s">
        <v>152</v>
      </c>
      <c r="C98" s="44">
        <v>33</v>
      </c>
      <c r="D98" s="42">
        <f ca="1">((100/H91)*C98)/100</f>
        <v>1</v>
      </c>
      <c r="E98" s="149"/>
      <c r="F98" s="149"/>
      <c r="G98" s="149"/>
      <c r="H98" s="166"/>
      <c r="I98" s="23" t="s">
        <v>166</v>
      </c>
      <c r="J98" s="46">
        <f>(IF(B91&gt;3,(H91/(B91+2)+J97),0))</f>
        <v>0</v>
      </c>
    </row>
    <row r="99" spans="1:10" s="35" customFormat="1" ht="15.75" customHeight="1" x14ac:dyDescent="0.35">
      <c r="A99" s="159" t="s">
        <v>157</v>
      </c>
      <c r="B99" s="148" t="s">
        <v>154</v>
      </c>
      <c r="C99" s="44">
        <v>33</v>
      </c>
      <c r="D99" s="42">
        <f ca="1">((100/(H91))*C99)/100</f>
        <v>1</v>
      </c>
      <c r="E99" s="149"/>
      <c r="F99" s="149"/>
      <c r="G99" s="149"/>
      <c r="H99" s="166"/>
      <c r="I99" s="23" t="s">
        <v>167</v>
      </c>
      <c r="J99" s="45">
        <f>(IF(B91&gt;4,(H91/(B91+2)+J98),0))</f>
        <v>0</v>
      </c>
    </row>
    <row r="100" spans="1:10" s="35" customFormat="1" ht="15.75" customHeight="1" x14ac:dyDescent="0.35">
      <c r="A100" s="159" t="s">
        <v>153</v>
      </c>
      <c r="B100" s="148" t="s">
        <v>153</v>
      </c>
      <c r="C100" s="41">
        <v>30</v>
      </c>
      <c r="D100" s="42">
        <f ca="1">((100/H91)*C100)/100</f>
        <v>0.90909090909090906</v>
      </c>
      <c r="E100" s="149"/>
      <c r="F100" s="149"/>
      <c r="G100" s="149"/>
      <c r="H100" s="166"/>
      <c r="I100" s="23" t="s">
        <v>169</v>
      </c>
      <c r="J100" s="45">
        <f>(IF(B91=1,(H91/(B91+3)+J95),IF(B91=0,(H91/4+J95),IF(B91&gt;1,0))))</f>
        <v>0</v>
      </c>
    </row>
    <row r="101" spans="1:10" s="35" customFormat="1" ht="16" thickBot="1" x14ac:dyDescent="0.4">
      <c r="A101" s="159" t="s">
        <v>160</v>
      </c>
      <c r="B101" s="148"/>
      <c r="C101" s="41">
        <v>30</v>
      </c>
      <c r="D101" s="42">
        <f ca="1">((100/H91)*C101)/100</f>
        <v>0.90909090909090906</v>
      </c>
      <c r="E101" s="149"/>
      <c r="F101" s="149"/>
      <c r="G101" s="149"/>
      <c r="H101" s="166"/>
      <c r="I101" s="24" t="s">
        <v>123</v>
      </c>
      <c r="J101" s="49">
        <f ca="1">(IF(B91&gt;1.5,(H91/(B91+2)+J95+MAX(0,J96-J95)+MAX(0,J97-J96)+MAX(0,J98-J97)+MAX(0,J99-J98)+MAX(0,J100-J99)),IF(B91=1,(H91/(B91+3)+J100),IF(B91=0,H91/4+J100))))</f>
        <v>33</v>
      </c>
    </row>
    <row r="102" spans="1:10" s="35" customFormat="1" ht="15.75" customHeight="1" x14ac:dyDescent="0.35">
      <c r="A102" s="159" t="s">
        <v>155</v>
      </c>
      <c r="B102" s="148" t="s">
        <v>155</v>
      </c>
      <c r="C102" s="41">
        <v>5</v>
      </c>
      <c r="D102" s="42">
        <f ca="1">((100/(H91))*C102)/100</f>
        <v>0.15151515151515152</v>
      </c>
      <c r="E102" s="149"/>
      <c r="F102" s="149"/>
      <c r="G102" s="149"/>
      <c r="H102" s="166"/>
      <c r="I102" s="21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","0")))&amp;(IF(C109=0%,"",IF(C109=J108,"Footing work is process",IF(C109=J109,"Footing work Completed",IF(C109=J110,"1st Basement Completed",IF(C109=J111,"1st &amp; 2nd Basement Completed",IF(C109=J112,"1st to 3rd Basement Completed",IF(C109=J113,"1st to 4th Basement Completed",IF(C109=J114,"Plinth work is process",IF(C109=J115,"Plinth work completed","0")))))))))))&amp;(IF(C110=(D105+F105+H105),", RCC Slab",IF(C110&gt;0,", RCC upto "&amp;C110&amp;" Slab",""))&amp;(IF(C111=H105,", Brickwork",IF(C111&gt;0,", Brickwork upto "&amp;C111&amp;" Floor",""))&amp;(IF(C112=H105,", Internal Plaster",IF(C112&gt;0,", Internal Plaster upto "&amp;C112&amp;" Floor",""))&amp;(IF(C113=H105,", External Plaster",IF(C113&gt;0,", External Plaster upto "&amp;C113&amp;" Floor",""))&amp;(IF(C114=H105,", Flooring",IF(C114&gt;0,", Flooring upto "&amp;C114&amp;" Floor",""))&amp;(IF(C115=H105,", Painting",IF(C115&gt;0,", Painting upto "&amp;C115&amp;" Floor",""))&amp;(IF(C116&gt;0,", Finishing upto "&amp;C116&amp;" Floor","")&amp;(IF(C110&gt;0.5," Completed",""))))))))))))))</f>
        <v>Excavation work Completed. Plinth work completed, RCC Slab, Brickwork, Internal Plaster, External Plaster, Flooring upto 16 Floor, Painting upto 12 Floor Completed</v>
      </c>
      <c r="J102" s="38"/>
    </row>
    <row r="103" spans="1:10" s="35" customFormat="1" ht="16" thickBot="1" x14ac:dyDescent="0.4">
      <c r="A103" s="175" t="s">
        <v>156</v>
      </c>
      <c r="B103" s="176"/>
      <c r="C103" s="47">
        <v>0</v>
      </c>
      <c r="D103" s="48">
        <f ca="1">((100/(H91))*C103)/100</f>
        <v>0</v>
      </c>
      <c r="E103" s="165"/>
      <c r="F103" s="165"/>
      <c r="G103" s="165"/>
      <c r="H103" s="167"/>
      <c r="I103" s="22"/>
      <c r="J103" s="39"/>
    </row>
    <row r="104" spans="1:10" s="35" customFormat="1" x14ac:dyDescent="0.35">
      <c r="A104" s="150" t="s">
        <v>162</v>
      </c>
      <c r="B104" s="151"/>
      <c r="C104" s="152" t="str">
        <f>D63</f>
        <v>Wing C  = 2B + G/St + 2 Podium (Pt) + 1st Floor to 33rd Floor</v>
      </c>
      <c r="D104" s="153"/>
      <c r="E104" s="153"/>
      <c r="F104" s="153"/>
      <c r="G104" s="153"/>
      <c r="H104" s="154"/>
      <c r="I104" s="22" t="s">
        <v>124</v>
      </c>
      <c r="J104" s="39"/>
    </row>
    <row r="105" spans="1:10" s="35" customFormat="1" ht="15.75" customHeight="1" x14ac:dyDescent="0.35">
      <c r="A105" s="30" t="s">
        <v>164</v>
      </c>
      <c r="B105" s="31">
        <v>2</v>
      </c>
      <c r="C105" s="31" t="s">
        <v>93</v>
      </c>
      <c r="D105" s="31">
        <v>1</v>
      </c>
      <c r="E105" s="31" t="s">
        <v>92</v>
      </c>
      <c r="F105" s="31">
        <v>2</v>
      </c>
      <c r="G105" s="31" t="s">
        <v>101</v>
      </c>
      <c r="H105" s="19">
        <f ca="1">--TRIM(RIGHT(SUBSTITUTE(LEFT(C104,_xlfn.AGGREGATE(16,6,FIND({0,1,2,3,4,5,6,7,8,9},C104,ROW(INDIRECT("1:"&amp;LEN(C104)))),1))," ",REPT(" ",LEN(C104))),LEN(C104)))</f>
        <v>33</v>
      </c>
      <c r="I105" s="23" t="s">
        <v>163</v>
      </c>
      <c r="J105" s="40">
        <f ca="1">H105*25%</f>
        <v>8.25</v>
      </c>
    </row>
    <row r="106" spans="1:10" s="35" customFormat="1" ht="31.5" customHeight="1" x14ac:dyDescent="0.35">
      <c r="A106" s="155" t="s">
        <v>111</v>
      </c>
      <c r="B106" s="156"/>
      <c r="C106" s="157" t="str">
        <f ca="1">I102</f>
        <v>Excavation work Completed. Plinth work completed, RCC Slab, Brickwork, Internal Plaster, External Plaster, Flooring upto 16 Floor, Painting upto 12 Floor Completed</v>
      </c>
      <c r="D106" s="157"/>
      <c r="E106" s="157"/>
      <c r="F106" s="157"/>
      <c r="G106" s="157"/>
      <c r="H106" s="158"/>
      <c r="I106" s="23" t="s">
        <v>119</v>
      </c>
      <c r="J106" s="43">
        <f ca="1">H105*50%</f>
        <v>16.5</v>
      </c>
    </row>
    <row r="107" spans="1:10" s="35" customFormat="1" x14ac:dyDescent="0.35">
      <c r="A107" s="159" t="s">
        <v>46</v>
      </c>
      <c r="B107" s="148"/>
      <c r="C107" s="29" t="s">
        <v>161</v>
      </c>
      <c r="D107" s="29" t="s">
        <v>104</v>
      </c>
      <c r="E107" s="148" t="s">
        <v>106</v>
      </c>
      <c r="F107" s="148"/>
      <c r="G107" s="148" t="s">
        <v>105</v>
      </c>
      <c r="H107" s="160"/>
      <c r="I107" s="23" t="s">
        <v>120</v>
      </c>
      <c r="J107" s="43">
        <f ca="1">H105</f>
        <v>33</v>
      </c>
    </row>
    <row r="108" spans="1:10" s="35" customFormat="1" ht="15.75" customHeight="1" x14ac:dyDescent="0.35">
      <c r="A108" s="159" t="s">
        <v>150</v>
      </c>
      <c r="B108" s="148"/>
      <c r="C108" s="41">
        <f ca="1">J107</f>
        <v>33</v>
      </c>
      <c r="D108" s="42">
        <f ca="1">((100/H105)*C108)/100</f>
        <v>1</v>
      </c>
      <c r="E108" s="149">
        <f ca="1">(((C109/H105*10)+(40/(D105+F105+H105)*C110)+(7.5/(H105)*C111)+(7.5/(H105)*C112)+(10/H105*C113)+(10/H105*C114)+(5/H105*C115)+(5/H105*C116)+(5/H105*C117))/100)</f>
        <v>0.81666666666666654</v>
      </c>
      <c r="F108" s="149"/>
      <c r="G108" s="149">
        <f ca="1">((((C108/H105)*20)+((C109/H105)*25)+(30/(H105+F105+D105)*C110)+(5/H105*C111)+(5/H105*C112)+(5/H105*C113)+(5/H105*C114)+(0/H105*C115)+(0/H105*C116)+(5/H105*C117))/100)</f>
        <v>0.9242424242424242</v>
      </c>
      <c r="H108" s="166"/>
      <c r="I108" s="23" t="s">
        <v>121</v>
      </c>
      <c r="J108" s="45">
        <f ca="1">(IF(B105&gt;1,(H105/(B105+2)),H105/4))</f>
        <v>8.25</v>
      </c>
    </row>
    <row r="109" spans="1:10" s="35" customFormat="1" ht="15.75" customHeight="1" x14ac:dyDescent="0.35">
      <c r="A109" s="159" t="s">
        <v>47</v>
      </c>
      <c r="B109" s="148"/>
      <c r="C109" s="44">
        <v>33</v>
      </c>
      <c r="D109" s="42">
        <f ca="1">((100/H105)*C109)/100</f>
        <v>1</v>
      </c>
      <c r="E109" s="149"/>
      <c r="F109" s="149"/>
      <c r="G109" s="149"/>
      <c r="H109" s="166"/>
      <c r="I109" s="23" t="s">
        <v>122</v>
      </c>
      <c r="J109" s="45">
        <f ca="1">(IF(B105&gt;1,(H105/(B105+2)+J108),H105/4+J108))</f>
        <v>16.5</v>
      </c>
    </row>
    <row r="110" spans="1:10" s="35" customFormat="1" ht="15.75" customHeight="1" x14ac:dyDescent="0.35">
      <c r="A110" s="159" t="s">
        <v>151</v>
      </c>
      <c r="B110" s="148"/>
      <c r="C110" s="44">
        <v>36</v>
      </c>
      <c r="D110" s="42">
        <f ca="1">((100/(D105+F105+H105))*C110)/100</f>
        <v>1</v>
      </c>
      <c r="E110" s="149"/>
      <c r="F110" s="149"/>
      <c r="G110" s="149"/>
      <c r="H110" s="166"/>
      <c r="I110" s="23" t="s">
        <v>168</v>
      </c>
      <c r="J110" s="45">
        <f ca="1">(IF(B105&gt;1,(H105/(B105+2)+J109),0))</f>
        <v>24.75</v>
      </c>
    </row>
    <row r="111" spans="1:10" s="35" customFormat="1" ht="15" customHeight="1" x14ac:dyDescent="0.35">
      <c r="A111" s="159" t="s">
        <v>158</v>
      </c>
      <c r="B111" s="148" t="s">
        <v>152</v>
      </c>
      <c r="C111" s="44">
        <f>C110-F105-1</f>
        <v>33</v>
      </c>
      <c r="D111" s="42">
        <f ca="1">((100/H105)*C111)/100</f>
        <v>1</v>
      </c>
      <c r="E111" s="149"/>
      <c r="F111" s="149"/>
      <c r="G111" s="149"/>
      <c r="H111" s="166"/>
      <c r="I111" s="23" t="s">
        <v>165</v>
      </c>
      <c r="J111" s="45">
        <f>(IF(B105&gt;2,(H105/(B105+2)+J110),0))</f>
        <v>0</v>
      </c>
    </row>
    <row r="112" spans="1:10" s="35" customFormat="1" ht="15.75" customHeight="1" x14ac:dyDescent="0.35">
      <c r="A112" s="159" t="s">
        <v>159</v>
      </c>
      <c r="B112" s="148" t="s">
        <v>152</v>
      </c>
      <c r="C112" s="44">
        <v>33</v>
      </c>
      <c r="D112" s="42">
        <f ca="1">((100/H105)*C112)/100</f>
        <v>1</v>
      </c>
      <c r="E112" s="149"/>
      <c r="F112" s="149"/>
      <c r="G112" s="149"/>
      <c r="H112" s="166"/>
      <c r="I112" s="23" t="s">
        <v>166</v>
      </c>
      <c r="J112" s="46">
        <f>(IF(B105&gt;3,(H105/(B105+2)+J111),0))</f>
        <v>0</v>
      </c>
    </row>
    <row r="113" spans="1:10" s="35" customFormat="1" ht="15.75" customHeight="1" x14ac:dyDescent="0.35">
      <c r="A113" s="159" t="s">
        <v>157</v>
      </c>
      <c r="B113" s="148" t="s">
        <v>154</v>
      </c>
      <c r="C113" s="44">
        <v>33</v>
      </c>
      <c r="D113" s="42">
        <f ca="1">((100/(H105))*C113)/100</f>
        <v>1</v>
      </c>
      <c r="E113" s="149"/>
      <c r="F113" s="149"/>
      <c r="G113" s="149"/>
      <c r="H113" s="166"/>
      <c r="I113" s="23" t="s">
        <v>167</v>
      </c>
      <c r="J113" s="45">
        <f>(IF(B105&gt;4,(H105/(B105+2)+J112),0))</f>
        <v>0</v>
      </c>
    </row>
    <row r="114" spans="1:10" s="35" customFormat="1" ht="15.75" customHeight="1" x14ac:dyDescent="0.35">
      <c r="A114" s="159" t="s">
        <v>153</v>
      </c>
      <c r="B114" s="148" t="s">
        <v>153</v>
      </c>
      <c r="C114" s="41">
        <v>16</v>
      </c>
      <c r="D114" s="42">
        <f ca="1">((100/H105)*C114)/100</f>
        <v>0.48484848484848486</v>
      </c>
      <c r="E114" s="149"/>
      <c r="F114" s="149"/>
      <c r="G114" s="149"/>
      <c r="H114" s="166"/>
      <c r="I114" s="23" t="s">
        <v>169</v>
      </c>
      <c r="J114" s="45">
        <f>(IF(B105=1,(H105/(B105+3)+J109),IF(B105=0,(H105/4+J109),IF(B105&gt;1,0))))</f>
        <v>0</v>
      </c>
    </row>
    <row r="115" spans="1:10" s="35" customFormat="1" ht="16" thickBot="1" x14ac:dyDescent="0.4">
      <c r="A115" s="159" t="s">
        <v>160</v>
      </c>
      <c r="B115" s="148"/>
      <c r="C115" s="41">
        <v>12</v>
      </c>
      <c r="D115" s="42">
        <f ca="1">((100/H105)*C115)/100</f>
        <v>0.36363636363636359</v>
      </c>
      <c r="E115" s="149"/>
      <c r="F115" s="149"/>
      <c r="G115" s="149"/>
      <c r="H115" s="166"/>
      <c r="I115" s="24" t="s">
        <v>123</v>
      </c>
      <c r="J115" s="49">
        <f ca="1">(IF(B105&gt;1.5,(H105/(B105+2)+J109+MAX(0,J110-J109)+MAX(0,J111-J110)+MAX(0,J112-J111)+MAX(0,J113-J112)+MAX(0,J114-J113)),IF(B105=1,(H105/(B105+3)+J114),IF(B105=0,H105/4+J114))))</f>
        <v>33</v>
      </c>
    </row>
    <row r="116" spans="1:10" s="35" customFormat="1" ht="15.75" customHeight="1" x14ac:dyDescent="0.35">
      <c r="A116" s="159" t="s">
        <v>155</v>
      </c>
      <c r="B116" s="148" t="s">
        <v>155</v>
      </c>
      <c r="C116" s="41">
        <v>0</v>
      </c>
      <c r="D116" s="42">
        <f ca="1">((100/(H105))*C116)/100</f>
        <v>0</v>
      </c>
      <c r="E116" s="149"/>
      <c r="F116" s="149"/>
      <c r="G116" s="149"/>
      <c r="H116" s="166"/>
      <c r="I116" s="21" t="str">
        <f ca="1">(IF(E122&gt;99%,"All work completed. Please provide OC.",IF(E122&gt;89.8%,"Plinth, RCC, Brick, Plaster, Flooring, Painting work Completed. Finishing work is in process.",IF(E122&lt;94%,(IF(C122=0,"Work not yet Started.",IF(D122=25%,"Piling work in process",IF(D122=50%,"Excavation work in process",IF(D122=100%,"Excavation work Completed. ","0")))&amp;(IF(C123=0%,"",IF(C123=J122,"Footing work is process",IF(C123=J123,"Footing work Completed",IF(C123=J124,"1st Basement Completed",IF(C123=J125,"1st &amp; 2nd Basement Completed",IF(C123=J126,"1st to 3rd Basement Completed",IF(C123=J127,"1st to 4th Basement Completed",IF(C123=J128,"Plinth work is process",IF(C123=J129,"Plinth work completed","0")))))))))))&amp;(IF(C124=(D119+F119+H119),", RCC Slab",IF(C124&gt;0,", RCC upto "&amp;C124&amp;" Slab",""))&amp;(IF(C125=H119,", Brickwork",IF(C125&gt;0,", Brickwork upto "&amp;C125&amp;" Floor",""))&amp;(IF(C126=H119,", Internal Plaster",IF(C126&gt;0,", Internal Plaster upto "&amp;C126&amp;" Floor",""))&amp;(IF(C127=H119,", External Plaster",IF(C127&gt;0,", External Plaster upto "&amp;C127&amp;" Floor",""))&amp;(IF(C128=H119,", Flooring",IF(C128&gt;0,", Flooring upto "&amp;C128&amp;" Floor",""))&amp;(IF(C129=H119,", Painting",IF(C129&gt;0,", Painting upto "&amp;C129&amp;" Floor",""))&amp;(IF(C130&gt;0,", Finishing upto "&amp;C130&amp;" Floor","")&amp;(IF(C124&gt;0.5," Completed",""))))))))))))))</f>
        <v>Excavation work Completed. Plinth work completed, RCC upto 33 Slab, Brickwork upto 30 Floor, Internal Plaster upto 22.5 Floor, External Plaster upto 19.5 Floor, Flooring upto 7 Floor Completed</v>
      </c>
      <c r="J116" s="38"/>
    </row>
    <row r="117" spans="1:10" s="35" customFormat="1" ht="16" thickBot="1" x14ac:dyDescent="0.4">
      <c r="A117" s="175" t="s">
        <v>156</v>
      </c>
      <c r="B117" s="176"/>
      <c r="C117" s="47">
        <v>0</v>
      </c>
      <c r="D117" s="48">
        <f ca="1">((100/(H105))*C117)/100</f>
        <v>0</v>
      </c>
      <c r="E117" s="165"/>
      <c r="F117" s="165"/>
      <c r="G117" s="165"/>
      <c r="H117" s="167"/>
      <c r="I117" s="22"/>
      <c r="J117" s="39"/>
    </row>
    <row r="118" spans="1:10" s="35" customFormat="1" x14ac:dyDescent="0.35">
      <c r="A118" s="150" t="s">
        <v>162</v>
      </c>
      <c r="B118" s="151"/>
      <c r="C118" s="152" t="str">
        <f>D64</f>
        <v>Wing D  = 2B + G/St + 2 Podium (Pt) + 1st Floor to 33rd Floor</v>
      </c>
      <c r="D118" s="153"/>
      <c r="E118" s="153"/>
      <c r="F118" s="153"/>
      <c r="G118" s="153"/>
      <c r="H118" s="154"/>
      <c r="I118" s="22" t="s">
        <v>124</v>
      </c>
      <c r="J118" s="39"/>
    </row>
    <row r="119" spans="1:10" s="35" customFormat="1" ht="15.75" customHeight="1" x14ac:dyDescent="0.35">
      <c r="A119" s="30" t="s">
        <v>164</v>
      </c>
      <c r="B119" s="31">
        <v>2</v>
      </c>
      <c r="C119" s="31" t="s">
        <v>93</v>
      </c>
      <c r="D119" s="31">
        <v>1</v>
      </c>
      <c r="E119" s="31" t="s">
        <v>92</v>
      </c>
      <c r="F119" s="31">
        <v>2</v>
      </c>
      <c r="G119" s="31" t="s">
        <v>101</v>
      </c>
      <c r="H119" s="19">
        <f ca="1">--TRIM(RIGHT(SUBSTITUTE(LEFT(C118,_xlfn.AGGREGATE(16,6,FIND({0,1,2,3,4,5,6,7,8,9},C118,ROW(INDIRECT("1:"&amp;LEN(C118)))),1))," ",REPT(" ",LEN(C118))),LEN(C118)))</f>
        <v>33</v>
      </c>
      <c r="I119" s="23" t="s">
        <v>163</v>
      </c>
      <c r="J119" s="40">
        <f ca="1">H119*25%</f>
        <v>8.25</v>
      </c>
    </row>
    <row r="120" spans="1:10" s="35" customFormat="1" ht="48.75" customHeight="1" x14ac:dyDescent="0.35">
      <c r="A120" s="156" t="s">
        <v>111</v>
      </c>
      <c r="B120" s="156"/>
      <c r="C120" s="157" t="str">
        <f ca="1">I116</f>
        <v>Excavation work Completed. Plinth work completed, RCC upto 33 Slab, Brickwork upto 30 Floor, Internal Plaster upto 22.5 Floor, External Plaster upto 19.5 Floor, Flooring upto 7 Floor Completed</v>
      </c>
      <c r="D120" s="157"/>
      <c r="E120" s="157"/>
      <c r="F120" s="157"/>
      <c r="G120" s="157"/>
      <c r="H120" s="157"/>
      <c r="I120" s="23" t="s">
        <v>119</v>
      </c>
      <c r="J120" s="43">
        <f ca="1">H119*50%</f>
        <v>16.5</v>
      </c>
    </row>
    <row r="121" spans="1:10" s="35" customFormat="1" x14ac:dyDescent="0.35">
      <c r="A121" s="148" t="s">
        <v>46</v>
      </c>
      <c r="B121" s="148"/>
      <c r="C121" s="103" t="s">
        <v>161</v>
      </c>
      <c r="D121" s="103" t="s">
        <v>104</v>
      </c>
      <c r="E121" s="148" t="s">
        <v>106</v>
      </c>
      <c r="F121" s="148"/>
      <c r="G121" s="148" t="s">
        <v>105</v>
      </c>
      <c r="H121" s="148"/>
      <c r="I121" s="23" t="s">
        <v>120</v>
      </c>
      <c r="J121" s="43">
        <f ca="1">H119</f>
        <v>33</v>
      </c>
    </row>
    <row r="122" spans="1:10" s="35" customFormat="1" ht="15.75" customHeight="1" x14ac:dyDescent="0.35">
      <c r="A122" s="148" t="s">
        <v>150</v>
      </c>
      <c r="B122" s="148"/>
      <c r="C122" s="41">
        <v>33</v>
      </c>
      <c r="D122" s="104">
        <f ca="1">((100/H119)*C122)/100</f>
        <v>1</v>
      </c>
      <c r="E122" s="149">
        <f ca="1">(((C123/H119*10)+(40/(D119+F119+H119)*C124)+(7.5/(H119)*C125)+(7.5/(H119)*C126)+(10/H119*C127)+(10/H119*C128)+(5/H119*C129)+(5/H119*C130)+(5/H119*C131))/100)</f>
        <v>0.66628787878787887</v>
      </c>
      <c r="F122" s="149"/>
      <c r="G122" s="149">
        <f ca="1">((((C122/H119)*20)+((C123/H119)*25)+(30/(H119+F119+D119)*C124)+(5/H119*C125)+(5/H119*C126)+(5/H119*C127)+(5/H119*C128)+(0/H119*C129)+(0/H119*C130)+(5/H119*C131))/100)</f>
        <v>0.84469696969696972</v>
      </c>
      <c r="H122" s="149"/>
      <c r="I122" s="23" t="s">
        <v>121</v>
      </c>
      <c r="J122" s="45">
        <f ca="1">(IF(B119&gt;1,(H119/(B119+2)),H119/4))</f>
        <v>8.25</v>
      </c>
    </row>
    <row r="123" spans="1:10" s="35" customFormat="1" ht="15.75" customHeight="1" x14ac:dyDescent="0.35">
      <c r="A123" s="148" t="s">
        <v>47</v>
      </c>
      <c r="B123" s="148"/>
      <c r="C123" s="44">
        <v>33</v>
      </c>
      <c r="D123" s="104">
        <f ca="1">((100/H119)*C123)/100</f>
        <v>1</v>
      </c>
      <c r="E123" s="149"/>
      <c r="F123" s="149"/>
      <c r="G123" s="149"/>
      <c r="H123" s="149"/>
      <c r="I123" s="23" t="s">
        <v>122</v>
      </c>
      <c r="J123" s="45">
        <f ca="1">(IF(B119&gt;1,(H119/(B119+2)+J122),H119/4+J122))</f>
        <v>16.5</v>
      </c>
    </row>
    <row r="124" spans="1:10" s="35" customFormat="1" ht="15.75" customHeight="1" x14ac:dyDescent="0.35">
      <c r="A124" s="148" t="s">
        <v>151</v>
      </c>
      <c r="B124" s="148"/>
      <c r="C124" s="44">
        <f>F119+31</f>
        <v>33</v>
      </c>
      <c r="D124" s="104">
        <f ca="1">((100/(D119+F119+H119))*C124)/100</f>
        <v>0.91666666666666652</v>
      </c>
      <c r="E124" s="149"/>
      <c r="F124" s="149"/>
      <c r="G124" s="149"/>
      <c r="H124" s="149"/>
      <c r="I124" s="23" t="s">
        <v>168</v>
      </c>
      <c r="J124" s="45">
        <f ca="1">(IF(B119&gt;1,(H119/(B119+2)+J123),0))</f>
        <v>24.75</v>
      </c>
    </row>
    <row r="125" spans="1:10" s="35" customFormat="1" ht="15" customHeight="1" x14ac:dyDescent="0.35">
      <c r="A125" s="148" t="s">
        <v>158</v>
      </c>
      <c r="B125" s="148" t="s">
        <v>152</v>
      </c>
      <c r="C125" s="44">
        <f>C124-D119-F119</f>
        <v>30</v>
      </c>
      <c r="D125" s="104">
        <f ca="1">((100/H119)*C125)/100</f>
        <v>0.90909090909090906</v>
      </c>
      <c r="E125" s="149"/>
      <c r="F125" s="149"/>
      <c r="G125" s="149"/>
      <c r="H125" s="149"/>
      <c r="I125" s="23" t="s">
        <v>165</v>
      </c>
      <c r="J125" s="45">
        <f>(IF(B119&gt;2,(H119/(B119+2)+J124),0))</f>
        <v>0</v>
      </c>
    </row>
    <row r="126" spans="1:10" s="35" customFormat="1" ht="15.75" customHeight="1" x14ac:dyDescent="0.35">
      <c r="A126" s="148" t="s">
        <v>159</v>
      </c>
      <c r="B126" s="148" t="s">
        <v>152</v>
      </c>
      <c r="C126" s="44">
        <f>C125*0.75</f>
        <v>22.5</v>
      </c>
      <c r="D126" s="104">
        <f ca="1">((100/H119)*C126)/100</f>
        <v>0.68181818181818188</v>
      </c>
      <c r="E126" s="149"/>
      <c r="F126" s="149"/>
      <c r="G126" s="149"/>
      <c r="H126" s="149"/>
      <c r="I126" s="23" t="s">
        <v>166</v>
      </c>
      <c r="J126" s="46">
        <f>(IF(B119&gt;3,(H119/(B119+2)+J125),0))</f>
        <v>0</v>
      </c>
    </row>
    <row r="127" spans="1:10" s="35" customFormat="1" ht="15.75" customHeight="1" x14ac:dyDescent="0.35">
      <c r="A127" s="148" t="s">
        <v>157</v>
      </c>
      <c r="B127" s="148" t="s">
        <v>154</v>
      </c>
      <c r="C127" s="44">
        <f>C125*0.65</f>
        <v>19.5</v>
      </c>
      <c r="D127" s="104">
        <f ca="1">((100/(H119))*C127)/100</f>
        <v>0.59090909090909094</v>
      </c>
      <c r="E127" s="149"/>
      <c r="F127" s="149"/>
      <c r="G127" s="149"/>
      <c r="H127" s="149"/>
      <c r="I127" s="23" t="s">
        <v>167</v>
      </c>
      <c r="J127" s="45">
        <f>(IF(B119&gt;4,(H119/(B119+2)+J126),0))</f>
        <v>0</v>
      </c>
    </row>
    <row r="128" spans="1:10" s="35" customFormat="1" ht="15.75" customHeight="1" x14ac:dyDescent="0.35">
      <c r="A128" s="148" t="s">
        <v>153</v>
      </c>
      <c r="B128" s="148" t="s">
        <v>153</v>
      </c>
      <c r="C128" s="41">
        <v>7</v>
      </c>
      <c r="D128" s="104">
        <f ca="1">((100/H119)*C128)/100</f>
        <v>0.2121212121212121</v>
      </c>
      <c r="E128" s="149"/>
      <c r="F128" s="149"/>
      <c r="G128" s="149"/>
      <c r="H128" s="149"/>
      <c r="I128" s="23" t="s">
        <v>169</v>
      </c>
      <c r="J128" s="45">
        <f>(IF(B119=1,(H119/(B119+3)+J123),IF(B119=0,(H119/4+J123),IF(B119&gt;1,0))))</f>
        <v>0</v>
      </c>
    </row>
    <row r="129" spans="1:10" s="35" customFormat="1" ht="16" thickBot="1" x14ac:dyDescent="0.4">
      <c r="A129" s="148" t="s">
        <v>160</v>
      </c>
      <c r="B129" s="148"/>
      <c r="C129" s="41">
        <v>0</v>
      </c>
      <c r="D129" s="104">
        <f ca="1">((100/H119)*C129)/100</f>
        <v>0</v>
      </c>
      <c r="E129" s="149"/>
      <c r="F129" s="149"/>
      <c r="G129" s="149"/>
      <c r="H129" s="149"/>
      <c r="I129" s="24" t="s">
        <v>123</v>
      </c>
      <c r="J129" s="49">
        <f ca="1">(IF(B119&gt;1.5,(H119/(B119+2)+J123+MAX(0,J124-J123)+MAX(0,J125-J124)+MAX(0,J126-J125)+MAX(0,J127-J126)+MAX(0,J128-J127)),IF(B119=1,(H119/(B119+3)+J128),IF(B119=0,H119/4+J128))))</f>
        <v>33</v>
      </c>
    </row>
    <row r="130" spans="1:10" s="35" customFormat="1" x14ac:dyDescent="0.35">
      <c r="A130" s="148" t="s">
        <v>155</v>
      </c>
      <c r="B130" s="148" t="s">
        <v>155</v>
      </c>
      <c r="C130" s="41">
        <v>0</v>
      </c>
      <c r="D130" s="104">
        <f ca="1">((100/(H119))*C130)/100</f>
        <v>0</v>
      </c>
      <c r="E130" s="149"/>
      <c r="F130" s="149"/>
      <c r="G130" s="149"/>
      <c r="H130" s="149"/>
      <c r="I130" s="21" t="str">
        <f ca="1">(IF(E136&gt;99%,"All work completed. Please provide OC.",IF(E136&gt;89.8%,"Plinth, RCC, Brick, Plaster, Flooring, Painting work Completed. Finishing work is in process.",IF(E136&lt;94%,(IF(C136=0,"Work not yet Started.",IF(D136=25%,"Piling work in process",IF(D136=50%,"Excavation work in process",IF(D136=100%,"Excavation work Completed. ","0")))&amp;(IF(C137=0%,"",IF(C137=J136,"Footing work is process",IF(C137=J137,"Footing work Completed",IF(C137=J138,"1st Basement Completed",IF(C137=J139,"1st &amp; 2nd Basement Completed",IF(C137=J140,"1st to 3rd Basement Completed",IF(C137=J141,"1st to 4th Basement Completed",IF(C137=J142,"Plinth work is process",IF(C137=J143,"Plinth work completed","0")))))))))))&amp;(IF(C138=(D133+F133+H133),", RCC Slab",IF(C138&gt;0,", RCC upto "&amp;C138&amp;" Slab",""))&amp;(IF(C139=H133,", Brickwork",IF(C139&gt;0,", Brickwork upto "&amp;C139&amp;" Floor",""))&amp;(IF(C140=H133,", Internal Plaster",IF(C140&gt;0,", Internal Plaster upto "&amp;C140&amp;" Floor",""))&amp;(IF(C141=H133,", External Plaster",IF(C141&gt;0,", External Plaster upto "&amp;C141&amp;" Floor",""))&amp;(IF(C142=H133,", Flooring",IF(C142&gt;0,", Flooring upto "&amp;C142&amp;" Floor",""))&amp;(IF(C143=H133,", Painting",IF(C143&gt;0,", Painting upto "&amp;C143&amp;" Floor",""))&amp;(IF(C144&gt;0,", Finishing upto "&amp;C144&amp;" Floor","")&amp;(IF(C138&gt;0.5," Completed",""))))))))))))))</f>
        <v>Excavation work Completed. Plinth work completed, RCC upto 5 Slab, Brickwork upto 2 Floor Completed</v>
      </c>
      <c r="J130" s="38"/>
    </row>
    <row r="131" spans="1:10" s="35" customFormat="1" x14ac:dyDescent="0.35">
      <c r="A131" s="148" t="s">
        <v>156</v>
      </c>
      <c r="B131" s="148"/>
      <c r="C131" s="41">
        <v>0</v>
      </c>
      <c r="D131" s="104">
        <f ca="1">((100/(H119))*C131)/100</f>
        <v>0</v>
      </c>
      <c r="E131" s="149"/>
      <c r="F131" s="149"/>
      <c r="G131" s="149"/>
      <c r="H131" s="149"/>
      <c r="I131" s="22"/>
      <c r="J131" s="39"/>
    </row>
    <row r="132" spans="1:10" s="35" customFormat="1" x14ac:dyDescent="0.35">
      <c r="A132" s="157" t="s">
        <v>162</v>
      </c>
      <c r="B132" s="157"/>
      <c r="C132" s="157" t="s">
        <v>380</v>
      </c>
      <c r="D132" s="157"/>
      <c r="E132" s="157"/>
      <c r="F132" s="157"/>
      <c r="G132" s="157"/>
      <c r="H132" s="157"/>
      <c r="I132" s="22" t="s">
        <v>124</v>
      </c>
      <c r="J132" s="39"/>
    </row>
    <row r="133" spans="1:10" s="35" customFormat="1" ht="15.75" customHeight="1" x14ac:dyDescent="0.35">
      <c r="A133" s="31" t="s">
        <v>164</v>
      </c>
      <c r="B133" s="31">
        <v>2</v>
      </c>
      <c r="C133" s="31" t="s">
        <v>93</v>
      </c>
      <c r="D133" s="31">
        <v>1</v>
      </c>
      <c r="E133" s="31" t="s">
        <v>92</v>
      </c>
      <c r="F133" s="31">
        <v>2</v>
      </c>
      <c r="G133" s="31" t="s">
        <v>101</v>
      </c>
      <c r="H133" s="31">
        <f ca="1">--TRIM(RIGHT(SUBSTITUTE(LEFT(C132,_xlfn.AGGREGATE(16,6,FIND({0,1,2,3,4,5,6,7,8,9},C132,ROW(INDIRECT("1:"&amp;LEN(C132)))),1))," ",REPT(" ",LEN(C132))),LEN(C132)))</f>
        <v>33</v>
      </c>
      <c r="I133" s="23" t="s">
        <v>163</v>
      </c>
      <c r="J133" s="40">
        <f ca="1">H133*25%</f>
        <v>8.25</v>
      </c>
    </row>
    <row r="134" spans="1:10" s="35" customFormat="1" ht="31" customHeight="1" x14ac:dyDescent="0.35">
      <c r="A134" s="156" t="s">
        <v>111</v>
      </c>
      <c r="B134" s="156"/>
      <c r="C134" s="157" t="str">
        <f ca="1">I130</f>
        <v>Excavation work Completed. Plinth work completed, RCC upto 5 Slab, Brickwork upto 2 Floor Completed</v>
      </c>
      <c r="D134" s="157"/>
      <c r="E134" s="157"/>
      <c r="F134" s="157"/>
      <c r="G134" s="157"/>
      <c r="H134" s="157"/>
      <c r="I134" s="23" t="s">
        <v>119</v>
      </c>
      <c r="J134" s="43">
        <f ca="1">H133*50%</f>
        <v>16.5</v>
      </c>
    </row>
    <row r="135" spans="1:10" s="35" customFormat="1" x14ac:dyDescent="0.35">
      <c r="A135" s="148" t="s">
        <v>46</v>
      </c>
      <c r="B135" s="148"/>
      <c r="C135" s="29" t="s">
        <v>161</v>
      </c>
      <c r="D135" s="29" t="s">
        <v>104</v>
      </c>
      <c r="E135" s="148" t="s">
        <v>106</v>
      </c>
      <c r="F135" s="148"/>
      <c r="G135" s="148" t="s">
        <v>105</v>
      </c>
      <c r="H135" s="148"/>
      <c r="I135" s="23" t="s">
        <v>120</v>
      </c>
      <c r="J135" s="43">
        <f ca="1">H133</f>
        <v>33</v>
      </c>
    </row>
    <row r="136" spans="1:10" s="35" customFormat="1" ht="15.75" customHeight="1" x14ac:dyDescent="0.35">
      <c r="A136" s="148" t="s">
        <v>150</v>
      </c>
      <c r="B136" s="148"/>
      <c r="C136" s="41">
        <f ca="1">J135</f>
        <v>33</v>
      </c>
      <c r="D136" s="42">
        <f ca="1">((100/H133)*C136)/100</f>
        <v>1</v>
      </c>
      <c r="E136" s="149">
        <f ca="1">(((C137/H133*10)+(40/(D133+F133+H133)*C138)+(7.5/(H133)*C139)+(7.5/(H133)*C140)+(10/H133*C141)+(10/H133*C142)+(5/H133*C143)+(5/H133*C144)+(5/H133*C145))/100)</f>
        <v>0.1601010101010101</v>
      </c>
      <c r="F136" s="149"/>
      <c r="G136" s="149">
        <f ca="1">((((C136/H133)*20)+((C137/H133)*25)+(30/(H133+F133+D133)*C138)+(5/H133*C139)+(5/H133*C140)+(5/H133*C141)+(5/H133*C142)+(0/H133*C143)+(0/H133*C144)+(5/H133*C145))/100)</f>
        <v>0.49469696969696969</v>
      </c>
      <c r="H136" s="149"/>
      <c r="I136" s="23" t="s">
        <v>121</v>
      </c>
      <c r="J136" s="45">
        <f ca="1">(IF(B133&gt;1,(H133/(B133+2)),H133/4))</f>
        <v>8.25</v>
      </c>
    </row>
    <row r="137" spans="1:10" s="35" customFormat="1" ht="15.75" customHeight="1" x14ac:dyDescent="0.35">
      <c r="A137" s="148" t="s">
        <v>47</v>
      </c>
      <c r="B137" s="148"/>
      <c r="C137" s="44">
        <f ca="1">J143</f>
        <v>33</v>
      </c>
      <c r="D137" s="42">
        <f ca="1">((100/H133)*C137)/100</f>
        <v>1</v>
      </c>
      <c r="E137" s="149"/>
      <c r="F137" s="149"/>
      <c r="G137" s="149"/>
      <c r="H137" s="149"/>
      <c r="I137" s="23" t="s">
        <v>122</v>
      </c>
      <c r="J137" s="45">
        <f ca="1">(IF(B133&gt;1,(H133/(B133+2)+J136),H133/4+J136))</f>
        <v>16.5</v>
      </c>
    </row>
    <row r="138" spans="1:10" s="35" customFormat="1" ht="15.75" customHeight="1" x14ac:dyDescent="0.35">
      <c r="A138" s="148" t="s">
        <v>151</v>
      </c>
      <c r="B138" s="148"/>
      <c r="C138" s="44">
        <f>F133+3</f>
        <v>5</v>
      </c>
      <c r="D138" s="42">
        <f ca="1">((100/(D133+F133+H133))*C138)/100</f>
        <v>0.1388888888888889</v>
      </c>
      <c r="E138" s="149"/>
      <c r="F138" s="149"/>
      <c r="G138" s="149"/>
      <c r="H138" s="149"/>
      <c r="I138" s="23" t="s">
        <v>168</v>
      </c>
      <c r="J138" s="45">
        <f ca="1">(IF(B133&gt;1,(H133/(B133+2)+J137),0))</f>
        <v>24.75</v>
      </c>
    </row>
    <row r="139" spans="1:10" s="35" customFormat="1" ht="15" customHeight="1" x14ac:dyDescent="0.35">
      <c r="A139" s="148" t="s">
        <v>158</v>
      </c>
      <c r="B139" s="148" t="s">
        <v>152</v>
      </c>
      <c r="C139" s="44">
        <f>C138-F133-1</f>
        <v>2</v>
      </c>
      <c r="D139" s="42">
        <f ca="1">((100/H133)*C139)/100</f>
        <v>6.0606060606060608E-2</v>
      </c>
      <c r="E139" s="149"/>
      <c r="F139" s="149"/>
      <c r="G139" s="149"/>
      <c r="H139" s="149"/>
      <c r="I139" s="23" t="s">
        <v>165</v>
      </c>
      <c r="J139" s="45">
        <f>(IF(B133&gt;2,(H133/(B133+2)+J138),0))</f>
        <v>0</v>
      </c>
    </row>
    <row r="140" spans="1:10" s="35" customFormat="1" ht="15.75" customHeight="1" x14ac:dyDescent="0.35">
      <c r="A140" s="148" t="s">
        <v>159</v>
      </c>
      <c r="B140" s="148" t="s">
        <v>152</v>
      </c>
      <c r="C140" s="41">
        <v>0</v>
      </c>
      <c r="D140" s="42">
        <f ca="1">((100/H133)*C140)/100</f>
        <v>0</v>
      </c>
      <c r="E140" s="149"/>
      <c r="F140" s="149"/>
      <c r="G140" s="149"/>
      <c r="H140" s="149"/>
      <c r="I140" s="23" t="s">
        <v>166</v>
      </c>
      <c r="J140" s="46">
        <f>(IF(B133&gt;3,(H133/(B133+2)+J139),0))</f>
        <v>0</v>
      </c>
    </row>
    <row r="141" spans="1:10" s="35" customFormat="1" ht="15.75" customHeight="1" x14ac:dyDescent="0.35">
      <c r="A141" s="148" t="s">
        <v>157</v>
      </c>
      <c r="B141" s="148" t="s">
        <v>154</v>
      </c>
      <c r="C141" s="41">
        <v>0</v>
      </c>
      <c r="D141" s="42">
        <f ca="1">((100/(H133))*C141)/100</f>
        <v>0</v>
      </c>
      <c r="E141" s="149"/>
      <c r="F141" s="149"/>
      <c r="G141" s="149"/>
      <c r="H141" s="149"/>
      <c r="I141" s="23" t="s">
        <v>167</v>
      </c>
      <c r="J141" s="45">
        <f>(IF(B133&gt;4,(H133/(B133+2)+J140),0))</f>
        <v>0</v>
      </c>
    </row>
    <row r="142" spans="1:10" s="35" customFormat="1" ht="15.75" customHeight="1" x14ac:dyDescent="0.35">
      <c r="A142" s="148" t="s">
        <v>153</v>
      </c>
      <c r="B142" s="148" t="s">
        <v>153</v>
      </c>
      <c r="C142" s="41">
        <v>0</v>
      </c>
      <c r="D142" s="42">
        <f ca="1">((100/H133)*C142)/100</f>
        <v>0</v>
      </c>
      <c r="E142" s="149"/>
      <c r="F142" s="149"/>
      <c r="G142" s="149"/>
      <c r="H142" s="149"/>
      <c r="I142" s="23" t="s">
        <v>169</v>
      </c>
      <c r="J142" s="45">
        <f>(IF(B133=1,(H133/(B133+3)+J137),IF(B133=0,(H133/4+J137),IF(B133&gt;1,0))))</f>
        <v>0</v>
      </c>
    </row>
    <row r="143" spans="1:10" s="35" customFormat="1" ht="16" thickBot="1" x14ac:dyDescent="0.4">
      <c r="A143" s="148" t="s">
        <v>160</v>
      </c>
      <c r="B143" s="148"/>
      <c r="C143" s="41">
        <v>0</v>
      </c>
      <c r="D143" s="42">
        <f ca="1">((100/H133)*C143)/100</f>
        <v>0</v>
      </c>
      <c r="E143" s="149"/>
      <c r="F143" s="149"/>
      <c r="G143" s="149"/>
      <c r="H143" s="149"/>
      <c r="I143" s="24" t="s">
        <v>123</v>
      </c>
      <c r="J143" s="49">
        <f ca="1">(IF(B133&gt;1.5,(H133/(B133+2)+J137+MAX(0,J138-J137)+MAX(0,J139-J138)+MAX(0,J140-J139)+MAX(0,J141-J140)+MAX(0,J142-J141)),IF(B133=1,(H133/(B133+3)+J142),IF(B133=0,H133/4+J142))))</f>
        <v>33</v>
      </c>
    </row>
    <row r="144" spans="1:10" s="35" customFormat="1" ht="15.75" customHeight="1" x14ac:dyDescent="0.35">
      <c r="A144" s="148" t="s">
        <v>155</v>
      </c>
      <c r="B144" s="148" t="s">
        <v>155</v>
      </c>
      <c r="C144" s="41">
        <v>0</v>
      </c>
      <c r="D144" s="42">
        <f ca="1">((100/(H133))*C144)/100</f>
        <v>0</v>
      </c>
      <c r="E144" s="149"/>
      <c r="F144" s="149"/>
      <c r="G144" s="149"/>
      <c r="H144" s="149"/>
      <c r="I144" s="21" t="str">
        <f ca="1">(IF(E150&gt;99%,"All work completed. Please provide OC.",IF(E150&gt;89.8%,"Plinth, RCC, Brick, Plaster, Flooring, Painting work Completed. Finishing work is in process.",IF(E150&lt;94%,(IF(C150=0,"Work not yet Started.",IF(D150=25%,"Piling work in process",IF(D150=50%,"Excavation work in process",IF(D150=100%,"Excavation work Completed. ","0")))&amp;(IF(C151=0%,"",IF(C151=J150,"Footing work is process",IF(C151=J151,"Footing work Completed",IF(C151=J152,"1st Basement Completed",IF(C151=J153,"1st &amp; 2nd Basement Completed",IF(C151=J154,"1st to 3rd Basement Completed",IF(C151=J155,"1st to 4th Basement Completed",IF(C151=J156,"Plinth work is process",IF(C151=J157,"Plinth work completed","0")))))))))))&amp;(IF(C152=(D147+F147+H147),", RCC Slab",IF(C152&gt;0,", RCC upto "&amp;C152&amp;" Slab",""))&amp;(IF(C153=H147,", Brickwork",IF(C153&gt;0,", Brickwork upto "&amp;C153&amp;" Floor",""))&amp;(IF(C154=H147,", Internal Plaster",IF(C154&gt;0,", Internal Plaster upto "&amp;C154&amp;" Floor",""))&amp;(IF(C155=H147,", External Plaster",IF(C155&gt;0,", External Plaster upto "&amp;C155&amp;" Floor",""))&amp;(IF(C156=H147,", Flooring",IF(C156&gt;0,", Flooring upto "&amp;C156&amp;" Floor",""))&amp;(IF(C157=H147,", Painting",IF(C157&gt;0,", Painting upto "&amp;C157&amp;" Floor",""))&amp;(IF(C158&gt;0,", Finishing upto "&amp;C158&amp;" Floor","")&amp;(IF(C152&gt;0.5," Completed",""))))))))))))))</f>
        <v>Excavation work Completed. Plinth work completed, RCC upto 11 Slab, Brickwork upto 3 Floor Completed</v>
      </c>
      <c r="J144" s="38"/>
    </row>
    <row r="145" spans="1:11" s="35" customFormat="1" x14ac:dyDescent="0.35">
      <c r="A145" s="148" t="s">
        <v>156</v>
      </c>
      <c r="B145" s="148"/>
      <c r="C145" s="41">
        <v>0</v>
      </c>
      <c r="D145" s="42">
        <f ca="1">((100/(H133))*C145)/100</f>
        <v>0</v>
      </c>
      <c r="E145" s="149"/>
      <c r="F145" s="149"/>
      <c r="G145" s="149"/>
      <c r="H145" s="149"/>
      <c r="I145" s="22"/>
      <c r="J145" s="39"/>
    </row>
    <row r="146" spans="1:11" s="35" customFormat="1" x14ac:dyDescent="0.35">
      <c r="A146" s="189" t="s">
        <v>162</v>
      </c>
      <c r="B146" s="190"/>
      <c r="C146" s="191" t="str">
        <f>D66</f>
        <v>Wing F = 2B + G/St + 2 Podium (Pt) + 1st Floor to 33rd Floor</v>
      </c>
      <c r="D146" s="192"/>
      <c r="E146" s="192"/>
      <c r="F146" s="192"/>
      <c r="G146" s="192"/>
      <c r="H146" s="193"/>
      <c r="I146" s="22" t="s">
        <v>124</v>
      </c>
      <c r="J146" s="39"/>
    </row>
    <row r="147" spans="1:11" s="35" customFormat="1" ht="15.75" customHeight="1" x14ac:dyDescent="0.35">
      <c r="A147" s="30" t="s">
        <v>164</v>
      </c>
      <c r="B147" s="31">
        <v>2</v>
      </c>
      <c r="C147" s="31" t="s">
        <v>93</v>
      </c>
      <c r="D147" s="31">
        <v>1</v>
      </c>
      <c r="E147" s="31" t="s">
        <v>92</v>
      </c>
      <c r="F147" s="31">
        <v>2</v>
      </c>
      <c r="G147" s="31" t="s">
        <v>101</v>
      </c>
      <c r="H147" s="19">
        <f ca="1">--TRIM(RIGHT(SUBSTITUTE(LEFT(C146,_xlfn.AGGREGATE(16,6,FIND({0,1,2,3,4,5,6,7,8,9},C146,ROW(INDIRECT("1:"&amp;LEN(C146)))),1))," ",REPT(" ",LEN(C146))),LEN(C146)))</f>
        <v>33</v>
      </c>
      <c r="I147" s="23" t="s">
        <v>163</v>
      </c>
      <c r="J147" s="40">
        <f ca="1">H147*25%</f>
        <v>8.25</v>
      </c>
    </row>
    <row r="148" spans="1:11" s="35" customFormat="1" ht="32.5" customHeight="1" x14ac:dyDescent="0.35">
      <c r="A148" s="155" t="s">
        <v>111</v>
      </c>
      <c r="B148" s="156"/>
      <c r="C148" s="157" t="str">
        <f ca="1">I144</f>
        <v>Excavation work Completed. Plinth work completed, RCC upto 11 Slab, Brickwork upto 3 Floor Completed</v>
      </c>
      <c r="D148" s="157"/>
      <c r="E148" s="157"/>
      <c r="F148" s="157"/>
      <c r="G148" s="157"/>
      <c r="H148" s="158"/>
      <c r="I148" s="23" t="s">
        <v>119</v>
      </c>
      <c r="J148" s="43">
        <f ca="1">H147*50%</f>
        <v>16.5</v>
      </c>
    </row>
    <row r="149" spans="1:11" s="35" customFormat="1" x14ac:dyDescent="0.35">
      <c r="A149" s="159" t="s">
        <v>46</v>
      </c>
      <c r="B149" s="148"/>
      <c r="C149" s="29" t="s">
        <v>161</v>
      </c>
      <c r="D149" s="29" t="s">
        <v>104</v>
      </c>
      <c r="E149" s="148" t="s">
        <v>106</v>
      </c>
      <c r="F149" s="148"/>
      <c r="G149" s="148" t="s">
        <v>105</v>
      </c>
      <c r="H149" s="160"/>
      <c r="I149" s="23" t="s">
        <v>120</v>
      </c>
      <c r="J149" s="43">
        <f ca="1">H147</f>
        <v>33</v>
      </c>
    </row>
    <row r="150" spans="1:11" s="35" customFormat="1" ht="15.75" customHeight="1" x14ac:dyDescent="0.35">
      <c r="A150" s="159" t="s">
        <v>150</v>
      </c>
      <c r="B150" s="148"/>
      <c r="C150" s="41">
        <f ca="1">J149</f>
        <v>33</v>
      </c>
      <c r="D150" s="42">
        <f ca="1">((100/H147)*C150)/100</f>
        <v>1</v>
      </c>
      <c r="E150" s="149">
        <f ca="1">(((C151/H147*10)+(40/(D147+F147+H147)*C152)+(7.5/(H147)*C153)+(7.5/(H147)*C154)+(10/H147*C155)+(10/H147*C156)+(5/H147*C157)+(5/H147*C158)+(5/H147*C159))/100)</f>
        <v>0.22904040404040404</v>
      </c>
      <c r="F150" s="149"/>
      <c r="G150" s="149">
        <f ca="1">((((C150/H147)*20)+((C151/H147)*25)+(30/(H147+F147+D147)*C152)+(5/H147*C153)+(5/H147*C154)+(5/H147*C155)+(5/H147*C156)+(0/H147*C157)+(0/H147*C158)+(5/H147*C159))/100)</f>
        <v>0.54621212121212126</v>
      </c>
      <c r="H150" s="166"/>
      <c r="I150" s="23" t="s">
        <v>121</v>
      </c>
      <c r="J150" s="45">
        <f ca="1">(IF(B147&gt;1,(H147/(B147+2)),H147/4))</f>
        <v>8.25</v>
      </c>
    </row>
    <row r="151" spans="1:11" s="35" customFormat="1" ht="15.75" customHeight="1" x14ac:dyDescent="0.35">
      <c r="A151" s="159" t="s">
        <v>47</v>
      </c>
      <c r="B151" s="148"/>
      <c r="C151" s="44">
        <f ca="1">J157</f>
        <v>33</v>
      </c>
      <c r="D151" s="42">
        <f ca="1">((100/H147)*C151)/100</f>
        <v>1</v>
      </c>
      <c r="E151" s="149"/>
      <c r="F151" s="149"/>
      <c r="G151" s="149"/>
      <c r="H151" s="166"/>
      <c r="I151" s="23" t="s">
        <v>122</v>
      </c>
      <c r="J151" s="45">
        <f ca="1">(IF(B147&gt;1,(H147/(B147+2)+J150),H147/4+J150))</f>
        <v>16.5</v>
      </c>
    </row>
    <row r="152" spans="1:11" s="35" customFormat="1" ht="15.75" customHeight="1" x14ac:dyDescent="0.35">
      <c r="A152" s="159" t="s">
        <v>151</v>
      </c>
      <c r="B152" s="148"/>
      <c r="C152" s="44">
        <v>11</v>
      </c>
      <c r="D152" s="42">
        <f ca="1">((100/(D147+F147+H147))*C152)/100</f>
        <v>0.30555555555555552</v>
      </c>
      <c r="E152" s="149"/>
      <c r="F152" s="149"/>
      <c r="G152" s="149"/>
      <c r="H152" s="166"/>
      <c r="I152" s="23" t="s">
        <v>168</v>
      </c>
      <c r="J152" s="45">
        <f ca="1">(IF(B147&gt;1,(H147/(B147+2)+J151),0))</f>
        <v>24.75</v>
      </c>
      <c r="K152" s="35" t="s">
        <v>448</v>
      </c>
    </row>
    <row r="153" spans="1:11" s="35" customFormat="1" ht="15" customHeight="1" x14ac:dyDescent="0.35">
      <c r="A153" s="159" t="s">
        <v>158</v>
      </c>
      <c r="B153" s="148" t="s">
        <v>152</v>
      </c>
      <c r="C153" s="44">
        <v>3</v>
      </c>
      <c r="D153" s="42">
        <f ca="1">((100/H147)*C153)/100</f>
        <v>9.0909090909090898E-2</v>
      </c>
      <c r="E153" s="149"/>
      <c r="F153" s="149"/>
      <c r="G153" s="149"/>
      <c r="H153" s="166"/>
      <c r="I153" s="23" t="s">
        <v>165</v>
      </c>
      <c r="J153" s="45">
        <f>(IF(B147&gt;2,(H147/(B147+2)+J152),0))</f>
        <v>0</v>
      </c>
    </row>
    <row r="154" spans="1:11" s="35" customFormat="1" ht="15.75" customHeight="1" x14ac:dyDescent="0.35">
      <c r="A154" s="159" t="s">
        <v>159</v>
      </c>
      <c r="B154" s="148" t="s">
        <v>152</v>
      </c>
      <c r="C154" s="41">
        <v>0</v>
      </c>
      <c r="D154" s="42">
        <f ca="1">((100/H147)*C154)/100</f>
        <v>0</v>
      </c>
      <c r="E154" s="149"/>
      <c r="F154" s="149"/>
      <c r="G154" s="149"/>
      <c r="H154" s="166"/>
      <c r="I154" s="23" t="s">
        <v>166</v>
      </c>
      <c r="J154" s="46">
        <f>(IF(B147&gt;3,(H147/(B147+2)+J153),0))</f>
        <v>0</v>
      </c>
    </row>
    <row r="155" spans="1:11" s="35" customFormat="1" ht="15.75" customHeight="1" x14ac:dyDescent="0.35">
      <c r="A155" s="159" t="s">
        <v>157</v>
      </c>
      <c r="B155" s="148" t="s">
        <v>154</v>
      </c>
      <c r="C155" s="41">
        <v>0</v>
      </c>
      <c r="D155" s="42">
        <f ca="1">((100/(H147))*C155)/100</f>
        <v>0</v>
      </c>
      <c r="E155" s="149"/>
      <c r="F155" s="149"/>
      <c r="G155" s="149"/>
      <c r="H155" s="166"/>
      <c r="I155" s="23" t="s">
        <v>167</v>
      </c>
      <c r="J155" s="45">
        <f>(IF(B147&gt;4,(H147/(B147+2)+J154),0))</f>
        <v>0</v>
      </c>
    </row>
    <row r="156" spans="1:11" s="35" customFormat="1" ht="15.75" customHeight="1" x14ac:dyDescent="0.35">
      <c r="A156" s="159" t="s">
        <v>153</v>
      </c>
      <c r="B156" s="148" t="s">
        <v>153</v>
      </c>
      <c r="C156" s="41">
        <v>0</v>
      </c>
      <c r="D156" s="42">
        <f ca="1">((100/H147)*C156)/100</f>
        <v>0</v>
      </c>
      <c r="E156" s="149"/>
      <c r="F156" s="149"/>
      <c r="G156" s="149"/>
      <c r="H156" s="166"/>
      <c r="I156" s="23" t="s">
        <v>169</v>
      </c>
      <c r="J156" s="45">
        <f>(IF(B147=1,(H147/(B147+3)+J151),IF(B147=0,(H147/4+J151),IF(B147&gt;1,0))))</f>
        <v>0</v>
      </c>
    </row>
    <row r="157" spans="1:11" s="35" customFormat="1" ht="16" thickBot="1" x14ac:dyDescent="0.4">
      <c r="A157" s="159" t="s">
        <v>160</v>
      </c>
      <c r="B157" s="148"/>
      <c r="C157" s="41">
        <v>0</v>
      </c>
      <c r="D157" s="42">
        <f ca="1">((100/H147)*C157)/100</f>
        <v>0</v>
      </c>
      <c r="E157" s="149"/>
      <c r="F157" s="149"/>
      <c r="G157" s="149"/>
      <c r="H157" s="166"/>
      <c r="I157" s="24" t="s">
        <v>123</v>
      </c>
      <c r="J157" s="49">
        <f ca="1">(IF(B147&gt;1.5,(H147/(B147+2)+J151+MAX(0,J152-J151)+MAX(0,J153-J152)+MAX(0,J154-J153)+MAX(0,J155-J154)+MAX(0,J156-J155)),IF(B147=1,(H147/(B147+3)+J156),IF(B147=0,H147/4+J156))))</f>
        <v>33</v>
      </c>
    </row>
    <row r="158" spans="1:11" s="35" customFormat="1" ht="15.75" customHeight="1" x14ac:dyDescent="0.35">
      <c r="A158" s="159" t="s">
        <v>155</v>
      </c>
      <c r="B158" s="148" t="s">
        <v>155</v>
      </c>
      <c r="C158" s="41">
        <v>0</v>
      </c>
      <c r="D158" s="42">
        <f ca="1">((100/(H147))*C158)/100</f>
        <v>0</v>
      </c>
      <c r="E158" s="149"/>
      <c r="F158" s="149"/>
      <c r="G158" s="149"/>
      <c r="H158" s="166"/>
      <c r="I158" s="21" t="str">
        <f ca="1">(IF(E164&gt;99%,"All work completed. Please provide OC.",IF(E164&gt;89.8%,"Plinth, RCC, Brick, Plaster, Flooring, Painting work Completed. Finishing work is in process.",IF(E164&lt;94%,(IF(C164=0,"Work not yet Started.",IF(D164=25%,"Piling work in process",IF(D164=50%,"Excavation work in process",IF(D164=100%,"Excavation work Completed. ","0")))&amp;(IF(C165=0%,"",IF(C165=J164,"Footing work is process",IF(C165=J165,"Footing work Completed",IF(C165=J166,"1st Basement Completed",IF(C165=J167,"1st &amp; 2nd Basement Completed",IF(C165=J168,"1st to 3rd Basement Completed",IF(C165=J169,"1st to 4th Basement Completed",IF(C165=J170,"Plinth work is process",IF(C165=J171,"Plinth work completed","0")))))))))))&amp;(IF(C166=(D161+F161+H161),", RCC Slab",IF(C166&gt;0,", RCC upto "&amp;C166&amp;" Slab",""))&amp;(IF(C167=H161,", Brickwork",IF(C167&gt;0,", Brickwork upto "&amp;C167&amp;" Floor",""))&amp;(IF(C168=H161,", Internal Plaster",IF(C168&gt;0,", Internal Plaster upto "&amp;C168&amp;" Floor",""))&amp;(IF(C169=H161,", External Plaster",IF(C169&gt;0,", External Plaster upto "&amp;C169&amp;" Floor",""))&amp;(IF(C170=H161,", Flooring",IF(C170&gt;0,", Flooring upto "&amp;C170&amp;" Floor",""))&amp;(IF(C171=H161,", Painting",IF(C171&gt;0,", Painting upto "&amp;C171&amp;" Floor",""))&amp;(IF(C172&gt;0,", Finishing upto "&amp;C172&amp;" Floor","")&amp;(IF(C166&gt;0.5," Completed",""))))))))))))))</f>
        <v>Excavation work Completed. Plinth work completed, RCC upto 32 Slab, Brickwork upto 29 Floor, Internal Plaster upto 21.75 Floor, External Plaster upto 18.85 Floor, Flooring upto 4 Floor Completed</v>
      </c>
      <c r="J158" s="38"/>
    </row>
    <row r="159" spans="1:11" s="35" customFormat="1" ht="16" thickBot="1" x14ac:dyDescent="0.4">
      <c r="A159" s="175" t="s">
        <v>156</v>
      </c>
      <c r="B159" s="176"/>
      <c r="C159" s="47">
        <v>0</v>
      </c>
      <c r="D159" s="48">
        <f ca="1">((100/(H147))*C159)/100</f>
        <v>0</v>
      </c>
      <c r="E159" s="165"/>
      <c r="F159" s="165"/>
      <c r="G159" s="165"/>
      <c r="H159" s="167"/>
      <c r="I159" s="22"/>
      <c r="J159" s="39"/>
    </row>
    <row r="160" spans="1:11" s="35" customFormat="1" x14ac:dyDescent="0.35">
      <c r="A160" s="150" t="s">
        <v>162</v>
      </c>
      <c r="B160" s="151"/>
      <c r="C160" s="152" t="str">
        <f>D67</f>
        <v>Wing G = 2B + G/St + 2 Podium (Pt) + 1st Floor to 33rd Floor</v>
      </c>
      <c r="D160" s="153"/>
      <c r="E160" s="153"/>
      <c r="F160" s="153"/>
      <c r="G160" s="153"/>
      <c r="H160" s="154"/>
      <c r="I160" s="22" t="s">
        <v>124</v>
      </c>
      <c r="J160" s="39"/>
    </row>
    <row r="161" spans="1:11" s="35" customFormat="1" ht="15.75" customHeight="1" x14ac:dyDescent="0.35">
      <c r="A161" s="30" t="s">
        <v>164</v>
      </c>
      <c r="B161" s="31">
        <v>2</v>
      </c>
      <c r="C161" s="31" t="s">
        <v>93</v>
      </c>
      <c r="D161" s="31">
        <v>1</v>
      </c>
      <c r="E161" s="31" t="s">
        <v>92</v>
      </c>
      <c r="F161" s="31">
        <v>2</v>
      </c>
      <c r="G161" s="31" t="s">
        <v>101</v>
      </c>
      <c r="H161" s="19">
        <f ca="1">--TRIM(RIGHT(SUBSTITUTE(LEFT(C160,_xlfn.AGGREGATE(16,6,FIND({0,1,2,3,4,5,6,7,8,9},C160,ROW(INDIRECT("1:"&amp;LEN(C160)))),1))," ",REPT(" ",LEN(C160))),LEN(C160)))</f>
        <v>33</v>
      </c>
      <c r="I161" s="23" t="s">
        <v>163</v>
      </c>
      <c r="J161" s="40">
        <f ca="1">H161*25%</f>
        <v>8.25</v>
      </c>
    </row>
    <row r="162" spans="1:11" s="35" customFormat="1" ht="47.25" customHeight="1" x14ac:dyDescent="0.35">
      <c r="A162" s="155" t="s">
        <v>111</v>
      </c>
      <c r="B162" s="156"/>
      <c r="C162" s="157" t="str">
        <f ca="1">I158</f>
        <v>Excavation work Completed. Plinth work completed, RCC upto 32 Slab, Brickwork upto 29 Floor, Internal Plaster upto 21.75 Floor, External Plaster upto 18.85 Floor, Flooring upto 4 Floor Completed</v>
      </c>
      <c r="D162" s="157"/>
      <c r="E162" s="157"/>
      <c r="F162" s="157"/>
      <c r="G162" s="157"/>
      <c r="H162" s="158"/>
      <c r="I162" s="23" t="s">
        <v>119</v>
      </c>
      <c r="J162" s="43">
        <f ca="1">H161*50%</f>
        <v>16.5</v>
      </c>
    </row>
    <row r="163" spans="1:11" s="35" customFormat="1" x14ac:dyDescent="0.35">
      <c r="A163" s="159" t="s">
        <v>46</v>
      </c>
      <c r="B163" s="148"/>
      <c r="C163" s="29" t="s">
        <v>161</v>
      </c>
      <c r="D163" s="29" t="s">
        <v>104</v>
      </c>
      <c r="E163" s="148" t="s">
        <v>106</v>
      </c>
      <c r="F163" s="148"/>
      <c r="G163" s="148" t="s">
        <v>105</v>
      </c>
      <c r="H163" s="160"/>
      <c r="I163" s="23" t="s">
        <v>120</v>
      </c>
      <c r="J163" s="43">
        <f ca="1">H161</f>
        <v>33</v>
      </c>
    </row>
    <row r="164" spans="1:11" s="35" customFormat="1" ht="15.75" customHeight="1" x14ac:dyDescent="0.35">
      <c r="A164" s="159" t="s">
        <v>150</v>
      </c>
      <c r="B164" s="148"/>
      <c r="C164" s="44">
        <f ca="1">J163</f>
        <v>33</v>
      </c>
      <c r="D164" s="42">
        <f ca="1">((100/H161)*C164)/100</f>
        <v>1</v>
      </c>
      <c r="E164" s="149">
        <f ca="1">(((C165/H161*10)+(40/(D161+F161+H161)*C166)+(7.5/(H161)*C167)+(7.5/(H161)*C168)+(10/H161*C169)+(10/H161*C170)+(5/H161*C171)+(5/H161*C172)+(5/H161*C173))/100)</f>
        <v>0.64013888888888903</v>
      </c>
      <c r="F164" s="149"/>
      <c r="G164" s="149">
        <f ca="1">((((C164/H161)*20)+((C165/H161)*25)+(30/(H161+F161+D161)*C166)+(5/H161*C167)+(5/H161*C168)+(5/H161*C169)+(5/H161*C170)+(0/H161*C171)+(0/H161*C172)+(5/H161*C173))/100)</f>
        <v>0.82818181818181824</v>
      </c>
      <c r="H164" s="166"/>
      <c r="I164" s="23" t="s">
        <v>121</v>
      </c>
      <c r="J164" s="45">
        <f ca="1">(IF(B161&gt;1,(H161/(B161+2)),H161/4))</f>
        <v>8.25</v>
      </c>
      <c r="K164" s="35">
        <f>0.67*33</f>
        <v>22.110000000000003</v>
      </c>
    </row>
    <row r="165" spans="1:11" s="35" customFormat="1" ht="15.75" customHeight="1" x14ac:dyDescent="0.35">
      <c r="A165" s="159" t="s">
        <v>47</v>
      </c>
      <c r="B165" s="148"/>
      <c r="C165" s="44">
        <v>33</v>
      </c>
      <c r="D165" s="42">
        <f ca="1">((100/H161)*C165)/100</f>
        <v>1</v>
      </c>
      <c r="E165" s="149"/>
      <c r="F165" s="149"/>
      <c r="G165" s="149"/>
      <c r="H165" s="166"/>
      <c r="I165" s="23" t="s">
        <v>122</v>
      </c>
      <c r="J165" s="45">
        <f ca="1">(IF(B161&gt;1,(H161/(B161+2)+J164),H161/4+J164))</f>
        <v>16.5</v>
      </c>
    </row>
    <row r="166" spans="1:11" s="35" customFormat="1" ht="15.75" customHeight="1" x14ac:dyDescent="0.35">
      <c r="A166" s="159" t="s">
        <v>151</v>
      </c>
      <c r="B166" s="148"/>
      <c r="C166" s="44">
        <v>32</v>
      </c>
      <c r="D166" s="42">
        <f ca="1">((100/(D161+F161+H161))*C166)/100</f>
        <v>0.88888888888888884</v>
      </c>
      <c r="E166" s="149"/>
      <c r="F166" s="149"/>
      <c r="G166" s="149"/>
      <c r="H166" s="166"/>
      <c r="I166" s="23" t="s">
        <v>168</v>
      </c>
      <c r="J166" s="45">
        <f ca="1">(IF(B161&gt;1,(H161/(B161+2)+J165),0))</f>
        <v>24.75</v>
      </c>
    </row>
    <row r="167" spans="1:11" s="35" customFormat="1" ht="15" customHeight="1" x14ac:dyDescent="0.35">
      <c r="A167" s="159" t="s">
        <v>158</v>
      </c>
      <c r="B167" s="148" t="s">
        <v>152</v>
      </c>
      <c r="C167" s="44">
        <f>C166-D161-F161</f>
        <v>29</v>
      </c>
      <c r="D167" s="42">
        <f ca="1">((100/H161)*C167)/100</f>
        <v>0.87878787878787878</v>
      </c>
      <c r="E167" s="149"/>
      <c r="F167" s="149"/>
      <c r="G167" s="149"/>
      <c r="H167" s="166"/>
      <c r="I167" s="23" t="s">
        <v>165</v>
      </c>
      <c r="J167" s="45">
        <f>(IF(B161&gt;2,(H161/(B161+2)+J166),0))</f>
        <v>0</v>
      </c>
    </row>
    <row r="168" spans="1:11" s="35" customFormat="1" ht="15.75" customHeight="1" x14ac:dyDescent="0.35">
      <c r="A168" s="159" t="s">
        <v>159</v>
      </c>
      <c r="B168" s="148" t="s">
        <v>152</v>
      </c>
      <c r="C168" s="44">
        <f>C167*0.75</f>
        <v>21.75</v>
      </c>
      <c r="D168" s="42">
        <f ca="1">((100/H161)*C168)/100</f>
        <v>0.65909090909090906</v>
      </c>
      <c r="E168" s="149"/>
      <c r="F168" s="149"/>
      <c r="G168" s="149"/>
      <c r="H168" s="166"/>
      <c r="I168" s="23" t="s">
        <v>166</v>
      </c>
      <c r="J168" s="46">
        <f>(IF(B161&gt;3,(H161/(B161+2)+J167),0))</f>
        <v>0</v>
      </c>
    </row>
    <row r="169" spans="1:11" s="35" customFormat="1" ht="15.75" customHeight="1" x14ac:dyDescent="0.35">
      <c r="A169" s="159" t="s">
        <v>157</v>
      </c>
      <c r="B169" s="148" t="s">
        <v>154</v>
      </c>
      <c r="C169" s="44">
        <f>C167*0.65</f>
        <v>18.850000000000001</v>
      </c>
      <c r="D169" s="42">
        <f ca="1">((100/(H161))*C169)/100</f>
        <v>0.57121212121212128</v>
      </c>
      <c r="E169" s="149"/>
      <c r="F169" s="149"/>
      <c r="G169" s="149"/>
      <c r="H169" s="166"/>
      <c r="I169" s="23" t="s">
        <v>167</v>
      </c>
      <c r="J169" s="45">
        <f>(IF(B161&gt;4,(H161/(B161+2)+J168),0))</f>
        <v>0</v>
      </c>
    </row>
    <row r="170" spans="1:11" s="35" customFormat="1" ht="15.75" customHeight="1" x14ac:dyDescent="0.35">
      <c r="A170" s="159" t="s">
        <v>153</v>
      </c>
      <c r="B170" s="148" t="s">
        <v>153</v>
      </c>
      <c r="C170" s="41">
        <v>4</v>
      </c>
      <c r="D170" s="42">
        <f ca="1">((100/H161)*C170)/100</f>
        <v>0.12121212121212122</v>
      </c>
      <c r="E170" s="149"/>
      <c r="F170" s="149"/>
      <c r="G170" s="149"/>
      <c r="H170" s="166"/>
      <c r="I170" s="23" t="s">
        <v>169</v>
      </c>
      <c r="J170" s="45">
        <f>(IF(B161=1,(H161/(B161+3)+J165),IF(B161=0,(H161/4+J165),IF(B161&gt;1,0))))</f>
        <v>0</v>
      </c>
    </row>
    <row r="171" spans="1:11" s="35" customFormat="1" ht="16" thickBot="1" x14ac:dyDescent="0.4">
      <c r="A171" s="159" t="s">
        <v>160</v>
      </c>
      <c r="B171" s="148"/>
      <c r="C171" s="41">
        <v>0</v>
      </c>
      <c r="D171" s="42">
        <f ca="1">((100/H161)*C171)/100</f>
        <v>0</v>
      </c>
      <c r="E171" s="149"/>
      <c r="F171" s="149"/>
      <c r="G171" s="149"/>
      <c r="H171" s="166"/>
      <c r="I171" s="24" t="s">
        <v>123</v>
      </c>
      <c r="J171" s="49">
        <f ca="1">(IF(B161&gt;1.5,(H161/(B161+2)+J165+MAX(0,J166-J165)+MAX(0,J167-J166)+MAX(0,J168-J167)+MAX(0,J169-J168)+MAX(0,J170-J169)),IF(B161=1,(H161/(B161+3)+J170),IF(B161=0,H161/4+J170))))</f>
        <v>33</v>
      </c>
    </row>
    <row r="172" spans="1:11" s="35" customFormat="1" ht="15.75" customHeight="1" x14ac:dyDescent="0.35">
      <c r="A172" s="159" t="s">
        <v>155</v>
      </c>
      <c r="B172" s="148" t="s">
        <v>155</v>
      </c>
      <c r="C172" s="41">
        <v>0</v>
      </c>
      <c r="D172" s="42">
        <f ca="1">((100/(H161))*C172)/100</f>
        <v>0</v>
      </c>
      <c r="E172" s="149"/>
      <c r="F172" s="149"/>
      <c r="G172" s="149"/>
      <c r="H172" s="166"/>
      <c r="I172" s="21" t="str">
        <f ca="1">(IF(E178&gt;99%,"All work completed. Please provide OC.",IF(E178&gt;89.8%,"Plinth, RCC, Brick, Plaster, Flooring, Painting work Completed. Finishing work is in process.",IF(E178&lt;94%,(IF(C178=0,"Work not yet Started.",IF(D178=25%,"Piling work in process",IF(D178=50%,"Excavation work in process",IF(D178=100%,"Excavation work Completed. ","0")))&amp;(IF(C179=0%,"",IF(C179=J178,"Footing work is process",IF(C179=J179,"Footing work Completed",IF(C179=J180,"1st Basement Completed",IF(C179=J181,"1st &amp; 2nd Basement Completed",IF(C179=J182,"1st to 3rd Basement Completed",IF(C179=J183,"1st to 4th Basement Completed",IF(C179=J184,"Plinth work is process",IF(C179=J185,"Plinth work completed","0")))))))))))&amp;(IF(C180=(D175+F175+H175),", RCC Slab",IF(C180&gt;0,", RCC upto "&amp;C180&amp;" Slab",""))&amp;(IF(C181=H175,", Brickwork",IF(C181&gt;0,", Brickwork upto "&amp;C181&amp;" Floor",""))&amp;(IF(C182=H175,", Internal Plaster",IF(C182&gt;0,", Internal Plaster upto "&amp;C182&amp;" Floor",""))&amp;(IF(C183=H175,", External Plaster",IF(C183&gt;0,", External Plaster upto "&amp;C183&amp;" Floor",""))&amp;(IF(C184=H175,", Flooring",IF(C184&gt;0,", Flooring upto "&amp;C184&amp;" Floor",""))&amp;(IF(C185=H175,", Painting",IF(C185&gt;0,", Painting upto "&amp;C185&amp;" Floor",""))&amp;(IF(C186&gt;0,", Finishing upto "&amp;C186&amp;" Floor","")&amp;(IF(C180&gt;0.5," Completed",""))))))))))))))</f>
        <v>Excavation work Completed. Plinth work completed, RCC Slab, Brickwork, Internal Plaster, External Plaster upto 30 Floor, Flooring upto 10 Floor, Painting upto 8 Floor Completed</v>
      </c>
      <c r="J172" s="38"/>
    </row>
    <row r="173" spans="1:11" s="35" customFormat="1" ht="16" thickBot="1" x14ac:dyDescent="0.4">
      <c r="A173" s="175" t="s">
        <v>156</v>
      </c>
      <c r="B173" s="176"/>
      <c r="C173" s="47">
        <v>0</v>
      </c>
      <c r="D173" s="48">
        <f ca="1">((100/(H161))*C173)/100</f>
        <v>0</v>
      </c>
      <c r="E173" s="165"/>
      <c r="F173" s="165"/>
      <c r="G173" s="165"/>
      <c r="H173" s="167"/>
      <c r="I173" s="22"/>
      <c r="J173" s="39"/>
    </row>
    <row r="174" spans="1:11" s="35" customFormat="1" x14ac:dyDescent="0.35">
      <c r="A174" s="150" t="s">
        <v>162</v>
      </c>
      <c r="B174" s="151"/>
      <c r="C174" s="152" t="str">
        <f>D68</f>
        <v>Wing H = 2B + G/St + 2 Podium (Pt) + 1st Floor to 33rd Floor</v>
      </c>
      <c r="D174" s="153"/>
      <c r="E174" s="153"/>
      <c r="F174" s="153"/>
      <c r="G174" s="153"/>
      <c r="H174" s="154"/>
      <c r="I174" s="22" t="s">
        <v>124</v>
      </c>
      <c r="J174" s="39"/>
    </row>
    <row r="175" spans="1:11" s="35" customFormat="1" ht="15.75" customHeight="1" x14ac:dyDescent="0.35">
      <c r="A175" s="30" t="s">
        <v>164</v>
      </c>
      <c r="B175" s="31">
        <v>2</v>
      </c>
      <c r="C175" s="31" t="s">
        <v>93</v>
      </c>
      <c r="D175" s="31">
        <v>1</v>
      </c>
      <c r="E175" s="31" t="s">
        <v>92</v>
      </c>
      <c r="F175" s="31">
        <v>2</v>
      </c>
      <c r="G175" s="31" t="s">
        <v>101</v>
      </c>
      <c r="H175" s="19">
        <f ca="1">--TRIM(RIGHT(SUBSTITUTE(LEFT(C174,_xlfn.AGGREGATE(16,6,FIND({0,1,2,3,4,5,6,7,8,9},C174,ROW(INDIRECT("1:"&amp;LEN(C174)))),1))," ",REPT(" ",LEN(C174))),LEN(C174)))</f>
        <v>33</v>
      </c>
      <c r="I175" s="23" t="s">
        <v>163</v>
      </c>
      <c r="J175" s="40">
        <f ca="1">H175*25%</f>
        <v>8.25</v>
      </c>
    </row>
    <row r="176" spans="1:11" s="35" customFormat="1" ht="49.5" customHeight="1" x14ac:dyDescent="0.35">
      <c r="A176" s="155" t="s">
        <v>111</v>
      </c>
      <c r="B176" s="156"/>
      <c r="C176" s="157" t="str">
        <f ca="1">I172</f>
        <v>Excavation work Completed. Plinth work completed, RCC Slab, Brickwork, Internal Plaster, External Plaster upto 30 Floor, Flooring upto 10 Floor, Painting upto 8 Floor Completed</v>
      </c>
      <c r="D176" s="157"/>
      <c r="E176" s="157"/>
      <c r="F176" s="157"/>
      <c r="G176" s="157"/>
      <c r="H176" s="158"/>
      <c r="I176" s="23" t="s">
        <v>119</v>
      </c>
      <c r="J176" s="43">
        <f ca="1">H175*50%</f>
        <v>16.5</v>
      </c>
    </row>
    <row r="177" spans="1:12" s="35" customFormat="1" x14ac:dyDescent="0.35">
      <c r="A177" s="159" t="s">
        <v>46</v>
      </c>
      <c r="B177" s="148"/>
      <c r="C177" s="29" t="s">
        <v>161</v>
      </c>
      <c r="D177" s="29" t="s">
        <v>104</v>
      </c>
      <c r="E177" s="148" t="s">
        <v>106</v>
      </c>
      <c r="F177" s="148"/>
      <c r="G177" s="148" t="s">
        <v>105</v>
      </c>
      <c r="H177" s="160"/>
      <c r="I177" s="23" t="s">
        <v>120</v>
      </c>
      <c r="J177" s="43">
        <f ca="1">H175</f>
        <v>33</v>
      </c>
    </row>
    <row r="178" spans="1:12" s="35" customFormat="1" ht="15.75" customHeight="1" x14ac:dyDescent="0.35">
      <c r="A178" s="159" t="s">
        <v>150</v>
      </c>
      <c r="B178" s="148"/>
      <c r="C178" s="41">
        <f ca="1">J177</f>
        <v>33</v>
      </c>
      <c r="D178" s="42">
        <f ca="1">((100/H175)*C178)/100</f>
        <v>1</v>
      </c>
      <c r="E178" s="149">
        <f ca="1">(((C179/H175*10)+(40/(D175+F175+H175)*C180)+(7.5/(H175)*C181)+(7.5/(H175)*C182)+(10/H175*C183)+(10/H175*C184)+(5/H175*C185)+(5/H175*C186)+(5/H175*C187))/100)</f>
        <v>0.78333333333333344</v>
      </c>
      <c r="F178" s="149"/>
      <c r="G178" s="149">
        <f ca="1">((((C178/H175)*20)+((C179/H175)*25)+(30/(H175+F175+D175)*C180)+(5/H175*C181)+(5/H175*C182)+(5/H175*C183)+(5/H175*C184)+(0/H175*C185)+(0/H175*C186)+(5/H175*C187))/100)</f>
        <v>0.91060606060606064</v>
      </c>
      <c r="H178" s="166"/>
      <c r="I178" s="23" t="s">
        <v>121</v>
      </c>
      <c r="J178" s="45">
        <f ca="1">(IF(B175&gt;1,(H175/(B175+2)),H175/4))</f>
        <v>8.25</v>
      </c>
    </row>
    <row r="179" spans="1:12" s="35" customFormat="1" ht="15.75" customHeight="1" x14ac:dyDescent="0.35">
      <c r="A179" s="159" t="s">
        <v>47</v>
      </c>
      <c r="B179" s="148"/>
      <c r="C179" s="44">
        <v>33</v>
      </c>
      <c r="D179" s="42">
        <f ca="1">((100/H175)*C179)/100</f>
        <v>1</v>
      </c>
      <c r="E179" s="149"/>
      <c r="F179" s="149"/>
      <c r="G179" s="149"/>
      <c r="H179" s="166"/>
      <c r="I179" s="23" t="s">
        <v>122</v>
      </c>
      <c r="J179" s="45">
        <f ca="1">(IF(B175&gt;1,(H175/(B175+2)+J178),H175/4+J178))</f>
        <v>16.5</v>
      </c>
      <c r="L179" s="35">
        <f>(35*12)/100</f>
        <v>4.2</v>
      </c>
    </row>
    <row r="180" spans="1:12" s="35" customFormat="1" ht="15.75" customHeight="1" x14ac:dyDescent="0.35">
      <c r="A180" s="159" t="s">
        <v>151</v>
      </c>
      <c r="B180" s="148"/>
      <c r="C180" s="44">
        <v>36</v>
      </c>
      <c r="D180" s="42">
        <f ca="1">((100/(D175+F175+H175))*C180)/100</f>
        <v>1</v>
      </c>
      <c r="E180" s="149"/>
      <c r="F180" s="149"/>
      <c r="G180" s="149"/>
      <c r="H180" s="166"/>
      <c r="I180" s="23" t="s">
        <v>168</v>
      </c>
      <c r="J180" s="45">
        <f ca="1">(IF(B175&gt;1,(H175/(B175+2)+J179),0))</f>
        <v>24.75</v>
      </c>
    </row>
    <row r="181" spans="1:12" s="35" customFormat="1" ht="15" customHeight="1" x14ac:dyDescent="0.35">
      <c r="A181" s="159" t="s">
        <v>158</v>
      </c>
      <c r="B181" s="148" t="s">
        <v>152</v>
      </c>
      <c r="C181" s="44">
        <f>C180-D175-F175</f>
        <v>33</v>
      </c>
      <c r="D181" s="42">
        <f ca="1">((100/H175)*C181)/100</f>
        <v>1</v>
      </c>
      <c r="E181" s="149"/>
      <c r="F181" s="149"/>
      <c r="G181" s="149"/>
      <c r="H181" s="166"/>
      <c r="I181" s="23" t="s">
        <v>165</v>
      </c>
      <c r="J181" s="45">
        <f>(IF(B175&gt;2,(H175/(B175+2)+J180),0))</f>
        <v>0</v>
      </c>
    </row>
    <row r="182" spans="1:12" s="35" customFormat="1" ht="15.75" customHeight="1" x14ac:dyDescent="0.35">
      <c r="A182" s="159" t="s">
        <v>159</v>
      </c>
      <c r="B182" s="148" t="s">
        <v>152</v>
      </c>
      <c r="C182" s="44">
        <v>33</v>
      </c>
      <c r="D182" s="42">
        <f ca="1">((100/H175)*C182)/100</f>
        <v>1</v>
      </c>
      <c r="E182" s="149"/>
      <c r="F182" s="149"/>
      <c r="G182" s="149"/>
      <c r="H182" s="166"/>
      <c r="I182" s="23" t="s">
        <v>166</v>
      </c>
      <c r="J182" s="46">
        <f>(IF(B175&gt;3,(H175/(B175+2)+J181),0))</f>
        <v>0</v>
      </c>
    </row>
    <row r="183" spans="1:12" s="35" customFormat="1" ht="15.75" customHeight="1" x14ac:dyDescent="0.35">
      <c r="A183" s="159" t="s">
        <v>157</v>
      </c>
      <c r="B183" s="148" t="s">
        <v>154</v>
      </c>
      <c r="C183" s="44">
        <v>30</v>
      </c>
      <c r="D183" s="42">
        <f ca="1">((100/(H175))*C183)/100</f>
        <v>0.90909090909090906</v>
      </c>
      <c r="E183" s="149"/>
      <c r="F183" s="149"/>
      <c r="G183" s="149"/>
      <c r="H183" s="166"/>
      <c r="I183" s="23" t="s">
        <v>167</v>
      </c>
      <c r="J183" s="45">
        <f>(IF(B175&gt;4,(H175/(B175+2)+J182),0))</f>
        <v>0</v>
      </c>
    </row>
    <row r="184" spans="1:12" s="35" customFormat="1" ht="15.75" customHeight="1" x14ac:dyDescent="0.35">
      <c r="A184" s="159" t="s">
        <v>153</v>
      </c>
      <c r="B184" s="148" t="s">
        <v>153</v>
      </c>
      <c r="C184" s="41">
        <v>10</v>
      </c>
      <c r="D184" s="42">
        <f ca="1">((100/H175)*C184)/100</f>
        <v>0.30303030303030304</v>
      </c>
      <c r="E184" s="149"/>
      <c r="F184" s="149"/>
      <c r="G184" s="149"/>
      <c r="H184" s="166"/>
      <c r="I184" s="23" t="s">
        <v>169</v>
      </c>
      <c r="J184" s="45">
        <f>(IF(B175=1,(H175/(B175+3)+J179),IF(B175=0,(H175/4+J179),IF(B175&gt;1,0))))</f>
        <v>0</v>
      </c>
    </row>
    <row r="185" spans="1:12" s="35" customFormat="1" ht="16" thickBot="1" x14ac:dyDescent="0.4">
      <c r="A185" s="159" t="s">
        <v>160</v>
      </c>
      <c r="B185" s="148"/>
      <c r="C185" s="41">
        <v>8</v>
      </c>
      <c r="D185" s="42">
        <f ca="1">((100/H175)*C185)/100</f>
        <v>0.24242424242424243</v>
      </c>
      <c r="E185" s="149"/>
      <c r="F185" s="149"/>
      <c r="G185" s="149"/>
      <c r="H185" s="166"/>
      <c r="I185" s="24" t="s">
        <v>123</v>
      </c>
      <c r="J185" s="49">
        <f ca="1">(IF(B175&gt;1.5,(H175/(B175+2)+J179+MAX(0,J180-J179)+MAX(0,J181-J180)+MAX(0,J182-J181)+MAX(0,J183-J182)+MAX(0,J184-J183)),IF(B175=1,(H175/(B175+3)+J184),IF(B175=0,H175/4+J184))))</f>
        <v>33</v>
      </c>
    </row>
    <row r="186" spans="1:12" s="35" customFormat="1" x14ac:dyDescent="0.35">
      <c r="A186" s="159" t="s">
        <v>155</v>
      </c>
      <c r="B186" s="148" t="s">
        <v>155</v>
      </c>
      <c r="C186" s="41">
        <v>0</v>
      </c>
      <c r="D186" s="42">
        <f ca="1">((100/(H175))*C186)/100</f>
        <v>0</v>
      </c>
      <c r="E186" s="149"/>
      <c r="F186" s="149"/>
      <c r="G186" s="149"/>
      <c r="H186" s="166"/>
      <c r="I186" s="21" t="str">
        <f ca="1">(IF(E192&gt;99%,"All work completed. Please provide OC.",IF(E192&gt;89.8%,"Plinth, RCC, Brick, Plaster, Flooring, Painting work Completed. Finishing work is in process.",IF(E192&lt;94%,(IF(C192=0,"Work not yet Started.",IF(D192=25%,"Piling work in process",IF(D192=50%,"Excavation work in process",IF(D192=100%,"Excavation work Completed. ","0")))&amp;(IF(C193=0%,"",IF(C193=J192,"Footing work is process",IF(C193=J193,"Footing work Completed",IF(C193=J194,"1st Basement Completed",IF(C193=J195,"1st &amp; 2nd Basement Completed",IF(C193=J196,"1st to 3rd Basement Completed",IF(C193=J197,"1st to 4th Basement Completed",IF(C193=J198,"Plinth work is process",IF(C193=J199,"Plinth work completed","0")))))))))))&amp;(IF(C194=(D189+F189+H189),", RCC Slab",IF(C194&gt;0,", RCC upto "&amp;C194&amp;" Slab",""))&amp;(IF(C195=H189,", Brickwork",IF(C195&gt;0,", Brickwork upto "&amp;C195&amp;" Floor",""))&amp;(IF(C196=H189,", Internal Plaster",IF(C196&gt;0,", Internal Plaster upto "&amp;C196&amp;" Floor",""))&amp;(IF(C197=H189,", External Plaster",IF(C197&gt;0,", External Plaster upto "&amp;C197&amp;" Floor",""))&amp;(IF(C198=H189,", Flooring",IF(C198&gt;0,", Flooring upto "&amp;C198&amp;" Floor",""))&amp;(IF(C199=H189,", Painting",IF(C199&gt;0,", Painting upto "&amp;C199&amp;" Floor",""))&amp;(IF(C200&gt;0,", Finishing upto "&amp;C200&amp;" Floor","")&amp;(IF(C194&gt;0.5," Completed",""))))))))))))))</f>
        <v>Excavation work Completed. 1st Basement Completed</v>
      </c>
      <c r="J186" s="38"/>
    </row>
    <row r="187" spans="1:12" s="35" customFormat="1" ht="16" thickBot="1" x14ac:dyDescent="0.4">
      <c r="A187" s="175" t="s">
        <v>156</v>
      </c>
      <c r="B187" s="176"/>
      <c r="C187" s="47">
        <v>0</v>
      </c>
      <c r="D187" s="48">
        <f ca="1">((100/(H175))*C187)/100</f>
        <v>0</v>
      </c>
      <c r="E187" s="165"/>
      <c r="F187" s="165"/>
      <c r="G187" s="165"/>
      <c r="H187" s="167"/>
      <c r="I187" s="22"/>
      <c r="J187" s="39"/>
    </row>
    <row r="188" spans="1:12" s="35" customFormat="1" ht="33.75" customHeight="1" x14ac:dyDescent="0.35">
      <c r="A188" s="150" t="s">
        <v>162</v>
      </c>
      <c r="B188" s="151"/>
      <c r="C188" s="152" t="s">
        <v>415</v>
      </c>
      <c r="D188" s="153"/>
      <c r="E188" s="153"/>
      <c r="F188" s="153"/>
      <c r="G188" s="153"/>
      <c r="H188" s="154"/>
      <c r="I188" s="22" t="s">
        <v>124</v>
      </c>
      <c r="J188" s="39"/>
    </row>
    <row r="189" spans="1:12" s="35" customFormat="1" ht="15.75" customHeight="1" x14ac:dyDescent="0.35">
      <c r="A189" s="30" t="s">
        <v>164</v>
      </c>
      <c r="B189" s="31">
        <v>2</v>
      </c>
      <c r="C189" s="31" t="s">
        <v>93</v>
      </c>
      <c r="D189" s="31">
        <v>1</v>
      </c>
      <c r="E189" s="31" t="s">
        <v>92</v>
      </c>
      <c r="F189" s="31">
        <v>2</v>
      </c>
      <c r="G189" s="31" t="s">
        <v>101</v>
      </c>
      <c r="H189" s="19">
        <f ca="1">--TRIM(RIGHT(SUBSTITUTE(LEFT(C188,_xlfn.AGGREGATE(16,6,FIND({0,1,2,3,4,5,6,7,8,9},C188,ROW(INDIRECT("1:"&amp;LEN(C188)))),1))," ",REPT(" ",LEN(C188))),LEN(C188)))</f>
        <v>36</v>
      </c>
      <c r="I189" s="23" t="s">
        <v>163</v>
      </c>
      <c r="J189" s="40">
        <f ca="1">H189*25%</f>
        <v>9</v>
      </c>
    </row>
    <row r="190" spans="1:12" s="35" customFormat="1" x14ac:dyDescent="0.35">
      <c r="A190" s="155" t="s">
        <v>111</v>
      </c>
      <c r="B190" s="156"/>
      <c r="C190" s="157" t="str">
        <f ca="1">I186</f>
        <v>Excavation work Completed. 1st Basement Completed</v>
      </c>
      <c r="D190" s="157"/>
      <c r="E190" s="157"/>
      <c r="F190" s="157"/>
      <c r="G190" s="157"/>
      <c r="H190" s="158"/>
      <c r="I190" s="23" t="s">
        <v>119</v>
      </c>
      <c r="J190" s="43">
        <f ca="1">H189*50%</f>
        <v>18</v>
      </c>
      <c r="L190" s="35" t="s">
        <v>442</v>
      </c>
    </row>
    <row r="191" spans="1:12" s="35" customFormat="1" x14ac:dyDescent="0.35">
      <c r="A191" s="159" t="s">
        <v>46</v>
      </c>
      <c r="B191" s="148"/>
      <c r="C191" s="29" t="s">
        <v>161</v>
      </c>
      <c r="D191" s="29" t="s">
        <v>104</v>
      </c>
      <c r="E191" s="148" t="s">
        <v>106</v>
      </c>
      <c r="F191" s="148"/>
      <c r="G191" s="148" t="s">
        <v>105</v>
      </c>
      <c r="H191" s="160"/>
      <c r="I191" s="23" t="s">
        <v>120</v>
      </c>
      <c r="J191" s="43">
        <f ca="1">H189</f>
        <v>36</v>
      </c>
      <c r="L191" s="35" t="s">
        <v>443</v>
      </c>
    </row>
    <row r="192" spans="1:12" s="35" customFormat="1" ht="15.75" customHeight="1" x14ac:dyDescent="0.35">
      <c r="A192" s="159" t="s">
        <v>150</v>
      </c>
      <c r="B192" s="148"/>
      <c r="C192" s="72">
        <f ca="1">J191</f>
        <v>36</v>
      </c>
      <c r="D192" s="42">
        <f ca="1">((100/H189)*C192)/100</f>
        <v>1</v>
      </c>
      <c r="E192" s="149">
        <f ca="1">(((C193/H189*10)+(40/(D189+F189+H189)*C194)+(7.5/(H189)*C195)+(7.5/(H189)*C196)+(10/H189*C197)+(10/H189*C198)+(5/H189*C199)+(5/H189*C200)+(5/H189*C201))/100)</f>
        <v>7.4999999999999997E-2</v>
      </c>
      <c r="F192" s="149"/>
      <c r="G192" s="149">
        <f ca="1">((((C192/H189)*20)+((C193/H189)*25)+(30/(H189+F189+D189)*C194)+(5/H189*C195)+(5/H189*C196)+(5/H189*C197)+(5/H189*C198)+(0/H189*C199)+(0/H189*C200)+(5/H189*C201))/100)</f>
        <v>0.38750000000000001</v>
      </c>
      <c r="H192" s="166"/>
      <c r="I192" s="23" t="s">
        <v>121</v>
      </c>
      <c r="J192" s="45">
        <f ca="1">(IF(B189&gt;1,(H189/(B189+2)),H189/4))</f>
        <v>9</v>
      </c>
      <c r="L192" s="35" t="s">
        <v>444</v>
      </c>
    </row>
    <row r="193" spans="1:12" s="35" customFormat="1" ht="15.75" customHeight="1" x14ac:dyDescent="0.35">
      <c r="A193" s="159" t="s">
        <v>47</v>
      </c>
      <c r="B193" s="148"/>
      <c r="C193" s="73">
        <f ca="1">J194</f>
        <v>27</v>
      </c>
      <c r="D193" s="42">
        <f ca="1">((100/H189)*C193)/100</f>
        <v>0.75</v>
      </c>
      <c r="E193" s="149"/>
      <c r="F193" s="149"/>
      <c r="G193" s="149"/>
      <c r="H193" s="166"/>
      <c r="I193" s="23" t="s">
        <v>122</v>
      </c>
      <c r="J193" s="45">
        <f ca="1">(IF(B189&gt;1,(H189/(B189+2)+J192),H189/4+J192))</f>
        <v>18</v>
      </c>
      <c r="L193" s="35">
        <f>(35*12)/100</f>
        <v>4.2</v>
      </c>
    </row>
    <row r="194" spans="1:12" s="35" customFormat="1" ht="15.75" customHeight="1" x14ac:dyDescent="0.35">
      <c r="A194" s="159" t="s">
        <v>151</v>
      </c>
      <c r="B194" s="148"/>
      <c r="C194" s="73">
        <v>0</v>
      </c>
      <c r="D194" s="42">
        <f ca="1">((100/(D189+F189+H189))*C194)/100</f>
        <v>0</v>
      </c>
      <c r="E194" s="149"/>
      <c r="F194" s="149"/>
      <c r="G194" s="149"/>
      <c r="H194" s="166"/>
      <c r="I194" s="23" t="s">
        <v>168</v>
      </c>
      <c r="J194" s="45">
        <f ca="1">(IF(B189&gt;1,(H189/(B189+2)+J193),0))</f>
        <v>27</v>
      </c>
    </row>
    <row r="195" spans="1:12" s="35" customFormat="1" ht="15" customHeight="1" x14ac:dyDescent="0.35">
      <c r="A195" s="159" t="s">
        <v>158</v>
      </c>
      <c r="B195" s="148" t="s">
        <v>152</v>
      </c>
      <c r="C195" s="73">
        <v>0</v>
      </c>
      <c r="D195" s="42">
        <f ca="1">((100/H189)*C195)/100</f>
        <v>0</v>
      </c>
      <c r="E195" s="149"/>
      <c r="F195" s="149"/>
      <c r="G195" s="149"/>
      <c r="H195" s="166"/>
      <c r="I195" s="23" t="s">
        <v>165</v>
      </c>
      <c r="J195" s="45">
        <f>(IF(B189&gt;2,(H189/(B189+2)+J194),0))</f>
        <v>0</v>
      </c>
    </row>
    <row r="196" spans="1:12" s="35" customFormat="1" ht="15.75" customHeight="1" x14ac:dyDescent="0.35">
      <c r="A196" s="159" t="s">
        <v>159</v>
      </c>
      <c r="B196" s="148" t="s">
        <v>152</v>
      </c>
      <c r="C196" s="73">
        <v>0</v>
      </c>
      <c r="D196" s="42">
        <f ca="1">((100/H189)*C196)/100</f>
        <v>0</v>
      </c>
      <c r="E196" s="149"/>
      <c r="F196" s="149"/>
      <c r="G196" s="149"/>
      <c r="H196" s="166"/>
      <c r="I196" s="23" t="s">
        <v>166</v>
      </c>
      <c r="J196" s="46">
        <f>(IF(B189&gt;3,(H189/(B189+2)+J195),0))</f>
        <v>0</v>
      </c>
    </row>
    <row r="197" spans="1:12" s="35" customFormat="1" ht="15.75" customHeight="1" x14ac:dyDescent="0.35">
      <c r="A197" s="159" t="s">
        <v>157</v>
      </c>
      <c r="B197" s="148" t="s">
        <v>154</v>
      </c>
      <c r="C197" s="73">
        <v>0</v>
      </c>
      <c r="D197" s="42">
        <f ca="1">((100/(H189))*C197)/100</f>
        <v>0</v>
      </c>
      <c r="E197" s="149"/>
      <c r="F197" s="149"/>
      <c r="G197" s="149"/>
      <c r="H197" s="166"/>
      <c r="I197" s="23" t="s">
        <v>167</v>
      </c>
      <c r="J197" s="45">
        <f>(IF(B189&gt;4,(H189/(B189+2)+J196),0))</f>
        <v>0</v>
      </c>
    </row>
    <row r="198" spans="1:12" s="35" customFormat="1" ht="15.75" customHeight="1" x14ac:dyDescent="0.35">
      <c r="A198" s="159" t="s">
        <v>153</v>
      </c>
      <c r="B198" s="148" t="s">
        <v>153</v>
      </c>
      <c r="C198" s="41">
        <v>0</v>
      </c>
      <c r="D198" s="42">
        <f ca="1">((100/H189)*C198)/100</f>
        <v>0</v>
      </c>
      <c r="E198" s="149"/>
      <c r="F198" s="149"/>
      <c r="G198" s="149"/>
      <c r="H198" s="166"/>
      <c r="I198" s="23" t="s">
        <v>169</v>
      </c>
      <c r="J198" s="45">
        <f>(IF(B189=1,(H189/(B189+3)+J193),IF(B189=0,(H189/4+J193),IF(B189&gt;1,0))))</f>
        <v>0</v>
      </c>
    </row>
    <row r="199" spans="1:12" s="35" customFormat="1" ht="16" thickBot="1" x14ac:dyDescent="0.4">
      <c r="A199" s="159" t="s">
        <v>160</v>
      </c>
      <c r="B199" s="148"/>
      <c r="C199" s="41">
        <v>0</v>
      </c>
      <c r="D199" s="42">
        <f ca="1">((100/H189)*C199)/100</f>
        <v>0</v>
      </c>
      <c r="E199" s="149"/>
      <c r="F199" s="149"/>
      <c r="G199" s="149"/>
      <c r="H199" s="166"/>
      <c r="I199" s="24" t="s">
        <v>123</v>
      </c>
      <c r="J199" s="49">
        <f ca="1">(IF(B189&gt;1.5,(H189/(B189+2)+J193+MAX(0,J194-J193)+MAX(0,J195-J194)+MAX(0,J196-J195)+MAX(0,J197-J196)+MAX(0,J198-J197)),IF(B189=1,(H189/(B189+3)+J198),IF(B189=0,H189/4+J198))))</f>
        <v>36</v>
      </c>
    </row>
    <row r="200" spans="1:12" s="35" customFormat="1" ht="15.75" customHeight="1" x14ac:dyDescent="0.35">
      <c r="A200" s="159" t="s">
        <v>155</v>
      </c>
      <c r="B200" s="148" t="s">
        <v>155</v>
      </c>
      <c r="C200" s="41">
        <v>0</v>
      </c>
      <c r="D200" s="42">
        <f ca="1">((100/(H189))*C200)/100</f>
        <v>0</v>
      </c>
      <c r="E200" s="149"/>
      <c r="F200" s="149"/>
      <c r="G200" s="149"/>
      <c r="H200" s="166"/>
      <c r="I200" s="21" t="str">
        <f ca="1">(IF(E206&gt;99%,"All work completed. Please provide OC.",IF(E206&gt;89.8%,"Plinth, RCC, Brick, Plaster, Flooring, Painting work Completed. Finishing work is in process.",IF(E206&lt;94%,(IF(C206=0,"Work not yet Started.",IF(D206=25%,"Piling work in process",IF(D206=50%,"Excavation work in process",IF(D206=100%,"Excavation work Completed. ","0")))&amp;(IF(C207=0%,"",IF(C207=J206,"Footing work is process",IF(C207=J207,"Footing work Completed",IF(C207=J208,"1st Basement Completed",IF(C207=J209,"1st &amp; 2nd Basement Completed",IF(C207=J210,"1st to 3rd Basement Completed",IF(C207=J211,"1st to 4th Basement Completed",IF(C207=J212,"Plinth work is process",IF(C207=J213,"Plinth work completed","0")))))))))))&amp;(IF(C208=(D203+F203+H203),", RCC Slab",IF(C208&gt;0,", RCC upto "&amp;C208&amp;" Slab",""))&amp;(IF(C209=H203,", Brickwork",IF(C209&gt;0,", Brickwork upto "&amp;C209&amp;" Floor",""))&amp;(IF(C210=H203,", Internal Plaster",IF(C210&gt;0,", Internal Plaster upto "&amp;C210&amp;" Floor",""))&amp;(IF(C211=H203,", External Plaster",IF(C211&gt;0,", External Plaster upto "&amp;C211&amp;" Floor",""))&amp;(IF(C212=H203,", Flooring",IF(C212&gt;0,", Flooring upto "&amp;C212&amp;" Floor",""))&amp;(IF(C213=H203,", Painting",IF(C213&gt;0,", Painting upto "&amp;C213&amp;" Floor",""))&amp;(IF(C214&gt;0,", Finishing upto "&amp;C214&amp;" Floor","")&amp;(IF(C208&gt;0.5," Completed",""))))))))))))))</f>
        <v>Excavation work Completed. 0, RCC upto 36 Slab, Brickwork upto 33 Floor, Internal Plaster upto 21.45 Floor, External Plaster upto 21.45 Floor Completed</v>
      </c>
      <c r="J200" s="38"/>
    </row>
    <row r="201" spans="1:12" s="35" customFormat="1" ht="16" thickBot="1" x14ac:dyDescent="0.4">
      <c r="A201" s="175" t="s">
        <v>156</v>
      </c>
      <c r="B201" s="176"/>
      <c r="C201" s="47">
        <v>0</v>
      </c>
      <c r="D201" s="48">
        <f ca="1">((100/(H189))*C201)/100</f>
        <v>0</v>
      </c>
      <c r="E201" s="165"/>
      <c r="F201" s="165"/>
      <c r="G201" s="165"/>
      <c r="H201" s="167"/>
      <c r="I201" s="22"/>
      <c r="J201" s="39"/>
    </row>
    <row r="202" spans="1:12" s="34" customFormat="1" hidden="1" x14ac:dyDescent="0.35">
      <c r="A202" s="180" t="s">
        <v>162</v>
      </c>
      <c r="B202" s="181"/>
      <c r="C202" s="139" t="str">
        <f>D70</f>
        <v>Wing K = 2B + G/St + 2 Podium + 1st Floor to 36th Floor</v>
      </c>
      <c r="D202" s="140"/>
      <c r="E202" s="140"/>
      <c r="F202" s="140"/>
      <c r="G202" s="140"/>
      <c r="H202" s="141"/>
      <c r="I202" s="85" t="s">
        <v>124</v>
      </c>
      <c r="J202" s="86"/>
    </row>
    <row r="203" spans="1:12" s="34" customFormat="1" ht="15.75" hidden="1" customHeight="1" x14ac:dyDescent="0.35">
      <c r="A203" s="76" t="s">
        <v>164</v>
      </c>
      <c r="B203" s="77">
        <v>2</v>
      </c>
      <c r="C203" s="77" t="s">
        <v>93</v>
      </c>
      <c r="D203" s="77">
        <v>1</v>
      </c>
      <c r="E203" s="77" t="s">
        <v>92</v>
      </c>
      <c r="F203" s="77">
        <v>2</v>
      </c>
      <c r="G203" s="77" t="s">
        <v>101</v>
      </c>
      <c r="H203" s="78">
        <f ca="1">--TRIM(RIGHT(SUBSTITUTE(LEFT(C202,_xlfn.AGGREGATE(16,6,FIND({0,1,2,3,4,5,6,7,8,9},C202,ROW(INDIRECT("1:"&amp;LEN(C202)))),1))," ",REPT(" ",LEN(C202))),LEN(C202)))</f>
        <v>36</v>
      </c>
      <c r="I203" s="87" t="s">
        <v>163</v>
      </c>
      <c r="J203" s="88">
        <f ca="1">H203*25%</f>
        <v>9</v>
      </c>
    </row>
    <row r="204" spans="1:12" s="34" customFormat="1" hidden="1" x14ac:dyDescent="0.35">
      <c r="A204" s="142" t="s">
        <v>111</v>
      </c>
      <c r="B204" s="143"/>
      <c r="C204" s="144" t="str">
        <f ca="1">I200</f>
        <v>Excavation work Completed. 0, RCC upto 36 Slab, Brickwork upto 33 Floor, Internal Plaster upto 21.45 Floor, External Plaster upto 21.45 Floor Completed</v>
      </c>
      <c r="D204" s="144"/>
      <c r="E204" s="144"/>
      <c r="F204" s="144"/>
      <c r="G204" s="144"/>
      <c r="H204" s="145"/>
      <c r="I204" s="87" t="s">
        <v>119</v>
      </c>
      <c r="J204" s="89">
        <f ca="1">H203*50%</f>
        <v>18</v>
      </c>
    </row>
    <row r="205" spans="1:12" s="34" customFormat="1" hidden="1" x14ac:dyDescent="0.35">
      <c r="A205" s="146" t="s">
        <v>46</v>
      </c>
      <c r="B205" s="147"/>
      <c r="C205" s="79" t="s">
        <v>161</v>
      </c>
      <c r="D205" s="79" t="s">
        <v>104</v>
      </c>
      <c r="E205" s="147" t="s">
        <v>106</v>
      </c>
      <c r="F205" s="147"/>
      <c r="G205" s="147" t="s">
        <v>105</v>
      </c>
      <c r="H205" s="204"/>
      <c r="I205" s="87" t="s">
        <v>120</v>
      </c>
      <c r="J205" s="89">
        <f ca="1">H203</f>
        <v>36</v>
      </c>
    </row>
    <row r="206" spans="1:12" s="34" customFormat="1" ht="15.75" hidden="1" customHeight="1" x14ac:dyDescent="0.35">
      <c r="A206" s="146" t="s">
        <v>150</v>
      </c>
      <c r="B206" s="147"/>
      <c r="C206" s="66">
        <f ca="1">J205</f>
        <v>36</v>
      </c>
      <c r="D206" s="90">
        <f ca="1">((100/H203)*C206)/100</f>
        <v>1</v>
      </c>
      <c r="E206" s="161">
        <f ca="1">(((C207/H203*10)+(40/(D203+F203+H203)*C208)+(7.5/(H203)*C209)+(7.5/(H203)*C210)+(10/H203*C211)+(10/H203*C212)+(5/H203*C213)+(5/H203*C214)+(5/H203*C215))/100)</f>
        <v>0.63391826923076922</v>
      </c>
      <c r="F206" s="161"/>
      <c r="G206" s="161">
        <f ca="1">((((C206/H203)*20)+((C207/H203)*25)+(30/(H203+F203+D203)*C208)+(5/H203*C209)+(5/H203*C210)+(5/H203*C211)+(5/H203*C212)+(0/H203*C213)+(0/H203*C214)+(5/H203*C215))/100)</f>
        <v>0.81150641025641035</v>
      </c>
      <c r="H206" s="162"/>
      <c r="I206" s="87" t="s">
        <v>121</v>
      </c>
      <c r="J206" s="91">
        <f ca="1">(IF(B203&gt;1,(H203/(B203+2)),H203/4))</f>
        <v>9</v>
      </c>
    </row>
    <row r="207" spans="1:12" s="34" customFormat="1" ht="15.75" hidden="1" customHeight="1" x14ac:dyDescent="0.35">
      <c r="A207" s="146" t="s">
        <v>47</v>
      </c>
      <c r="B207" s="147"/>
      <c r="C207" s="67">
        <v>33</v>
      </c>
      <c r="D207" s="90">
        <f ca="1">((100/H203)*C207)/100</f>
        <v>0.91666666666666652</v>
      </c>
      <c r="E207" s="161"/>
      <c r="F207" s="161"/>
      <c r="G207" s="161"/>
      <c r="H207" s="162"/>
      <c r="I207" s="87" t="s">
        <v>122</v>
      </c>
      <c r="J207" s="91">
        <f ca="1">(IF(B203&gt;1,(H203/(B203+2)+J206),H203/4+J206))</f>
        <v>18</v>
      </c>
      <c r="L207" s="34">
        <f>(35*12)/100</f>
        <v>4.2</v>
      </c>
    </row>
    <row r="208" spans="1:12" s="34" customFormat="1" ht="15.75" hidden="1" customHeight="1" x14ac:dyDescent="0.35">
      <c r="A208" s="146" t="s">
        <v>151</v>
      </c>
      <c r="B208" s="147"/>
      <c r="C208" s="67">
        <v>36</v>
      </c>
      <c r="D208" s="90">
        <f ca="1">((100/(D203+F203+H203))*C208)/100</f>
        <v>0.92307692307692324</v>
      </c>
      <c r="E208" s="161"/>
      <c r="F208" s="161"/>
      <c r="G208" s="161"/>
      <c r="H208" s="162"/>
      <c r="I208" s="87" t="s">
        <v>168</v>
      </c>
      <c r="J208" s="91">
        <f ca="1">(IF(B203&gt;1,(H203/(B203+2)+J207),0))</f>
        <v>27</v>
      </c>
    </row>
    <row r="209" spans="1:12" s="34" customFormat="1" ht="15" hidden="1" customHeight="1" x14ac:dyDescent="0.35">
      <c r="A209" s="146" t="s">
        <v>158</v>
      </c>
      <c r="B209" s="147" t="s">
        <v>152</v>
      </c>
      <c r="C209" s="67">
        <f>C208-D203-F203</f>
        <v>33</v>
      </c>
      <c r="D209" s="90">
        <f ca="1">((100/H203)*C209)/100</f>
        <v>0.91666666666666652</v>
      </c>
      <c r="E209" s="161"/>
      <c r="F209" s="161"/>
      <c r="G209" s="161"/>
      <c r="H209" s="162"/>
      <c r="I209" s="87" t="s">
        <v>165</v>
      </c>
      <c r="J209" s="91">
        <f>(IF(B203&gt;2,(H203/(B203+2)+J208),0))</f>
        <v>0</v>
      </c>
    </row>
    <row r="210" spans="1:12" s="34" customFormat="1" ht="15.75" hidden="1" customHeight="1" x14ac:dyDescent="0.35">
      <c r="A210" s="146" t="s">
        <v>159</v>
      </c>
      <c r="B210" s="147" t="s">
        <v>152</v>
      </c>
      <c r="C210" s="67">
        <f>C209*0.65</f>
        <v>21.45</v>
      </c>
      <c r="D210" s="90">
        <f ca="1">((100/H203)*C210)/100</f>
        <v>0.59583333333333333</v>
      </c>
      <c r="E210" s="161"/>
      <c r="F210" s="161"/>
      <c r="G210" s="161"/>
      <c r="H210" s="162"/>
      <c r="I210" s="87" t="s">
        <v>166</v>
      </c>
      <c r="J210" s="92">
        <f>(IF(B203&gt;3,(H203/(B203+2)+J209),0))</f>
        <v>0</v>
      </c>
    </row>
    <row r="211" spans="1:12" s="34" customFormat="1" ht="15.75" hidden="1" customHeight="1" x14ac:dyDescent="0.35">
      <c r="A211" s="146" t="s">
        <v>157</v>
      </c>
      <c r="B211" s="147" t="s">
        <v>154</v>
      </c>
      <c r="C211" s="67">
        <f>C210</f>
        <v>21.45</v>
      </c>
      <c r="D211" s="90">
        <f ca="1">((100/(H203))*C211)/100</f>
        <v>0.59583333333333333</v>
      </c>
      <c r="E211" s="161"/>
      <c r="F211" s="161"/>
      <c r="G211" s="161"/>
      <c r="H211" s="162"/>
      <c r="I211" s="87" t="s">
        <v>167</v>
      </c>
      <c r="J211" s="91">
        <f>(IF(B203&gt;4,(H203/(B203+2)+J210),0))</f>
        <v>0</v>
      </c>
    </row>
    <row r="212" spans="1:12" s="34" customFormat="1" ht="15.75" hidden="1" customHeight="1" x14ac:dyDescent="0.35">
      <c r="A212" s="146" t="s">
        <v>153</v>
      </c>
      <c r="B212" s="147" t="s">
        <v>153</v>
      </c>
      <c r="C212" s="66">
        <v>0</v>
      </c>
      <c r="D212" s="90">
        <f ca="1">((100/H203)*C212)/100</f>
        <v>0</v>
      </c>
      <c r="E212" s="161"/>
      <c r="F212" s="161"/>
      <c r="G212" s="161"/>
      <c r="H212" s="162"/>
      <c r="I212" s="87" t="s">
        <v>169</v>
      </c>
      <c r="J212" s="91">
        <f>(IF(B203=1,(H203/(B203+3)+J207),IF(B203=0,(H203/4+J207),IF(B203&gt;1,0))))</f>
        <v>0</v>
      </c>
    </row>
    <row r="213" spans="1:12" s="34" customFormat="1" ht="16" hidden="1" thickBot="1" x14ac:dyDescent="0.4">
      <c r="A213" s="146" t="s">
        <v>160</v>
      </c>
      <c r="B213" s="147"/>
      <c r="C213" s="66">
        <v>0</v>
      </c>
      <c r="D213" s="90">
        <f ca="1">((100/H203)*C213)/100</f>
        <v>0</v>
      </c>
      <c r="E213" s="161"/>
      <c r="F213" s="161"/>
      <c r="G213" s="161"/>
      <c r="H213" s="162"/>
      <c r="I213" s="93" t="s">
        <v>123</v>
      </c>
      <c r="J213" s="94">
        <f ca="1">(IF(B203&gt;1.5,(H203/(B203+2)+J207+MAX(0,J208-J207)+MAX(0,J209-J208)+MAX(0,J210-J209)+MAX(0,J211-J210)+MAX(0,J212-J211)),IF(B203=1,(H203/(B203+3)+J212),IF(B203=0,H203/4+J212))))</f>
        <v>36</v>
      </c>
    </row>
    <row r="214" spans="1:12" s="34" customFormat="1" ht="15.75" hidden="1" customHeight="1" x14ac:dyDescent="0.35">
      <c r="A214" s="146" t="s">
        <v>155</v>
      </c>
      <c r="B214" s="147" t="s">
        <v>155</v>
      </c>
      <c r="C214" s="66">
        <v>0</v>
      </c>
      <c r="D214" s="90">
        <f ca="1">((100/(H203))*C214)/100</f>
        <v>0</v>
      </c>
      <c r="E214" s="161"/>
      <c r="F214" s="161"/>
      <c r="G214" s="161"/>
      <c r="H214" s="162"/>
      <c r="I214" s="95" t="str">
        <f ca="1">(IF(E220&gt;99%,"All work completed. Please provide OC.",IF(E220&gt;89.8%,"Plinth, RCC, Brick, Plaster, Flooring, Painting work Completed. Finishing work is in process.",IF(E220&lt;94%,(IF(C220=0,"Work not yet Started.",IF(D220=25%,"Piling work in process",IF(D220=50%,"Excavation work in process",IF(D220=100%,"Excavation work Completed. ","0")))&amp;(IF(C221=0%,"",IF(C221=J220,"Footing work is process",IF(C221=J221,"Footing work Completed",IF(C221=J222,"1st Basement Completed",IF(C221=J223,"1st &amp; 2nd Basement Completed",IF(C221=J224,"1st to 3rd Basement Completed",IF(C221=J225,"1st to 4th Basement Completed",IF(C221=J226,"Plinth work is process",IF(C221=J227,"Plinth work completed","0")))))))))))&amp;(IF(C222=(D217+F217+H217),", RCC Slab",IF(C222&gt;0,", RCC upto "&amp;C222&amp;" Slab",""))&amp;(IF(C223=H217,", Brickwork",IF(C223&gt;0,", Brickwork upto "&amp;C223&amp;" Floor",""))&amp;(IF(C224=H217,", Internal Plaster",IF(C224&gt;0,", Internal Plaster upto "&amp;C224&amp;" Floor",""))&amp;(IF(C225=H217,", External Plaster",IF(C225&gt;0,", External Plaster upto "&amp;C225&amp;" Floor",""))&amp;(IF(C226=H217,", Flooring",IF(C226&gt;0,", Flooring upto "&amp;C226&amp;" Floor",""))&amp;(IF(C227=H217,", Painting",IF(C227&gt;0,", Painting upto "&amp;C227&amp;" Floor",""))&amp;(IF(C228&gt;0,", Finishing upto "&amp;C228&amp;" Floor","")&amp;(IF(C222&gt;0.5," Completed",""))))))))))))))</f>
        <v>Excavation work Completed. 1st Basement Completed</v>
      </c>
      <c r="J214" s="96"/>
    </row>
    <row r="215" spans="1:12" s="34" customFormat="1" ht="16" hidden="1" thickBot="1" x14ac:dyDescent="0.4">
      <c r="A215" s="168" t="s">
        <v>156</v>
      </c>
      <c r="B215" s="169"/>
      <c r="C215" s="97">
        <v>0</v>
      </c>
      <c r="D215" s="98">
        <f ca="1">((100/(H203))*C215)/100</f>
        <v>0</v>
      </c>
      <c r="E215" s="163"/>
      <c r="F215" s="163"/>
      <c r="G215" s="163"/>
      <c r="H215" s="164"/>
      <c r="I215" s="85"/>
      <c r="J215" s="86"/>
    </row>
    <row r="216" spans="1:12" s="35" customFormat="1" x14ac:dyDescent="0.35">
      <c r="A216" s="150" t="s">
        <v>162</v>
      </c>
      <c r="B216" s="151"/>
      <c r="C216" s="152" t="str">
        <f>D71</f>
        <v>Wing L = 2B + G/St + 2 Podium + 1st Floor to 36th Floor</v>
      </c>
      <c r="D216" s="153"/>
      <c r="E216" s="153"/>
      <c r="F216" s="153"/>
      <c r="G216" s="153"/>
      <c r="H216" s="154"/>
      <c r="I216" s="22" t="s">
        <v>124</v>
      </c>
      <c r="J216" s="39"/>
    </row>
    <row r="217" spans="1:12" s="35" customFormat="1" ht="15.75" customHeight="1" x14ac:dyDescent="0.35">
      <c r="A217" s="30" t="s">
        <v>164</v>
      </c>
      <c r="B217" s="31">
        <v>2</v>
      </c>
      <c r="C217" s="31" t="s">
        <v>93</v>
      </c>
      <c r="D217" s="31">
        <v>1</v>
      </c>
      <c r="E217" s="31" t="s">
        <v>92</v>
      </c>
      <c r="F217" s="31">
        <v>2</v>
      </c>
      <c r="G217" s="31" t="s">
        <v>101</v>
      </c>
      <c r="H217" s="19">
        <f ca="1">--TRIM(RIGHT(SUBSTITUTE(LEFT(C216,_xlfn.AGGREGATE(16,6,FIND({0,1,2,3,4,5,6,7,8,9},C216,ROW(INDIRECT("1:"&amp;LEN(C216)))),1))," ",REPT(" ",LEN(C216))),LEN(C216)))</f>
        <v>36</v>
      </c>
      <c r="I217" s="23" t="s">
        <v>163</v>
      </c>
      <c r="J217" s="40">
        <f ca="1">H217*25%</f>
        <v>9</v>
      </c>
    </row>
    <row r="218" spans="1:12" s="35" customFormat="1" x14ac:dyDescent="0.35">
      <c r="A218" s="155" t="s">
        <v>111</v>
      </c>
      <c r="B218" s="156"/>
      <c r="C218" s="157" t="str">
        <f ca="1">I214</f>
        <v>Excavation work Completed. 1st Basement Completed</v>
      </c>
      <c r="D218" s="157"/>
      <c r="E218" s="157"/>
      <c r="F218" s="157"/>
      <c r="G218" s="157"/>
      <c r="H218" s="158"/>
      <c r="I218" s="23" t="s">
        <v>119</v>
      </c>
      <c r="J218" s="43">
        <f ca="1">H217*50%</f>
        <v>18</v>
      </c>
    </row>
    <row r="219" spans="1:12" s="35" customFormat="1" x14ac:dyDescent="0.35">
      <c r="A219" s="159" t="s">
        <v>46</v>
      </c>
      <c r="B219" s="148"/>
      <c r="C219" s="29" t="s">
        <v>161</v>
      </c>
      <c r="D219" s="29" t="s">
        <v>104</v>
      </c>
      <c r="E219" s="148" t="s">
        <v>106</v>
      </c>
      <c r="F219" s="148"/>
      <c r="G219" s="148" t="s">
        <v>105</v>
      </c>
      <c r="H219" s="160"/>
      <c r="I219" s="23" t="s">
        <v>120</v>
      </c>
      <c r="J219" s="43">
        <f ca="1">H217</f>
        <v>36</v>
      </c>
    </row>
    <row r="220" spans="1:12" s="35" customFormat="1" ht="15.75" customHeight="1" x14ac:dyDescent="0.35">
      <c r="A220" s="148" t="s">
        <v>150</v>
      </c>
      <c r="B220" s="148"/>
      <c r="C220" s="72">
        <f ca="1">J219</f>
        <v>36</v>
      </c>
      <c r="D220" s="106">
        <f ca="1">((100/H217)*C220)/100</f>
        <v>1</v>
      </c>
      <c r="E220" s="149">
        <f ca="1">(((C221/H217*10)+(40/(D217+F217+H217)*C222)+(7.5/(H217)*C223)+(7.5/(H217)*C224)+(10/H217*C225)+(10/H217*C226)+(5/H217*C227)+(5/H217*C228)+(5/H217*C229))/100)</f>
        <v>7.4999999999999997E-2</v>
      </c>
      <c r="F220" s="149"/>
      <c r="G220" s="149">
        <f ca="1">((((C220/H217)*20)+((C221/H217)*25)+(30/(H217+F217+D217)*C222)+(5/H217*C223)+(5/H217*C224)+(5/H217*C225)+(5/H217*C226)+(0/H217*C227)+(0/H217*C228)+(5/H217*C229))/100)</f>
        <v>0.38750000000000001</v>
      </c>
      <c r="H220" s="149"/>
      <c r="I220" s="23" t="s">
        <v>121</v>
      </c>
      <c r="J220" s="45">
        <f ca="1">(IF(B217&gt;1,(H217/(B217+2)),H217/4))</f>
        <v>9</v>
      </c>
    </row>
    <row r="221" spans="1:12" s="35" customFormat="1" ht="15.75" customHeight="1" x14ac:dyDescent="0.35">
      <c r="A221" s="148" t="s">
        <v>47</v>
      </c>
      <c r="B221" s="148"/>
      <c r="C221" s="73">
        <f ca="1">J222</f>
        <v>27</v>
      </c>
      <c r="D221" s="106">
        <f ca="1">((100/H217)*C221)/100</f>
        <v>0.75</v>
      </c>
      <c r="E221" s="149"/>
      <c r="F221" s="149"/>
      <c r="G221" s="149"/>
      <c r="H221" s="149"/>
      <c r="I221" s="23" t="s">
        <v>122</v>
      </c>
      <c r="J221" s="45">
        <f ca="1">(IF(B217&gt;1,(H217/(B217+2)+J220),H217/4+J220))</f>
        <v>18</v>
      </c>
      <c r="L221" s="35">
        <f>(35*12)/100</f>
        <v>4.2</v>
      </c>
    </row>
    <row r="222" spans="1:12" s="35" customFormat="1" ht="15.75" customHeight="1" x14ac:dyDescent="0.35">
      <c r="A222" s="148" t="s">
        <v>151</v>
      </c>
      <c r="B222" s="148"/>
      <c r="C222" s="73">
        <v>0</v>
      </c>
      <c r="D222" s="106">
        <f ca="1">((100/(D217+F217+H217))*C222)/100</f>
        <v>0</v>
      </c>
      <c r="E222" s="149"/>
      <c r="F222" s="149"/>
      <c r="G222" s="149"/>
      <c r="H222" s="149"/>
      <c r="I222" s="23" t="s">
        <v>168</v>
      </c>
      <c r="J222" s="45">
        <f ca="1">(IF(B217&gt;1,(H217/(B217+2)+J221),0))</f>
        <v>27</v>
      </c>
    </row>
    <row r="223" spans="1:12" s="35" customFormat="1" ht="15" customHeight="1" x14ac:dyDescent="0.35">
      <c r="A223" s="148" t="s">
        <v>158</v>
      </c>
      <c r="B223" s="148" t="s">
        <v>152</v>
      </c>
      <c r="C223" s="73">
        <v>0</v>
      </c>
      <c r="D223" s="106">
        <f ca="1">((100/H217)*C223)/100</f>
        <v>0</v>
      </c>
      <c r="E223" s="149"/>
      <c r="F223" s="149"/>
      <c r="G223" s="149"/>
      <c r="H223" s="149"/>
      <c r="I223" s="23" t="s">
        <v>165</v>
      </c>
      <c r="J223" s="45">
        <f>(IF(B217&gt;2,(H217/(B217+2)+J222),0))</f>
        <v>0</v>
      </c>
    </row>
    <row r="224" spans="1:12" s="35" customFormat="1" ht="15.75" customHeight="1" x14ac:dyDescent="0.35">
      <c r="A224" s="148" t="s">
        <v>159</v>
      </c>
      <c r="B224" s="148" t="s">
        <v>152</v>
      </c>
      <c r="C224" s="73">
        <v>0</v>
      </c>
      <c r="D224" s="106">
        <f ca="1">((100/H217)*C224)/100</f>
        <v>0</v>
      </c>
      <c r="E224" s="149"/>
      <c r="F224" s="149"/>
      <c r="G224" s="149"/>
      <c r="H224" s="149"/>
      <c r="I224" s="23" t="s">
        <v>166</v>
      </c>
      <c r="J224" s="46">
        <f>(IF(B217&gt;3,(H217/(B217+2)+J223),0))</f>
        <v>0</v>
      </c>
    </row>
    <row r="225" spans="1:13" s="35" customFormat="1" ht="15.75" customHeight="1" x14ac:dyDescent="0.35">
      <c r="A225" s="148" t="s">
        <v>157</v>
      </c>
      <c r="B225" s="148" t="s">
        <v>154</v>
      </c>
      <c r="C225" s="73">
        <v>0</v>
      </c>
      <c r="D225" s="106">
        <f ca="1">((100/(H217))*C225)/100</f>
        <v>0</v>
      </c>
      <c r="E225" s="149"/>
      <c r="F225" s="149"/>
      <c r="G225" s="149"/>
      <c r="H225" s="149"/>
      <c r="I225" s="23" t="s">
        <v>167</v>
      </c>
      <c r="J225" s="45">
        <f>(IF(B217&gt;4,(H217/(B217+2)+J224),0))</f>
        <v>0</v>
      </c>
    </row>
    <row r="226" spans="1:13" s="35" customFormat="1" ht="15.75" customHeight="1" x14ac:dyDescent="0.35">
      <c r="A226" s="148" t="s">
        <v>153</v>
      </c>
      <c r="B226" s="148" t="s">
        <v>153</v>
      </c>
      <c r="C226" s="41">
        <v>0</v>
      </c>
      <c r="D226" s="106">
        <f ca="1">((100/H217)*C226)/100</f>
        <v>0</v>
      </c>
      <c r="E226" s="149"/>
      <c r="F226" s="149"/>
      <c r="G226" s="149"/>
      <c r="H226" s="149"/>
      <c r="I226" s="23" t="s">
        <v>169</v>
      </c>
      <c r="J226" s="45">
        <f>(IF(B217=1,(H217/(B217+3)+J221),IF(B217=0,(H217/4+J221),IF(B217&gt;1,0))))</f>
        <v>0</v>
      </c>
    </row>
    <row r="227" spans="1:13" s="35" customFormat="1" ht="16" thickBot="1" x14ac:dyDescent="0.4">
      <c r="A227" s="148" t="s">
        <v>160</v>
      </c>
      <c r="B227" s="148"/>
      <c r="C227" s="41">
        <v>0</v>
      </c>
      <c r="D227" s="106">
        <f ca="1">((100/H217)*C227)/100</f>
        <v>0</v>
      </c>
      <c r="E227" s="149"/>
      <c r="F227" s="149"/>
      <c r="G227" s="149"/>
      <c r="H227" s="149"/>
      <c r="I227" s="24" t="s">
        <v>123</v>
      </c>
      <c r="J227" s="49">
        <f ca="1">(IF(B217&gt;1.5,(H217/(B217+2)+J221+MAX(0,J222-J221)+MAX(0,J223-J222)+MAX(0,J224-J223)+MAX(0,J225-J224)+MAX(0,J226-J225)),IF(B217=1,(H217/(B217+3)+J226),IF(B217=0,H217/4+J226))))</f>
        <v>36</v>
      </c>
    </row>
    <row r="228" spans="1:13" x14ac:dyDescent="0.35">
      <c r="A228" s="148" t="s">
        <v>155</v>
      </c>
      <c r="B228" s="148" t="s">
        <v>155</v>
      </c>
      <c r="C228" s="41">
        <v>0</v>
      </c>
      <c r="D228" s="106">
        <f ca="1">((100/(H217))*C228)/100</f>
        <v>0</v>
      </c>
      <c r="E228" s="149"/>
      <c r="F228" s="149"/>
      <c r="G228" s="149"/>
      <c r="H228" s="149"/>
    </row>
    <row r="229" spans="1:13" x14ac:dyDescent="0.35">
      <c r="A229" s="148" t="s">
        <v>156</v>
      </c>
      <c r="B229" s="148"/>
      <c r="C229" s="41">
        <v>0</v>
      </c>
      <c r="D229" s="106">
        <f ca="1">((100/(H217))*C229)/100</f>
        <v>0</v>
      </c>
      <c r="E229" s="149"/>
      <c r="F229" s="149"/>
      <c r="G229" s="149"/>
      <c r="H229" s="149"/>
    </row>
    <row r="230" spans="1:13" ht="15" customHeight="1" x14ac:dyDescent="0.35">
      <c r="A230" s="134" t="s">
        <v>139</v>
      </c>
      <c r="B230" s="134"/>
      <c r="C230" s="134"/>
      <c r="D230" s="134"/>
      <c r="E230" s="134"/>
      <c r="F230" s="134" t="str">
        <f ca="1">(IF(D75="Nothing","Yes",IF(D75="Cement, Aggregate, Steel, etc","Under Construction",IF(D75="Work not yet Started","Work not yet Started"))))</f>
        <v>Under Construction</v>
      </c>
      <c r="G230" s="134"/>
      <c r="H230" s="134"/>
    </row>
    <row r="231" spans="1:13" x14ac:dyDescent="0.35">
      <c r="A231" s="136" t="s">
        <v>48</v>
      </c>
      <c r="B231" s="136"/>
      <c r="C231" s="136"/>
      <c r="D231" s="136"/>
      <c r="E231" s="136"/>
      <c r="F231" s="136"/>
      <c r="G231" s="136"/>
      <c r="H231" s="136"/>
    </row>
    <row r="232" spans="1:13" x14ac:dyDescent="0.35">
      <c r="A232" s="156" t="s">
        <v>96</v>
      </c>
      <c r="B232" s="156"/>
      <c r="C232" s="157" t="s">
        <v>97</v>
      </c>
      <c r="D232" s="157"/>
      <c r="E232" s="157"/>
      <c r="F232" s="157"/>
      <c r="G232" s="157"/>
      <c r="H232" s="157"/>
      <c r="I232" s="194" t="s">
        <v>260</v>
      </c>
      <c r="J232" s="195"/>
      <c r="K232" s="195"/>
      <c r="L232" s="195"/>
      <c r="M232" s="195"/>
    </row>
    <row r="233" spans="1:13" x14ac:dyDescent="0.35">
      <c r="A233" s="205" t="s">
        <v>49</v>
      </c>
      <c r="B233" s="205"/>
      <c r="C233" s="205"/>
      <c r="D233" s="205"/>
      <c r="E233" s="205"/>
      <c r="F233" s="205"/>
      <c r="G233" s="205"/>
      <c r="H233" s="205"/>
      <c r="I233" s="194" t="s">
        <v>257</v>
      </c>
      <c r="J233" s="195"/>
      <c r="K233" s="195"/>
      <c r="L233" s="195"/>
    </row>
    <row r="234" spans="1:13" x14ac:dyDescent="0.35">
      <c r="A234" s="134" t="s">
        <v>433</v>
      </c>
      <c r="B234" s="134"/>
      <c r="C234" s="134"/>
      <c r="D234" s="134"/>
      <c r="E234" s="134"/>
      <c r="F234" s="156">
        <v>14000</v>
      </c>
      <c r="G234" s="156"/>
      <c r="H234" s="156"/>
      <c r="I234" s="62" t="s">
        <v>372</v>
      </c>
      <c r="J234" s="62" t="s">
        <v>373</v>
      </c>
      <c r="K234" s="63">
        <v>45436</v>
      </c>
      <c r="L234" s="62" t="s">
        <v>374</v>
      </c>
    </row>
    <row r="235" spans="1:13" x14ac:dyDescent="0.35">
      <c r="A235" s="203" t="s">
        <v>258</v>
      </c>
      <c r="B235" s="203"/>
      <c r="C235" s="203"/>
      <c r="D235" s="203"/>
      <c r="E235" s="203"/>
      <c r="F235" s="203">
        <v>13000</v>
      </c>
      <c r="G235" s="203"/>
      <c r="H235" s="203"/>
      <c r="I235" s="62" t="s">
        <v>446</v>
      </c>
      <c r="J235" s="62" t="s">
        <v>373</v>
      </c>
      <c r="K235" s="63">
        <v>45836</v>
      </c>
      <c r="L235" s="62" t="s">
        <v>374</v>
      </c>
    </row>
    <row r="236" spans="1:13" s="50" customFormat="1" x14ac:dyDescent="0.3">
      <c r="A236" s="134" t="s">
        <v>432</v>
      </c>
      <c r="B236" s="134"/>
      <c r="C236" s="134"/>
      <c r="D236" s="134"/>
      <c r="E236" s="134"/>
      <c r="F236" s="134">
        <v>22000</v>
      </c>
      <c r="G236" s="134"/>
      <c r="H236" s="134"/>
    </row>
    <row r="237" spans="1:13" s="50" customFormat="1" x14ac:dyDescent="0.3">
      <c r="A237" s="134" t="s">
        <v>431</v>
      </c>
      <c r="B237" s="134"/>
      <c r="C237" s="134"/>
      <c r="D237" s="134"/>
      <c r="E237" s="134"/>
      <c r="F237" s="134">
        <v>17000</v>
      </c>
      <c r="G237" s="134"/>
      <c r="H237" s="134"/>
      <c r="J237" s="50" t="s">
        <v>441</v>
      </c>
    </row>
    <row r="238" spans="1:13" s="50" customFormat="1" x14ac:dyDescent="0.3">
      <c r="A238" s="134" t="s">
        <v>255</v>
      </c>
      <c r="B238" s="134"/>
      <c r="C238" s="134"/>
      <c r="D238" s="134"/>
      <c r="E238" s="134"/>
      <c r="F238" s="134" t="s">
        <v>256</v>
      </c>
      <c r="G238" s="134"/>
      <c r="H238" s="134"/>
    </row>
    <row r="239" spans="1:13" s="50" customFormat="1" x14ac:dyDescent="0.3">
      <c r="A239" s="136" t="s">
        <v>116</v>
      </c>
      <c r="B239" s="136"/>
      <c r="C239" s="136"/>
      <c r="D239" s="136"/>
      <c r="E239" s="136"/>
      <c r="F239" s="134" t="s">
        <v>246</v>
      </c>
      <c r="G239" s="134"/>
      <c r="H239" s="134"/>
    </row>
    <row r="240" spans="1:13" s="50" customFormat="1" x14ac:dyDescent="0.3">
      <c r="A240" s="136" t="s">
        <v>247</v>
      </c>
      <c r="B240" s="136"/>
      <c r="C240" s="136"/>
      <c r="D240" s="136"/>
      <c r="E240" s="136"/>
      <c r="F240" s="134" t="s">
        <v>248</v>
      </c>
      <c r="G240" s="134"/>
      <c r="H240" s="134"/>
    </row>
    <row r="241" spans="1:13" s="50" customFormat="1" hidden="1" x14ac:dyDescent="0.3">
      <c r="A241" s="179" t="s">
        <v>251</v>
      </c>
      <c r="B241" s="179"/>
      <c r="C241" s="179"/>
      <c r="D241" s="179"/>
      <c r="E241" s="179"/>
      <c r="F241" s="179" t="s">
        <v>252</v>
      </c>
      <c r="G241" s="179"/>
      <c r="H241" s="179"/>
    </row>
    <row r="242" spans="1:13" s="50" customFormat="1" x14ac:dyDescent="0.3">
      <c r="A242" s="136" t="s">
        <v>249</v>
      </c>
      <c r="B242" s="136"/>
      <c r="C242" s="136"/>
      <c r="D242" s="136"/>
      <c r="E242" s="136"/>
      <c r="F242" s="134" t="s">
        <v>250</v>
      </c>
      <c r="G242" s="134"/>
      <c r="H242" s="134"/>
    </row>
    <row r="243" spans="1:13" s="50" customFormat="1" x14ac:dyDescent="0.3">
      <c r="A243" s="136" t="s">
        <v>253</v>
      </c>
      <c r="B243" s="136"/>
      <c r="C243" s="136"/>
      <c r="D243" s="136"/>
      <c r="E243" s="136"/>
      <c r="F243" s="134" t="s">
        <v>248</v>
      </c>
      <c r="G243" s="134"/>
      <c r="H243" s="134"/>
    </row>
    <row r="244" spans="1:13" x14ac:dyDescent="0.35">
      <c r="A244" s="136" t="s">
        <v>117</v>
      </c>
      <c r="B244" s="136"/>
      <c r="C244" s="136"/>
      <c r="D244" s="136"/>
      <c r="E244" s="136"/>
      <c r="F244" s="134" t="s">
        <v>254</v>
      </c>
      <c r="G244" s="134"/>
      <c r="H244" s="134"/>
    </row>
    <row r="245" spans="1:13" s="51" customFormat="1" x14ac:dyDescent="0.35">
      <c r="A245" s="136" t="s">
        <v>118</v>
      </c>
      <c r="B245" s="136"/>
      <c r="C245" s="136"/>
      <c r="D245" s="136"/>
      <c r="E245" s="136"/>
      <c r="F245" s="134">
        <v>75000</v>
      </c>
      <c r="G245" s="134"/>
      <c r="H245" s="134"/>
    </row>
    <row r="246" spans="1:13" s="27" customFormat="1" x14ac:dyDescent="0.35">
      <c r="A246" s="136" t="s">
        <v>50</v>
      </c>
      <c r="B246" s="136"/>
      <c r="C246" s="136"/>
      <c r="D246" s="136"/>
      <c r="E246" s="136"/>
      <c r="F246" s="185" t="s">
        <v>259</v>
      </c>
      <c r="G246" s="185"/>
      <c r="H246" s="185"/>
    </row>
    <row r="247" spans="1:13" s="27" customFormat="1" ht="15.75" customHeight="1" x14ac:dyDescent="0.35">
      <c r="A247" s="205" t="s">
        <v>51</v>
      </c>
      <c r="B247" s="205"/>
      <c r="C247" s="205"/>
      <c r="D247" s="205"/>
      <c r="E247" s="205"/>
      <c r="F247" s="134">
        <f>F234*0.8</f>
        <v>11200</v>
      </c>
      <c r="G247" s="134"/>
      <c r="H247" s="134"/>
    </row>
    <row r="248" spans="1:13" s="27" customFormat="1" ht="15.75" customHeight="1" x14ac:dyDescent="0.35">
      <c r="A248" s="208" t="s">
        <v>273</v>
      </c>
      <c r="B248" s="208"/>
      <c r="C248" s="208"/>
      <c r="D248" s="208"/>
      <c r="E248" s="208"/>
      <c r="F248" s="208"/>
      <c r="G248" s="208"/>
      <c r="H248" s="208"/>
      <c r="I248" s="82">
        <f>C250+C251+C252</f>
        <v>42</v>
      </c>
    </row>
    <row r="249" spans="1:13" s="27" customFormat="1" ht="15.75" customHeight="1" x14ac:dyDescent="0.35">
      <c r="A249" s="261" t="s">
        <v>52</v>
      </c>
      <c r="B249" s="261"/>
      <c r="C249" s="256" t="s">
        <v>274</v>
      </c>
      <c r="D249" s="256"/>
      <c r="E249" s="214" t="s">
        <v>53</v>
      </c>
      <c r="F249" s="214"/>
      <c r="G249" s="261" t="s">
        <v>54</v>
      </c>
      <c r="H249" s="261"/>
    </row>
    <row r="250" spans="1:13" s="27" customFormat="1" ht="15.75" customHeight="1" x14ac:dyDescent="0.35">
      <c r="A250" s="257" t="s">
        <v>264</v>
      </c>
      <c r="B250" s="70" t="s">
        <v>261</v>
      </c>
      <c r="C250" s="135">
        <f>COUNT(D277:D287,D289:D299)</f>
        <v>22</v>
      </c>
      <c r="D250" s="137"/>
      <c r="E250" s="135">
        <f>SUM(D277:D287,D289:D299)</f>
        <v>6175.1711735999997</v>
      </c>
      <c r="F250" s="135"/>
      <c r="G250" s="135">
        <f>SUM(F277:F287,F289:F299)</f>
        <v>9880.2738777599989</v>
      </c>
      <c r="H250" s="135"/>
    </row>
    <row r="251" spans="1:13" s="27" customFormat="1" ht="15.75" customHeight="1" x14ac:dyDescent="0.35">
      <c r="A251" s="258"/>
      <c r="B251" s="83" t="s">
        <v>291</v>
      </c>
      <c r="C251" s="178">
        <f>COUNT(D303:D310,D312:D319)</f>
        <v>16</v>
      </c>
      <c r="D251" s="213"/>
      <c r="E251" s="178">
        <f>SUM(D303:D310,D312:D319)</f>
        <v>6466.1145587999999</v>
      </c>
      <c r="F251" s="178"/>
      <c r="G251" s="178">
        <f>SUM(F303:F310,F312:F319)</f>
        <v>10345.783294079998</v>
      </c>
      <c r="H251" s="178"/>
    </row>
    <row r="252" spans="1:13" s="60" customFormat="1" ht="15.75" customHeight="1" x14ac:dyDescent="0.35">
      <c r="A252" s="259"/>
      <c r="B252" s="83" t="s">
        <v>430</v>
      </c>
      <c r="C252" s="178">
        <f>COUNT(D324:D326,D328)</f>
        <v>4</v>
      </c>
      <c r="D252" s="213"/>
      <c r="E252" s="178">
        <f>SUM(D324:D326,D328)</f>
        <v>1986.1689743999998</v>
      </c>
      <c r="F252" s="178"/>
      <c r="G252" s="178">
        <f>SUM(F324:F326,F328)</f>
        <v>3177.87035904</v>
      </c>
      <c r="H252" s="178"/>
    </row>
    <row r="253" spans="1:13" s="27" customFormat="1" x14ac:dyDescent="0.35">
      <c r="A253" s="83" t="s">
        <v>405</v>
      </c>
      <c r="B253" s="83" t="s">
        <v>430</v>
      </c>
      <c r="C253" s="178">
        <f>COUNT(D330:D335)</f>
        <v>6</v>
      </c>
      <c r="D253" s="213"/>
      <c r="E253" s="178">
        <f>SUM(D330:D335)</f>
        <v>3644.8012691999993</v>
      </c>
      <c r="F253" s="178"/>
      <c r="G253" s="178">
        <f>SUM(F330:F335)</f>
        <v>5831.6820307199996</v>
      </c>
      <c r="H253" s="178"/>
      <c r="M253" s="27">
        <f>185+38</f>
        <v>223</v>
      </c>
    </row>
    <row r="254" spans="1:13" s="27" customFormat="1" ht="15.75" customHeight="1" x14ac:dyDescent="0.35">
      <c r="A254" s="208" t="s">
        <v>56</v>
      </c>
      <c r="B254" s="208"/>
      <c r="C254" s="255">
        <f>SUM(C250:D253)</f>
        <v>48</v>
      </c>
      <c r="D254" s="256"/>
      <c r="E254" s="255">
        <f t="shared" ref="E254" si="0">SUM(E250:F253)</f>
        <v>18272.255976</v>
      </c>
      <c r="F254" s="256"/>
      <c r="G254" s="255">
        <f t="shared" ref="G254" si="1">SUM(G250:H253)</f>
        <v>29235.609561599995</v>
      </c>
      <c r="H254" s="256"/>
    </row>
    <row r="255" spans="1:13" s="27" customFormat="1" ht="15.75" customHeight="1" x14ac:dyDescent="0.35">
      <c r="A255" s="208" t="s">
        <v>428</v>
      </c>
      <c r="B255" s="208"/>
      <c r="C255" s="208"/>
      <c r="D255" s="208"/>
      <c r="E255" s="208"/>
      <c r="F255" s="208"/>
      <c r="G255" s="208"/>
      <c r="H255" s="208"/>
      <c r="M255" s="27">
        <f>195+33</f>
        <v>228</v>
      </c>
    </row>
    <row r="256" spans="1:13" s="27" customFormat="1" ht="15.75" customHeight="1" x14ac:dyDescent="0.35">
      <c r="A256" s="261" t="s">
        <v>52</v>
      </c>
      <c r="B256" s="261"/>
      <c r="C256" s="256" t="s">
        <v>275</v>
      </c>
      <c r="D256" s="256"/>
      <c r="E256" s="214" t="s">
        <v>53</v>
      </c>
      <c r="F256" s="214"/>
      <c r="G256" s="261" t="s">
        <v>54</v>
      </c>
      <c r="H256" s="261"/>
    </row>
    <row r="257" spans="1:11" s="27" customFormat="1" ht="15.75" customHeight="1" x14ac:dyDescent="0.35">
      <c r="A257" s="138" t="s">
        <v>174</v>
      </c>
      <c r="B257" s="138"/>
      <c r="C257" s="213">
        <f>COUNT(D344:D346,D352:D358)+COUNT(D360:D366)*26+COUNT(D368:D372,D374)*6</f>
        <v>228</v>
      </c>
      <c r="D257" s="213"/>
      <c r="E257" s="135">
        <f>SUM(D344:D346,D352:D358)+SUM(D360:D366)*26+SUM(D368:D372,D374)*6</f>
        <v>153131.13972000001</v>
      </c>
      <c r="F257" s="135"/>
      <c r="G257" s="135">
        <f>SUM(F344:F346,F352:F358)+SUM(F360:F366)*26+SUM(F368:F372,F374)*6</f>
        <v>229696.70958000002</v>
      </c>
      <c r="H257" s="135"/>
    </row>
    <row r="258" spans="1:11" s="27" customFormat="1" ht="15.75" customHeight="1" x14ac:dyDescent="0.35">
      <c r="A258" s="138" t="s">
        <v>176</v>
      </c>
      <c r="B258" s="138"/>
      <c r="C258" s="137">
        <f>COUNT(D380:D381,D388:D394)+COUNT(D396:D402)*24+COUNT(D404:D408,D410)*5+COUNT(D412:D416,D418)+COUNT(D420:D426)*2</f>
        <v>227</v>
      </c>
      <c r="D258" s="137"/>
      <c r="E258" s="135">
        <f>SUM(D380:D381,D388:D394)+SUM(D396:D402)*24+SUM(D404:D408,D410)*5+SUM(D412:D416,D418)+SUM(D420:D426)*2</f>
        <v>152719.25741279998</v>
      </c>
      <c r="F258" s="135"/>
      <c r="G258" s="135">
        <f>SUM(F380:F381,F388:F394)+SUM(F396:F402)*24+SUM(F404:F408,F410)*5+SUM(F412:F416,F418)+SUM(F420:F426)*2</f>
        <v>229078.88611920006</v>
      </c>
      <c r="H258" s="135"/>
      <c r="J258" s="27">
        <f>103+84</f>
        <v>187</v>
      </c>
      <c r="K258" s="27">
        <v>182</v>
      </c>
    </row>
    <row r="259" spans="1:11" s="27" customFormat="1" ht="15.75" customHeight="1" x14ac:dyDescent="0.35">
      <c r="A259" s="138" t="s">
        <v>261</v>
      </c>
      <c r="B259" s="138"/>
      <c r="C259" s="137">
        <f>COUNT(D431:D437)+COUNT(D439:D445)*24+COUNT(D447:D451,D453)*5+COUNT(D455:D461)*2+COUNT(D463:D467,D469)</f>
        <v>225</v>
      </c>
      <c r="D259" s="137"/>
      <c r="E259" s="135">
        <f>SUM(D431:D437)+SUM(D439:D445)*24+SUM(D447:D451,D453)*5+SUM(D455:D461)*2+SUM(D463:D467,D469)</f>
        <v>135043.47773279998</v>
      </c>
      <c r="F259" s="135"/>
      <c r="G259" s="135">
        <f>SUM(F431:F437)+SUM(F439:F445)*24+SUM(F447:F451,F453)*5+SUM(F455:F461)*2+SUM(F463:F467,F469)</f>
        <v>202565.21659919998</v>
      </c>
      <c r="H259" s="135"/>
      <c r="J259" s="27">
        <f>103+84</f>
        <v>187</v>
      </c>
      <c r="K259" s="27">
        <v>182</v>
      </c>
    </row>
    <row r="260" spans="1:11" s="27" customFormat="1" ht="15.75" customHeight="1" x14ac:dyDescent="0.35">
      <c r="A260" s="138" t="s">
        <v>291</v>
      </c>
      <c r="B260" s="138"/>
      <c r="C260" s="137">
        <f>+COUNT(D476:D481)+COUNT(D483:D488)*22+COUNT(D490:D493,D495)*5+COUNT(D497:D501)*2+COUNT(D503:D507)*2+COUNT(D510:D513)</f>
        <v>187</v>
      </c>
      <c r="D260" s="137"/>
      <c r="E260" s="135">
        <f>+SUM(D476:D481)+SUM(D483:D488)*22+SUM(D490:D493,D495)*5+SUM(D497:D501)*2+SUM(D503:D507)*2+SUM(D510:D513)</f>
        <v>150286.85711573041</v>
      </c>
      <c r="F260" s="135"/>
      <c r="G260" s="135">
        <f>+SUM(F476:F481)+SUM(F483:F488)*22+SUM(F490:F493,F495)*5+SUM(F497:F501)*2+SUM(F503:F507)*2+SUM(F510:F513)</f>
        <v>225430.28567359562</v>
      </c>
      <c r="H260" s="135"/>
      <c r="J260" s="27">
        <f>103+84</f>
        <v>187</v>
      </c>
      <c r="K260" s="27">
        <v>182</v>
      </c>
    </row>
    <row r="261" spans="1:11" s="27" customFormat="1" ht="15.75" customHeight="1" x14ac:dyDescent="0.35">
      <c r="A261" s="138" t="s">
        <v>363</v>
      </c>
      <c r="B261" s="138"/>
      <c r="C261" s="137">
        <f>COUNT(D519:D521)+COUNT(D526:D532)+COUNT(D534:D540)*22+COUNT(D543:D548)*5+COUNT(D550:D555)*4+COUNT(D558:D562)</f>
        <v>223</v>
      </c>
      <c r="D261" s="137"/>
      <c r="E261" s="135">
        <f>SUM(D519:D521)+SUM(D526:D532)+SUM(D534:D540)*22+SUM(D543:D548)*5+SUM(D550:D555)*4+SUM(D558:D562)</f>
        <v>163590.44101919996</v>
      </c>
      <c r="F261" s="135"/>
      <c r="G261" s="135">
        <f>SUM(F519:F521)+SUM(F526:F532)+SUM(F534:F540)*22+SUM(F543:F548)*5+SUM(F550:F555)*2+SUM(F558:F562)</f>
        <v>230184.04106879991</v>
      </c>
      <c r="H261" s="135"/>
      <c r="K261" s="27">
        <f>J258-K258</f>
        <v>5</v>
      </c>
    </row>
    <row r="262" spans="1:11" s="27" customFormat="1" ht="15.75" customHeight="1" x14ac:dyDescent="0.35">
      <c r="A262" s="138" t="s">
        <v>367</v>
      </c>
      <c r="B262" s="138"/>
      <c r="C262" s="137">
        <f>COUNT(D567:D569,D572:D578)+COUNT(D580:D586)*26+COUNT(D588:D591,D593:D594)*6</f>
        <v>228</v>
      </c>
      <c r="D262" s="137"/>
      <c r="E262" s="135">
        <f t="shared" ref="E262" si="2">SUM(D567:D569,D572:D578)+SUM(D580:D586)*26+SUM(D588:D591,D593:D594)*6</f>
        <v>163050.97732559999</v>
      </c>
      <c r="F262" s="135"/>
      <c r="G262" s="135">
        <f>SUM(F567:F569,F572:F578)+SUM(F580:F586)*26+SUM(F588:F591,F593:F594)*6</f>
        <v>244576.46598839996</v>
      </c>
      <c r="H262" s="135"/>
    </row>
    <row r="263" spans="1:11" s="27" customFormat="1" ht="15.75" customHeight="1" x14ac:dyDescent="0.35">
      <c r="A263" s="138" t="s">
        <v>202</v>
      </c>
      <c r="B263" s="138"/>
      <c r="C263" s="137">
        <f>COUNT(D601:D603,D610:D618)+COUNT(D620:D628)*22+COUNT(D630:D637)*5+COUNT(D640:D647)*4+COUNT(D650:D656)</f>
        <v>289</v>
      </c>
      <c r="D263" s="137"/>
      <c r="E263" s="135">
        <f>SUM(D601:D603,D610:D618)+SUM(D620:D628)*22+SUM(D630:D637)*5+SUM(D640:D647)*4+SUM(D650:D656)</f>
        <v>172072.42350479995</v>
      </c>
      <c r="F263" s="135"/>
      <c r="G263" s="135">
        <f>SUM(F601:F603,F610:F618)+SUM(F620:F628)*23+SUM(F630:F637)*5+SUM(F640:F647)*4+SUM(F650:F656)</f>
        <v>266034.48707159993</v>
      </c>
      <c r="H263" s="135"/>
      <c r="I263" s="60">
        <f>138+36</f>
        <v>174</v>
      </c>
    </row>
    <row r="264" spans="1:11" s="27" customFormat="1" ht="15.75" customHeight="1" x14ac:dyDescent="0.35">
      <c r="A264" s="138" t="s">
        <v>203</v>
      </c>
      <c r="B264" s="138"/>
      <c r="C264" s="137">
        <f>COUNT(D664:D666,D674:D684)+COUNT(D686:D696)*5+COUNT(D698:D708)*4+COUNT(D710:D718,D720,D722:D730,D732)+COUNT(D734:D744)*17+COUNT(D746:D754,D756)*4</f>
        <v>360</v>
      </c>
      <c r="D264" s="137"/>
      <c r="E264" s="135">
        <f>SUM(D664:D666,D674:D684)+SUM(D686:D696)*5+SUM(D698:D708)*4+SUM(D710:D718,D720,D722:D730,D732)+SUM(D734:D744)*17+SUM(D746:D754,D756)*4</f>
        <v>145873.37494080001</v>
      </c>
      <c r="F264" s="135"/>
      <c r="G264" s="135">
        <f>SUM(F664:F666,F674:F684)+SUM(F686:F696)*5+SUM(F698:F708)*4+SUM(F710:F718,F720,F722:F730,F732)+SUM(F734:F744)*17+SUM(F746:F754,F756)*4</f>
        <v>218810.06241119996</v>
      </c>
      <c r="H264" s="135"/>
      <c r="I264" s="60">
        <f>163+80</f>
        <v>243</v>
      </c>
    </row>
    <row r="265" spans="1:11" s="27" customFormat="1" ht="15.75" customHeight="1" x14ac:dyDescent="0.35">
      <c r="A265" s="177" t="s">
        <v>394</v>
      </c>
      <c r="B265" s="177"/>
      <c r="C265" s="178">
        <f>COUNT(D760:D764)+COUNT(D766:D770)*29+COUNT(D772:D775)*6</f>
        <v>174</v>
      </c>
      <c r="D265" s="178"/>
      <c r="E265" s="178">
        <f>SUM(D760:D764)+SUM(D766:D770)*29+SUM(D772:D775)*6</f>
        <v>221345.4364992</v>
      </c>
      <c r="F265" s="178"/>
      <c r="G265" s="178">
        <f>SUM(F760:F764)+SUM(F766:F770)*29+SUM(F772:F775)*6</f>
        <v>332018.15474879998</v>
      </c>
      <c r="H265" s="178"/>
      <c r="I265" s="60">
        <f>163+80</f>
        <v>243</v>
      </c>
    </row>
    <row r="266" spans="1:11" s="27" customFormat="1" x14ac:dyDescent="0.35">
      <c r="A266" s="177" t="s">
        <v>395</v>
      </c>
      <c r="B266" s="177"/>
      <c r="C266" s="178">
        <f>COUNT(D782:D784)+COUNT(D788:D794)+COUNT(D796:D802)*24+COUNT(D804:D807,D809:D810)*5+COUNT(D812:D815,D817)+COUNT(D819:D824)*5</f>
        <v>243</v>
      </c>
      <c r="D266" s="178"/>
      <c r="E266" s="178">
        <f>SUM(D782:D784)+SUM(D788:D794)+SUM(D796:D802)*24+SUM(D804:D807,D809:D810)*5+SUM(D812:D815,D817)+SUM(D819:D824)*5</f>
        <v>187534.0397736</v>
      </c>
      <c r="F266" s="178"/>
      <c r="G266" s="178">
        <f>SUM(F782:F784)+SUM(F788:F794)+SUM(F796:F802)*24+SUM(F804:F807,F809:F810)*5+SUM(F812:F815,F817)+SUM(F819:F824)*5</f>
        <v>281301.05966039991</v>
      </c>
      <c r="H266" s="178"/>
    </row>
    <row r="267" spans="1:11" s="27" customFormat="1" x14ac:dyDescent="0.35">
      <c r="A267" s="177" t="s">
        <v>396</v>
      </c>
      <c r="B267" s="177"/>
      <c r="C267" s="178">
        <f>COUNT(D830:D832)+COUNT(D836:D842)+COUNT(D844:D850)*24+COUNT(D852:D855,D857:D858)*5+COUNT(D860:D863,D865)+COUNT(D867:D872)*5</f>
        <v>243</v>
      </c>
      <c r="D267" s="178"/>
      <c r="E267" s="178">
        <f>SUM(D830:D832)+SUM(D836:D842)+SUM(D844:D850)*24+SUM(D852:D855,D857:D858)*5+SUM(D860:D863,D865)+SUM(D867:D872)*5</f>
        <v>186491.56036679994</v>
      </c>
      <c r="F267" s="178"/>
      <c r="G267" s="178">
        <f>SUM(F830:F832)+SUM(F836:F842)+SUM(F844:F850)*24+SUM(F852:F855,F857:F858)*5+SUM(F860:F863,F865)+SUM(F867:F872)*5</f>
        <v>279737.34055019997</v>
      </c>
      <c r="H267" s="178"/>
      <c r="I267" s="27">
        <v>279728</v>
      </c>
    </row>
    <row r="268" spans="1:11" s="51" customFormat="1" x14ac:dyDescent="0.35">
      <c r="A268" s="208" t="s">
        <v>56</v>
      </c>
      <c r="B268" s="208"/>
      <c r="C268" s="256">
        <f>SUM(C257:D267)</f>
        <v>2627</v>
      </c>
      <c r="D268" s="256"/>
      <c r="E268" s="255">
        <f t="shared" ref="E268" si="3">SUM(E257:F267)</f>
        <v>1831138.9854113301</v>
      </c>
      <c r="F268" s="255"/>
      <c r="G268" s="255">
        <f t="shared" ref="G268" si="4">SUM(G257:H267)</f>
        <v>2739432.7094713952</v>
      </c>
      <c r="H268" s="255"/>
    </row>
    <row r="269" spans="1:11" x14ac:dyDescent="0.35">
      <c r="A269" s="208" t="s">
        <v>413</v>
      </c>
      <c r="B269" s="208"/>
      <c r="C269" s="255">
        <f>C254+C268</f>
        <v>2675</v>
      </c>
      <c r="D269" s="256"/>
      <c r="E269" s="255">
        <f t="shared" ref="E269" si="5">E254+E268</f>
        <v>1849411.2413873302</v>
      </c>
      <c r="F269" s="256"/>
      <c r="G269" s="255">
        <f t="shared" ref="G269" si="6">G254+G268</f>
        <v>2768668.319032995</v>
      </c>
      <c r="H269" s="256"/>
      <c r="J269" s="26">
        <f>163+80</f>
        <v>243</v>
      </c>
    </row>
    <row r="270" spans="1:11" x14ac:dyDescent="0.35">
      <c r="A270" s="212" t="s">
        <v>438</v>
      </c>
      <c r="B270" s="212"/>
      <c r="C270" s="212"/>
      <c r="D270" s="212"/>
      <c r="E270" s="212"/>
      <c r="F270" s="212"/>
      <c r="G270" s="212"/>
      <c r="H270" s="212"/>
      <c r="I270" s="52"/>
      <c r="K270" s="26">
        <f>138+36</f>
        <v>174</v>
      </c>
    </row>
    <row r="271" spans="1:11" s="53" customFormat="1" x14ac:dyDescent="0.35">
      <c r="A271" s="212" t="s">
        <v>57</v>
      </c>
      <c r="B271" s="212"/>
      <c r="C271" s="212"/>
      <c r="D271" s="212"/>
      <c r="E271" s="212"/>
      <c r="F271" s="212"/>
      <c r="G271" s="212"/>
      <c r="H271" s="212"/>
      <c r="I271" s="52"/>
    </row>
    <row r="272" spans="1:11" s="53" customFormat="1" ht="45" x14ac:dyDescent="0.35">
      <c r="A272" s="187" t="s">
        <v>422</v>
      </c>
      <c r="B272" s="187" t="s">
        <v>290</v>
      </c>
      <c r="C272" s="187" t="s">
        <v>58</v>
      </c>
      <c r="D272" s="187" t="s">
        <v>59</v>
      </c>
      <c r="E272" s="188" t="s">
        <v>60</v>
      </c>
      <c r="F272" s="100" t="s">
        <v>140</v>
      </c>
      <c r="G272" s="187" t="s">
        <v>61</v>
      </c>
      <c r="H272" s="187"/>
      <c r="I272" s="52"/>
    </row>
    <row r="273" spans="1:14" s="53" customFormat="1" x14ac:dyDescent="0.35">
      <c r="A273" s="187"/>
      <c r="B273" s="187"/>
      <c r="C273" s="187"/>
      <c r="D273" s="187"/>
      <c r="E273" s="188"/>
      <c r="F273" s="101">
        <v>0.6</v>
      </c>
      <c r="G273" s="187"/>
      <c r="H273" s="187"/>
      <c r="I273" s="52"/>
    </row>
    <row r="274" spans="1:14" s="53" customFormat="1" x14ac:dyDescent="0.35">
      <c r="A274" s="126" t="s">
        <v>261</v>
      </c>
      <c r="B274" s="126"/>
      <c r="C274" s="126"/>
      <c r="D274" s="126"/>
      <c r="E274" s="126"/>
      <c r="F274" s="126"/>
      <c r="G274" s="126"/>
      <c r="H274" s="126"/>
      <c r="I274" s="52"/>
      <c r="L274" s="107"/>
      <c r="M274" s="107"/>
    </row>
    <row r="275" spans="1:14" s="53" customFormat="1" x14ac:dyDescent="0.35">
      <c r="A275" s="125" t="s">
        <v>262</v>
      </c>
      <c r="B275" s="125"/>
      <c r="C275" s="125"/>
      <c r="D275" s="125"/>
      <c r="E275" s="125"/>
      <c r="F275" s="125"/>
      <c r="G275" s="125"/>
      <c r="H275" s="125"/>
      <c r="I275" s="52"/>
      <c r="N275" s="52"/>
    </row>
    <row r="276" spans="1:14" s="53" customFormat="1" ht="15.75" customHeight="1" x14ac:dyDescent="0.35">
      <c r="A276" s="125" t="s">
        <v>263</v>
      </c>
      <c r="B276" s="125"/>
      <c r="C276" s="125"/>
      <c r="D276" s="125"/>
      <c r="E276" s="125"/>
      <c r="F276" s="125"/>
      <c r="G276" s="125"/>
      <c r="H276" s="125"/>
      <c r="I276" s="52"/>
      <c r="N276" s="52"/>
    </row>
    <row r="277" spans="1:14" s="53" customFormat="1" ht="15.75" customHeight="1" x14ac:dyDescent="0.35">
      <c r="A277" s="116">
        <v>1</v>
      </c>
      <c r="B277" s="116"/>
      <c r="C277" s="28" t="s">
        <v>292</v>
      </c>
      <c r="D277" s="28">
        <f>(4.5*6.02+3.35*2.74+1.15*1.47)*10.764</f>
        <v>408.59605799999997</v>
      </c>
      <c r="E277" s="28">
        <v>0</v>
      </c>
      <c r="F277" s="28">
        <f>D277*1.6+E277</f>
        <v>653.75369279999995</v>
      </c>
      <c r="G277" s="116" t="str">
        <f>A276</f>
        <v>Ground Floor for Commercial &amp; Parking</v>
      </c>
      <c r="H277" s="116"/>
      <c r="I277" s="52"/>
      <c r="N277" s="52"/>
    </row>
    <row r="278" spans="1:14" s="53" customFormat="1" ht="15.75" customHeight="1" x14ac:dyDescent="0.35">
      <c r="A278" s="116">
        <v>2</v>
      </c>
      <c r="B278" s="116"/>
      <c r="C278" s="28" t="s">
        <v>264</v>
      </c>
      <c r="D278" s="28">
        <f>(2.95*6.07+2.13*1.62+2.13*1.22)*10.764</f>
        <v>257.8591548</v>
      </c>
      <c r="E278" s="28">
        <v>0</v>
      </c>
      <c r="F278" s="28">
        <f t="shared" ref="F278:F286" si="7">D278*1.6+E278</f>
        <v>412.57464768</v>
      </c>
      <c r="G278" s="116"/>
      <c r="H278" s="116"/>
      <c r="I278" s="52"/>
      <c r="N278" s="52"/>
    </row>
    <row r="279" spans="1:14" s="53" customFormat="1" ht="15.75" customHeight="1" x14ac:dyDescent="0.35">
      <c r="A279" s="116">
        <v>3</v>
      </c>
      <c r="B279" s="116"/>
      <c r="C279" s="28" t="s">
        <v>264</v>
      </c>
      <c r="D279" s="28">
        <f>(3*6.22+3.72*2.84+1.17*1.39)*10.764</f>
        <v>332.08124040000001</v>
      </c>
      <c r="E279" s="28">
        <v>0</v>
      </c>
      <c r="F279" s="28">
        <f t="shared" si="7"/>
        <v>531.32998464000002</v>
      </c>
      <c r="G279" s="116"/>
      <c r="H279" s="116"/>
      <c r="I279" s="52"/>
      <c r="N279" s="52"/>
    </row>
    <row r="280" spans="1:14" s="53" customFormat="1" ht="15.75" customHeight="1" x14ac:dyDescent="0.35">
      <c r="A280" s="116">
        <v>4</v>
      </c>
      <c r="B280" s="116"/>
      <c r="C280" s="28" t="s">
        <v>264</v>
      </c>
      <c r="D280" s="28">
        <f>(3.17*7.51+1.07*1.4)*10.764</f>
        <v>272.37979079999997</v>
      </c>
      <c r="E280" s="28">
        <v>0</v>
      </c>
      <c r="F280" s="28">
        <f t="shared" si="7"/>
        <v>435.80766527999998</v>
      </c>
      <c r="G280" s="116"/>
      <c r="H280" s="116"/>
      <c r="I280" s="52"/>
      <c r="N280" s="52"/>
    </row>
    <row r="281" spans="1:14" s="53" customFormat="1" x14ac:dyDescent="0.35">
      <c r="A281" s="116">
        <v>5</v>
      </c>
      <c r="B281" s="116"/>
      <c r="C281" s="28" t="s">
        <v>264</v>
      </c>
      <c r="D281" s="28">
        <f>(5.18*4.81+2.8*1.2)*10.764</f>
        <v>304.36071119999997</v>
      </c>
      <c r="E281" s="28">
        <v>0</v>
      </c>
      <c r="F281" s="28">
        <f t="shared" si="7"/>
        <v>486.97713791999996</v>
      </c>
      <c r="G281" s="116"/>
      <c r="H281" s="116"/>
      <c r="I281" s="52"/>
      <c r="N281" s="52"/>
    </row>
    <row r="282" spans="1:14" s="53" customFormat="1" ht="15.75" customHeight="1" x14ac:dyDescent="0.35">
      <c r="A282" s="116">
        <v>6</v>
      </c>
      <c r="B282" s="116"/>
      <c r="C282" s="28" t="s">
        <v>264</v>
      </c>
      <c r="D282" s="28">
        <f>(2.85*4.81+2.85*1.3)*10.764</f>
        <v>187.43891399999998</v>
      </c>
      <c r="E282" s="28">
        <v>0</v>
      </c>
      <c r="F282" s="28">
        <f t="shared" si="7"/>
        <v>299.90226239999998</v>
      </c>
      <c r="G282" s="116"/>
      <c r="H282" s="116"/>
      <c r="I282" s="52"/>
      <c r="N282" s="52"/>
    </row>
    <row r="283" spans="1:14" s="53" customFormat="1" ht="15.75" customHeight="1" x14ac:dyDescent="0.35">
      <c r="A283" s="116">
        <v>7</v>
      </c>
      <c r="B283" s="116"/>
      <c r="C283" s="28" t="s">
        <v>264</v>
      </c>
      <c r="D283" s="28">
        <f>(4.5*4.69+4.5*1.5)*10.764</f>
        <v>299.83121999999997</v>
      </c>
      <c r="E283" s="28">
        <v>0</v>
      </c>
      <c r="F283" s="28">
        <f t="shared" si="7"/>
        <v>479.72995199999997</v>
      </c>
      <c r="G283" s="116"/>
      <c r="H283" s="116"/>
      <c r="I283" s="52"/>
      <c r="N283" s="52"/>
    </row>
    <row r="284" spans="1:14" s="53" customFormat="1" ht="15.75" customHeight="1" x14ac:dyDescent="0.35">
      <c r="A284" s="116">
        <v>8</v>
      </c>
      <c r="B284" s="116"/>
      <c r="C284" s="28" t="s">
        <v>264</v>
      </c>
      <c r="D284" s="28">
        <f>(3.04*7.72+3.04*1.37)*10.764</f>
        <v>297.44807039999995</v>
      </c>
      <c r="E284" s="28">
        <v>0</v>
      </c>
      <c r="F284" s="28">
        <f t="shared" si="7"/>
        <v>475.91691263999996</v>
      </c>
      <c r="G284" s="116"/>
      <c r="H284" s="116"/>
      <c r="I284" s="52"/>
      <c r="N284" s="52"/>
    </row>
    <row r="285" spans="1:14" s="53" customFormat="1" x14ac:dyDescent="0.35">
      <c r="A285" s="116">
        <v>9</v>
      </c>
      <c r="B285" s="116"/>
      <c r="C285" s="28" t="s">
        <v>264</v>
      </c>
      <c r="D285" s="28">
        <f>(3*7.69+1.88*1.37+1.22*1.22+0.67*1.47)*10.764</f>
        <v>302.6718396</v>
      </c>
      <c r="E285" s="28">
        <v>0</v>
      </c>
      <c r="F285" s="28">
        <f t="shared" si="7"/>
        <v>484.27494336000001</v>
      </c>
      <c r="G285" s="116"/>
      <c r="H285" s="116"/>
      <c r="I285" s="52"/>
      <c r="N285" s="52"/>
    </row>
    <row r="286" spans="1:14" s="53" customFormat="1" ht="15.75" customHeight="1" x14ac:dyDescent="0.35">
      <c r="A286" s="116">
        <v>10</v>
      </c>
      <c r="B286" s="116"/>
      <c r="C286" s="28" t="s">
        <v>264</v>
      </c>
      <c r="D286" s="28">
        <f>(2.9*6.07+2.13*1.69+1.97*1.2)*10.764</f>
        <v>253.6719588</v>
      </c>
      <c r="E286" s="28">
        <v>0</v>
      </c>
      <c r="F286" s="28">
        <f t="shared" si="7"/>
        <v>405.87513408000001</v>
      </c>
      <c r="G286" s="116"/>
      <c r="H286" s="116"/>
      <c r="I286" s="52"/>
      <c r="L286" s="107"/>
      <c r="M286" s="107"/>
    </row>
    <row r="287" spans="1:14" s="53" customFormat="1" x14ac:dyDescent="0.35">
      <c r="A287" s="116">
        <v>11</v>
      </c>
      <c r="B287" s="116"/>
      <c r="C287" s="28" t="s">
        <v>264</v>
      </c>
      <c r="D287" s="28">
        <f>(4.5*6.02+1.5*1.49+3.2*2.74+1.4*1.15)*10.764</f>
        <v>427.36309199999994</v>
      </c>
      <c r="E287" s="28">
        <v>0</v>
      </c>
      <c r="F287" s="28">
        <f>D287*1.6+E287</f>
        <v>683.7809471999999</v>
      </c>
      <c r="G287" s="116"/>
      <c r="H287" s="116"/>
      <c r="I287" s="52"/>
      <c r="N287" s="52"/>
    </row>
    <row r="288" spans="1:14" s="53" customFormat="1" ht="15.75" customHeight="1" x14ac:dyDescent="0.35">
      <c r="A288" s="125" t="s">
        <v>293</v>
      </c>
      <c r="B288" s="125"/>
      <c r="C288" s="125"/>
      <c r="D288" s="125"/>
      <c r="E288" s="125"/>
      <c r="F288" s="125"/>
      <c r="G288" s="125"/>
      <c r="H288" s="125"/>
      <c r="I288" s="52"/>
      <c r="N288" s="52"/>
    </row>
    <row r="289" spans="1:14" s="53" customFormat="1" ht="15.75" customHeight="1" x14ac:dyDescent="0.35">
      <c r="A289" s="116">
        <v>20</v>
      </c>
      <c r="B289" s="116"/>
      <c r="C289" s="28" t="s">
        <v>292</v>
      </c>
      <c r="D289" s="28">
        <f>(4.5*4.92+3.35*2.74+1.15*1.47)*10.764</f>
        <v>355.314258</v>
      </c>
      <c r="E289" s="28">
        <v>0</v>
      </c>
      <c r="F289" s="28">
        <f>D289*1.6+E289</f>
        <v>568.50281280000002</v>
      </c>
      <c r="G289" s="120" t="str">
        <f>A288</f>
        <v>1st Podium Floor for Commercial &amp; Parking</v>
      </c>
      <c r="H289" s="121"/>
      <c r="I289" s="52"/>
      <c r="N289" s="52"/>
    </row>
    <row r="290" spans="1:14" s="53" customFormat="1" ht="15.75" customHeight="1" x14ac:dyDescent="0.35">
      <c r="A290" s="116">
        <f>A289+1</f>
        <v>21</v>
      </c>
      <c r="B290" s="116"/>
      <c r="C290" s="28" t="s">
        <v>264</v>
      </c>
      <c r="D290" s="28">
        <f>(2.95*4.86+2.13*1.62+2.13*1.22)*10.764</f>
        <v>219.43705680000002</v>
      </c>
      <c r="E290" s="28">
        <v>0</v>
      </c>
      <c r="F290" s="28">
        <f t="shared" ref="F290:F298" si="8">D290*1.6+E290</f>
        <v>351.09929088000007</v>
      </c>
      <c r="G290" s="122"/>
      <c r="H290" s="123"/>
      <c r="I290" s="52"/>
      <c r="N290" s="52"/>
    </row>
    <row r="291" spans="1:14" s="53" customFormat="1" ht="15.75" customHeight="1" x14ac:dyDescent="0.35">
      <c r="A291" s="116">
        <f t="shared" ref="A291:A299" si="9">A290+1</f>
        <v>22</v>
      </c>
      <c r="B291" s="116"/>
      <c r="C291" s="28" t="s">
        <v>264</v>
      </c>
      <c r="D291" s="28">
        <f>(3*7.96+0.72*2.84+1.17*1.39)*10.764</f>
        <v>296.56004039999993</v>
      </c>
      <c r="E291" s="28">
        <v>0</v>
      </c>
      <c r="F291" s="28">
        <f t="shared" si="8"/>
        <v>474.49606463999993</v>
      </c>
      <c r="G291" s="122"/>
      <c r="H291" s="123"/>
      <c r="I291" s="52"/>
      <c r="N291" s="52"/>
    </row>
    <row r="292" spans="1:14" s="53" customFormat="1" ht="15.75" customHeight="1" x14ac:dyDescent="0.35">
      <c r="A292" s="116">
        <f t="shared" si="9"/>
        <v>23</v>
      </c>
      <c r="B292" s="116"/>
      <c r="C292" s="28" t="s">
        <v>264</v>
      </c>
      <c r="D292" s="28">
        <f>(3.17*6.41+1.07*1.4)*10.764</f>
        <v>234.8457228</v>
      </c>
      <c r="E292" s="28">
        <v>0</v>
      </c>
      <c r="F292" s="28">
        <f t="shared" si="8"/>
        <v>375.75315648000003</v>
      </c>
      <c r="G292" s="122"/>
      <c r="H292" s="123"/>
      <c r="I292" s="52"/>
      <c r="N292" s="52"/>
    </row>
    <row r="293" spans="1:14" s="53" customFormat="1" x14ac:dyDescent="0.35">
      <c r="A293" s="116">
        <f t="shared" si="9"/>
        <v>24</v>
      </c>
      <c r="B293" s="116"/>
      <c r="C293" s="28" t="s">
        <v>264</v>
      </c>
      <c r="D293" s="28">
        <f>(5.18*3.71+2.8*1.2)*10.764</f>
        <v>243.02743919999998</v>
      </c>
      <c r="E293" s="28">
        <v>0</v>
      </c>
      <c r="F293" s="28">
        <f t="shared" si="8"/>
        <v>388.84390271999996</v>
      </c>
      <c r="G293" s="122"/>
      <c r="H293" s="123"/>
      <c r="I293" s="52"/>
      <c r="N293" s="52"/>
    </row>
    <row r="294" spans="1:14" s="53" customFormat="1" ht="15.75" customHeight="1" x14ac:dyDescent="0.35">
      <c r="A294" s="116">
        <f t="shared" si="9"/>
        <v>25</v>
      </c>
      <c r="B294" s="116"/>
      <c r="C294" s="28" t="s">
        <v>264</v>
      </c>
      <c r="D294" s="28">
        <f>(2.85*4.7+2.85*1.3)*10.764</f>
        <v>184.06440000000001</v>
      </c>
      <c r="E294" s="28">
        <v>0</v>
      </c>
      <c r="F294" s="28">
        <f t="shared" si="8"/>
        <v>294.50304</v>
      </c>
      <c r="G294" s="122"/>
      <c r="H294" s="123"/>
      <c r="I294" s="52"/>
      <c r="N294" s="52"/>
    </row>
    <row r="295" spans="1:14" s="53" customFormat="1" ht="15.75" customHeight="1" x14ac:dyDescent="0.35">
      <c r="A295" s="116">
        <f t="shared" si="9"/>
        <v>26</v>
      </c>
      <c r="B295" s="116"/>
      <c r="C295" s="28" t="s">
        <v>264</v>
      </c>
      <c r="D295" s="28">
        <f>(4.5*3.59+4.5*1.5)*10.764</f>
        <v>246.54942</v>
      </c>
      <c r="E295" s="28">
        <v>0</v>
      </c>
      <c r="F295" s="28">
        <f t="shared" si="8"/>
        <v>394.47907200000003</v>
      </c>
      <c r="G295" s="122"/>
      <c r="H295" s="123"/>
      <c r="I295" s="52"/>
      <c r="N295" s="52"/>
    </row>
    <row r="296" spans="1:14" s="53" customFormat="1" ht="15.75" customHeight="1" x14ac:dyDescent="0.35">
      <c r="A296" s="116">
        <f t="shared" si="9"/>
        <v>27</v>
      </c>
      <c r="B296" s="116"/>
      <c r="C296" s="28" t="s">
        <v>264</v>
      </c>
      <c r="D296" s="28">
        <f>(3.04*3.75+3.04*1.37)*10.764</f>
        <v>167.5395072</v>
      </c>
      <c r="E296" s="28">
        <v>0</v>
      </c>
      <c r="F296" s="28">
        <f t="shared" si="8"/>
        <v>268.06321152000004</v>
      </c>
      <c r="G296" s="122"/>
      <c r="H296" s="123"/>
      <c r="I296" s="52"/>
      <c r="N296" s="52"/>
    </row>
    <row r="297" spans="1:14" s="53" customFormat="1" x14ac:dyDescent="0.35">
      <c r="A297" s="116">
        <f t="shared" si="9"/>
        <v>28</v>
      </c>
      <c r="B297" s="116"/>
      <c r="C297" s="28" t="s">
        <v>264</v>
      </c>
      <c r="D297" s="28">
        <f>(3*6.51+1.88*1.37+1.22*1.22+0.67*1.47)*10.764</f>
        <v>264.56727960000001</v>
      </c>
      <c r="E297" s="28">
        <v>0</v>
      </c>
      <c r="F297" s="28">
        <f t="shared" si="8"/>
        <v>423.30764736000003</v>
      </c>
      <c r="G297" s="122"/>
      <c r="H297" s="123"/>
      <c r="I297" s="52"/>
      <c r="N297" s="52"/>
    </row>
    <row r="298" spans="1:14" s="53" customFormat="1" x14ac:dyDescent="0.35">
      <c r="A298" s="116">
        <f t="shared" si="9"/>
        <v>29</v>
      </c>
      <c r="B298" s="116"/>
      <c r="C298" s="28" t="s">
        <v>264</v>
      </c>
      <c r="D298" s="28">
        <f>(2.9*4.97+1.44*2.13+1.39*2.13)*10.764</f>
        <v>220.02584759999993</v>
      </c>
      <c r="E298" s="28">
        <v>0</v>
      </c>
      <c r="F298" s="28">
        <f t="shared" si="8"/>
        <v>352.04135615999991</v>
      </c>
      <c r="G298" s="122"/>
      <c r="H298" s="123"/>
      <c r="I298" s="52"/>
    </row>
    <row r="299" spans="1:14" s="53" customFormat="1" x14ac:dyDescent="0.35">
      <c r="A299" s="116">
        <f t="shared" si="9"/>
        <v>30</v>
      </c>
      <c r="B299" s="116"/>
      <c r="C299" s="28" t="s">
        <v>264</v>
      </c>
      <c r="D299" s="28">
        <f>(4.5*4.92+1.5*1.4+4.7*2.74)*10.764</f>
        <v>399.53815200000003</v>
      </c>
      <c r="E299" s="28">
        <v>0</v>
      </c>
      <c r="F299" s="28">
        <f>D299*1.6+E299</f>
        <v>639.26104320000013</v>
      </c>
      <c r="G299" s="173"/>
      <c r="H299" s="174"/>
      <c r="I299" s="52"/>
    </row>
    <row r="300" spans="1:14" s="53" customFormat="1" x14ac:dyDescent="0.35">
      <c r="A300" s="124" t="s">
        <v>291</v>
      </c>
      <c r="B300" s="124"/>
      <c r="C300" s="124"/>
      <c r="D300" s="124"/>
      <c r="E300" s="124"/>
      <c r="F300" s="124"/>
      <c r="G300" s="124"/>
      <c r="H300" s="124"/>
      <c r="I300" s="52"/>
      <c r="L300" s="107"/>
      <c r="M300" s="107"/>
    </row>
    <row r="301" spans="1:14" s="53" customFormat="1" x14ac:dyDescent="0.35">
      <c r="A301" s="125" t="s">
        <v>175</v>
      </c>
      <c r="B301" s="125"/>
      <c r="C301" s="125"/>
      <c r="D301" s="125"/>
      <c r="E301" s="125"/>
      <c r="F301" s="125"/>
      <c r="G301" s="125"/>
      <c r="H301" s="125"/>
      <c r="I301" s="52"/>
      <c r="N301" s="52"/>
    </row>
    <row r="302" spans="1:14" s="53" customFormat="1" ht="15.75" customHeight="1" x14ac:dyDescent="0.35">
      <c r="A302" s="125" t="s">
        <v>263</v>
      </c>
      <c r="B302" s="125"/>
      <c r="C302" s="125"/>
      <c r="D302" s="125"/>
      <c r="E302" s="125"/>
      <c r="F302" s="125"/>
      <c r="G302" s="125"/>
      <c r="H302" s="125"/>
      <c r="I302" s="52"/>
      <c r="N302" s="52"/>
    </row>
    <row r="303" spans="1:14" s="53" customFormat="1" ht="15.75" customHeight="1" x14ac:dyDescent="0.35">
      <c r="A303" s="116">
        <v>12</v>
      </c>
      <c r="B303" s="116"/>
      <c r="C303" s="28" t="s">
        <v>292</v>
      </c>
      <c r="D303" s="28">
        <f>(3.05*4.34+3.25*4.51+3.05*1.2)*10.764</f>
        <v>339.65263799999997</v>
      </c>
      <c r="E303" s="28">
        <v>0</v>
      </c>
      <c r="F303" s="28">
        <f>D303*1.6+E303</f>
        <v>543.44422079999993</v>
      </c>
      <c r="G303" s="120" t="str">
        <f>A302</f>
        <v>Ground Floor for Commercial &amp; Parking</v>
      </c>
      <c r="H303" s="121"/>
      <c r="I303" s="52"/>
      <c r="N303" s="52"/>
    </row>
    <row r="304" spans="1:14" s="53" customFormat="1" ht="15.75" customHeight="1" x14ac:dyDescent="0.35">
      <c r="A304" s="116">
        <v>13</v>
      </c>
      <c r="B304" s="116"/>
      <c r="C304" s="28" t="s">
        <v>264</v>
      </c>
      <c r="D304" s="28">
        <f>(3.9*5.57+3.81*3.89)*10.764</f>
        <v>393.35853959999997</v>
      </c>
      <c r="E304" s="28">
        <v>0</v>
      </c>
      <c r="F304" s="28">
        <f t="shared" ref="F304:F310" si="10">D304*1.6+E304</f>
        <v>629.37366336000002</v>
      </c>
      <c r="G304" s="122"/>
      <c r="H304" s="123"/>
      <c r="I304" s="52"/>
      <c r="N304" s="52"/>
    </row>
    <row r="305" spans="1:14" s="53" customFormat="1" ht="15.75" customHeight="1" x14ac:dyDescent="0.35">
      <c r="A305" s="116">
        <v>14</v>
      </c>
      <c r="B305" s="116"/>
      <c r="C305" s="28" t="s">
        <v>264</v>
      </c>
      <c r="D305" s="28">
        <f>(3.6*6.63+3.6*1.2)*10.764</f>
        <v>303.41563199999996</v>
      </c>
      <c r="E305" s="28">
        <v>0</v>
      </c>
      <c r="F305" s="28">
        <f t="shared" si="10"/>
        <v>485.46501119999994</v>
      </c>
      <c r="G305" s="122"/>
      <c r="H305" s="123"/>
      <c r="I305" s="52"/>
      <c r="N305" s="52"/>
    </row>
    <row r="306" spans="1:14" s="53" customFormat="1" ht="15.75" customHeight="1" x14ac:dyDescent="0.35">
      <c r="A306" s="116">
        <v>15</v>
      </c>
      <c r="B306" s="116"/>
      <c r="C306" s="28" t="s">
        <v>264</v>
      </c>
      <c r="D306" s="28">
        <f>(5.69*6.58+1.2*5.69)*10.764</f>
        <v>476.50290480000007</v>
      </c>
      <c r="E306" s="28">
        <v>0</v>
      </c>
      <c r="F306" s="28">
        <f t="shared" si="10"/>
        <v>762.40464768000015</v>
      </c>
      <c r="G306" s="122"/>
      <c r="H306" s="123"/>
      <c r="I306" s="52"/>
      <c r="N306" s="52"/>
    </row>
    <row r="307" spans="1:14" s="53" customFormat="1" x14ac:dyDescent="0.35">
      <c r="A307" s="116">
        <v>16</v>
      </c>
      <c r="B307" s="116"/>
      <c r="C307" s="28" t="s">
        <v>264</v>
      </c>
      <c r="D307" s="28">
        <f>(3.35*6.58+1.2*3.35)*10.764</f>
        <v>280.54213199999998</v>
      </c>
      <c r="E307" s="28">
        <v>0</v>
      </c>
      <c r="F307" s="28">
        <f t="shared" si="10"/>
        <v>448.86741119999999</v>
      </c>
      <c r="G307" s="122"/>
      <c r="H307" s="123"/>
      <c r="I307" s="52"/>
      <c r="N307" s="52"/>
    </row>
    <row r="308" spans="1:14" s="53" customFormat="1" ht="15.75" customHeight="1" x14ac:dyDescent="0.35">
      <c r="A308" s="116">
        <v>17</v>
      </c>
      <c r="B308" s="116"/>
      <c r="C308" s="28" t="s">
        <v>264</v>
      </c>
      <c r="D308" s="28">
        <f>(5.23*5.28+1.4*0.7+1.5*1.4)*10.764</f>
        <v>330.39452160000002</v>
      </c>
      <c r="E308" s="28">
        <v>0</v>
      </c>
      <c r="F308" s="28">
        <f t="shared" si="10"/>
        <v>528.63123456000005</v>
      </c>
      <c r="G308" s="122"/>
      <c r="H308" s="123"/>
      <c r="I308" s="52"/>
      <c r="N308" s="52"/>
    </row>
    <row r="309" spans="1:14" s="53" customFormat="1" x14ac:dyDescent="0.35">
      <c r="A309" s="116">
        <v>18</v>
      </c>
      <c r="B309" s="116"/>
      <c r="C309" s="28" t="s">
        <v>264</v>
      </c>
      <c r="D309" s="28">
        <f>(4.5*13.55+1.21*1.15+1.4*1.8)*10.764</f>
        <v>698.43828599999995</v>
      </c>
      <c r="E309" s="28">
        <v>0</v>
      </c>
      <c r="F309" s="28">
        <f t="shared" si="10"/>
        <v>1117.5012575999999</v>
      </c>
      <c r="G309" s="122"/>
      <c r="H309" s="123"/>
      <c r="I309" s="52"/>
      <c r="L309" s="107"/>
      <c r="M309" s="107"/>
    </row>
    <row r="310" spans="1:14" s="53" customFormat="1" x14ac:dyDescent="0.35">
      <c r="A310" s="116">
        <v>19</v>
      </c>
      <c r="B310" s="116"/>
      <c r="C310" s="28" t="s">
        <v>264</v>
      </c>
      <c r="D310" s="28">
        <f>(3.04*7.58+2.5*1.22)*10.764</f>
        <v>280.86720479999997</v>
      </c>
      <c r="E310" s="28">
        <v>0</v>
      </c>
      <c r="F310" s="28">
        <f t="shared" si="10"/>
        <v>449.38752767999995</v>
      </c>
      <c r="G310" s="122"/>
      <c r="H310" s="123"/>
      <c r="I310" s="52"/>
      <c r="N310" s="52"/>
    </row>
    <row r="311" spans="1:14" s="53" customFormat="1" ht="15.75" customHeight="1" x14ac:dyDescent="0.35">
      <c r="A311" s="125" t="s">
        <v>293</v>
      </c>
      <c r="B311" s="125"/>
      <c r="C311" s="125"/>
      <c r="D311" s="125"/>
      <c r="E311" s="125"/>
      <c r="F311" s="125"/>
      <c r="G311" s="125"/>
      <c r="H311" s="125"/>
      <c r="I311" s="52"/>
      <c r="N311" s="52"/>
    </row>
    <row r="312" spans="1:14" s="53" customFormat="1" ht="15.75" customHeight="1" x14ac:dyDescent="0.35">
      <c r="A312" s="116">
        <v>31</v>
      </c>
      <c r="B312" s="116"/>
      <c r="C312" s="28" t="s">
        <v>292</v>
      </c>
      <c r="D312" s="28">
        <f>(3.05*3.24+1.6*1.3+1.25*1.2+3.25*4.51)*10.764</f>
        <v>302.67829799999998</v>
      </c>
      <c r="E312" s="28">
        <v>0</v>
      </c>
      <c r="F312" s="28">
        <f>D312*1.6+E312</f>
        <v>484.28527680000002</v>
      </c>
      <c r="G312" s="120" t="str">
        <f>A311</f>
        <v>1st Podium Floor for Commercial &amp; Parking</v>
      </c>
      <c r="H312" s="121"/>
      <c r="I312" s="52"/>
      <c r="N312" s="52"/>
    </row>
    <row r="313" spans="1:14" s="53" customFormat="1" ht="15.75" customHeight="1" x14ac:dyDescent="0.35">
      <c r="A313" s="116">
        <v>32</v>
      </c>
      <c r="B313" s="116"/>
      <c r="C313" s="28" t="s">
        <v>264</v>
      </c>
      <c r="D313" s="28">
        <f>(3.9*4.57+3.81*3.89)*10.764</f>
        <v>351.37893960000002</v>
      </c>
      <c r="E313" s="28">
        <v>0</v>
      </c>
      <c r="F313" s="28">
        <f t="shared" ref="F313:F319" si="11">D313*1.6+E313</f>
        <v>562.20630336000011</v>
      </c>
      <c r="G313" s="122"/>
      <c r="H313" s="123"/>
      <c r="I313" s="52"/>
      <c r="N313" s="52"/>
    </row>
    <row r="314" spans="1:14" s="53" customFormat="1" ht="15.75" customHeight="1" x14ac:dyDescent="0.35">
      <c r="A314" s="116">
        <v>33</v>
      </c>
      <c r="B314" s="116"/>
      <c r="C314" s="28" t="s">
        <v>264</v>
      </c>
      <c r="D314" s="28">
        <f>(3.6*5.53+3.6*1.2)*10.764</f>
        <v>260.79019199999999</v>
      </c>
      <c r="E314" s="28">
        <v>0</v>
      </c>
      <c r="F314" s="28">
        <f t="shared" si="11"/>
        <v>417.26430720000002</v>
      </c>
      <c r="G314" s="122"/>
      <c r="H314" s="123"/>
      <c r="I314" s="52"/>
      <c r="N314" s="52"/>
    </row>
    <row r="315" spans="1:14" s="53" customFormat="1" ht="15.75" customHeight="1" x14ac:dyDescent="0.35">
      <c r="A315" s="116">
        <v>34</v>
      </c>
      <c r="B315" s="116"/>
      <c r="C315" s="28" t="s">
        <v>264</v>
      </c>
      <c r="D315" s="28">
        <f>(9.19*5.48)*10.764</f>
        <v>542.08795680000003</v>
      </c>
      <c r="E315" s="28">
        <v>0</v>
      </c>
      <c r="F315" s="28">
        <f t="shared" si="11"/>
        <v>867.34073088000014</v>
      </c>
      <c r="G315" s="122"/>
      <c r="H315" s="123"/>
      <c r="I315" s="52"/>
      <c r="N315" s="52"/>
    </row>
    <row r="316" spans="1:14" s="53" customFormat="1" x14ac:dyDescent="0.35">
      <c r="A316" s="116">
        <v>35</v>
      </c>
      <c r="B316" s="116"/>
      <c r="C316" s="28" t="s">
        <v>264</v>
      </c>
      <c r="D316" s="28">
        <f>(5.23*4.18)*10.764</f>
        <v>235.31610959999998</v>
      </c>
      <c r="E316" s="28">
        <v>0</v>
      </c>
      <c r="F316" s="28">
        <f t="shared" si="11"/>
        <v>376.50577535999997</v>
      </c>
      <c r="G316" s="122"/>
      <c r="H316" s="123"/>
      <c r="I316" s="52"/>
      <c r="N316" s="52"/>
    </row>
    <row r="317" spans="1:14" s="53" customFormat="1" ht="15.75" customHeight="1" x14ac:dyDescent="0.35">
      <c r="A317" s="116">
        <v>36</v>
      </c>
      <c r="B317" s="116"/>
      <c r="C317" s="28" t="s">
        <v>264</v>
      </c>
      <c r="D317" s="28">
        <f>(4.51*12.45+1.21*1.15+1.21*1.9)*10.764</f>
        <v>644.11775999999998</v>
      </c>
      <c r="E317" s="28">
        <v>0</v>
      </c>
      <c r="F317" s="28">
        <f t="shared" si="11"/>
        <v>1030.5884160000001</v>
      </c>
      <c r="G317" s="122"/>
      <c r="H317" s="123"/>
      <c r="I317" s="52"/>
      <c r="N317" s="52"/>
    </row>
    <row r="318" spans="1:14" s="53" customFormat="1" x14ac:dyDescent="0.35">
      <c r="A318" s="116">
        <v>37</v>
      </c>
      <c r="B318" s="116"/>
      <c r="C318" s="28" t="s">
        <v>264</v>
      </c>
      <c r="D318" s="28">
        <f>(3.45*12.45+1.21*1.15)*10.764</f>
        <v>477.31881599999997</v>
      </c>
      <c r="E318" s="28">
        <v>0</v>
      </c>
      <c r="F318" s="28">
        <f t="shared" si="11"/>
        <v>763.71010560000002</v>
      </c>
      <c r="G318" s="122"/>
      <c r="H318" s="123"/>
      <c r="I318" s="52"/>
    </row>
    <row r="319" spans="1:14" s="53" customFormat="1" x14ac:dyDescent="0.35">
      <c r="A319" s="116">
        <v>38</v>
      </c>
      <c r="B319" s="116"/>
      <c r="C319" s="28" t="s">
        <v>264</v>
      </c>
      <c r="D319" s="28">
        <f>(4.66*9.73+1.22*1.22+1.22*3.44)*10.764</f>
        <v>549.25462800000003</v>
      </c>
      <c r="E319" s="28">
        <v>0</v>
      </c>
      <c r="F319" s="28">
        <f t="shared" si="11"/>
        <v>878.80740480000009</v>
      </c>
      <c r="G319" s="122"/>
      <c r="H319" s="123"/>
      <c r="I319" s="52"/>
    </row>
    <row r="320" spans="1:14" s="53" customFormat="1" x14ac:dyDescent="0.35">
      <c r="A320" s="126" t="s">
        <v>394</v>
      </c>
      <c r="B320" s="126"/>
      <c r="C320" s="126"/>
      <c r="D320" s="126"/>
      <c r="E320" s="126"/>
      <c r="F320" s="126"/>
      <c r="G320" s="126"/>
      <c r="H320" s="126"/>
      <c r="I320" s="52"/>
      <c r="L320" s="107"/>
      <c r="M320" s="107"/>
    </row>
    <row r="321" spans="1:14" s="53" customFormat="1" x14ac:dyDescent="0.35">
      <c r="A321" s="130" t="s">
        <v>175</v>
      </c>
      <c r="B321" s="130"/>
      <c r="C321" s="130"/>
      <c r="D321" s="130"/>
      <c r="E321" s="130"/>
      <c r="F321" s="130"/>
      <c r="G321" s="130"/>
      <c r="H321" s="130"/>
      <c r="I321" s="52"/>
      <c r="N321" s="52"/>
    </row>
    <row r="322" spans="1:14" s="53" customFormat="1" ht="15.75" customHeight="1" x14ac:dyDescent="0.35">
      <c r="A322" s="130" t="s">
        <v>263</v>
      </c>
      <c r="B322" s="130"/>
      <c r="C322" s="130"/>
      <c r="D322" s="130"/>
      <c r="E322" s="130"/>
      <c r="F322" s="130"/>
      <c r="G322" s="130"/>
      <c r="H322" s="130"/>
      <c r="I322" s="52"/>
      <c r="N322" s="52"/>
    </row>
    <row r="323" spans="1:14" s="53" customFormat="1" ht="15.75" customHeight="1" x14ac:dyDescent="0.35">
      <c r="A323" s="108">
        <v>1</v>
      </c>
      <c r="B323" s="108"/>
      <c r="C323" s="113" t="s">
        <v>402</v>
      </c>
      <c r="D323" s="114"/>
      <c r="E323" s="114"/>
      <c r="F323" s="115"/>
      <c r="G323" s="109" t="str">
        <f>A322</f>
        <v>Ground Floor for Commercial &amp; Parking</v>
      </c>
      <c r="H323" s="110"/>
      <c r="I323" s="52"/>
      <c r="N323" s="52"/>
    </row>
    <row r="324" spans="1:14" s="53" customFormat="1" ht="15.75" customHeight="1" x14ac:dyDescent="0.35">
      <c r="A324" s="108">
        <f>A323+1</f>
        <v>2</v>
      </c>
      <c r="B324" s="108"/>
      <c r="C324" s="80" t="s">
        <v>264</v>
      </c>
      <c r="D324" s="80">
        <f>(4*8+1.73*1.37+1.52*1.25+(4*1.65))*10.764</f>
        <v>461.45375639999997</v>
      </c>
      <c r="E324" s="80">
        <v>0</v>
      </c>
      <c r="F324" s="80">
        <f t="shared" ref="F324:F328" si="12">D324*1.6+E324</f>
        <v>738.32601023999996</v>
      </c>
      <c r="G324" s="111"/>
      <c r="H324" s="112"/>
      <c r="I324" s="52"/>
      <c r="N324" s="52"/>
    </row>
    <row r="325" spans="1:14" s="53" customFormat="1" ht="15.75" customHeight="1" x14ac:dyDescent="0.35">
      <c r="A325" s="108">
        <f t="shared" ref="A325:A328" si="13">A324+1</f>
        <v>3</v>
      </c>
      <c r="B325" s="108"/>
      <c r="C325" s="80" t="s">
        <v>264</v>
      </c>
      <c r="D325" s="80">
        <f>(4*8+1.73*1.22+1.52*1.22+(4*1.65))*10.764</f>
        <v>458.16965999999996</v>
      </c>
      <c r="E325" s="80">
        <v>0</v>
      </c>
      <c r="F325" s="80">
        <f t="shared" si="12"/>
        <v>733.07145600000001</v>
      </c>
      <c r="G325" s="111"/>
      <c r="H325" s="112"/>
      <c r="I325" s="52"/>
      <c r="N325" s="52"/>
    </row>
    <row r="326" spans="1:14" s="53" customFormat="1" ht="15.75" customHeight="1" x14ac:dyDescent="0.35">
      <c r="A326" s="108">
        <f t="shared" si="13"/>
        <v>4</v>
      </c>
      <c r="B326" s="108"/>
      <c r="C326" s="80" t="s">
        <v>264</v>
      </c>
      <c r="D326" s="80">
        <f>(4*9.41+2.63*2.57+1.22*2.21+(4*1.65))*10.764</f>
        <v>577.97620919999997</v>
      </c>
      <c r="E326" s="80">
        <v>0</v>
      </c>
      <c r="F326" s="80">
        <f t="shared" si="12"/>
        <v>924.76193472</v>
      </c>
      <c r="G326" s="111"/>
      <c r="H326" s="112"/>
      <c r="I326" s="52"/>
      <c r="N326" s="52"/>
    </row>
    <row r="327" spans="1:14" s="53" customFormat="1" x14ac:dyDescent="0.35">
      <c r="A327" s="108">
        <f t="shared" si="13"/>
        <v>5</v>
      </c>
      <c r="B327" s="108"/>
      <c r="C327" s="113" t="s">
        <v>402</v>
      </c>
      <c r="D327" s="114"/>
      <c r="E327" s="114"/>
      <c r="F327" s="115"/>
      <c r="G327" s="111"/>
      <c r="H327" s="112"/>
      <c r="I327" s="52"/>
      <c r="L327" s="107"/>
      <c r="M327" s="107"/>
    </row>
    <row r="328" spans="1:14" s="53" customFormat="1" x14ac:dyDescent="0.35">
      <c r="A328" s="108">
        <f t="shared" si="13"/>
        <v>6</v>
      </c>
      <c r="B328" s="108"/>
      <c r="C328" s="80" t="s">
        <v>264</v>
      </c>
      <c r="D328" s="80">
        <f>(4.72*5.6+3.13*1.79+4.5*1.82+(3.13*1.65))*10.764</f>
        <v>488.56934879999994</v>
      </c>
      <c r="E328" s="80">
        <v>0</v>
      </c>
      <c r="F328" s="80">
        <f t="shared" si="12"/>
        <v>781.71095807999995</v>
      </c>
      <c r="G328" s="111"/>
      <c r="H328" s="112"/>
      <c r="I328" s="68" t="s">
        <v>406</v>
      </c>
      <c r="N328" s="52"/>
    </row>
    <row r="329" spans="1:14" s="53" customFormat="1" ht="15.75" customHeight="1" x14ac:dyDescent="0.35">
      <c r="A329" s="125" t="s">
        <v>404</v>
      </c>
      <c r="B329" s="125"/>
      <c r="C329" s="125"/>
      <c r="D329" s="125"/>
      <c r="E329" s="125"/>
      <c r="F329" s="125"/>
      <c r="G329" s="125"/>
      <c r="H329" s="125"/>
      <c r="I329" s="52"/>
      <c r="N329" s="52"/>
    </row>
    <row r="330" spans="1:14" s="53" customFormat="1" ht="15.75" customHeight="1" x14ac:dyDescent="0.35">
      <c r="A330" s="108" t="s">
        <v>403</v>
      </c>
      <c r="B330" s="108"/>
      <c r="C330" s="80" t="s">
        <v>405</v>
      </c>
      <c r="D330" s="80">
        <f>(7.64*9.52+8.78*7.26+5.24*1.98+1.82*1.07)*10.764</f>
        <v>1601.6638247999997</v>
      </c>
      <c r="E330" s="80">
        <v>0</v>
      </c>
      <c r="F330" s="28">
        <f>D330*1.6+E330</f>
        <v>2562.6621196799997</v>
      </c>
      <c r="G330" s="120" t="str">
        <f>A329</f>
        <v>1st Podium Floor for Commercial &amp; Amenity (Children Play Area, Creche, Library etc)</v>
      </c>
      <c r="H330" s="121"/>
      <c r="I330" s="52"/>
      <c r="J330" s="53">
        <f>17000</f>
        <v>17000</v>
      </c>
      <c r="N330" s="52"/>
    </row>
    <row r="331" spans="1:14" s="53" customFormat="1" ht="15.75" customHeight="1" x14ac:dyDescent="0.35">
      <c r="A331" s="116">
        <v>1</v>
      </c>
      <c r="B331" s="116"/>
      <c r="C331" s="80" t="s">
        <v>405</v>
      </c>
      <c r="D331" s="80">
        <f>(4*8+1.73*1.37+1.52*1.07)*10.764</f>
        <v>387.46632599999992</v>
      </c>
      <c r="E331" s="80">
        <v>0</v>
      </c>
      <c r="F331" s="28">
        <f t="shared" ref="F331:F335" si="14">D331*1.6+E331</f>
        <v>619.94612159999997</v>
      </c>
      <c r="G331" s="122"/>
      <c r="H331" s="123"/>
      <c r="I331" s="52"/>
      <c r="J331" s="53">
        <f>$J$330*D331</f>
        <v>6586927.5419999985</v>
      </c>
      <c r="N331" s="52"/>
    </row>
    <row r="332" spans="1:14" s="53" customFormat="1" ht="15.75" customHeight="1" x14ac:dyDescent="0.35">
      <c r="A332" s="116">
        <f>A331+1</f>
        <v>2</v>
      </c>
      <c r="B332" s="116"/>
      <c r="C332" s="80" t="s">
        <v>405</v>
      </c>
      <c r="D332" s="80">
        <f>(4*8+1.73*1.22+1.52*1.22)*10.764</f>
        <v>387.12725999999992</v>
      </c>
      <c r="E332" s="80">
        <v>0</v>
      </c>
      <c r="F332" s="28">
        <f t="shared" si="14"/>
        <v>619.40361599999994</v>
      </c>
      <c r="G332" s="122"/>
      <c r="H332" s="123"/>
      <c r="I332" s="52"/>
      <c r="J332" s="53">
        <f t="shared" ref="J332:J334" si="15">$J$330*D332</f>
        <v>6581163.419999999</v>
      </c>
      <c r="N332" s="52"/>
    </row>
    <row r="333" spans="1:14" s="53" customFormat="1" ht="15.75" customHeight="1" x14ac:dyDescent="0.35">
      <c r="A333" s="116">
        <f t="shared" ref="A333:A335" si="16">A332+1</f>
        <v>3</v>
      </c>
      <c r="B333" s="116"/>
      <c r="C333" s="80" t="s">
        <v>405</v>
      </c>
      <c r="D333" s="80">
        <f>(4*9.39+2.63*2.46+1.22*2.21)*10.764</f>
        <v>502.95866399999994</v>
      </c>
      <c r="E333" s="80">
        <v>0</v>
      </c>
      <c r="F333" s="28">
        <f t="shared" si="14"/>
        <v>804.73386239999991</v>
      </c>
      <c r="G333" s="122"/>
      <c r="H333" s="123"/>
      <c r="I333" s="52"/>
      <c r="J333" s="53">
        <f t="shared" si="15"/>
        <v>8550297.2879999988</v>
      </c>
      <c r="N333" s="52"/>
    </row>
    <row r="334" spans="1:14" s="53" customFormat="1" x14ac:dyDescent="0.35">
      <c r="A334" s="116">
        <f t="shared" si="16"/>
        <v>4</v>
      </c>
      <c r="B334" s="116"/>
      <c r="C334" s="80" t="s">
        <v>405</v>
      </c>
      <c r="D334" s="80">
        <f>(5.91*6.71+2.27*1.3+2.44*2.67+1.52*1.07)*10.764</f>
        <v>546.2547012</v>
      </c>
      <c r="E334" s="80">
        <v>0</v>
      </c>
      <c r="F334" s="28">
        <f t="shared" si="14"/>
        <v>874.00752192000004</v>
      </c>
      <c r="G334" s="122"/>
      <c r="H334" s="123"/>
      <c r="I334" s="52"/>
      <c r="J334" s="53">
        <f t="shared" si="15"/>
        <v>9286329.9203999992</v>
      </c>
    </row>
    <row r="335" spans="1:14" x14ac:dyDescent="0.35">
      <c r="A335" s="116">
        <f t="shared" si="16"/>
        <v>5</v>
      </c>
      <c r="B335" s="116"/>
      <c r="C335" s="80" t="s">
        <v>405</v>
      </c>
      <c r="D335" s="80">
        <f>(3.13*6.51)*10.764</f>
        <v>219.33049319999995</v>
      </c>
      <c r="E335" s="80">
        <v>0</v>
      </c>
      <c r="F335" s="28">
        <f t="shared" si="14"/>
        <v>350.92878911999992</v>
      </c>
      <c r="G335" s="122"/>
      <c r="H335" s="123"/>
      <c r="I335" s="52"/>
      <c r="J335" s="53"/>
    </row>
    <row r="336" spans="1:14" s="53" customFormat="1" x14ac:dyDescent="0.35">
      <c r="A336" s="125"/>
      <c r="B336" s="125"/>
      <c r="C336" s="125"/>
      <c r="D336" s="125"/>
      <c r="E336" s="125"/>
      <c r="F336" s="125"/>
      <c r="G336" s="125"/>
      <c r="H336" s="125"/>
      <c r="I336" s="52"/>
    </row>
    <row r="337" spans="1:16" s="53" customFormat="1" ht="45" x14ac:dyDescent="0.35">
      <c r="A337" s="220" t="s">
        <v>141</v>
      </c>
      <c r="B337" s="220" t="s">
        <v>142</v>
      </c>
      <c r="C337" s="216" t="s">
        <v>58</v>
      </c>
      <c r="D337" s="216" t="s">
        <v>59</v>
      </c>
      <c r="E337" s="218" t="s">
        <v>60</v>
      </c>
      <c r="F337" s="33" t="s">
        <v>140</v>
      </c>
      <c r="G337" s="220" t="s">
        <v>61</v>
      </c>
      <c r="H337" s="221"/>
      <c r="I337" s="52"/>
    </row>
    <row r="338" spans="1:16" s="53" customFormat="1" x14ac:dyDescent="0.35">
      <c r="A338" s="222"/>
      <c r="B338" s="222"/>
      <c r="C338" s="217"/>
      <c r="D338" s="217"/>
      <c r="E338" s="219"/>
      <c r="F338" s="18">
        <v>0.5</v>
      </c>
      <c r="G338" s="222"/>
      <c r="H338" s="223"/>
      <c r="I338" s="52"/>
    </row>
    <row r="339" spans="1:16" s="53" customFormat="1" x14ac:dyDescent="0.35">
      <c r="A339" s="124" t="s">
        <v>174</v>
      </c>
      <c r="B339" s="124"/>
      <c r="C339" s="124"/>
      <c r="D339" s="124"/>
      <c r="E339" s="124"/>
      <c r="F339" s="124"/>
      <c r="G339" s="124"/>
      <c r="H339" s="124"/>
      <c r="I339" s="52"/>
    </row>
    <row r="340" spans="1:16" s="53" customFormat="1" x14ac:dyDescent="0.35">
      <c r="A340" s="125" t="s">
        <v>175</v>
      </c>
      <c r="B340" s="125"/>
      <c r="C340" s="125"/>
      <c r="D340" s="125"/>
      <c r="E340" s="125"/>
      <c r="F340" s="125"/>
      <c r="G340" s="125"/>
      <c r="H340" s="125"/>
      <c r="I340" s="52"/>
      <c r="L340" s="107"/>
      <c r="M340" s="107"/>
    </row>
    <row r="341" spans="1:16" s="53" customFormat="1" ht="15.75" customHeight="1" x14ac:dyDescent="0.35">
      <c r="A341" s="125" t="s">
        <v>234</v>
      </c>
      <c r="B341" s="125"/>
      <c r="C341" s="125"/>
      <c r="D341" s="125"/>
      <c r="E341" s="125"/>
      <c r="F341" s="125"/>
      <c r="G341" s="125"/>
      <c r="H341" s="125"/>
      <c r="I341" s="52"/>
      <c r="N341" s="52"/>
    </row>
    <row r="342" spans="1:16" s="53" customFormat="1" ht="15.75" customHeight="1" x14ac:dyDescent="0.35">
      <c r="A342" s="125" t="s">
        <v>177</v>
      </c>
      <c r="B342" s="125"/>
      <c r="C342" s="125"/>
      <c r="D342" s="125"/>
      <c r="E342" s="125"/>
      <c r="F342" s="125"/>
      <c r="G342" s="125"/>
      <c r="H342" s="125"/>
      <c r="I342" s="52">
        <f>(3.05*5.19+3.05*3.75+1.37*2.08+1.67*1.19+2.28*0.76+2.08*3.5+2.69*3.55+3.05*3.85+2.28*1.37+1.36*2.18+1.06*2.08+1.06*2.69+2.5)*10.764</f>
        <v>818.63772119999987</v>
      </c>
      <c r="N342" s="52"/>
    </row>
    <row r="343" spans="1:16" s="53" customFormat="1" ht="15.75" customHeight="1" x14ac:dyDescent="0.35">
      <c r="A343" s="116" t="s">
        <v>235</v>
      </c>
      <c r="B343" s="116"/>
      <c r="C343" s="117" t="s">
        <v>193</v>
      </c>
      <c r="D343" s="118"/>
      <c r="E343" s="118"/>
      <c r="F343" s="119"/>
      <c r="G343" s="120" t="str">
        <f>A342</f>
        <v>1st Podium Floor for Part Residential &amp; Part Parking</v>
      </c>
      <c r="H343" s="121"/>
      <c r="I343" s="52">
        <f>(2.9*4.73+2.13*3.43+2.95*3.35+2.9*3.65+2.95+2.13*1.37+1.47*2.13+2.13*0.6)*10.764</f>
        <v>557.2264464000001</v>
      </c>
      <c r="N343" s="52"/>
    </row>
    <row r="344" spans="1:16" s="53" customFormat="1" ht="15.75" customHeight="1" x14ac:dyDescent="0.35">
      <c r="A344" s="116" t="s">
        <v>236</v>
      </c>
      <c r="B344" s="116"/>
      <c r="C344" s="28" t="s">
        <v>133</v>
      </c>
      <c r="D344" s="28">
        <f>79.09*10.764</f>
        <v>851.32475999999997</v>
      </c>
      <c r="E344" s="28">
        <v>0</v>
      </c>
      <c r="F344" s="28">
        <f>D344*(($F$338)+1)+E344</f>
        <v>1276.98714</v>
      </c>
      <c r="G344" s="122"/>
      <c r="H344" s="123"/>
      <c r="I344" s="52"/>
      <c r="N344" s="52"/>
    </row>
    <row r="345" spans="1:16" s="53" customFormat="1" ht="15.75" customHeight="1" x14ac:dyDescent="0.35">
      <c r="A345" s="116" t="s">
        <v>237</v>
      </c>
      <c r="B345" s="116"/>
      <c r="C345" s="28" t="s">
        <v>178</v>
      </c>
      <c r="D345" s="28">
        <f>53.22*10.764</f>
        <v>572.86007999999993</v>
      </c>
      <c r="E345" s="28">
        <v>0</v>
      </c>
      <c r="F345" s="28">
        <f>D345*(($F$338)+1)+E345</f>
        <v>859.29011999999989</v>
      </c>
      <c r="G345" s="122"/>
      <c r="H345" s="123"/>
      <c r="I345" s="52"/>
      <c r="N345" s="52"/>
    </row>
    <row r="346" spans="1:16" s="53" customFormat="1" ht="15.75" customHeight="1" x14ac:dyDescent="0.35">
      <c r="A346" s="116" t="s">
        <v>238</v>
      </c>
      <c r="B346" s="116"/>
      <c r="C346" s="28" t="s">
        <v>178</v>
      </c>
      <c r="D346" s="28">
        <f>58.36*10.764</f>
        <v>628.18703999999991</v>
      </c>
      <c r="E346" s="28">
        <v>0</v>
      </c>
      <c r="F346" s="28">
        <f>D346*(($F$338)+1)+E346</f>
        <v>942.28055999999992</v>
      </c>
      <c r="G346" s="122"/>
      <c r="H346" s="123"/>
      <c r="I346" s="52"/>
      <c r="N346" s="52"/>
    </row>
    <row r="347" spans="1:16" s="53" customFormat="1" ht="15.75" customHeight="1" x14ac:dyDescent="0.35">
      <c r="A347" s="116" t="s">
        <v>239</v>
      </c>
      <c r="B347" s="116"/>
      <c r="C347" s="120" t="s">
        <v>193</v>
      </c>
      <c r="D347" s="182"/>
      <c r="E347" s="182"/>
      <c r="F347" s="121"/>
      <c r="G347" s="122"/>
      <c r="H347" s="123"/>
      <c r="I347" s="52"/>
      <c r="N347" s="52"/>
    </row>
    <row r="348" spans="1:16" s="53" customFormat="1" x14ac:dyDescent="0.35">
      <c r="A348" s="116" t="s">
        <v>240</v>
      </c>
      <c r="B348" s="116"/>
      <c r="C348" s="122"/>
      <c r="D348" s="183"/>
      <c r="E348" s="183"/>
      <c r="F348" s="123"/>
      <c r="G348" s="122"/>
      <c r="H348" s="123"/>
      <c r="I348" s="52"/>
      <c r="L348" s="107"/>
      <c r="M348" s="107"/>
    </row>
    <row r="349" spans="1:16" s="53" customFormat="1" x14ac:dyDescent="0.35">
      <c r="A349" s="116" t="s">
        <v>241</v>
      </c>
      <c r="B349" s="116"/>
      <c r="C349" s="173"/>
      <c r="D349" s="184"/>
      <c r="E349" s="184"/>
      <c r="F349" s="174"/>
      <c r="G349" s="173"/>
      <c r="H349" s="174"/>
      <c r="I349" s="52"/>
    </row>
    <row r="350" spans="1:16" s="53" customFormat="1" ht="15.75" customHeight="1" x14ac:dyDescent="0.35">
      <c r="A350" s="125" t="s">
        <v>266</v>
      </c>
      <c r="B350" s="125"/>
      <c r="C350" s="125"/>
      <c r="D350" s="125"/>
      <c r="E350" s="125"/>
      <c r="F350" s="125"/>
      <c r="G350" s="125"/>
      <c r="H350" s="125"/>
      <c r="I350" s="52"/>
      <c r="N350" s="53" t="str">
        <f t="shared" ref="N350:N355" ca="1" si="17">O350&amp;""&amp;",..,"&amp;""&amp;P350</f>
        <v>101,..,101</v>
      </c>
      <c r="O350" s="53">
        <f ca="1">(SUMPRODUCT(MID(0&amp;(LEFT(A351,SUM(LEN(A351)-LEN(SUBSTITUTE(A351,{"0","1","2"},""))))), LARGE(INDEX(ISNUMBER(--MID((LEFT(A351,SUM(LEN(A351)-LEN(SUBSTITUTE(A351,{"0","1","2"},""))))), ROW(INDIRECT("1:"&amp;LEN((LEFT(A351,SUM(LEN(A351)-LEN(SUBSTITUTE(A351,{"0","1","2"},"")))))))), 1)) * ROW(INDIRECT("1:"&amp;LEN((LEFT(A351,SUM(LEN(A351)-LEN(SUBSTITUTE(A351,{"0","1","2"},"")))))))), 0), ROW(INDIRECT("1:"&amp;LEN((LEFT(A351,SUM(LEN(A351)-LEN(SUBSTITUTE(A351,{"0","1","2"},"")))))))))+1, 1) * 10^ROW(INDIRECT("1:"&amp;LEN((LEFT(A351,SUM(LEN(A351)-LEN(SUBSTITUTE(A351,{"0","1","2"},""))))))))/10))*100+1</f>
        <v>101</v>
      </c>
      <c r="P350" s="53">
        <f ca="1">(SUMPRODUCT(MID(0&amp;(--TRIM(RIGHT(SUBSTITUTE(LEFT(A351,_xlfn.AGGREGATE(16,6,FIND({0,1,2,3,4,5,6,7,8,9},A351,ROW(INDIRECT("1:"&amp;LEN(A351)))),1))," ",REPT(" ",LEN(A351))),LEN(A351)))), LARGE(INDEX(ISNUMBER(--MID((--TRIM(RIGHT(SUBSTITUTE(LEFT(A351,_xlfn.AGGREGATE(16,6,FIND({0,1,2,3,4,5,6,7,8,9},A351,ROW(INDIRECT("1:"&amp;LEN(A351)))),1))," ",REPT(" ",LEN(A351))),LEN(A351)))), ROW(INDIRECT("1:"&amp;LEN((--TRIM(RIGHT(SUBSTITUTE(LEFT(A351,_xlfn.AGGREGATE(16,6,FIND({0,1,2,3,4,5,6,7,8,9},A351,ROW(INDIRECT("1:"&amp;LEN(A351)))),1))," ",REPT(" ",LEN(A351))),LEN(A351))))))), 1)) * ROW(INDIRECT("1:"&amp;LEN((--TRIM(RIGHT(SUBSTITUTE(LEFT(A351,_xlfn.AGGREGATE(16,6,FIND({0,1,2,3,4,5,6,7,8,9},A351,ROW(INDIRECT("1:"&amp;LEN(A351)))),1))," ",REPT(" ",LEN(A351))),LEN(A351))))))), 0), ROW(INDIRECT("1:"&amp;LEN((--TRIM(RIGHT(SUBSTITUTE(LEFT(A351,_xlfn.AGGREGATE(16,6,FIND({0,1,2,3,4,5,6,7,8,9},A351,ROW(INDIRECT("1:"&amp;LEN(A351)))),1))," ",REPT(" ",LEN(A351))),LEN(A351))))))))+1, 1) * 10^ROW(INDIRECT("1:"&amp;LEN((--TRIM(RIGHT(SUBSTITUTE(LEFT(A351,_xlfn.AGGREGATE(16,6,FIND({0,1,2,3,4,5,6,7,8,9},A351,ROW(INDIRECT("1:"&amp;LEN(A351)))),1))," ",REPT(" ",LEN(A351))),LEN(A351)))))))/10))*100+1</f>
        <v>101</v>
      </c>
    </row>
    <row r="351" spans="1:16" s="53" customFormat="1" ht="15.75" customHeight="1" x14ac:dyDescent="0.35">
      <c r="A351" s="127" t="s">
        <v>267</v>
      </c>
      <c r="B351" s="128"/>
      <c r="C351" s="128"/>
      <c r="D351" s="128"/>
      <c r="E351" s="128"/>
      <c r="F351" s="128"/>
      <c r="G351" s="128"/>
      <c r="H351" s="129"/>
      <c r="I351" s="52"/>
      <c r="N351" s="53" t="str">
        <f t="shared" ca="1" si="17"/>
        <v>102,..,102</v>
      </c>
      <c r="O351" s="53">
        <f t="shared" ref="O351:P351" ca="1" si="18">O350+1</f>
        <v>102</v>
      </c>
      <c r="P351" s="53">
        <f t="shared" ca="1" si="18"/>
        <v>102</v>
      </c>
    </row>
    <row r="352" spans="1:16" s="53" customFormat="1" ht="15.75" customHeight="1" x14ac:dyDescent="0.35">
      <c r="A352" s="116">
        <v>1</v>
      </c>
      <c r="B352" s="116"/>
      <c r="C352" s="28" t="s">
        <v>133</v>
      </c>
      <c r="D352" s="28">
        <f>79.09*10.764</f>
        <v>851.32475999999997</v>
      </c>
      <c r="E352" s="28">
        <v>0</v>
      </c>
      <c r="F352" s="28">
        <f t="shared" ref="F352:F358" si="19">D352*(($F$338)+1)+E352</f>
        <v>1276.98714</v>
      </c>
      <c r="G352" s="120" t="str">
        <f>A351</f>
        <v>1st Floor for Residential</v>
      </c>
      <c r="H352" s="121"/>
      <c r="I352" s="52"/>
      <c r="N352" s="53" t="str">
        <f t="shared" ca="1" si="17"/>
        <v>103,..,103</v>
      </c>
      <c r="O352" s="53">
        <f t="shared" ref="O352:P352" ca="1" si="20">O351+1</f>
        <v>103</v>
      </c>
      <c r="P352" s="53">
        <f t="shared" ca="1" si="20"/>
        <v>103</v>
      </c>
    </row>
    <row r="353" spans="1:16" s="53" customFormat="1" ht="15.75" customHeight="1" x14ac:dyDescent="0.35">
      <c r="A353" s="116">
        <f>A352+1</f>
        <v>2</v>
      </c>
      <c r="B353" s="116"/>
      <c r="C353" s="28" t="s">
        <v>133</v>
      </c>
      <c r="D353" s="28">
        <f>79.09*10.764</f>
        <v>851.32475999999997</v>
      </c>
      <c r="E353" s="28">
        <v>0</v>
      </c>
      <c r="F353" s="28">
        <f t="shared" si="19"/>
        <v>1276.98714</v>
      </c>
      <c r="G353" s="122"/>
      <c r="H353" s="123"/>
      <c r="I353" s="52"/>
      <c r="N353" s="53" t="str">
        <f t="shared" ca="1" si="17"/>
        <v>104,..,104</v>
      </c>
      <c r="O353" s="53">
        <f t="shared" ref="O353:P353" ca="1" si="21">O352+1</f>
        <v>104</v>
      </c>
      <c r="P353" s="53">
        <f t="shared" ca="1" si="21"/>
        <v>104</v>
      </c>
    </row>
    <row r="354" spans="1:16" s="53" customFormat="1" ht="15.75" customHeight="1" x14ac:dyDescent="0.35">
      <c r="A354" s="116">
        <f t="shared" ref="A354:A358" si="22">A353+1</f>
        <v>3</v>
      </c>
      <c r="B354" s="116"/>
      <c r="C354" s="28" t="s">
        <v>178</v>
      </c>
      <c r="D354" s="28">
        <f>53.22*10.764</f>
        <v>572.86007999999993</v>
      </c>
      <c r="E354" s="28">
        <v>0</v>
      </c>
      <c r="F354" s="28">
        <f t="shared" si="19"/>
        <v>859.29011999999989</v>
      </c>
      <c r="G354" s="122"/>
      <c r="H354" s="123"/>
      <c r="I354" s="52"/>
      <c r="N354" s="53" t="str">
        <f t="shared" ca="1" si="17"/>
        <v>105,..,105</v>
      </c>
      <c r="O354" s="53">
        <f t="shared" ref="O354:P354" ca="1" si="23">O353+1</f>
        <v>105</v>
      </c>
      <c r="P354" s="53">
        <f t="shared" ca="1" si="23"/>
        <v>105</v>
      </c>
    </row>
    <row r="355" spans="1:16" s="53" customFormat="1" ht="15.75" customHeight="1" x14ac:dyDescent="0.35">
      <c r="A355" s="116">
        <f t="shared" si="22"/>
        <v>4</v>
      </c>
      <c r="B355" s="116"/>
      <c r="C355" s="28" t="s">
        <v>178</v>
      </c>
      <c r="D355" s="28">
        <f>58.36*10.764</f>
        <v>628.18703999999991</v>
      </c>
      <c r="E355" s="28">
        <v>0</v>
      </c>
      <c r="F355" s="28">
        <f t="shared" si="19"/>
        <v>942.28055999999992</v>
      </c>
      <c r="G355" s="122"/>
      <c r="H355" s="123"/>
      <c r="I355" s="52"/>
      <c r="N355" s="53" t="str">
        <f t="shared" ca="1" si="17"/>
        <v>106,..,106</v>
      </c>
      <c r="O355" s="53">
        <f ca="1">O354+1</f>
        <v>106</v>
      </c>
      <c r="P355" s="53">
        <f ca="1">P354+1</f>
        <v>106</v>
      </c>
    </row>
    <row r="356" spans="1:16" s="53" customFormat="1" x14ac:dyDescent="0.35">
      <c r="A356" s="116">
        <f t="shared" si="22"/>
        <v>5</v>
      </c>
      <c r="B356" s="116"/>
      <c r="C356" s="28" t="s">
        <v>178</v>
      </c>
      <c r="D356" s="28">
        <f>58.36*10.764</f>
        <v>628.18703999999991</v>
      </c>
      <c r="E356" s="28">
        <v>0</v>
      </c>
      <c r="F356" s="28">
        <f t="shared" si="19"/>
        <v>942.28055999999992</v>
      </c>
      <c r="G356" s="122"/>
      <c r="H356" s="123"/>
      <c r="I356" s="52"/>
    </row>
    <row r="357" spans="1:16" s="53" customFormat="1" x14ac:dyDescent="0.35">
      <c r="A357" s="116">
        <f t="shared" si="22"/>
        <v>6</v>
      </c>
      <c r="B357" s="116"/>
      <c r="C357" s="28" t="s">
        <v>178</v>
      </c>
      <c r="D357" s="28">
        <f>53.46*10.764</f>
        <v>575.44344000000001</v>
      </c>
      <c r="E357" s="28">
        <v>0</v>
      </c>
      <c r="F357" s="28">
        <f t="shared" si="19"/>
        <v>863.16516000000001</v>
      </c>
      <c r="G357" s="122"/>
      <c r="H357" s="123"/>
      <c r="I357" s="52"/>
    </row>
    <row r="358" spans="1:16" s="53" customFormat="1" ht="15.75" customHeight="1" x14ac:dyDescent="0.35">
      <c r="A358" s="116">
        <f t="shared" si="22"/>
        <v>7</v>
      </c>
      <c r="B358" s="116"/>
      <c r="C358" s="28" t="s">
        <v>178</v>
      </c>
      <c r="D358" s="28">
        <f>53.46*10.764</f>
        <v>575.44344000000001</v>
      </c>
      <c r="E358" s="28">
        <v>0</v>
      </c>
      <c r="F358" s="28">
        <f t="shared" si="19"/>
        <v>863.16516000000001</v>
      </c>
      <c r="G358" s="173"/>
      <c r="H358" s="174"/>
      <c r="I358" s="52"/>
      <c r="N358" s="53" t="str">
        <f t="shared" ref="N358:N363" ca="1" si="24">O358&amp;""&amp;",..,"&amp;""&amp;P358</f>
        <v>25701,..,3301</v>
      </c>
      <c r="O358" s="53">
        <f ca="1">(SUMPRODUCT(MID(0&amp;(LEFT(A359,SUM(LEN(A359)-LEN(SUBSTITUTE(A359,{"0","1","2"},""))))), LARGE(INDEX(ISNUMBER(--MID((LEFT(A359,SUM(LEN(A359)-LEN(SUBSTITUTE(A359,{"0","1","2"},""))))), ROW(INDIRECT("1:"&amp;LEN((LEFT(A359,SUM(LEN(A359)-LEN(SUBSTITUTE(A359,{"0","1","2"},"")))))))), 1)) * ROW(INDIRECT("1:"&amp;LEN((LEFT(A359,SUM(LEN(A359)-LEN(SUBSTITUTE(A359,{"0","1","2"},"")))))))), 0), ROW(INDIRECT("1:"&amp;LEN((LEFT(A359,SUM(LEN(A359)-LEN(SUBSTITUTE(A359,{"0","1","2"},"")))))))))+1, 1) * 10^ROW(INDIRECT("1:"&amp;LEN((LEFT(A359,SUM(LEN(A359)-LEN(SUBSTITUTE(A359,{"0","1","2"},""))))))))/10))*100+1</f>
        <v>25701</v>
      </c>
      <c r="P358" s="53">
        <f ca="1">(SUMPRODUCT(MID(0&amp;(--TRIM(RIGHT(SUBSTITUTE(LEFT(A359,_xlfn.AGGREGATE(16,6,FIND({0,1,2,3,4,5,6,7,8,9},A359,ROW(INDIRECT("1:"&amp;LEN(A359)))),1))," ",REPT(" ",LEN(A359))),LEN(A359)))), LARGE(INDEX(ISNUMBER(--MID((--TRIM(RIGHT(SUBSTITUTE(LEFT(A359,_xlfn.AGGREGATE(16,6,FIND({0,1,2,3,4,5,6,7,8,9},A359,ROW(INDIRECT("1:"&amp;LEN(A359)))),1))," ",REPT(" ",LEN(A359))),LEN(A359)))), ROW(INDIRECT("1:"&amp;LEN((--TRIM(RIGHT(SUBSTITUTE(LEFT(A359,_xlfn.AGGREGATE(16,6,FIND({0,1,2,3,4,5,6,7,8,9},A359,ROW(INDIRECT("1:"&amp;LEN(A359)))),1))," ",REPT(" ",LEN(A359))),LEN(A359))))))), 1)) * ROW(INDIRECT("1:"&amp;LEN((--TRIM(RIGHT(SUBSTITUTE(LEFT(A359,_xlfn.AGGREGATE(16,6,FIND({0,1,2,3,4,5,6,7,8,9},A359,ROW(INDIRECT("1:"&amp;LEN(A359)))),1))," ",REPT(" ",LEN(A359))),LEN(A359))))))), 0), ROW(INDIRECT("1:"&amp;LEN((--TRIM(RIGHT(SUBSTITUTE(LEFT(A359,_xlfn.AGGREGATE(16,6,FIND({0,1,2,3,4,5,6,7,8,9},A359,ROW(INDIRECT("1:"&amp;LEN(A359)))),1))," ",REPT(" ",LEN(A359))),LEN(A359))))))))+1, 1) * 10^ROW(INDIRECT("1:"&amp;LEN((--TRIM(RIGHT(SUBSTITUTE(LEFT(A359,_xlfn.AGGREGATE(16,6,FIND({0,1,2,3,4,5,6,7,8,9},A359,ROW(INDIRECT("1:"&amp;LEN(A359)))),1))," ",REPT(" ",LEN(A359))),LEN(A359)))))))/10))*100+1</f>
        <v>3301</v>
      </c>
    </row>
    <row r="359" spans="1:16" s="53" customFormat="1" ht="15.75" customHeight="1" x14ac:dyDescent="0.35">
      <c r="A359" s="127" t="s">
        <v>305</v>
      </c>
      <c r="B359" s="128"/>
      <c r="C359" s="128"/>
      <c r="D359" s="128"/>
      <c r="E359" s="128"/>
      <c r="F359" s="128"/>
      <c r="G359" s="128"/>
      <c r="H359" s="129"/>
      <c r="I359" s="52"/>
      <c r="N359" s="53" t="str">
        <f t="shared" ca="1" si="24"/>
        <v>25702,..,3302</v>
      </c>
      <c r="O359" s="53">
        <f t="shared" ref="O359:P359" ca="1" si="25">O358+1</f>
        <v>25702</v>
      </c>
      <c r="P359" s="53">
        <f t="shared" ca="1" si="25"/>
        <v>3302</v>
      </c>
    </row>
    <row r="360" spans="1:16" s="53" customFormat="1" ht="15.75" customHeight="1" x14ac:dyDescent="0.35">
      <c r="A360" s="116" t="s">
        <v>179</v>
      </c>
      <c r="B360" s="116"/>
      <c r="C360" s="28" t="s">
        <v>133</v>
      </c>
      <c r="D360" s="28">
        <f>79.09*10.764</f>
        <v>851.32475999999997</v>
      </c>
      <c r="E360" s="28">
        <v>0</v>
      </c>
      <c r="F360" s="28">
        <f t="shared" ref="F360:F366" si="26">D360*(($F$338)+1)+E360</f>
        <v>1276.98714</v>
      </c>
      <c r="G360" s="120" t="str">
        <f>A359</f>
        <v>2nd to 5th, 7th to 10th, 12th to 15th, 17th to 20th, 22nd to 25th, 27th to 30th &amp; 32nd to 33rd Floor</v>
      </c>
      <c r="H360" s="121"/>
      <c r="I360" s="52"/>
      <c r="N360" s="53" t="str">
        <f t="shared" ca="1" si="24"/>
        <v>25703,..,3303</v>
      </c>
      <c r="O360" s="53">
        <f t="shared" ref="O360:P360" ca="1" si="27">O359+1</f>
        <v>25703</v>
      </c>
      <c r="P360" s="53">
        <f t="shared" ca="1" si="27"/>
        <v>3303</v>
      </c>
    </row>
    <row r="361" spans="1:16" s="53" customFormat="1" ht="15.75" customHeight="1" x14ac:dyDescent="0.35">
      <c r="A361" s="116" t="s">
        <v>180</v>
      </c>
      <c r="B361" s="116"/>
      <c r="C361" s="28" t="s">
        <v>133</v>
      </c>
      <c r="D361" s="28">
        <f>79.09*10.764</f>
        <v>851.32475999999997</v>
      </c>
      <c r="E361" s="28">
        <v>0</v>
      </c>
      <c r="F361" s="28">
        <f t="shared" si="26"/>
        <v>1276.98714</v>
      </c>
      <c r="G361" s="122"/>
      <c r="H361" s="123"/>
      <c r="I361" s="52"/>
      <c r="N361" s="53" t="str">
        <f t="shared" ca="1" si="24"/>
        <v>25704,..,3304</v>
      </c>
      <c r="O361" s="53">
        <f t="shared" ref="O361:P361" ca="1" si="28">O360+1</f>
        <v>25704</v>
      </c>
      <c r="P361" s="53">
        <f t="shared" ca="1" si="28"/>
        <v>3304</v>
      </c>
    </row>
    <row r="362" spans="1:16" s="53" customFormat="1" ht="15.75" customHeight="1" x14ac:dyDescent="0.35">
      <c r="A362" s="116" t="s">
        <v>181</v>
      </c>
      <c r="B362" s="116"/>
      <c r="C362" s="28" t="s">
        <v>178</v>
      </c>
      <c r="D362" s="28">
        <f>53.22*10.764</f>
        <v>572.86007999999993</v>
      </c>
      <c r="E362" s="28">
        <v>0</v>
      </c>
      <c r="F362" s="28">
        <f t="shared" si="26"/>
        <v>859.29011999999989</v>
      </c>
      <c r="G362" s="122"/>
      <c r="H362" s="123"/>
      <c r="I362" s="52"/>
      <c r="N362" s="53" t="str">
        <f t="shared" ca="1" si="24"/>
        <v>25705,..,3305</v>
      </c>
      <c r="O362" s="53">
        <f t="shared" ref="O362:P362" ca="1" si="29">O361+1</f>
        <v>25705</v>
      </c>
      <c r="P362" s="53">
        <f t="shared" ca="1" si="29"/>
        <v>3305</v>
      </c>
    </row>
    <row r="363" spans="1:16" s="53" customFormat="1" ht="15.75" customHeight="1" x14ac:dyDescent="0.35">
      <c r="A363" s="116" t="s">
        <v>182</v>
      </c>
      <c r="B363" s="116"/>
      <c r="C363" s="28" t="s">
        <v>178</v>
      </c>
      <c r="D363" s="28">
        <f>58.36*10.764</f>
        <v>628.18703999999991</v>
      </c>
      <c r="E363" s="28">
        <v>0</v>
      </c>
      <c r="F363" s="28">
        <f t="shared" si="26"/>
        <v>942.28055999999992</v>
      </c>
      <c r="G363" s="122"/>
      <c r="H363" s="123"/>
      <c r="I363" s="52"/>
      <c r="N363" s="53" t="str">
        <f t="shared" ca="1" si="24"/>
        <v>25706,..,3306</v>
      </c>
      <c r="O363" s="53">
        <f ca="1">O362+1</f>
        <v>25706</v>
      </c>
      <c r="P363" s="53">
        <f ca="1">P362+1</f>
        <v>3306</v>
      </c>
    </row>
    <row r="364" spans="1:16" s="53" customFormat="1" x14ac:dyDescent="0.35">
      <c r="A364" s="116" t="s">
        <v>183</v>
      </c>
      <c r="B364" s="116"/>
      <c r="C364" s="28" t="s">
        <v>178</v>
      </c>
      <c r="D364" s="28">
        <f>58.36*10.764</f>
        <v>628.18703999999991</v>
      </c>
      <c r="E364" s="28">
        <v>0</v>
      </c>
      <c r="F364" s="28">
        <f t="shared" si="26"/>
        <v>942.28055999999992</v>
      </c>
      <c r="G364" s="122"/>
      <c r="H364" s="123"/>
      <c r="I364" s="52"/>
    </row>
    <row r="365" spans="1:16" s="53" customFormat="1" x14ac:dyDescent="0.35">
      <c r="A365" s="116" t="s">
        <v>184</v>
      </c>
      <c r="B365" s="116"/>
      <c r="C365" s="28" t="s">
        <v>178</v>
      </c>
      <c r="D365" s="28">
        <f>53.46*10.764</f>
        <v>575.44344000000001</v>
      </c>
      <c r="E365" s="28">
        <v>0</v>
      </c>
      <c r="F365" s="28">
        <f t="shared" si="26"/>
        <v>863.16516000000001</v>
      </c>
      <c r="G365" s="122"/>
      <c r="H365" s="123"/>
      <c r="I365" s="52"/>
    </row>
    <row r="366" spans="1:16" s="53" customFormat="1" ht="15.75" customHeight="1" x14ac:dyDescent="0.35">
      <c r="A366" s="116" t="s">
        <v>185</v>
      </c>
      <c r="B366" s="116"/>
      <c r="C366" s="28" t="s">
        <v>178</v>
      </c>
      <c r="D366" s="28">
        <f>53.46*10.764</f>
        <v>575.44344000000001</v>
      </c>
      <c r="E366" s="28">
        <v>0</v>
      </c>
      <c r="F366" s="28">
        <f t="shared" si="26"/>
        <v>863.16516000000001</v>
      </c>
      <c r="G366" s="173"/>
      <c r="H366" s="174"/>
      <c r="I366" s="52"/>
      <c r="N366" s="53" t="str">
        <f t="shared" ref="N366:N371" ca="1" si="30">O366&amp;""&amp;",..,"&amp;""&amp;P366</f>
        <v>61101,..,3101</v>
      </c>
      <c r="O366" s="53">
        <f ca="1">(SUMPRODUCT(MID(0&amp;(LEFT(A367,SUM(LEN(A367)-LEN(SUBSTITUTE(A367,{"0","1","2"},""))))), LARGE(INDEX(ISNUMBER(--MID((LEFT(A367,SUM(LEN(A367)-LEN(SUBSTITUTE(A367,{"0","1","2"},""))))), ROW(INDIRECT("1:"&amp;LEN((LEFT(A367,SUM(LEN(A367)-LEN(SUBSTITUTE(A367,{"0","1","2"},"")))))))), 1)) * ROW(INDIRECT("1:"&amp;LEN((LEFT(A367,SUM(LEN(A367)-LEN(SUBSTITUTE(A367,{"0","1","2"},"")))))))), 0), ROW(INDIRECT("1:"&amp;LEN((LEFT(A367,SUM(LEN(A367)-LEN(SUBSTITUTE(A367,{"0","1","2"},"")))))))))+1, 1) * 10^ROW(INDIRECT("1:"&amp;LEN((LEFT(A367,SUM(LEN(A367)-LEN(SUBSTITUTE(A367,{"0","1","2"},""))))))))/10))*100+1</f>
        <v>61101</v>
      </c>
      <c r="P366" s="53">
        <f ca="1">(SUMPRODUCT(MID(0&amp;(--TRIM(RIGHT(SUBSTITUTE(LEFT(A367,_xlfn.AGGREGATE(16,6,FIND({0,1,2,3,4,5,6,7,8,9},A367,ROW(INDIRECT("1:"&amp;LEN(A367)))),1))," ",REPT(" ",LEN(A367))),LEN(A367)))), LARGE(INDEX(ISNUMBER(--MID((--TRIM(RIGHT(SUBSTITUTE(LEFT(A367,_xlfn.AGGREGATE(16,6,FIND({0,1,2,3,4,5,6,7,8,9},A367,ROW(INDIRECT("1:"&amp;LEN(A367)))),1))," ",REPT(" ",LEN(A367))),LEN(A367)))), ROW(INDIRECT("1:"&amp;LEN((--TRIM(RIGHT(SUBSTITUTE(LEFT(A367,_xlfn.AGGREGATE(16,6,FIND({0,1,2,3,4,5,6,7,8,9},A367,ROW(INDIRECT("1:"&amp;LEN(A367)))),1))," ",REPT(" ",LEN(A367))),LEN(A367))))))), 1)) * ROW(INDIRECT("1:"&amp;LEN((--TRIM(RIGHT(SUBSTITUTE(LEFT(A367,_xlfn.AGGREGATE(16,6,FIND({0,1,2,3,4,5,6,7,8,9},A367,ROW(INDIRECT("1:"&amp;LEN(A367)))),1))," ",REPT(" ",LEN(A367))),LEN(A367))))))), 0), ROW(INDIRECT("1:"&amp;LEN((--TRIM(RIGHT(SUBSTITUTE(LEFT(A367,_xlfn.AGGREGATE(16,6,FIND({0,1,2,3,4,5,6,7,8,9},A367,ROW(INDIRECT("1:"&amp;LEN(A367)))),1))," ",REPT(" ",LEN(A367))),LEN(A367))))))))+1, 1) * 10^ROW(INDIRECT("1:"&amp;LEN((--TRIM(RIGHT(SUBSTITUTE(LEFT(A367,_xlfn.AGGREGATE(16,6,FIND({0,1,2,3,4,5,6,7,8,9},A367,ROW(INDIRECT("1:"&amp;LEN(A367)))),1))," ",REPT(" ",LEN(A367))),LEN(A367)))))))/10))*100+1</f>
        <v>3101</v>
      </c>
    </row>
    <row r="367" spans="1:16" s="53" customFormat="1" ht="15.75" customHeight="1" x14ac:dyDescent="0.35">
      <c r="A367" s="127" t="s">
        <v>284</v>
      </c>
      <c r="B367" s="128"/>
      <c r="C367" s="128"/>
      <c r="D367" s="128"/>
      <c r="E367" s="128"/>
      <c r="F367" s="128"/>
      <c r="G367" s="128"/>
      <c r="H367" s="129"/>
      <c r="I367" s="52"/>
      <c r="N367" s="53" t="str">
        <f t="shared" ca="1" si="30"/>
        <v>61102,..,3102</v>
      </c>
      <c r="O367" s="53">
        <f t="shared" ref="O367:P367" ca="1" si="31">O366+1</f>
        <v>61102</v>
      </c>
      <c r="P367" s="53">
        <f t="shared" ca="1" si="31"/>
        <v>3102</v>
      </c>
    </row>
    <row r="368" spans="1:16" s="53" customFormat="1" ht="15.75" customHeight="1" x14ac:dyDescent="0.35">
      <c r="A368" s="116" t="s">
        <v>186</v>
      </c>
      <c r="B368" s="116"/>
      <c r="C368" s="28" t="s">
        <v>133</v>
      </c>
      <c r="D368" s="28">
        <f>79.09*10.764</f>
        <v>851.32475999999997</v>
      </c>
      <c r="E368" s="28">
        <v>0</v>
      </c>
      <c r="F368" s="28">
        <f>D368*(($F$338)+1)+E368</f>
        <v>1276.98714</v>
      </c>
      <c r="G368" s="120" t="str">
        <f>A367</f>
        <v>6th, 11th, 16th, 21st, 26th &amp; 31st Floor (Part Refuge Floor)</v>
      </c>
      <c r="H368" s="121"/>
      <c r="I368" s="52"/>
      <c r="N368" s="53" t="str">
        <f t="shared" ca="1" si="30"/>
        <v>61103,..,3103</v>
      </c>
      <c r="O368" s="53">
        <f t="shared" ref="O368:P368" ca="1" si="32">O367+1</f>
        <v>61103</v>
      </c>
      <c r="P368" s="53">
        <f t="shared" ca="1" si="32"/>
        <v>3103</v>
      </c>
    </row>
    <row r="369" spans="1:16" s="53" customFormat="1" ht="15.75" customHeight="1" x14ac:dyDescent="0.35">
      <c r="A369" s="116" t="s">
        <v>187</v>
      </c>
      <c r="B369" s="116"/>
      <c r="C369" s="28" t="s">
        <v>133</v>
      </c>
      <c r="D369" s="28">
        <f>79.09*10.764</f>
        <v>851.32475999999997</v>
      </c>
      <c r="E369" s="28">
        <v>0</v>
      </c>
      <c r="F369" s="28">
        <f>D369*(($F$338)+1)+E369</f>
        <v>1276.98714</v>
      </c>
      <c r="G369" s="122"/>
      <c r="H369" s="123"/>
      <c r="I369" s="52"/>
      <c r="N369" s="53" t="str">
        <f t="shared" ca="1" si="30"/>
        <v>61104,..,3104</v>
      </c>
      <c r="O369" s="53">
        <f t="shared" ref="O369:P369" ca="1" si="33">O368+1</f>
        <v>61104</v>
      </c>
      <c r="P369" s="53">
        <f t="shared" ca="1" si="33"/>
        <v>3104</v>
      </c>
    </row>
    <row r="370" spans="1:16" s="53" customFormat="1" ht="15.75" customHeight="1" x14ac:dyDescent="0.35">
      <c r="A370" s="116" t="s">
        <v>188</v>
      </c>
      <c r="B370" s="116"/>
      <c r="C370" s="28" t="s">
        <v>178</v>
      </c>
      <c r="D370" s="28">
        <f>53.22*10.764</f>
        <v>572.86007999999993</v>
      </c>
      <c r="E370" s="28">
        <v>0</v>
      </c>
      <c r="F370" s="28">
        <f>D370*(($F$338)+1)+E370</f>
        <v>859.29011999999989</v>
      </c>
      <c r="G370" s="122"/>
      <c r="H370" s="123"/>
      <c r="I370" s="52"/>
      <c r="N370" s="53" t="str">
        <f t="shared" ca="1" si="30"/>
        <v>61105,..,3105</v>
      </c>
      <c r="O370" s="53">
        <f t="shared" ref="O370:P370" ca="1" si="34">O369+1</f>
        <v>61105</v>
      </c>
      <c r="P370" s="53">
        <f t="shared" ca="1" si="34"/>
        <v>3105</v>
      </c>
    </row>
    <row r="371" spans="1:16" s="53" customFormat="1" ht="15.75" customHeight="1" x14ac:dyDescent="0.35">
      <c r="A371" s="116" t="s">
        <v>189</v>
      </c>
      <c r="B371" s="116"/>
      <c r="C371" s="28" t="s">
        <v>178</v>
      </c>
      <c r="D371" s="28">
        <f>58.36*10.764</f>
        <v>628.18703999999991</v>
      </c>
      <c r="E371" s="28">
        <v>0</v>
      </c>
      <c r="F371" s="28">
        <f>D371*(($F$338)+1)+E371</f>
        <v>942.28055999999992</v>
      </c>
      <c r="G371" s="122"/>
      <c r="H371" s="123"/>
      <c r="I371" s="52"/>
      <c r="N371" s="53" t="str">
        <f t="shared" ca="1" si="30"/>
        <v>61106,..,3106</v>
      </c>
      <c r="O371" s="53">
        <f ca="1">O370+1</f>
        <v>61106</v>
      </c>
      <c r="P371" s="53">
        <f ca="1">P370+1</f>
        <v>3106</v>
      </c>
    </row>
    <row r="372" spans="1:16" s="53" customFormat="1" x14ac:dyDescent="0.35">
      <c r="A372" s="116" t="s">
        <v>190</v>
      </c>
      <c r="B372" s="116"/>
      <c r="C372" s="28" t="s">
        <v>178</v>
      </c>
      <c r="D372" s="28">
        <f>58.36*10.764</f>
        <v>628.18703999999991</v>
      </c>
      <c r="E372" s="28">
        <v>0</v>
      </c>
      <c r="F372" s="28">
        <f>D372*(($F$338)+1)+E372</f>
        <v>942.28055999999992</v>
      </c>
      <c r="G372" s="122"/>
      <c r="H372" s="123"/>
      <c r="I372" s="52"/>
    </row>
    <row r="373" spans="1:16" s="53" customFormat="1" x14ac:dyDescent="0.35">
      <c r="A373" s="116" t="s">
        <v>191</v>
      </c>
      <c r="B373" s="116"/>
      <c r="C373" s="117" t="s">
        <v>201</v>
      </c>
      <c r="D373" s="118"/>
      <c r="E373" s="118"/>
      <c r="F373" s="119"/>
      <c r="G373" s="122"/>
      <c r="H373" s="123"/>
      <c r="I373" s="52"/>
    </row>
    <row r="374" spans="1:16" s="53" customFormat="1" x14ac:dyDescent="0.35">
      <c r="A374" s="116" t="s">
        <v>192</v>
      </c>
      <c r="B374" s="116"/>
      <c r="C374" s="28" t="s">
        <v>178</v>
      </c>
      <c r="D374" s="28">
        <f>53.46*10.764</f>
        <v>575.44344000000001</v>
      </c>
      <c r="E374" s="28">
        <v>0</v>
      </c>
      <c r="F374" s="28">
        <f>D374*(($F$338)+1)+E374</f>
        <v>863.16516000000001</v>
      </c>
      <c r="G374" s="173"/>
      <c r="H374" s="174"/>
      <c r="I374" s="52"/>
    </row>
    <row r="375" spans="1:16" s="53" customFormat="1" x14ac:dyDescent="0.35">
      <c r="A375" s="124" t="s">
        <v>176</v>
      </c>
      <c r="B375" s="124"/>
      <c r="C375" s="124"/>
      <c r="D375" s="124"/>
      <c r="E375" s="124"/>
      <c r="F375" s="124"/>
      <c r="G375" s="124"/>
      <c r="H375" s="124"/>
      <c r="I375" s="52"/>
    </row>
    <row r="376" spans="1:16" s="53" customFormat="1" x14ac:dyDescent="0.35">
      <c r="A376" s="125" t="s">
        <v>175</v>
      </c>
      <c r="B376" s="125"/>
      <c r="C376" s="125"/>
      <c r="D376" s="125"/>
      <c r="E376" s="125"/>
      <c r="F376" s="125"/>
      <c r="G376" s="125"/>
      <c r="H376" s="125"/>
      <c r="I376" s="52"/>
      <c r="L376" s="107"/>
      <c r="M376" s="107"/>
    </row>
    <row r="377" spans="1:16" s="53" customFormat="1" ht="15.75" customHeight="1" x14ac:dyDescent="0.35">
      <c r="A377" s="125" t="s">
        <v>234</v>
      </c>
      <c r="B377" s="125"/>
      <c r="C377" s="125"/>
      <c r="D377" s="125"/>
      <c r="E377" s="125"/>
      <c r="F377" s="125"/>
      <c r="G377" s="125"/>
      <c r="H377" s="125"/>
      <c r="I377" s="52"/>
      <c r="N377" s="52"/>
    </row>
    <row r="378" spans="1:16" s="53" customFormat="1" ht="15.75" customHeight="1" x14ac:dyDescent="0.35">
      <c r="A378" s="125" t="s">
        <v>177</v>
      </c>
      <c r="B378" s="125"/>
      <c r="C378" s="125"/>
      <c r="D378" s="125"/>
      <c r="E378" s="125"/>
      <c r="F378" s="125"/>
      <c r="G378" s="125"/>
      <c r="H378" s="125"/>
      <c r="I378" s="52"/>
      <c r="N378" s="52"/>
    </row>
    <row r="379" spans="1:16" s="53" customFormat="1" ht="15.75" customHeight="1" x14ac:dyDescent="0.35">
      <c r="A379" s="116" t="s">
        <v>235</v>
      </c>
      <c r="B379" s="116"/>
      <c r="C379" s="117" t="s">
        <v>193</v>
      </c>
      <c r="D379" s="118"/>
      <c r="E379" s="118"/>
      <c r="F379" s="119"/>
      <c r="G379" s="120" t="str">
        <f>A378</f>
        <v>1st Podium Floor for Part Residential &amp; Part Parking</v>
      </c>
      <c r="H379" s="121"/>
      <c r="I379" s="52"/>
      <c r="N379" s="52"/>
    </row>
    <row r="380" spans="1:16" s="53" customFormat="1" ht="15.75" customHeight="1" x14ac:dyDescent="0.35">
      <c r="A380" s="116" t="s">
        <v>236</v>
      </c>
      <c r="B380" s="116"/>
      <c r="C380" s="28" t="s">
        <v>178</v>
      </c>
      <c r="D380" s="28">
        <f>58.36*10.764</f>
        <v>628.18703999999991</v>
      </c>
      <c r="E380" s="28">
        <v>0</v>
      </c>
      <c r="F380" s="28">
        <f>D380*(($F$338)+1)+E380</f>
        <v>942.28055999999992</v>
      </c>
      <c r="G380" s="122"/>
      <c r="H380" s="123"/>
      <c r="I380" s="52"/>
      <c r="N380" s="52"/>
    </row>
    <row r="381" spans="1:16" s="53" customFormat="1" ht="15.75" customHeight="1" x14ac:dyDescent="0.35">
      <c r="A381" s="116" t="s">
        <v>237</v>
      </c>
      <c r="B381" s="116"/>
      <c r="C381" s="28" t="s">
        <v>178</v>
      </c>
      <c r="D381" s="28">
        <f>53.22*10.764</f>
        <v>572.86007999999993</v>
      </c>
      <c r="E381" s="28">
        <v>0</v>
      </c>
      <c r="F381" s="28">
        <f>D381*(($F$338)+1)+E381</f>
        <v>859.29011999999989</v>
      </c>
      <c r="G381" s="122"/>
      <c r="H381" s="123"/>
      <c r="I381" s="52"/>
      <c r="N381" s="52"/>
    </row>
    <row r="382" spans="1:16" s="53" customFormat="1" ht="15.75" customHeight="1" x14ac:dyDescent="0.35">
      <c r="A382" s="116" t="s">
        <v>238</v>
      </c>
      <c r="B382" s="116"/>
      <c r="C382" s="120" t="s">
        <v>193</v>
      </c>
      <c r="D382" s="182"/>
      <c r="E382" s="182"/>
      <c r="F382" s="121"/>
      <c r="G382" s="122"/>
      <c r="H382" s="123"/>
      <c r="I382" s="52"/>
      <c r="N382" s="52"/>
    </row>
    <row r="383" spans="1:16" s="53" customFormat="1" ht="15.75" customHeight="1" x14ac:dyDescent="0.35">
      <c r="A383" s="116" t="s">
        <v>239</v>
      </c>
      <c r="B383" s="116"/>
      <c r="C383" s="122"/>
      <c r="D383" s="183"/>
      <c r="E383" s="183"/>
      <c r="F383" s="123"/>
      <c r="G383" s="122"/>
      <c r="H383" s="123"/>
      <c r="I383" s="52"/>
      <c r="N383" s="52"/>
    </row>
    <row r="384" spans="1:16" s="53" customFormat="1" x14ac:dyDescent="0.35">
      <c r="A384" s="116" t="s">
        <v>240</v>
      </c>
      <c r="B384" s="116"/>
      <c r="C384" s="122"/>
      <c r="D384" s="183"/>
      <c r="E384" s="183"/>
      <c r="F384" s="123"/>
      <c r="G384" s="122"/>
      <c r="H384" s="123"/>
      <c r="I384" s="52"/>
      <c r="L384" s="107"/>
      <c r="M384" s="107"/>
    </row>
    <row r="385" spans="1:16" s="53" customFormat="1" x14ac:dyDescent="0.35">
      <c r="A385" s="116" t="s">
        <v>241</v>
      </c>
      <c r="B385" s="116"/>
      <c r="C385" s="173"/>
      <c r="D385" s="184"/>
      <c r="E385" s="184"/>
      <c r="F385" s="174"/>
      <c r="G385" s="173"/>
      <c r="H385" s="174"/>
      <c r="I385" s="52"/>
    </row>
    <row r="386" spans="1:16" s="53" customFormat="1" ht="15.75" customHeight="1" x14ac:dyDescent="0.35">
      <c r="A386" s="125" t="s">
        <v>266</v>
      </c>
      <c r="B386" s="125"/>
      <c r="C386" s="125"/>
      <c r="D386" s="125"/>
      <c r="E386" s="125"/>
      <c r="F386" s="125"/>
      <c r="G386" s="125"/>
      <c r="H386" s="125"/>
      <c r="I386" s="52"/>
      <c r="N386" s="53" t="str">
        <f t="shared" ref="N386:N391" ca="1" si="35">O386&amp;""&amp;",..,"&amp;""&amp;P386</f>
        <v>101,..,101</v>
      </c>
      <c r="O386" s="53">
        <f ca="1">(SUMPRODUCT(MID(0&amp;(LEFT(A387,SUM(LEN(A387)-LEN(SUBSTITUTE(A387,{"0","1","2"},""))))), LARGE(INDEX(ISNUMBER(--MID((LEFT(A387,SUM(LEN(A387)-LEN(SUBSTITUTE(A387,{"0","1","2"},""))))), ROW(INDIRECT("1:"&amp;LEN((LEFT(A387,SUM(LEN(A387)-LEN(SUBSTITUTE(A387,{"0","1","2"},"")))))))), 1)) * ROW(INDIRECT("1:"&amp;LEN((LEFT(A387,SUM(LEN(A387)-LEN(SUBSTITUTE(A387,{"0","1","2"},"")))))))), 0), ROW(INDIRECT("1:"&amp;LEN((LEFT(A387,SUM(LEN(A387)-LEN(SUBSTITUTE(A387,{"0","1","2"},"")))))))))+1, 1) * 10^ROW(INDIRECT("1:"&amp;LEN((LEFT(A387,SUM(LEN(A387)-LEN(SUBSTITUTE(A387,{"0","1","2"},""))))))))/10))*100+1</f>
        <v>101</v>
      </c>
      <c r="P386" s="53">
        <f ca="1">(SUMPRODUCT(MID(0&amp;(--TRIM(RIGHT(SUBSTITUTE(LEFT(A387,_xlfn.AGGREGATE(16,6,FIND({0,1,2,3,4,5,6,7,8,9},A387,ROW(INDIRECT("1:"&amp;LEN(A387)))),1))," ",REPT(" ",LEN(A387))),LEN(A387)))), LARGE(INDEX(ISNUMBER(--MID((--TRIM(RIGHT(SUBSTITUTE(LEFT(A387,_xlfn.AGGREGATE(16,6,FIND({0,1,2,3,4,5,6,7,8,9},A387,ROW(INDIRECT("1:"&amp;LEN(A387)))),1))," ",REPT(" ",LEN(A387))),LEN(A387)))), ROW(INDIRECT("1:"&amp;LEN((--TRIM(RIGHT(SUBSTITUTE(LEFT(A387,_xlfn.AGGREGATE(16,6,FIND({0,1,2,3,4,5,6,7,8,9},A387,ROW(INDIRECT("1:"&amp;LEN(A387)))),1))," ",REPT(" ",LEN(A387))),LEN(A387))))))), 1)) * ROW(INDIRECT("1:"&amp;LEN((--TRIM(RIGHT(SUBSTITUTE(LEFT(A387,_xlfn.AGGREGATE(16,6,FIND({0,1,2,3,4,5,6,7,8,9},A387,ROW(INDIRECT("1:"&amp;LEN(A387)))),1))," ",REPT(" ",LEN(A387))),LEN(A387))))))), 0), ROW(INDIRECT("1:"&amp;LEN((--TRIM(RIGHT(SUBSTITUTE(LEFT(A387,_xlfn.AGGREGATE(16,6,FIND({0,1,2,3,4,5,6,7,8,9},A387,ROW(INDIRECT("1:"&amp;LEN(A387)))),1))," ",REPT(" ",LEN(A387))),LEN(A387))))))))+1, 1) * 10^ROW(INDIRECT("1:"&amp;LEN((--TRIM(RIGHT(SUBSTITUTE(LEFT(A387,_xlfn.AGGREGATE(16,6,FIND({0,1,2,3,4,5,6,7,8,9},A387,ROW(INDIRECT("1:"&amp;LEN(A387)))),1))," ",REPT(" ",LEN(A387))),LEN(A387)))))))/10))*100+1</f>
        <v>101</v>
      </c>
    </row>
    <row r="387" spans="1:16" s="53" customFormat="1" ht="15.75" customHeight="1" x14ac:dyDescent="0.35">
      <c r="A387" s="127" t="s">
        <v>267</v>
      </c>
      <c r="B387" s="128"/>
      <c r="C387" s="128"/>
      <c r="D387" s="128"/>
      <c r="E387" s="128"/>
      <c r="F387" s="128"/>
      <c r="G387" s="128"/>
      <c r="H387" s="129"/>
      <c r="I387" s="52">
        <f>10500000/F389</f>
        <v>11143.177993611585</v>
      </c>
      <c r="N387" s="53" t="str">
        <f t="shared" ca="1" si="35"/>
        <v>102,..,102</v>
      </c>
      <c r="O387" s="53">
        <f t="shared" ref="O387:P387" ca="1" si="36">O386+1</f>
        <v>102</v>
      </c>
      <c r="P387" s="53">
        <f t="shared" ca="1" si="36"/>
        <v>102</v>
      </c>
    </row>
    <row r="388" spans="1:16" s="53" customFormat="1" ht="15.75" customHeight="1" x14ac:dyDescent="0.35">
      <c r="A388" s="116" t="s">
        <v>194</v>
      </c>
      <c r="B388" s="116"/>
      <c r="C388" s="28" t="s">
        <v>178</v>
      </c>
      <c r="D388" s="28">
        <f t="shared" ref="D388:D389" si="37">58.36*10.764</f>
        <v>628.18703999999991</v>
      </c>
      <c r="E388" s="28">
        <v>0</v>
      </c>
      <c r="F388" s="28">
        <f t="shared" ref="F388:F394" si="38">D388*(($F$338)+1)+E388</f>
        <v>942.28055999999992</v>
      </c>
      <c r="G388" s="120" t="str">
        <f>A387</f>
        <v>1st Floor for Residential</v>
      </c>
      <c r="H388" s="121"/>
      <c r="I388" s="52">
        <f>9800000/F390</f>
        <v>11404.762805837918</v>
      </c>
      <c r="N388" s="53" t="str">
        <f t="shared" ca="1" si="35"/>
        <v>103,..,103</v>
      </c>
      <c r="O388" s="53">
        <f t="shared" ref="O388:P388" ca="1" si="39">O387+1</f>
        <v>103</v>
      </c>
      <c r="P388" s="53">
        <f t="shared" ca="1" si="39"/>
        <v>103</v>
      </c>
    </row>
    <row r="389" spans="1:16" s="53" customFormat="1" ht="15.75" customHeight="1" x14ac:dyDescent="0.35">
      <c r="A389" s="116" t="s">
        <v>195</v>
      </c>
      <c r="B389" s="116"/>
      <c r="C389" s="28" t="s">
        <v>178</v>
      </c>
      <c r="D389" s="28">
        <f t="shared" si="37"/>
        <v>628.18703999999991</v>
      </c>
      <c r="E389" s="28">
        <v>0</v>
      </c>
      <c r="F389" s="28">
        <f t="shared" si="38"/>
        <v>942.28055999999992</v>
      </c>
      <c r="G389" s="122"/>
      <c r="H389" s="123"/>
      <c r="I389" s="52">
        <f>14000000/F391</f>
        <v>10963.305393976012</v>
      </c>
      <c r="N389" s="53" t="str">
        <f t="shared" ca="1" si="35"/>
        <v>104,..,104</v>
      </c>
      <c r="O389" s="53">
        <f t="shared" ref="O389:P389" ca="1" si="40">O388+1</f>
        <v>104</v>
      </c>
      <c r="P389" s="53">
        <f t="shared" ca="1" si="40"/>
        <v>104</v>
      </c>
    </row>
    <row r="390" spans="1:16" s="53" customFormat="1" ht="15.75" customHeight="1" x14ac:dyDescent="0.35">
      <c r="A390" s="116" t="s">
        <v>196</v>
      </c>
      <c r="B390" s="116"/>
      <c r="C390" s="28" t="s">
        <v>178</v>
      </c>
      <c r="D390" s="28">
        <f>53.22*10.764</f>
        <v>572.86007999999993</v>
      </c>
      <c r="E390" s="28">
        <v>0</v>
      </c>
      <c r="F390" s="28">
        <f t="shared" si="38"/>
        <v>859.29011999999989</v>
      </c>
      <c r="G390" s="122"/>
      <c r="H390" s="123"/>
      <c r="I390" s="52"/>
      <c r="N390" s="53" t="str">
        <f t="shared" ca="1" si="35"/>
        <v>105,..,105</v>
      </c>
      <c r="O390" s="53">
        <f t="shared" ref="O390:P390" ca="1" si="41">O389+1</f>
        <v>105</v>
      </c>
      <c r="P390" s="53">
        <f t="shared" ca="1" si="41"/>
        <v>105</v>
      </c>
    </row>
    <row r="391" spans="1:16" s="53" customFormat="1" ht="15.75" customHeight="1" x14ac:dyDescent="0.35">
      <c r="A391" s="116" t="s">
        <v>197</v>
      </c>
      <c r="B391" s="116"/>
      <c r="C391" s="28" t="s">
        <v>133</v>
      </c>
      <c r="D391" s="28">
        <f t="shared" ref="D391:D392" si="42">79.09*10.764</f>
        <v>851.32475999999997</v>
      </c>
      <c r="E391" s="28">
        <v>0</v>
      </c>
      <c r="F391" s="28">
        <f t="shared" si="38"/>
        <v>1276.98714</v>
      </c>
      <c r="G391" s="122"/>
      <c r="H391" s="123"/>
      <c r="I391" s="52"/>
      <c r="N391" s="53" t="str">
        <f t="shared" ca="1" si="35"/>
        <v>106,..,106</v>
      </c>
      <c r="O391" s="53">
        <f ca="1">O390+1</f>
        <v>106</v>
      </c>
      <c r="P391" s="53">
        <f ca="1">P390+1</f>
        <v>106</v>
      </c>
    </row>
    <row r="392" spans="1:16" s="53" customFormat="1" x14ac:dyDescent="0.35">
      <c r="A392" s="116" t="s">
        <v>198</v>
      </c>
      <c r="B392" s="116"/>
      <c r="C392" s="28" t="s">
        <v>133</v>
      </c>
      <c r="D392" s="28">
        <f t="shared" si="42"/>
        <v>851.32475999999997</v>
      </c>
      <c r="E392" s="28">
        <v>0</v>
      </c>
      <c r="F392" s="28">
        <f t="shared" si="38"/>
        <v>1276.98714</v>
      </c>
      <c r="G392" s="122"/>
      <c r="H392" s="123"/>
      <c r="I392" s="52"/>
    </row>
    <row r="393" spans="1:16" s="53" customFormat="1" x14ac:dyDescent="0.35">
      <c r="A393" s="116" t="s">
        <v>199</v>
      </c>
      <c r="B393" s="116"/>
      <c r="C393" s="28" t="s">
        <v>178</v>
      </c>
      <c r="D393" s="28">
        <f>53.46*10.764</f>
        <v>575.44344000000001</v>
      </c>
      <c r="E393" s="28">
        <v>0</v>
      </c>
      <c r="F393" s="28">
        <f t="shared" si="38"/>
        <v>863.16516000000001</v>
      </c>
      <c r="G393" s="122"/>
      <c r="H393" s="123"/>
      <c r="I393" s="52"/>
    </row>
    <row r="394" spans="1:16" s="53" customFormat="1" ht="15.75" customHeight="1" x14ac:dyDescent="0.35">
      <c r="A394" s="116" t="s">
        <v>200</v>
      </c>
      <c r="B394" s="116"/>
      <c r="C394" s="28" t="s">
        <v>178</v>
      </c>
      <c r="D394" s="28">
        <f>53.46*10.764</f>
        <v>575.44344000000001</v>
      </c>
      <c r="E394" s="28">
        <v>0</v>
      </c>
      <c r="F394" s="28">
        <f t="shared" si="38"/>
        <v>863.16516000000001</v>
      </c>
      <c r="G394" s="173"/>
      <c r="H394" s="174"/>
      <c r="I394" s="52"/>
      <c r="N394" s="53" t="str">
        <f t="shared" ref="N394:N399" ca="1" si="43">O394&amp;""&amp;",..,"&amp;""&amp;P394</f>
        <v>25701,..,3001</v>
      </c>
      <c r="O394" s="53">
        <f ca="1">(SUMPRODUCT(MID(0&amp;(LEFT(A395,SUM(LEN(A395)-LEN(SUBSTITUTE(A395,{"0","1","2"},""))))), LARGE(INDEX(ISNUMBER(--MID((LEFT(A395,SUM(LEN(A395)-LEN(SUBSTITUTE(A395,{"0","1","2"},""))))), ROW(INDIRECT("1:"&amp;LEN((LEFT(A395,SUM(LEN(A395)-LEN(SUBSTITUTE(A395,{"0","1","2"},"")))))))), 1)) * ROW(INDIRECT("1:"&amp;LEN((LEFT(A395,SUM(LEN(A395)-LEN(SUBSTITUTE(A395,{"0","1","2"},"")))))))), 0), ROW(INDIRECT("1:"&amp;LEN((LEFT(A395,SUM(LEN(A395)-LEN(SUBSTITUTE(A395,{"0","1","2"},"")))))))))+1, 1) * 10^ROW(INDIRECT("1:"&amp;LEN((LEFT(A395,SUM(LEN(A395)-LEN(SUBSTITUTE(A395,{"0","1","2"},""))))))))/10))*100+1</f>
        <v>25701</v>
      </c>
      <c r="P394" s="53">
        <f ca="1">(SUMPRODUCT(MID(0&amp;(--TRIM(RIGHT(SUBSTITUTE(LEFT(A395,_xlfn.AGGREGATE(16,6,FIND({0,1,2,3,4,5,6,7,8,9},A395,ROW(INDIRECT("1:"&amp;LEN(A395)))),1))," ",REPT(" ",LEN(A395))),LEN(A395)))), LARGE(INDEX(ISNUMBER(--MID((--TRIM(RIGHT(SUBSTITUTE(LEFT(A395,_xlfn.AGGREGATE(16,6,FIND({0,1,2,3,4,5,6,7,8,9},A395,ROW(INDIRECT("1:"&amp;LEN(A395)))),1))," ",REPT(" ",LEN(A395))),LEN(A395)))), ROW(INDIRECT("1:"&amp;LEN((--TRIM(RIGHT(SUBSTITUTE(LEFT(A395,_xlfn.AGGREGATE(16,6,FIND({0,1,2,3,4,5,6,7,8,9},A395,ROW(INDIRECT("1:"&amp;LEN(A395)))),1))," ",REPT(" ",LEN(A395))),LEN(A395))))))), 1)) * ROW(INDIRECT("1:"&amp;LEN((--TRIM(RIGHT(SUBSTITUTE(LEFT(A395,_xlfn.AGGREGATE(16,6,FIND({0,1,2,3,4,5,6,7,8,9},A395,ROW(INDIRECT("1:"&amp;LEN(A395)))),1))," ",REPT(" ",LEN(A395))),LEN(A395))))))), 0), ROW(INDIRECT("1:"&amp;LEN((--TRIM(RIGHT(SUBSTITUTE(LEFT(A395,_xlfn.AGGREGATE(16,6,FIND({0,1,2,3,4,5,6,7,8,9},A395,ROW(INDIRECT("1:"&amp;LEN(A395)))),1))," ",REPT(" ",LEN(A395))),LEN(A395))))))))+1, 1) * 10^ROW(INDIRECT("1:"&amp;LEN((--TRIM(RIGHT(SUBSTITUTE(LEFT(A395,_xlfn.AGGREGATE(16,6,FIND({0,1,2,3,4,5,6,7,8,9},A395,ROW(INDIRECT("1:"&amp;LEN(A395)))),1))," ",REPT(" ",LEN(A395))),LEN(A395)))))))/10))*100+1</f>
        <v>3001</v>
      </c>
    </row>
    <row r="395" spans="1:16" s="53" customFormat="1" ht="15.75" customHeight="1" x14ac:dyDescent="0.35">
      <c r="A395" s="127" t="s">
        <v>268</v>
      </c>
      <c r="B395" s="128"/>
      <c r="C395" s="128"/>
      <c r="D395" s="128"/>
      <c r="E395" s="128"/>
      <c r="F395" s="128"/>
      <c r="G395" s="128"/>
      <c r="H395" s="129"/>
      <c r="I395" s="52">
        <f>10500000/F397</f>
        <v>11143.177993611585</v>
      </c>
      <c r="N395" s="53" t="str">
        <f t="shared" ca="1" si="43"/>
        <v>25702,..,3002</v>
      </c>
      <c r="O395" s="53">
        <f t="shared" ref="O395:P395" ca="1" si="44">O394+1</f>
        <v>25702</v>
      </c>
      <c r="P395" s="53">
        <f t="shared" ca="1" si="44"/>
        <v>3002</v>
      </c>
    </row>
    <row r="396" spans="1:16" s="53" customFormat="1" ht="15.75" customHeight="1" x14ac:dyDescent="0.35">
      <c r="A396" s="116" t="s">
        <v>307</v>
      </c>
      <c r="B396" s="116"/>
      <c r="C396" s="28" t="s">
        <v>178</v>
      </c>
      <c r="D396" s="28">
        <f t="shared" ref="D396:D397" si="45">58.36*10.764</f>
        <v>628.18703999999991</v>
      </c>
      <c r="E396" s="28">
        <v>0</v>
      </c>
      <c r="F396" s="28">
        <f t="shared" ref="F396:F402" si="46">D396*(($F$338)+1)+E396</f>
        <v>942.28055999999992</v>
      </c>
      <c r="G396" s="120" t="str">
        <f>A395</f>
        <v>2nd to 5th, 7th to 10th, 12th to 15th, 17th to 20th, 22nd to 25th, 27th to 30th Floor</v>
      </c>
      <c r="H396" s="121"/>
      <c r="I396" s="52">
        <f>9800000/F398</f>
        <v>11404.762805837918</v>
      </c>
      <c r="N396" s="53" t="str">
        <f t="shared" ca="1" si="43"/>
        <v>25703,..,3003</v>
      </c>
      <c r="O396" s="53">
        <f t="shared" ref="O396:P396" ca="1" si="47">O395+1</f>
        <v>25703</v>
      </c>
      <c r="P396" s="53">
        <f t="shared" ca="1" si="47"/>
        <v>3003</v>
      </c>
    </row>
    <row r="397" spans="1:16" s="53" customFormat="1" ht="15.75" customHeight="1" x14ac:dyDescent="0.35">
      <c r="A397" s="116" t="s">
        <v>308</v>
      </c>
      <c r="B397" s="116"/>
      <c r="C397" s="28" t="s">
        <v>178</v>
      </c>
      <c r="D397" s="28">
        <f t="shared" si="45"/>
        <v>628.18703999999991</v>
      </c>
      <c r="E397" s="28">
        <v>0</v>
      </c>
      <c r="F397" s="28">
        <f t="shared" si="46"/>
        <v>942.28055999999992</v>
      </c>
      <c r="G397" s="122"/>
      <c r="H397" s="123"/>
      <c r="I397" s="52">
        <f>14000000/F399</f>
        <v>10963.305393976012</v>
      </c>
      <c r="N397" s="53" t="str">
        <f t="shared" ca="1" si="43"/>
        <v>25704,..,3004</v>
      </c>
      <c r="O397" s="53">
        <f t="shared" ref="O397:P397" ca="1" si="48">O396+1</f>
        <v>25704</v>
      </c>
      <c r="P397" s="53">
        <f t="shared" ca="1" si="48"/>
        <v>3004</v>
      </c>
    </row>
    <row r="398" spans="1:16" s="53" customFormat="1" ht="15.75" customHeight="1" x14ac:dyDescent="0.35">
      <c r="A398" s="116" t="s">
        <v>309</v>
      </c>
      <c r="B398" s="116"/>
      <c r="C398" s="28" t="s">
        <v>178</v>
      </c>
      <c r="D398" s="28">
        <f>53.22*10.764</f>
        <v>572.86007999999993</v>
      </c>
      <c r="E398" s="28">
        <v>0</v>
      </c>
      <c r="F398" s="28">
        <f t="shared" si="46"/>
        <v>859.29011999999989</v>
      </c>
      <c r="G398" s="122"/>
      <c r="H398" s="123"/>
      <c r="I398" s="52"/>
      <c r="N398" s="53" t="str">
        <f t="shared" ca="1" si="43"/>
        <v>25705,..,3005</v>
      </c>
      <c r="O398" s="53">
        <f t="shared" ref="O398:P398" ca="1" si="49">O397+1</f>
        <v>25705</v>
      </c>
      <c r="P398" s="53">
        <f t="shared" ca="1" si="49"/>
        <v>3005</v>
      </c>
    </row>
    <row r="399" spans="1:16" s="53" customFormat="1" ht="15.75" customHeight="1" x14ac:dyDescent="0.35">
      <c r="A399" s="116" t="s">
        <v>310</v>
      </c>
      <c r="B399" s="116"/>
      <c r="C399" s="28" t="s">
        <v>133</v>
      </c>
      <c r="D399" s="28">
        <f t="shared" ref="D399:D400" si="50">79.09*10.764</f>
        <v>851.32475999999997</v>
      </c>
      <c r="E399" s="28">
        <v>0</v>
      </c>
      <c r="F399" s="28">
        <f t="shared" si="46"/>
        <v>1276.98714</v>
      </c>
      <c r="G399" s="122"/>
      <c r="H399" s="123"/>
      <c r="I399" s="52"/>
      <c r="N399" s="53" t="str">
        <f t="shared" ca="1" si="43"/>
        <v>25706,..,3006</v>
      </c>
      <c r="O399" s="53">
        <f ca="1">O398+1</f>
        <v>25706</v>
      </c>
      <c r="P399" s="53">
        <f ca="1">P398+1</f>
        <v>3006</v>
      </c>
    </row>
    <row r="400" spans="1:16" s="53" customFormat="1" x14ac:dyDescent="0.35">
      <c r="A400" s="116" t="s">
        <v>311</v>
      </c>
      <c r="B400" s="116"/>
      <c r="C400" s="28" t="s">
        <v>133</v>
      </c>
      <c r="D400" s="28">
        <f t="shared" si="50"/>
        <v>851.32475999999997</v>
      </c>
      <c r="E400" s="28">
        <v>0</v>
      </c>
      <c r="F400" s="28">
        <f t="shared" si="46"/>
        <v>1276.98714</v>
      </c>
      <c r="G400" s="122"/>
      <c r="H400" s="123"/>
      <c r="I400" s="52"/>
    </row>
    <row r="401" spans="1:16" s="53" customFormat="1" x14ac:dyDescent="0.35">
      <c r="A401" s="116" t="s">
        <v>312</v>
      </c>
      <c r="B401" s="116"/>
      <c r="C401" s="28" t="s">
        <v>178</v>
      </c>
      <c r="D401" s="28">
        <f>53.46*10.764</f>
        <v>575.44344000000001</v>
      </c>
      <c r="E401" s="28">
        <v>0</v>
      </c>
      <c r="F401" s="28">
        <f t="shared" si="46"/>
        <v>863.16516000000001</v>
      </c>
      <c r="G401" s="122"/>
      <c r="H401" s="123"/>
      <c r="I401" s="52"/>
    </row>
    <row r="402" spans="1:16" s="53" customFormat="1" ht="15.75" customHeight="1" x14ac:dyDescent="0.35">
      <c r="A402" s="116" t="s">
        <v>313</v>
      </c>
      <c r="B402" s="116"/>
      <c r="C402" s="28" t="s">
        <v>178</v>
      </c>
      <c r="D402" s="28">
        <f>53.46*10.764</f>
        <v>575.44344000000001</v>
      </c>
      <c r="E402" s="28">
        <v>0</v>
      </c>
      <c r="F402" s="28">
        <f t="shared" si="46"/>
        <v>863.16516000000001</v>
      </c>
      <c r="G402" s="173"/>
      <c r="H402" s="174"/>
      <c r="I402" s="52">
        <f>11000000/F404</f>
        <v>11673.805517116898</v>
      </c>
      <c r="N402" s="53" t="str">
        <f t="shared" ref="N402:N407" ca="1" si="51">O402&amp;""&amp;",..,"&amp;""&amp;P402</f>
        <v>6101,..,2601</v>
      </c>
      <c r="O402" s="53">
        <f ca="1">(SUMPRODUCT(MID(0&amp;(LEFT(A403,SUM(LEN(A403)-LEN(SUBSTITUTE(A403,{"0","1","2"},""))))), LARGE(INDEX(ISNUMBER(--MID((LEFT(A403,SUM(LEN(A403)-LEN(SUBSTITUTE(A403,{"0","1","2"},""))))), ROW(INDIRECT("1:"&amp;LEN((LEFT(A403,SUM(LEN(A403)-LEN(SUBSTITUTE(A403,{"0","1","2"},"")))))))), 1)) * ROW(INDIRECT("1:"&amp;LEN((LEFT(A403,SUM(LEN(A403)-LEN(SUBSTITUTE(A403,{"0","1","2"},"")))))))), 0), ROW(INDIRECT("1:"&amp;LEN((LEFT(A403,SUM(LEN(A403)-LEN(SUBSTITUTE(A403,{"0","1","2"},"")))))))))+1, 1) * 10^ROW(INDIRECT("1:"&amp;LEN((LEFT(A403,SUM(LEN(A403)-LEN(SUBSTITUTE(A403,{"0","1","2"},""))))))))/10))*100+1</f>
        <v>6101</v>
      </c>
      <c r="P402" s="53">
        <f ca="1">(SUMPRODUCT(MID(0&amp;(--TRIM(RIGHT(SUBSTITUTE(LEFT(A403,_xlfn.AGGREGATE(16,6,FIND({0,1,2,3,4,5,6,7,8,9},A403,ROW(INDIRECT("1:"&amp;LEN(A403)))),1))," ",REPT(" ",LEN(A403))),LEN(A403)))), LARGE(INDEX(ISNUMBER(--MID((--TRIM(RIGHT(SUBSTITUTE(LEFT(A403,_xlfn.AGGREGATE(16,6,FIND({0,1,2,3,4,5,6,7,8,9},A403,ROW(INDIRECT("1:"&amp;LEN(A403)))),1))," ",REPT(" ",LEN(A403))),LEN(A403)))), ROW(INDIRECT("1:"&amp;LEN((--TRIM(RIGHT(SUBSTITUTE(LEFT(A403,_xlfn.AGGREGATE(16,6,FIND({0,1,2,3,4,5,6,7,8,9},A403,ROW(INDIRECT("1:"&amp;LEN(A403)))),1))," ",REPT(" ",LEN(A403))),LEN(A403))))))), 1)) * ROW(INDIRECT("1:"&amp;LEN((--TRIM(RIGHT(SUBSTITUTE(LEFT(A403,_xlfn.AGGREGATE(16,6,FIND({0,1,2,3,4,5,6,7,8,9},A403,ROW(INDIRECT("1:"&amp;LEN(A403)))),1))," ",REPT(" ",LEN(A403))),LEN(A403))))))), 0), ROW(INDIRECT("1:"&amp;LEN((--TRIM(RIGHT(SUBSTITUTE(LEFT(A403,_xlfn.AGGREGATE(16,6,FIND({0,1,2,3,4,5,6,7,8,9},A403,ROW(INDIRECT("1:"&amp;LEN(A403)))),1))," ",REPT(" ",LEN(A403))),LEN(A403))))))))+1, 1) * 10^ROW(INDIRECT("1:"&amp;LEN((--TRIM(RIGHT(SUBSTITUTE(LEFT(A403,_xlfn.AGGREGATE(16,6,FIND({0,1,2,3,4,5,6,7,8,9},A403,ROW(INDIRECT("1:"&amp;LEN(A403)))),1))," ",REPT(" ",LEN(A403))),LEN(A403)))))))/10))*100+1</f>
        <v>2601</v>
      </c>
    </row>
    <row r="403" spans="1:16" s="53" customFormat="1" ht="15.75" customHeight="1" x14ac:dyDescent="0.35">
      <c r="A403" s="127" t="s">
        <v>269</v>
      </c>
      <c r="B403" s="128"/>
      <c r="C403" s="128"/>
      <c r="D403" s="128"/>
      <c r="E403" s="128"/>
      <c r="F403" s="128"/>
      <c r="G403" s="128"/>
      <c r="H403" s="129"/>
      <c r="I403" s="52"/>
      <c r="N403" s="53" t="str">
        <f t="shared" ca="1" si="51"/>
        <v>6102,..,2602</v>
      </c>
      <c r="O403" s="53">
        <f t="shared" ref="O403:P403" ca="1" si="52">O402+1</f>
        <v>6102</v>
      </c>
      <c r="P403" s="53">
        <f t="shared" ca="1" si="52"/>
        <v>2602</v>
      </c>
    </row>
    <row r="404" spans="1:16" s="53" customFormat="1" ht="15.75" customHeight="1" x14ac:dyDescent="0.35">
      <c r="A404" s="116" t="s">
        <v>223</v>
      </c>
      <c r="B404" s="116"/>
      <c r="C404" s="28" t="s">
        <v>178</v>
      </c>
      <c r="D404" s="28">
        <f t="shared" ref="D404:D405" si="53">58.36*10.764</f>
        <v>628.18703999999991</v>
      </c>
      <c r="E404" s="28">
        <v>0</v>
      </c>
      <c r="F404" s="28">
        <f>D404*(($F$338)+1)+E404</f>
        <v>942.28055999999992</v>
      </c>
      <c r="G404" s="120" t="str">
        <f>A403</f>
        <v>6th, 11th, 16th, 21st &amp; 26th Floor (Part Refuge Floor)</v>
      </c>
      <c r="H404" s="121"/>
      <c r="I404" s="52"/>
      <c r="N404" s="53" t="str">
        <f t="shared" ca="1" si="51"/>
        <v>6103,..,2603</v>
      </c>
      <c r="O404" s="53">
        <f t="shared" ref="O404:P404" ca="1" si="54">O403+1</f>
        <v>6103</v>
      </c>
      <c r="P404" s="53">
        <f t="shared" ca="1" si="54"/>
        <v>2603</v>
      </c>
    </row>
    <row r="405" spans="1:16" s="53" customFormat="1" ht="15.75" customHeight="1" x14ac:dyDescent="0.35">
      <c r="A405" s="116" t="s">
        <v>224</v>
      </c>
      <c r="B405" s="116"/>
      <c r="C405" s="28" t="s">
        <v>178</v>
      </c>
      <c r="D405" s="28">
        <f t="shared" si="53"/>
        <v>628.18703999999991</v>
      </c>
      <c r="E405" s="28">
        <v>0</v>
      </c>
      <c r="F405" s="28">
        <f>D405*(($F$338)+1)+E405</f>
        <v>942.28055999999992</v>
      </c>
      <c r="G405" s="122"/>
      <c r="H405" s="123"/>
      <c r="I405" s="52">
        <f>14000000/F407</f>
        <v>10963.305393976012</v>
      </c>
      <c r="N405" s="53" t="str">
        <f t="shared" ca="1" si="51"/>
        <v>6104,..,2604</v>
      </c>
      <c r="O405" s="53">
        <f t="shared" ref="O405:P405" ca="1" si="55">O404+1</f>
        <v>6104</v>
      </c>
      <c r="P405" s="53">
        <f t="shared" ca="1" si="55"/>
        <v>2604</v>
      </c>
    </row>
    <row r="406" spans="1:16" s="53" customFormat="1" ht="15.75" customHeight="1" x14ac:dyDescent="0.35">
      <c r="A406" s="116" t="s">
        <v>225</v>
      </c>
      <c r="B406" s="116"/>
      <c r="C406" s="28" t="s">
        <v>178</v>
      </c>
      <c r="D406" s="28">
        <f>53.22*10.764</f>
        <v>572.86007999999993</v>
      </c>
      <c r="E406" s="28">
        <v>0</v>
      </c>
      <c r="F406" s="28">
        <f>D406*(($F$338)+1)+E406</f>
        <v>859.29011999999989</v>
      </c>
      <c r="G406" s="122"/>
      <c r="H406" s="123"/>
      <c r="I406" s="52"/>
      <c r="N406" s="53" t="str">
        <f t="shared" ca="1" si="51"/>
        <v>6105,..,2605</v>
      </c>
      <c r="O406" s="53">
        <f t="shared" ref="O406:P406" ca="1" si="56">O405+1</f>
        <v>6105</v>
      </c>
      <c r="P406" s="53">
        <f t="shared" ca="1" si="56"/>
        <v>2605</v>
      </c>
    </row>
    <row r="407" spans="1:16" s="53" customFormat="1" ht="15.75" customHeight="1" x14ac:dyDescent="0.35">
      <c r="A407" s="116" t="s">
        <v>226</v>
      </c>
      <c r="B407" s="116"/>
      <c r="C407" s="28" t="s">
        <v>133</v>
      </c>
      <c r="D407" s="28">
        <f t="shared" ref="D407:D408" si="57">79.09*10.764</f>
        <v>851.32475999999997</v>
      </c>
      <c r="E407" s="28">
        <v>0</v>
      </c>
      <c r="F407" s="28">
        <f>D407*(($F$338)+1)+E407</f>
        <v>1276.98714</v>
      </c>
      <c r="G407" s="122"/>
      <c r="H407" s="123"/>
      <c r="I407" s="52"/>
      <c r="N407" s="53" t="str">
        <f t="shared" ca="1" si="51"/>
        <v>6106,..,2606</v>
      </c>
      <c r="O407" s="53">
        <f ca="1">O406+1</f>
        <v>6106</v>
      </c>
      <c r="P407" s="53">
        <f ca="1">P406+1</f>
        <v>2606</v>
      </c>
    </row>
    <row r="408" spans="1:16" s="53" customFormat="1" x14ac:dyDescent="0.35">
      <c r="A408" s="116" t="s">
        <v>227</v>
      </c>
      <c r="B408" s="116"/>
      <c r="C408" s="28" t="s">
        <v>133</v>
      </c>
      <c r="D408" s="28">
        <f t="shared" si="57"/>
        <v>851.32475999999997</v>
      </c>
      <c r="E408" s="28">
        <v>0</v>
      </c>
      <c r="F408" s="28">
        <f>D408*(($F$338)+1)+E408</f>
        <v>1276.98714</v>
      </c>
      <c r="G408" s="122"/>
      <c r="H408" s="123"/>
      <c r="I408" s="52"/>
    </row>
    <row r="409" spans="1:16" s="53" customFormat="1" x14ac:dyDescent="0.35">
      <c r="A409" s="116" t="s">
        <v>228</v>
      </c>
      <c r="B409" s="116"/>
      <c r="C409" s="117" t="s">
        <v>201</v>
      </c>
      <c r="D409" s="118"/>
      <c r="E409" s="118"/>
      <c r="F409" s="119"/>
      <c r="G409" s="122"/>
      <c r="H409" s="123"/>
      <c r="I409" s="52"/>
    </row>
    <row r="410" spans="1:16" s="53" customFormat="1" ht="15.75" customHeight="1" x14ac:dyDescent="0.35">
      <c r="A410" s="116" t="s">
        <v>229</v>
      </c>
      <c r="B410" s="116"/>
      <c r="C410" s="28" t="s">
        <v>178</v>
      </c>
      <c r="D410" s="28">
        <f>53.46*10.764</f>
        <v>575.44344000000001</v>
      </c>
      <c r="E410" s="28">
        <v>0</v>
      </c>
      <c r="F410" s="28">
        <f>D410*(($F$338)+1)+E410</f>
        <v>863.16516000000001</v>
      </c>
      <c r="G410" s="173"/>
      <c r="H410" s="174"/>
      <c r="I410" s="52">
        <f>11000000/F412</f>
        <v>11673.805517116898</v>
      </c>
      <c r="N410" s="53" t="str">
        <f t="shared" ref="N410:N415" ca="1" si="58">O410&amp;""&amp;",..,"&amp;""&amp;P410</f>
        <v>301,..,3101</v>
      </c>
      <c r="O410" s="53">
        <f ca="1">(SUMPRODUCT(MID(0&amp;(LEFT(A411,SUM(LEN(A411)-LEN(SUBSTITUTE(A411,{"0","1","2"},""))))), LARGE(INDEX(ISNUMBER(--MID((LEFT(A411,SUM(LEN(A411)-LEN(SUBSTITUTE(A411,{"0","1","2"},""))))), ROW(INDIRECT("1:"&amp;LEN((LEFT(A411,SUM(LEN(A411)-LEN(SUBSTITUTE(A411,{"0","1","2"},"")))))))), 1)) * ROW(INDIRECT("1:"&amp;LEN((LEFT(A411,SUM(LEN(A411)-LEN(SUBSTITUTE(A411,{"0","1","2"},"")))))))), 0), ROW(INDIRECT("1:"&amp;LEN((LEFT(A411,SUM(LEN(A411)-LEN(SUBSTITUTE(A411,{"0","1","2"},"")))))))))+1, 1) * 10^ROW(INDIRECT("1:"&amp;LEN((LEFT(A411,SUM(LEN(A411)-LEN(SUBSTITUTE(A411,{"0","1","2"},""))))))))/10))*100+1</f>
        <v>301</v>
      </c>
      <c r="P410" s="53">
        <f ca="1">(SUMPRODUCT(MID(0&amp;(--TRIM(RIGHT(SUBSTITUTE(LEFT(A411,_xlfn.AGGREGATE(16,6,FIND({0,1,2,3,4,5,6,7,8,9},A411,ROW(INDIRECT("1:"&amp;LEN(A411)))),1))," ",REPT(" ",LEN(A411))),LEN(A411)))), LARGE(INDEX(ISNUMBER(--MID((--TRIM(RIGHT(SUBSTITUTE(LEFT(A411,_xlfn.AGGREGATE(16,6,FIND({0,1,2,3,4,5,6,7,8,9},A411,ROW(INDIRECT("1:"&amp;LEN(A411)))),1))," ",REPT(" ",LEN(A411))),LEN(A411)))), ROW(INDIRECT("1:"&amp;LEN((--TRIM(RIGHT(SUBSTITUTE(LEFT(A411,_xlfn.AGGREGATE(16,6,FIND({0,1,2,3,4,5,6,7,8,9},A411,ROW(INDIRECT("1:"&amp;LEN(A411)))),1))," ",REPT(" ",LEN(A411))),LEN(A411))))))), 1)) * ROW(INDIRECT("1:"&amp;LEN((--TRIM(RIGHT(SUBSTITUTE(LEFT(A411,_xlfn.AGGREGATE(16,6,FIND({0,1,2,3,4,5,6,7,8,9},A411,ROW(INDIRECT("1:"&amp;LEN(A411)))),1))," ",REPT(" ",LEN(A411))),LEN(A411))))))), 0), ROW(INDIRECT("1:"&amp;LEN((--TRIM(RIGHT(SUBSTITUTE(LEFT(A411,_xlfn.AGGREGATE(16,6,FIND({0,1,2,3,4,5,6,7,8,9},A411,ROW(INDIRECT("1:"&amp;LEN(A411)))),1))," ",REPT(" ",LEN(A411))),LEN(A411))))))))+1, 1) * 10^ROW(INDIRECT("1:"&amp;LEN((--TRIM(RIGHT(SUBSTITUTE(LEFT(A411,_xlfn.AGGREGATE(16,6,FIND({0,1,2,3,4,5,6,7,8,9},A411,ROW(INDIRECT("1:"&amp;LEN(A411)))),1))," ",REPT(" ",LEN(A411))),LEN(A411)))))))/10))*100+1</f>
        <v>3101</v>
      </c>
    </row>
    <row r="411" spans="1:16" s="53" customFormat="1" ht="15.75" customHeight="1" x14ac:dyDescent="0.35">
      <c r="A411" s="127" t="s">
        <v>306</v>
      </c>
      <c r="B411" s="128"/>
      <c r="C411" s="128"/>
      <c r="D411" s="128"/>
      <c r="E411" s="128"/>
      <c r="F411" s="128"/>
      <c r="G411" s="128"/>
      <c r="H411" s="129"/>
      <c r="I411" s="52"/>
      <c r="N411" s="53" t="str">
        <f t="shared" ca="1" si="58"/>
        <v>302,..,3102</v>
      </c>
      <c r="O411" s="53">
        <f t="shared" ref="O411:P411" ca="1" si="59">O410+1</f>
        <v>302</v>
      </c>
      <c r="P411" s="53">
        <f t="shared" ca="1" si="59"/>
        <v>3102</v>
      </c>
    </row>
    <row r="412" spans="1:16" s="53" customFormat="1" ht="15.75" customHeight="1" x14ac:dyDescent="0.35">
      <c r="A412" s="116">
        <v>3101</v>
      </c>
      <c r="B412" s="116"/>
      <c r="C412" s="28" t="s">
        <v>178</v>
      </c>
      <c r="D412" s="28">
        <f t="shared" ref="D412:D413" si="60">58.36*10.764</f>
        <v>628.18703999999991</v>
      </c>
      <c r="E412" s="28">
        <v>0</v>
      </c>
      <c r="F412" s="28">
        <f>D412*(($F$338)+1)+E412</f>
        <v>942.28055999999992</v>
      </c>
      <c r="G412" s="120" t="str">
        <f>A411</f>
        <v>31st Floor (Part Refuge Floor)</v>
      </c>
      <c r="H412" s="121"/>
      <c r="I412" s="52"/>
      <c r="N412" s="53" t="str">
        <f t="shared" ca="1" si="58"/>
        <v>303,..,3103</v>
      </c>
      <c r="O412" s="53">
        <f t="shared" ref="O412:P412" ca="1" si="61">O411+1</f>
        <v>303</v>
      </c>
      <c r="P412" s="53">
        <f t="shared" ca="1" si="61"/>
        <v>3103</v>
      </c>
    </row>
    <row r="413" spans="1:16" s="53" customFormat="1" ht="15.75" customHeight="1" x14ac:dyDescent="0.35">
      <c r="A413" s="116">
        <f>A412+1</f>
        <v>3102</v>
      </c>
      <c r="B413" s="116"/>
      <c r="C413" s="28" t="s">
        <v>178</v>
      </c>
      <c r="D413" s="28">
        <f t="shared" si="60"/>
        <v>628.18703999999991</v>
      </c>
      <c r="E413" s="28">
        <v>0</v>
      </c>
      <c r="F413" s="28">
        <f>D413*(($F$338)+1)+E413</f>
        <v>942.28055999999992</v>
      </c>
      <c r="G413" s="122"/>
      <c r="H413" s="123"/>
      <c r="I413" s="52">
        <f>14000000/F415</f>
        <v>10094.835548960962</v>
      </c>
      <c r="N413" s="53" t="str">
        <f t="shared" ca="1" si="58"/>
        <v>304,..,3104</v>
      </c>
      <c r="O413" s="53">
        <f t="shared" ref="O413:P413" ca="1" si="62">O412+1</f>
        <v>304</v>
      </c>
      <c r="P413" s="53">
        <f t="shared" ca="1" si="62"/>
        <v>3104</v>
      </c>
    </row>
    <row r="414" spans="1:16" s="53" customFormat="1" ht="15.75" customHeight="1" x14ac:dyDescent="0.35">
      <c r="A414" s="116">
        <f t="shared" ref="A414:A418" si="63">A413+1</f>
        <v>3103</v>
      </c>
      <c r="B414" s="116"/>
      <c r="C414" s="28" t="s">
        <v>178</v>
      </c>
      <c r="D414" s="28">
        <f>53.22*10.764</f>
        <v>572.86007999999993</v>
      </c>
      <c r="E414" s="28">
        <v>0</v>
      </c>
      <c r="F414" s="28">
        <f>D414*(($F$338)+1)+E414</f>
        <v>859.29011999999989</v>
      </c>
      <c r="G414" s="122"/>
      <c r="H414" s="123"/>
      <c r="I414" s="52"/>
      <c r="N414" s="53" t="str">
        <f t="shared" ca="1" si="58"/>
        <v>305,..,3105</v>
      </c>
      <c r="O414" s="53">
        <f t="shared" ref="O414:P414" ca="1" si="64">O413+1</f>
        <v>305</v>
      </c>
      <c r="P414" s="53">
        <f t="shared" ca="1" si="64"/>
        <v>3105</v>
      </c>
    </row>
    <row r="415" spans="1:16" s="53" customFormat="1" ht="15.75" customHeight="1" x14ac:dyDescent="0.35">
      <c r="A415" s="116">
        <f t="shared" si="63"/>
        <v>3104</v>
      </c>
      <c r="B415" s="116"/>
      <c r="C415" s="28" t="s">
        <v>133</v>
      </c>
      <c r="D415" s="28">
        <f>(79.09+3.67*1.44+1.42*1.07)*10.764</f>
        <v>924.56516880000004</v>
      </c>
      <c r="E415" s="28">
        <v>0</v>
      </c>
      <c r="F415" s="28">
        <f>D415*(($F$338)+1)+E415</f>
        <v>1386.8477532000002</v>
      </c>
      <c r="G415" s="122"/>
      <c r="H415" s="123"/>
      <c r="I415" s="52"/>
      <c r="N415" s="53" t="str">
        <f t="shared" ca="1" si="58"/>
        <v>306,..,3106</v>
      </c>
      <c r="O415" s="53">
        <f ca="1">O414+1</f>
        <v>306</v>
      </c>
      <c r="P415" s="53">
        <f ca="1">P414+1</f>
        <v>3106</v>
      </c>
    </row>
    <row r="416" spans="1:16" s="53" customFormat="1" x14ac:dyDescent="0.35">
      <c r="A416" s="116">
        <f t="shared" si="63"/>
        <v>3105</v>
      </c>
      <c r="B416" s="116"/>
      <c r="C416" s="28" t="s">
        <v>133</v>
      </c>
      <c r="D416" s="28">
        <f>(79.09+3.67*1.44+1.42*1.07)*10.764</f>
        <v>924.56516880000004</v>
      </c>
      <c r="E416" s="28">
        <v>0</v>
      </c>
      <c r="F416" s="28">
        <f>D416*(($F$338)+1)+E416</f>
        <v>1386.8477532000002</v>
      </c>
      <c r="G416" s="122"/>
      <c r="H416" s="123"/>
      <c r="I416" s="52"/>
    </row>
    <row r="417" spans="1:16" s="53" customFormat="1" x14ac:dyDescent="0.35">
      <c r="A417" s="116">
        <f t="shared" si="63"/>
        <v>3106</v>
      </c>
      <c r="B417" s="116"/>
      <c r="C417" s="117" t="s">
        <v>201</v>
      </c>
      <c r="D417" s="118"/>
      <c r="E417" s="118"/>
      <c r="F417" s="119"/>
      <c r="G417" s="122"/>
      <c r="H417" s="123"/>
      <c r="I417" s="52"/>
    </row>
    <row r="418" spans="1:16" s="53" customFormat="1" ht="15.75" customHeight="1" x14ac:dyDescent="0.35">
      <c r="A418" s="116">
        <f t="shared" si="63"/>
        <v>3107</v>
      </c>
      <c r="B418" s="116"/>
      <c r="C418" s="28" t="s">
        <v>178</v>
      </c>
      <c r="D418" s="28">
        <f>53.46*10.764</f>
        <v>575.44344000000001</v>
      </c>
      <c r="E418" s="28">
        <v>0</v>
      </c>
      <c r="F418" s="28">
        <f>D418*(($F$338)+1)+E418</f>
        <v>863.16516000000001</v>
      </c>
      <c r="G418" s="173"/>
      <c r="H418" s="174"/>
      <c r="I418" s="52"/>
      <c r="N418" s="53" t="str">
        <f t="shared" ref="N418:N423" ca="1" si="65">O418&amp;""&amp;",..,"&amp;""&amp;P418</f>
        <v>301,..,3301</v>
      </c>
      <c r="O418" s="53">
        <f ca="1">(SUMPRODUCT(MID(0&amp;(LEFT(A419,SUM(LEN(A419)-LEN(SUBSTITUTE(A419,{"0","1","2"},""))))), LARGE(INDEX(ISNUMBER(--MID((LEFT(A419,SUM(LEN(A419)-LEN(SUBSTITUTE(A419,{"0","1","2"},""))))), ROW(INDIRECT("1:"&amp;LEN((LEFT(A419,SUM(LEN(A419)-LEN(SUBSTITUTE(A419,{"0","1","2"},"")))))))), 1)) * ROW(INDIRECT("1:"&amp;LEN((LEFT(A419,SUM(LEN(A419)-LEN(SUBSTITUTE(A419,{"0","1","2"},"")))))))), 0), ROW(INDIRECT("1:"&amp;LEN((LEFT(A419,SUM(LEN(A419)-LEN(SUBSTITUTE(A419,{"0","1","2"},"")))))))))+1, 1) * 10^ROW(INDIRECT("1:"&amp;LEN((LEFT(A419,SUM(LEN(A419)-LEN(SUBSTITUTE(A419,{"0","1","2"},""))))))))/10))*100+1</f>
        <v>301</v>
      </c>
      <c r="P418" s="53">
        <f ca="1">(SUMPRODUCT(MID(0&amp;(--TRIM(RIGHT(SUBSTITUTE(LEFT(A419,_xlfn.AGGREGATE(16,6,FIND({0,1,2,3,4,5,6,7,8,9},A419,ROW(INDIRECT("1:"&amp;LEN(A419)))),1))," ",REPT(" ",LEN(A419))),LEN(A419)))), LARGE(INDEX(ISNUMBER(--MID((--TRIM(RIGHT(SUBSTITUTE(LEFT(A419,_xlfn.AGGREGATE(16,6,FIND({0,1,2,3,4,5,6,7,8,9},A419,ROW(INDIRECT("1:"&amp;LEN(A419)))),1))," ",REPT(" ",LEN(A419))),LEN(A419)))), ROW(INDIRECT("1:"&amp;LEN((--TRIM(RIGHT(SUBSTITUTE(LEFT(A419,_xlfn.AGGREGATE(16,6,FIND({0,1,2,3,4,5,6,7,8,9},A419,ROW(INDIRECT("1:"&amp;LEN(A419)))),1))," ",REPT(" ",LEN(A419))),LEN(A419))))))), 1)) * ROW(INDIRECT("1:"&amp;LEN((--TRIM(RIGHT(SUBSTITUTE(LEFT(A419,_xlfn.AGGREGATE(16,6,FIND({0,1,2,3,4,5,6,7,8,9},A419,ROW(INDIRECT("1:"&amp;LEN(A419)))),1))," ",REPT(" ",LEN(A419))),LEN(A419))))))), 0), ROW(INDIRECT("1:"&amp;LEN((--TRIM(RIGHT(SUBSTITUTE(LEFT(A419,_xlfn.AGGREGATE(16,6,FIND({0,1,2,3,4,5,6,7,8,9},A419,ROW(INDIRECT("1:"&amp;LEN(A419)))),1))," ",REPT(" ",LEN(A419))),LEN(A419))))))))+1, 1) * 10^ROW(INDIRECT("1:"&amp;LEN((--TRIM(RIGHT(SUBSTITUTE(LEFT(A419,_xlfn.AGGREGATE(16,6,FIND({0,1,2,3,4,5,6,7,8,9},A419,ROW(INDIRECT("1:"&amp;LEN(A419)))),1))," ",REPT(" ",LEN(A419))),LEN(A419)))))))/10))*100+1</f>
        <v>3301</v>
      </c>
    </row>
    <row r="419" spans="1:16" s="53" customFormat="1" ht="15.75" customHeight="1" x14ac:dyDescent="0.35">
      <c r="A419" s="127" t="s">
        <v>314</v>
      </c>
      <c r="B419" s="128"/>
      <c r="C419" s="128"/>
      <c r="D419" s="128"/>
      <c r="E419" s="128"/>
      <c r="F419" s="128"/>
      <c r="G419" s="128"/>
      <c r="H419" s="129"/>
      <c r="I419" s="52">
        <f>10500000/F421</f>
        <v>11143.177993611585</v>
      </c>
      <c r="N419" s="53" t="str">
        <f t="shared" ca="1" si="65"/>
        <v>302,..,3302</v>
      </c>
      <c r="O419" s="53">
        <f t="shared" ref="O419:P419" ca="1" si="66">O418+1</f>
        <v>302</v>
      </c>
      <c r="P419" s="53">
        <f t="shared" ca="1" si="66"/>
        <v>3302</v>
      </c>
    </row>
    <row r="420" spans="1:16" s="53" customFormat="1" ht="15.75" customHeight="1" x14ac:dyDescent="0.35">
      <c r="A420" s="116">
        <v>1</v>
      </c>
      <c r="B420" s="116"/>
      <c r="C420" s="28" t="s">
        <v>178</v>
      </c>
      <c r="D420" s="28">
        <f t="shared" ref="D420:D421" si="67">58.36*10.764</f>
        <v>628.18703999999991</v>
      </c>
      <c r="E420" s="28">
        <v>0</v>
      </c>
      <c r="F420" s="28">
        <f t="shared" ref="F420:F426" si="68">D420*(($F$338)+1)+E420</f>
        <v>942.28055999999992</v>
      </c>
      <c r="G420" s="120" t="str">
        <f>A419</f>
        <v>32nd &amp; 33rd Floor</v>
      </c>
      <c r="H420" s="121"/>
      <c r="I420" s="52">
        <f>9800000/F422</f>
        <v>11404.762805837918</v>
      </c>
      <c r="N420" s="53" t="str">
        <f t="shared" ca="1" si="65"/>
        <v>303,..,3303</v>
      </c>
      <c r="O420" s="53">
        <f t="shared" ref="O420:P420" ca="1" si="69">O419+1</f>
        <v>303</v>
      </c>
      <c r="P420" s="53">
        <f t="shared" ca="1" si="69"/>
        <v>3303</v>
      </c>
    </row>
    <row r="421" spans="1:16" s="53" customFormat="1" ht="15.75" customHeight="1" x14ac:dyDescent="0.35">
      <c r="A421" s="116">
        <v>2</v>
      </c>
      <c r="B421" s="116"/>
      <c r="C421" s="28" t="s">
        <v>178</v>
      </c>
      <c r="D421" s="28">
        <f t="shared" si="67"/>
        <v>628.18703999999991</v>
      </c>
      <c r="E421" s="28">
        <v>0</v>
      </c>
      <c r="F421" s="28">
        <f t="shared" si="68"/>
        <v>942.28055999999992</v>
      </c>
      <c r="G421" s="122"/>
      <c r="H421" s="123"/>
      <c r="I421" s="52">
        <f>14000000/F423</f>
        <v>10094.835548960962</v>
      </c>
      <c r="N421" s="53" t="str">
        <f t="shared" ca="1" si="65"/>
        <v>304,..,3304</v>
      </c>
      <c r="O421" s="53">
        <f t="shared" ref="O421:P421" ca="1" si="70">O420+1</f>
        <v>304</v>
      </c>
      <c r="P421" s="53">
        <f t="shared" ca="1" si="70"/>
        <v>3304</v>
      </c>
    </row>
    <row r="422" spans="1:16" s="53" customFormat="1" ht="15.75" customHeight="1" x14ac:dyDescent="0.35">
      <c r="A422" s="116">
        <v>3</v>
      </c>
      <c r="B422" s="116"/>
      <c r="C422" s="28" t="s">
        <v>178</v>
      </c>
      <c r="D422" s="28">
        <f>53.22*10.764</f>
        <v>572.86007999999993</v>
      </c>
      <c r="E422" s="28">
        <v>0</v>
      </c>
      <c r="F422" s="28">
        <f t="shared" si="68"/>
        <v>859.29011999999989</v>
      </c>
      <c r="G422" s="122"/>
      <c r="H422" s="123"/>
      <c r="I422" s="52"/>
      <c r="N422" s="53" t="str">
        <f t="shared" ca="1" si="65"/>
        <v>305,..,3305</v>
      </c>
      <c r="O422" s="53">
        <f t="shared" ref="O422:P422" ca="1" si="71">O421+1</f>
        <v>305</v>
      </c>
      <c r="P422" s="53">
        <f t="shared" ca="1" si="71"/>
        <v>3305</v>
      </c>
    </row>
    <row r="423" spans="1:16" s="53" customFormat="1" ht="15.75" customHeight="1" x14ac:dyDescent="0.35">
      <c r="A423" s="116">
        <v>4</v>
      </c>
      <c r="B423" s="116"/>
      <c r="C423" s="28" t="s">
        <v>133</v>
      </c>
      <c r="D423" s="28">
        <f>(79.09+3.67*1.44+1.42*1.07)*10.764</f>
        <v>924.56516880000004</v>
      </c>
      <c r="E423" s="28">
        <v>0</v>
      </c>
      <c r="F423" s="28">
        <f t="shared" si="68"/>
        <v>1386.8477532000002</v>
      </c>
      <c r="G423" s="122"/>
      <c r="H423" s="123"/>
      <c r="I423" s="52"/>
      <c r="N423" s="53" t="str">
        <f t="shared" ca="1" si="65"/>
        <v>306,..,3306</v>
      </c>
      <c r="O423" s="53">
        <f ca="1">O422+1</f>
        <v>306</v>
      </c>
      <c r="P423" s="53">
        <f ca="1">P422+1</f>
        <v>3306</v>
      </c>
    </row>
    <row r="424" spans="1:16" s="53" customFormat="1" x14ac:dyDescent="0.35">
      <c r="A424" s="116">
        <v>5</v>
      </c>
      <c r="B424" s="116"/>
      <c r="C424" s="28" t="s">
        <v>133</v>
      </c>
      <c r="D424" s="28">
        <f>(79.09+3.67*1.44+1.42*1.07)*10.764</f>
        <v>924.56516880000004</v>
      </c>
      <c r="E424" s="28">
        <v>0</v>
      </c>
      <c r="F424" s="28">
        <f t="shared" si="68"/>
        <v>1386.8477532000002</v>
      </c>
      <c r="G424" s="122"/>
      <c r="H424" s="123"/>
      <c r="I424" s="52"/>
    </row>
    <row r="425" spans="1:16" s="53" customFormat="1" x14ac:dyDescent="0.35">
      <c r="A425" s="116">
        <v>6</v>
      </c>
      <c r="B425" s="116"/>
      <c r="C425" s="28" t="s">
        <v>178</v>
      </c>
      <c r="D425" s="28">
        <f>53.46*10.764</f>
        <v>575.44344000000001</v>
      </c>
      <c r="E425" s="28">
        <v>0</v>
      </c>
      <c r="F425" s="28">
        <f t="shared" si="68"/>
        <v>863.16516000000001</v>
      </c>
      <c r="G425" s="122"/>
      <c r="H425" s="123"/>
      <c r="I425" s="52"/>
    </row>
    <row r="426" spans="1:16" s="53" customFormat="1" x14ac:dyDescent="0.35">
      <c r="A426" s="116">
        <v>7</v>
      </c>
      <c r="B426" s="116"/>
      <c r="C426" s="28" t="s">
        <v>178</v>
      </c>
      <c r="D426" s="28">
        <f>53.46*10.764</f>
        <v>575.44344000000001</v>
      </c>
      <c r="E426" s="28">
        <v>0</v>
      </c>
      <c r="F426" s="28">
        <f t="shared" si="68"/>
        <v>863.16516000000001</v>
      </c>
      <c r="G426" s="173"/>
      <c r="H426" s="174"/>
      <c r="I426" s="52"/>
      <c r="L426" s="107"/>
      <c r="M426" s="107"/>
    </row>
    <row r="427" spans="1:16" s="53" customFormat="1" x14ac:dyDescent="0.35">
      <c r="A427" s="124" t="s">
        <v>261</v>
      </c>
      <c r="B427" s="124"/>
      <c r="C427" s="124"/>
      <c r="D427" s="124"/>
      <c r="E427" s="124"/>
      <c r="F427" s="124"/>
      <c r="G427" s="124"/>
      <c r="H427" s="124"/>
      <c r="I427" s="52"/>
    </row>
    <row r="428" spans="1:16" s="53" customFormat="1" x14ac:dyDescent="0.35">
      <c r="A428" s="125" t="s">
        <v>265</v>
      </c>
      <c r="B428" s="125"/>
      <c r="C428" s="125"/>
      <c r="D428" s="125"/>
      <c r="E428" s="125"/>
      <c r="F428" s="125"/>
      <c r="G428" s="125"/>
      <c r="H428" s="125"/>
      <c r="I428" s="52"/>
      <c r="L428" s="107"/>
      <c r="M428" s="107"/>
    </row>
    <row r="429" spans="1:16" s="53" customFormat="1" ht="15.75" customHeight="1" x14ac:dyDescent="0.35">
      <c r="A429" s="127" t="s">
        <v>266</v>
      </c>
      <c r="B429" s="128"/>
      <c r="C429" s="128"/>
      <c r="D429" s="128"/>
      <c r="E429" s="128"/>
      <c r="F429" s="128"/>
      <c r="G429" s="128"/>
      <c r="H429" s="129"/>
      <c r="I429" s="52"/>
      <c r="N429" s="52"/>
    </row>
    <row r="430" spans="1:16" s="53" customFormat="1" ht="15.75" customHeight="1" x14ac:dyDescent="0.35">
      <c r="A430" s="125" t="s">
        <v>267</v>
      </c>
      <c r="B430" s="125"/>
      <c r="C430" s="125"/>
      <c r="D430" s="125"/>
      <c r="E430" s="125"/>
      <c r="F430" s="125"/>
      <c r="G430" s="125"/>
      <c r="H430" s="125"/>
      <c r="I430" s="52"/>
      <c r="N430" s="52"/>
    </row>
    <row r="431" spans="1:16" s="53" customFormat="1" ht="15.75" customHeight="1" x14ac:dyDescent="0.35">
      <c r="A431" s="116">
        <v>101</v>
      </c>
      <c r="B431" s="116"/>
      <c r="C431" s="28" t="s">
        <v>178</v>
      </c>
      <c r="D431" s="28">
        <f>(1.83*1.15+2.13*3.5+3.05*4.8+0.77*1.49+2.13*1.37+2.9*3.35+3.05*3.65+1.37*2.28+1*2.9+2.13*1.05)*10.764</f>
        <v>617.55759</v>
      </c>
      <c r="E431" s="28">
        <v>0</v>
      </c>
      <c r="F431" s="28">
        <f t="shared" ref="F431:F437" si="72">D431*(($F$338)+1)+E431</f>
        <v>926.33638500000006</v>
      </c>
      <c r="G431" s="120" t="str">
        <f>A430</f>
        <v>1st Floor for Residential</v>
      </c>
      <c r="H431" s="121"/>
      <c r="I431" s="52">
        <f>7500000/F433</f>
        <v>8848.4079745459985</v>
      </c>
      <c r="N431" s="52"/>
    </row>
    <row r="432" spans="1:16" s="53" customFormat="1" ht="15.75" customHeight="1" x14ac:dyDescent="0.35">
      <c r="A432" s="116">
        <v>102</v>
      </c>
      <c r="B432" s="116"/>
      <c r="C432" s="28" t="s">
        <v>178</v>
      </c>
      <c r="D432" s="28">
        <f>(1.83*1.15+2.13*3.5+3.05*4.8+0.77*1.49+2.13*1.37+2.9*3.35+3.05*3.65+1.37*2.28+1*2.9+2.13*1.05)*10.764</f>
        <v>617.55759</v>
      </c>
      <c r="E432" s="28">
        <v>0</v>
      </c>
      <c r="F432" s="28">
        <f t="shared" si="72"/>
        <v>926.33638500000006</v>
      </c>
      <c r="G432" s="122"/>
      <c r="H432" s="123"/>
      <c r="I432" s="52"/>
      <c r="N432" s="52"/>
    </row>
    <row r="433" spans="1:17" s="53" customFormat="1" ht="15.75" customHeight="1" x14ac:dyDescent="0.35">
      <c r="A433" s="116">
        <v>103</v>
      </c>
      <c r="B433" s="116"/>
      <c r="C433" s="28" t="s">
        <v>178</v>
      </c>
      <c r="D433" s="28">
        <f>(2.13*3.43+2.9*4.73+3*3.3+2.9*3.65+1.37*2.13+2.13*1.37+2.05*1.05+1*3)*10.764</f>
        <v>565.07340239999996</v>
      </c>
      <c r="E433" s="28">
        <v>0</v>
      </c>
      <c r="F433" s="28">
        <f t="shared" si="72"/>
        <v>847.6101036</v>
      </c>
      <c r="G433" s="122"/>
      <c r="H433" s="123"/>
      <c r="I433" s="52"/>
      <c r="N433" s="52"/>
    </row>
    <row r="434" spans="1:17" s="53" customFormat="1" ht="15.75" customHeight="1" x14ac:dyDescent="0.35">
      <c r="A434" s="116">
        <v>104</v>
      </c>
      <c r="B434" s="116"/>
      <c r="C434" s="28" t="s">
        <v>178</v>
      </c>
      <c r="D434" s="28">
        <f>(1.83*1.15+2.13*3.5+3.05*4.8+0.77*1.49+2.13*1.37+2.9*3.35+3.05*3.65+1.37*2.28+1*2.9+2.13*1.05)*10.764</f>
        <v>617.55759</v>
      </c>
      <c r="E434" s="28">
        <v>0</v>
      </c>
      <c r="F434" s="28">
        <f t="shared" si="72"/>
        <v>926.33638500000006</v>
      </c>
      <c r="G434" s="122"/>
      <c r="H434" s="123"/>
      <c r="I434" s="52"/>
      <c r="N434" s="52"/>
    </row>
    <row r="435" spans="1:17" s="53" customFormat="1" ht="15.75" customHeight="1" x14ac:dyDescent="0.35">
      <c r="A435" s="116">
        <v>105</v>
      </c>
      <c r="B435" s="116"/>
      <c r="C435" s="28" t="s">
        <v>178</v>
      </c>
      <c r="D435" s="28">
        <f>(1.83*1.15+2.13*3.5+3.05*4.8+0.77*1.49+2.13*1.37+2.9*3.35+3.05*3.65+1.37*2.28+1*2.9+2.13*1.05)*10.764</f>
        <v>617.55759</v>
      </c>
      <c r="E435" s="28">
        <v>0</v>
      </c>
      <c r="F435" s="28">
        <f t="shared" si="72"/>
        <v>926.33638500000006</v>
      </c>
      <c r="G435" s="122"/>
      <c r="H435" s="123"/>
      <c r="I435" s="52"/>
      <c r="N435" s="52"/>
    </row>
    <row r="436" spans="1:17" s="53" customFormat="1" x14ac:dyDescent="0.35">
      <c r="A436" s="116">
        <v>106</v>
      </c>
      <c r="B436" s="116"/>
      <c r="C436" s="28" t="s">
        <v>178</v>
      </c>
      <c r="D436" s="28">
        <f>(3.36*2.13+4.73*2.9+1.05*1.95+3.35*3+3.65*2.9+2.13*1.37+1.37*2.13+1*3+0.6*1.2)*10.764</f>
        <v>571.70294999999999</v>
      </c>
      <c r="E436" s="28">
        <v>0</v>
      </c>
      <c r="F436" s="28">
        <f t="shared" si="72"/>
        <v>857.55442500000004</v>
      </c>
      <c r="G436" s="122"/>
      <c r="H436" s="123"/>
      <c r="I436" s="52"/>
      <c r="L436" s="54">
        <v>201</v>
      </c>
      <c r="M436" s="54">
        <v>3001</v>
      </c>
      <c r="Q436" s="53" t="str">
        <f>L436&amp;""&amp;",…,"&amp;""&amp;M436</f>
        <v>201,…,3001</v>
      </c>
    </row>
    <row r="437" spans="1:17" s="53" customFormat="1" ht="15.75" customHeight="1" x14ac:dyDescent="0.35">
      <c r="A437" s="116">
        <v>107</v>
      </c>
      <c r="B437" s="116"/>
      <c r="C437" s="28" t="s">
        <v>178</v>
      </c>
      <c r="D437" s="28">
        <f>(3.36*2.13+4.73*2.9+1.05*1.95+3.35*3+3.65*2.9+2.13*1.37+1.37*2.13+1*3+0.6*1.2)*10.764</f>
        <v>571.70294999999999</v>
      </c>
      <c r="E437" s="28">
        <v>0</v>
      </c>
      <c r="F437" s="28">
        <f t="shared" si="72"/>
        <v>857.55442500000004</v>
      </c>
      <c r="G437" s="122"/>
      <c r="H437" s="123"/>
      <c r="I437" s="52"/>
      <c r="L437" s="55">
        <v>202</v>
      </c>
      <c r="M437" s="55">
        <v>3002</v>
      </c>
      <c r="N437" s="52"/>
      <c r="Q437" s="53" t="str">
        <f t="shared" ref="Q437:Q442" si="73">L437&amp;""&amp;",…,"&amp;""&amp;M437</f>
        <v>202,…,3002</v>
      </c>
    </row>
    <row r="438" spans="1:17" s="53" customFormat="1" ht="15.75" customHeight="1" x14ac:dyDescent="0.35">
      <c r="A438" s="125" t="s">
        <v>268</v>
      </c>
      <c r="B438" s="125"/>
      <c r="C438" s="125"/>
      <c r="D438" s="125"/>
      <c r="E438" s="125"/>
      <c r="F438" s="125"/>
      <c r="G438" s="125"/>
      <c r="H438" s="125"/>
      <c r="I438" s="52"/>
      <c r="L438" s="54">
        <v>203</v>
      </c>
      <c r="M438" s="54">
        <v>3003</v>
      </c>
      <c r="N438" s="52"/>
      <c r="Q438" s="53" t="str">
        <f t="shared" si="73"/>
        <v>203,…,3003</v>
      </c>
    </row>
    <row r="439" spans="1:17" s="53" customFormat="1" ht="15.75" customHeight="1" x14ac:dyDescent="0.35">
      <c r="A439" s="116" t="str">
        <f>Q436</f>
        <v>201,…,3001</v>
      </c>
      <c r="B439" s="116"/>
      <c r="C439" s="28" t="s">
        <v>178</v>
      </c>
      <c r="D439" s="28">
        <f>(1.83*1.15+2.13*3.5+3.05*4.8+0.77*1.49+2.13*1.37+2.9*3.35+3.05*3.65+1.37*2.28+1*2.9+2.13*1.05)*10.764</f>
        <v>617.55759</v>
      </c>
      <c r="E439" s="28">
        <v>0</v>
      </c>
      <c r="F439" s="28">
        <f t="shared" ref="F439:F445" si="74">D439*(($F$338)+1)+E439</f>
        <v>926.33638500000006</v>
      </c>
      <c r="G439" s="120" t="str">
        <f>A438</f>
        <v>2nd to 5th, 7th to 10th, 12th to 15th, 17th to 20th, 22nd to 25th, 27th to 30th Floor</v>
      </c>
      <c r="H439" s="121"/>
      <c r="I439" s="52">
        <f>7500000/F441</f>
        <v>8848.4079745459985</v>
      </c>
      <c r="L439" s="55">
        <v>204</v>
      </c>
      <c r="M439" s="55">
        <v>3004</v>
      </c>
      <c r="N439" s="52"/>
      <c r="Q439" s="53" t="str">
        <f t="shared" si="73"/>
        <v>204,…,3004</v>
      </c>
    </row>
    <row r="440" spans="1:17" s="53" customFormat="1" ht="15.75" customHeight="1" x14ac:dyDescent="0.35">
      <c r="A440" s="116" t="str">
        <f t="shared" ref="A440:A445" si="75">Q437</f>
        <v>202,…,3002</v>
      </c>
      <c r="B440" s="116"/>
      <c r="C440" s="28" t="s">
        <v>178</v>
      </c>
      <c r="D440" s="28">
        <f>(1.83*1.15+2.13*3.5+3.05*4.8+0.77*1.49+2.13*1.37+2.9*3.35+3.05*3.65+1.37*2.28+1*2.9+2.13*1.05)*10.764</f>
        <v>617.55759</v>
      </c>
      <c r="E440" s="28">
        <v>0</v>
      </c>
      <c r="F440" s="28">
        <f t="shared" si="74"/>
        <v>926.33638500000006</v>
      </c>
      <c r="G440" s="122"/>
      <c r="H440" s="123"/>
      <c r="I440" s="52"/>
      <c r="L440" s="54">
        <v>205</v>
      </c>
      <c r="M440" s="54">
        <v>3005</v>
      </c>
      <c r="N440" s="52"/>
      <c r="Q440" s="53" t="str">
        <f t="shared" si="73"/>
        <v>205,…,3005</v>
      </c>
    </row>
    <row r="441" spans="1:17" s="53" customFormat="1" ht="15.75" customHeight="1" x14ac:dyDescent="0.35">
      <c r="A441" s="116" t="str">
        <f t="shared" si="75"/>
        <v>203,…,3003</v>
      </c>
      <c r="B441" s="116"/>
      <c r="C441" s="28" t="s">
        <v>178</v>
      </c>
      <c r="D441" s="28">
        <f>(2.13*3.43+2.9*4.73+3*3.3+2.9*3.65+1.37*2.13+2.13*1.37+2.05*1.05+1*3)*10.764</f>
        <v>565.07340239999996</v>
      </c>
      <c r="E441" s="28">
        <v>0</v>
      </c>
      <c r="F441" s="28">
        <f t="shared" si="74"/>
        <v>847.6101036</v>
      </c>
      <c r="G441" s="122"/>
      <c r="H441" s="123"/>
      <c r="I441" s="52"/>
      <c r="L441" s="55">
        <v>206</v>
      </c>
      <c r="M441" s="55">
        <v>3006</v>
      </c>
      <c r="N441" s="52"/>
      <c r="Q441" s="53" t="str">
        <f t="shared" si="73"/>
        <v>206,…,3006</v>
      </c>
    </row>
    <row r="442" spans="1:17" s="53" customFormat="1" ht="15.75" customHeight="1" x14ac:dyDescent="0.35">
      <c r="A442" s="116" t="str">
        <f t="shared" si="75"/>
        <v>204,…,3004</v>
      </c>
      <c r="B442" s="116"/>
      <c r="C442" s="28" t="s">
        <v>178</v>
      </c>
      <c r="D442" s="28">
        <f>(1.83*1.15+2.13*3.5+3.05*4.8+0.77*1.49+2.13*1.37+2.9*3.35+3.05*3.65+1.37*2.28+1*2.9+2.13*1.05)*10.764</f>
        <v>617.55759</v>
      </c>
      <c r="E442" s="28">
        <v>0</v>
      </c>
      <c r="F442" s="28">
        <f t="shared" si="74"/>
        <v>926.33638500000006</v>
      </c>
      <c r="G442" s="122"/>
      <c r="H442" s="123"/>
      <c r="I442" s="52"/>
      <c r="L442" s="54">
        <v>207</v>
      </c>
      <c r="M442" s="54">
        <v>3007</v>
      </c>
      <c r="N442" s="52"/>
      <c r="Q442" s="53" t="str">
        <f t="shared" si="73"/>
        <v>207,…,3007</v>
      </c>
    </row>
    <row r="443" spans="1:17" s="53" customFormat="1" ht="15.75" customHeight="1" x14ac:dyDescent="0.35">
      <c r="A443" s="116" t="str">
        <f t="shared" si="75"/>
        <v>205,…,3005</v>
      </c>
      <c r="B443" s="116"/>
      <c r="C443" s="28" t="s">
        <v>178</v>
      </c>
      <c r="D443" s="28">
        <f>(1.83*1.15+2.13*3.5+3.05*4.8+0.77*1.49+2.13*1.37+2.9*3.35+3.05*3.65+1.37*2.28+1*2.9+2.13*1.05)*10.764</f>
        <v>617.55759</v>
      </c>
      <c r="E443" s="28">
        <v>0</v>
      </c>
      <c r="F443" s="28">
        <f t="shared" si="74"/>
        <v>926.33638500000006</v>
      </c>
      <c r="G443" s="122"/>
      <c r="H443" s="123"/>
      <c r="I443" s="52"/>
      <c r="N443" s="52"/>
    </row>
    <row r="444" spans="1:17" s="53" customFormat="1" x14ac:dyDescent="0.35">
      <c r="A444" s="116" t="str">
        <f t="shared" si="75"/>
        <v>206,…,3006</v>
      </c>
      <c r="B444" s="116"/>
      <c r="C444" s="28" t="s">
        <v>178</v>
      </c>
      <c r="D444" s="28">
        <f>(3.36*2.13+4.73*2.9+1.05*1.95+3.35*3+3.65*2.9+2.13*1.37+1.37*2.13+1*3+0.6*1.2)*10.764</f>
        <v>571.70294999999999</v>
      </c>
      <c r="E444" s="28">
        <v>0</v>
      </c>
      <c r="F444" s="28">
        <f t="shared" si="74"/>
        <v>857.55442500000004</v>
      </c>
      <c r="G444" s="122"/>
      <c r="H444" s="123"/>
      <c r="I444" s="52"/>
      <c r="L444" s="107"/>
      <c r="M444" s="107"/>
    </row>
    <row r="445" spans="1:17" s="53" customFormat="1" ht="15.75" customHeight="1" x14ac:dyDescent="0.35">
      <c r="A445" s="116" t="str">
        <f t="shared" si="75"/>
        <v>207,…,3007</v>
      </c>
      <c r="B445" s="116"/>
      <c r="C445" s="28" t="s">
        <v>178</v>
      </c>
      <c r="D445" s="28">
        <f>(3.36*2.13+4.73*2.9+1.05*1.95+3.35*3+3.65*2.9+2.13*1.37+1.37*2.13+1*3+0.6*1.2)*10.764</f>
        <v>571.70294999999999</v>
      </c>
      <c r="E445" s="28">
        <v>0</v>
      </c>
      <c r="F445" s="28">
        <f t="shared" si="74"/>
        <v>857.55442500000004</v>
      </c>
      <c r="G445" s="122"/>
      <c r="H445" s="123"/>
      <c r="I445" s="52"/>
      <c r="L445" s="53">
        <v>601</v>
      </c>
      <c r="M445" s="53">
        <v>2601</v>
      </c>
      <c r="N445" s="52"/>
      <c r="Q445" s="53" t="str">
        <f>L445&amp;""&amp;",…,"&amp;""&amp;M445</f>
        <v>601,…,2601</v>
      </c>
    </row>
    <row r="446" spans="1:17" s="53" customFormat="1" ht="15.75" customHeight="1" x14ac:dyDescent="0.35">
      <c r="A446" s="125" t="s">
        <v>269</v>
      </c>
      <c r="B446" s="125"/>
      <c r="C446" s="125"/>
      <c r="D446" s="125"/>
      <c r="E446" s="125"/>
      <c r="F446" s="125"/>
      <c r="G446" s="125"/>
      <c r="H446" s="125"/>
      <c r="I446" s="52"/>
      <c r="L446" s="53">
        <v>602</v>
      </c>
      <c r="M446" s="53">
        <v>2602</v>
      </c>
      <c r="N446" s="52"/>
      <c r="Q446" s="53" t="str">
        <f t="shared" ref="Q446:Q450" si="76">L446&amp;""&amp;",…,"&amp;""&amp;M446</f>
        <v>602,…,2602</v>
      </c>
    </row>
    <row r="447" spans="1:17" s="53" customFormat="1" ht="15.75" customHeight="1" x14ac:dyDescent="0.35">
      <c r="A447" s="116" t="str">
        <f>Q445</f>
        <v>601,…,2601</v>
      </c>
      <c r="B447" s="116"/>
      <c r="C447" s="28" t="s">
        <v>178</v>
      </c>
      <c r="D447" s="28">
        <f>(1.83*1.15+2.13*3.5+3.05*4.8+0.77*1.49+2.13*1.37+2.9*3.35+3.05*3.65+1.37*2.28+1*2.9+2.13*1.05)*10.764</f>
        <v>617.55759</v>
      </c>
      <c r="E447" s="28">
        <v>0</v>
      </c>
      <c r="F447" s="28">
        <f>D447*(($F$338)+1)+E447</f>
        <v>926.33638500000006</v>
      </c>
      <c r="G447" s="120" t="str">
        <f>A446</f>
        <v>6th, 11th, 16th, 21st &amp; 26th Floor (Part Refuge Floor)</v>
      </c>
      <c r="H447" s="121"/>
      <c r="I447" s="52">
        <f>7500000/F449</f>
        <v>8848.4079745459985</v>
      </c>
      <c r="L447" s="53">
        <v>603</v>
      </c>
      <c r="M447" s="53">
        <v>2603</v>
      </c>
      <c r="N447" s="52"/>
      <c r="Q447" s="53" t="str">
        <f t="shared" si="76"/>
        <v>603,…,2603</v>
      </c>
    </row>
    <row r="448" spans="1:17" s="53" customFormat="1" ht="15.75" customHeight="1" x14ac:dyDescent="0.35">
      <c r="A448" s="116" t="str">
        <f t="shared" ref="A448:A453" si="77">Q446</f>
        <v>602,…,2602</v>
      </c>
      <c r="B448" s="116"/>
      <c r="C448" s="28" t="s">
        <v>178</v>
      </c>
      <c r="D448" s="28">
        <f>(1.83*1.15+2.13*3.5+3.05*4.8+0.77*1.49+2.13*1.37+2.9*3.35+3.05*3.65+1.37*2.28+1*2.9+2.13*1.05)*10.764</f>
        <v>617.55759</v>
      </c>
      <c r="E448" s="28">
        <v>0</v>
      </c>
      <c r="F448" s="28">
        <f>D448*(($F$338)+1)+E448</f>
        <v>926.33638500000006</v>
      </c>
      <c r="G448" s="122"/>
      <c r="H448" s="123"/>
      <c r="I448" s="52"/>
      <c r="L448" s="53">
        <v>604</v>
      </c>
      <c r="M448" s="53">
        <v>2604</v>
      </c>
      <c r="N448" s="52"/>
      <c r="Q448" s="53" t="str">
        <f t="shared" si="76"/>
        <v>604,…,2604</v>
      </c>
    </row>
    <row r="449" spans="1:17" s="53" customFormat="1" ht="15.75" customHeight="1" x14ac:dyDescent="0.35">
      <c r="A449" s="116" t="str">
        <f t="shared" si="77"/>
        <v>603,…,2603</v>
      </c>
      <c r="B449" s="116"/>
      <c r="C449" s="28" t="s">
        <v>178</v>
      </c>
      <c r="D449" s="28">
        <f>(2.13*3.43+2.9*4.73+3*3.3+2.9*3.65+1.37*2.13+2.13*1.37+2.05*1.05+1*3)*10.764</f>
        <v>565.07340239999996</v>
      </c>
      <c r="E449" s="28">
        <v>0</v>
      </c>
      <c r="F449" s="28">
        <f>D449*(($F$338)+1)+E449</f>
        <v>847.6101036</v>
      </c>
      <c r="G449" s="122"/>
      <c r="H449" s="123"/>
      <c r="I449" s="52"/>
      <c r="L449" s="53">
        <v>605</v>
      </c>
      <c r="M449" s="53">
        <v>2605</v>
      </c>
      <c r="N449" s="52"/>
      <c r="Q449" s="53" t="str">
        <f t="shared" si="76"/>
        <v>605,…,2605</v>
      </c>
    </row>
    <row r="450" spans="1:17" s="53" customFormat="1" ht="15.75" customHeight="1" x14ac:dyDescent="0.35">
      <c r="A450" s="116" t="str">
        <f t="shared" si="77"/>
        <v>604,…,2604</v>
      </c>
      <c r="B450" s="116"/>
      <c r="C450" s="28" t="s">
        <v>178</v>
      </c>
      <c r="D450" s="28">
        <f>(1.83*1.15+2.13*3.5+3.05*4.8+0.77*1.49+2.13*1.37+2.9*3.35+3.05*3.65+1.37*2.28+1*2.9+2.13*1.05)*10.764</f>
        <v>617.55759</v>
      </c>
      <c r="E450" s="28">
        <v>0</v>
      </c>
      <c r="F450" s="28">
        <f>D450*(($F$338)+1)+E450</f>
        <v>926.33638500000006</v>
      </c>
      <c r="G450" s="122"/>
      <c r="H450" s="123"/>
      <c r="I450" s="52"/>
      <c r="L450" s="53">
        <v>606</v>
      </c>
      <c r="M450" s="53">
        <v>2606</v>
      </c>
      <c r="N450" s="52"/>
      <c r="Q450" s="53" t="str">
        <f t="shared" si="76"/>
        <v>606,…,2606</v>
      </c>
    </row>
    <row r="451" spans="1:17" s="53" customFormat="1" ht="15.75" customHeight="1" x14ac:dyDescent="0.35">
      <c r="A451" s="116" t="str">
        <f t="shared" si="77"/>
        <v>605,…,2605</v>
      </c>
      <c r="B451" s="116"/>
      <c r="C451" s="28" t="s">
        <v>178</v>
      </c>
      <c r="D451" s="28">
        <f>(1.83*1.15+2.13*3.5+3.05*4.8+0.77*1.49+2.13*1.37+2.9*3.35+3.05*3.65+1.37*2.28+1*2.9+2.13*1.05)*10.764</f>
        <v>617.55759</v>
      </c>
      <c r="E451" s="28">
        <v>0</v>
      </c>
      <c r="F451" s="28">
        <f>D451*(($F$338)+1)+E451</f>
        <v>926.33638500000006</v>
      </c>
      <c r="G451" s="122"/>
      <c r="H451" s="123"/>
      <c r="I451" s="52"/>
      <c r="L451" s="53">
        <v>607</v>
      </c>
      <c r="M451" s="53">
        <v>2607</v>
      </c>
      <c r="N451" s="52"/>
      <c r="Q451" s="53" t="str">
        <f>L451&amp;""&amp;",…,"&amp;""&amp;M451</f>
        <v>607,…,2607</v>
      </c>
    </row>
    <row r="452" spans="1:17" s="53" customFormat="1" x14ac:dyDescent="0.35">
      <c r="A452" s="116" t="str">
        <f t="shared" si="77"/>
        <v>606,…,2606</v>
      </c>
      <c r="B452" s="116"/>
      <c r="C452" s="117" t="s">
        <v>201</v>
      </c>
      <c r="D452" s="118"/>
      <c r="E452" s="118"/>
      <c r="F452" s="119"/>
      <c r="G452" s="122"/>
      <c r="H452" s="123"/>
      <c r="I452" s="52"/>
      <c r="L452" s="107"/>
      <c r="M452" s="107"/>
    </row>
    <row r="453" spans="1:17" s="53" customFormat="1" ht="15.75" customHeight="1" x14ac:dyDescent="0.35">
      <c r="A453" s="116" t="str">
        <f t="shared" si="77"/>
        <v>607,…,2607</v>
      </c>
      <c r="B453" s="116"/>
      <c r="C453" s="28" t="s">
        <v>178</v>
      </c>
      <c r="D453" s="28">
        <f>(3.36*2.13+4.73*2.9+1.05*1.95+3.35*3+3.65*2.9+2.13*1.37+1.37*2.13+1*3+0.6*1.2)*10.764</f>
        <v>571.70294999999999</v>
      </c>
      <c r="E453" s="28">
        <v>0</v>
      </c>
      <c r="F453" s="28">
        <f>D453*(($F$338)+1)+E453</f>
        <v>857.55442500000004</v>
      </c>
      <c r="G453" s="122"/>
      <c r="H453" s="123"/>
      <c r="I453" s="52"/>
      <c r="L453" s="53">
        <v>3201</v>
      </c>
      <c r="M453" s="53">
        <v>3301</v>
      </c>
      <c r="N453" s="52"/>
      <c r="Q453" s="53" t="str">
        <f>L453&amp;""&amp;" &amp; "&amp;""&amp;M453</f>
        <v>3201 &amp; 3301</v>
      </c>
    </row>
    <row r="454" spans="1:17" s="53" customFormat="1" ht="15.75" customHeight="1" x14ac:dyDescent="0.35">
      <c r="A454" s="125" t="s">
        <v>271</v>
      </c>
      <c r="B454" s="125"/>
      <c r="C454" s="125"/>
      <c r="D454" s="125"/>
      <c r="E454" s="125"/>
      <c r="F454" s="125"/>
      <c r="G454" s="125"/>
      <c r="H454" s="125"/>
      <c r="I454" s="52"/>
      <c r="L454" s="53">
        <v>3202</v>
      </c>
      <c r="M454" s="53">
        <v>3302</v>
      </c>
      <c r="N454" s="52"/>
      <c r="Q454" s="53" t="str">
        <f t="shared" ref="Q454:Q459" si="78">L454&amp;""&amp;" &amp; "&amp;""&amp;M454</f>
        <v>3202 &amp; 3302</v>
      </c>
    </row>
    <row r="455" spans="1:17" s="53" customFormat="1" ht="15.75" customHeight="1" x14ac:dyDescent="0.35">
      <c r="A455" s="116" t="str">
        <f>Q453</f>
        <v>3201 &amp; 3301</v>
      </c>
      <c r="B455" s="116"/>
      <c r="C455" s="28" t="s">
        <v>178</v>
      </c>
      <c r="D455" s="28">
        <f>(1.83*1.15+2.13*3.5+3.05*4.8+0.77*1.49+2.13*1.37+2.9*3.35+3.05*3.65+1.37*2.28+1*2.9+2.13*1.05+5.5*1.34+1.42*1.07)*10.764</f>
        <v>713.24309160000007</v>
      </c>
      <c r="E455" s="28">
        <v>0</v>
      </c>
      <c r="F455" s="28">
        <f t="shared" ref="F455:F461" si="79">D455*(($F$338)+1)+E455</f>
        <v>1069.8646374</v>
      </c>
      <c r="G455" s="120" t="str">
        <f>A454</f>
        <v xml:space="preserve">32nd &amp; 33rd Floor </v>
      </c>
      <c r="H455" s="121"/>
      <c r="I455" s="52">
        <f>7500000/F457</f>
        <v>8848.4079745459985</v>
      </c>
      <c r="L455" s="53">
        <v>3203</v>
      </c>
      <c r="M455" s="53">
        <v>3303</v>
      </c>
      <c r="N455" s="52"/>
      <c r="Q455" s="53" t="str">
        <f t="shared" si="78"/>
        <v>3203 &amp; 3303</v>
      </c>
    </row>
    <row r="456" spans="1:17" s="53" customFormat="1" ht="15.75" customHeight="1" x14ac:dyDescent="0.35">
      <c r="A456" s="116" t="str">
        <f t="shared" ref="A456:A461" si="80">Q454</f>
        <v>3202 &amp; 3302</v>
      </c>
      <c r="B456" s="116"/>
      <c r="C456" s="28" t="s">
        <v>178</v>
      </c>
      <c r="D456" s="28">
        <f>(1.83*1.15+2.13*3.5+3.05*4.8+0.77*1.49+2.13*1.37+2.9*3.35+3.05*3.65+1.37*2.28+1*2.9+2.13*1.05+1.42*1.07+5.55*1.34)*10.764</f>
        <v>713.96427960000005</v>
      </c>
      <c r="E456" s="28">
        <v>0</v>
      </c>
      <c r="F456" s="28">
        <f t="shared" si="79"/>
        <v>1070.9464194000002</v>
      </c>
      <c r="G456" s="122"/>
      <c r="H456" s="123"/>
      <c r="I456" s="52"/>
      <c r="L456" s="53">
        <v>3204</v>
      </c>
      <c r="M456" s="53">
        <v>3304</v>
      </c>
      <c r="N456" s="52"/>
      <c r="Q456" s="53" t="str">
        <f t="shared" si="78"/>
        <v>3204 &amp; 3304</v>
      </c>
    </row>
    <row r="457" spans="1:17" s="53" customFormat="1" ht="15.75" customHeight="1" x14ac:dyDescent="0.35">
      <c r="A457" s="116" t="str">
        <f t="shared" si="80"/>
        <v>3203 &amp; 3303</v>
      </c>
      <c r="B457" s="116"/>
      <c r="C457" s="28" t="s">
        <v>178</v>
      </c>
      <c r="D457" s="28">
        <f>(2.13*3.43+2.9*4.73+3*3.3+2.9*3.65+1.37*2.13+2.13*1.37+2.05*1.05+1*3)*10.764</f>
        <v>565.07340239999996</v>
      </c>
      <c r="E457" s="28">
        <v>0</v>
      </c>
      <c r="F457" s="28">
        <f t="shared" si="79"/>
        <v>847.6101036</v>
      </c>
      <c r="G457" s="122"/>
      <c r="H457" s="123"/>
      <c r="I457" s="52"/>
      <c r="L457" s="53">
        <v>3205</v>
      </c>
      <c r="M457" s="53">
        <v>3305</v>
      </c>
      <c r="N457" s="52"/>
      <c r="Q457" s="53" t="str">
        <f t="shared" si="78"/>
        <v>3205 &amp; 3305</v>
      </c>
    </row>
    <row r="458" spans="1:17" s="53" customFormat="1" ht="15.75" customHeight="1" x14ac:dyDescent="0.35">
      <c r="A458" s="116" t="str">
        <f t="shared" si="80"/>
        <v>3204 &amp; 3304</v>
      </c>
      <c r="B458" s="116"/>
      <c r="C458" s="28" t="s">
        <v>178</v>
      </c>
      <c r="D458" s="28">
        <f>(1.83*1.15+2.13*3.5+3.05*4.8+0.77*1.49+2.13*1.37+2.9*3.35+3.05*3.65+1.37*2.28+1*2.9+2.13*1.05)*10.764</f>
        <v>617.55759</v>
      </c>
      <c r="E458" s="28">
        <v>0</v>
      </c>
      <c r="F458" s="28">
        <f t="shared" si="79"/>
        <v>926.33638500000006</v>
      </c>
      <c r="G458" s="122"/>
      <c r="H458" s="123"/>
      <c r="I458" s="52"/>
      <c r="L458" s="53">
        <v>3206</v>
      </c>
      <c r="M458" s="53">
        <v>3306</v>
      </c>
      <c r="N458" s="52"/>
      <c r="Q458" s="53" t="str">
        <f t="shared" si="78"/>
        <v>3206 &amp; 3306</v>
      </c>
    </row>
    <row r="459" spans="1:17" s="53" customFormat="1" ht="15.75" customHeight="1" x14ac:dyDescent="0.35">
      <c r="A459" s="116" t="str">
        <f t="shared" si="80"/>
        <v>3205 &amp; 3305</v>
      </c>
      <c r="B459" s="116"/>
      <c r="C459" s="28" t="s">
        <v>178</v>
      </c>
      <c r="D459" s="28">
        <f>(1.83*1.15+2.13*3.5+3.05*4.8+0.77*1.49+2.13*1.37+2.9*3.35+3.05*3.65+1.37*2.28+1*2.9+2.13*1.05)*10.764</f>
        <v>617.55759</v>
      </c>
      <c r="E459" s="28">
        <v>0</v>
      </c>
      <c r="F459" s="28">
        <f t="shared" si="79"/>
        <v>926.33638500000006</v>
      </c>
      <c r="G459" s="122"/>
      <c r="H459" s="123"/>
      <c r="I459" s="52"/>
      <c r="L459" s="53">
        <v>3207</v>
      </c>
      <c r="M459" s="53">
        <v>3307</v>
      </c>
      <c r="N459" s="52"/>
      <c r="Q459" s="53" t="str">
        <f t="shared" si="78"/>
        <v>3207 &amp; 3307</v>
      </c>
    </row>
    <row r="460" spans="1:17" s="53" customFormat="1" x14ac:dyDescent="0.35">
      <c r="A460" s="116" t="str">
        <f t="shared" si="80"/>
        <v>3206 &amp; 3306</v>
      </c>
      <c r="B460" s="116"/>
      <c r="C460" s="28" t="s">
        <v>178</v>
      </c>
      <c r="D460" s="28">
        <f>(3.36*2.13+4.73*2.9+1.05*1.95+3.35*3+3.65*2.9+2.13*1.37+1.37*2.13+1*3+0.6*1.2)*10.764</f>
        <v>571.70294999999999</v>
      </c>
      <c r="E460" s="28">
        <v>0</v>
      </c>
      <c r="F460" s="28">
        <f t="shared" si="79"/>
        <v>857.55442500000004</v>
      </c>
      <c r="G460" s="122"/>
      <c r="H460" s="123"/>
      <c r="I460" s="52"/>
      <c r="L460" s="107"/>
      <c r="M460" s="107"/>
    </row>
    <row r="461" spans="1:17" s="53" customFormat="1" ht="15.75" customHeight="1" x14ac:dyDescent="0.35">
      <c r="A461" s="116" t="str">
        <f t="shared" si="80"/>
        <v>3207 &amp; 3307</v>
      </c>
      <c r="B461" s="116"/>
      <c r="C461" s="28" t="s">
        <v>178</v>
      </c>
      <c r="D461" s="28">
        <f>(3.36*2.13+4.73*2.9+1.05*1.95+3.35*3+3.65*2.9+2.13*1.37+1.37*2.13+1*3+0.6*1.2)*10.764</f>
        <v>571.70294999999999</v>
      </c>
      <c r="E461" s="28">
        <v>0</v>
      </c>
      <c r="F461" s="28">
        <f t="shared" si="79"/>
        <v>857.55442500000004</v>
      </c>
      <c r="G461" s="122"/>
      <c r="H461" s="123"/>
      <c r="I461" s="52"/>
      <c r="N461" s="52"/>
    </row>
    <row r="462" spans="1:17" s="53" customFormat="1" ht="15.75" customHeight="1" x14ac:dyDescent="0.35">
      <c r="A462" s="125" t="s">
        <v>270</v>
      </c>
      <c r="B462" s="125"/>
      <c r="C462" s="125"/>
      <c r="D462" s="125"/>
      <c r="E462" s="125"/>
      <c r="F462" s="125"/>
      <c r="G462" s="125"/>
      <c r="H462" s="125"/>
      <c r="I462" s="52"/>
      <c r="N462" s="52"/>
    </row>
    <row r="463" spans="1:17" s="53" customFormat="1" ht="15.75" customHeight="1" x14ac:dyDescent="0.35">
      <c r="A463" s="116">
        <v>3101</v>
      </c>
      <c r="B463" s="116"/>
      <c r="C463" s="28" t="s">
        <v>178</v>
      </c>
      <c r="D463" s="28">
        <f>(1.83*1.15+2.13*3.5+3.05*4.8+0.77*1.49+2.13*1.37+2.9*3.35+3.05*3.65+1.37*2.28+1*2.9+2.13*1.05+5.5*1.34+1.42*1.07)*10.764</f>
        <v>713.24309160000007</v>
      </c>
      <c r="E463" s="28">
        <v>0</v>
      </c>
      <c r="F463" s="28">
        <f>D463*(($F$338)+1)+E463</f>
        <v>1069.8646374</v>
      </c>
      <c r="G463" s="120" t="str">
        <f>A462</f>
        <v>31st Floor (Part Refuge Area)</v>
      </c>
      <c r="H463" s="121"/>
      <c r="I463" s="52">
        <f>7500000/F465</f>
        <v>8848.4079745459985</v>
      </c>
      <c r="N463" s="52"/>
    </row>
    <row r="464" spans="1:17" s="53" customFormat="1" ht="15.75" customHeight="1" x14ac:dyDescent="0.35">
      <c r="A464" s="116">
        <v>3102</v>
      </c>
      <c r="B464" s="116"/>
      <c r="C464" s="28" t="s">
        <v>178</v>
      </c>
      <c r="D464" s="28">
        <f>(1.83*1.15+2.13*3.5+3.05*4.8+0.77*1.49+2.13*1.37+2.9*3.35+3.05*3.65+1.37*2.28+1*2.9+2.13*1.05+1.42*1.07+5.55*1.34)*10.764</f>
        <v>713.96427960000005</v>
      </c>
      <c r="E464" s="28">
        <v>0</v>
      </c>
      <c r="F464" s="28">
        <f>D464*(($F$338)+1)+E464</f>
        <v>1070.9464194000002</v>
      </c>
      <c r="G464" s="122"/>
      <c r="H464" s="123"/>
      <c r="I464" s="52"/>
      <c r="N464" s="52"/>
    </row>
    <row r="465" spans="1:17" s="53" customFormat="1" ht="15.75" customHeight="1" x14ac:dyDescent="0.35">
      <c r="A465" s="116">
        <v>3103</v>
      </c>
      <c r="B465" s="116"/>
      <c r="C465" s="28" t="s">
        <v>178</v>
      </c>
      <c r="D465" s="28">
        <f>(2.13*3.43+2.9*4.73+3*3.3+2.9*3.65+1.37*2.13+2.13*1.37+2.05*1.05+1*3)*10.764</f>
        <v>565.07340239999996</v>
      </c>
      <c r="E465" s="28">
        <v>0</v>
      </c>
      <c r="F465" s="28">
        <f>D465*(($F$338)+1)+E465</f>
        <v>847.6101036</v>
      </c>
      <c r="G465" s="122"/>
      <c r="H465" s="123"/>
      <c r="I465" s="52"/>
      <c r="N465" s="52"/>
    </row>
    <row r="466" spans="1:17" s="53" customFormat="1" ht="15.75" customHeight="1" x14ac:dyDescent="0.35">
      <c r="A466" s="116">
        <v>3104</v>
      </c>
      <c r="B466" s="116"/>
      <c r="C466" s="28" t="s">
        <v>178</v>
      </c>
      <c r="D466" s="28">
        <f>(1.83*1.15+2.13*3.5+3.05*4.8+0.77*1.49+2.13*1.37+2.9*3.35+3.05*3.65+1.37*2.28+1*2.9+2.13*1.05)*10.764</f>
        <v>617.55759</v>
      </c>
      <c r="E466" s="28">
        <v>0</v>
      </c>
      <c r="F466" s="28">
        <f>D466*(($F$338)+1)+E466</f>
        <v>926.33638500000006</v>
      </c>
      <c r="G466" s="122"/>
      <c r="H466" s="123"/>
      <c r="I466" s="52"/>
      <c r="N466" s="52"/>
    </row>
    <row r="467" spans="1:17" s="53" customFormat="1" ht="15.75" customHeight="1" x14ac:dyDescent="0.35">
      <c r="A467" s="116">
        <v>3105</v>
      </c>
      <c r="B467" s="116"/>
      <c r="C467" s="28" t="s">
        <v>178</v>
      </c>
      <c r="D467" s="28">
        <f>(1.83*1.15+2.13*3.5+3.05*4.8+0.77*1.49+2.13*1.37+2.9*3.35+3.05*3.65+1.37*2.28+1*2.9+2.13*1.05)*10.764</f>
        <v>617.55759</v>
      </c>
      <c r="E467" s="28">
        <v>0</v>
      </c>
      <c r="F467" s="28">
        <f>D467*(($F$338)+1)+E467</f>
        <v>926.33638500000006</v>
      </c>
      <c r="G467" s="122"/>
      <c r="H467" s="123"/>
      <c r="I467" s="52"/>
      <c r="N467" s="52"/>
    </row>
    <row r="468" spans="1:17" s="53" customFormat="1" x14ac:dyDescent="0.35">
      <c r="A468" s="116">
        <v>3106</v>
      </c>
      <c r="B468" s="116"/>
      <c r="C468" s="117" t="s">
        <v>201</v>
      </c>
      <c r="D468" s="118"/>
      <c r="E468" s="118"/>
      <c r="F468" s="119"/>
      <c r="G468" s="122"/>
      <c r="H468" s="123"/>
      <c r="I468" s="52"/>
    </row>
    <row r="469" spans="1:17" s="53" customFormat="1" x14ac:dyDescent="0.35">
      <c r="A469" s="116">
        <v>3107</v>
      </c>
      <c r="B469" s="116"/>
      <c r="C469" s="28" t="s">
        <v>178</v>
      </c>
      <c r="D469" s="28">
        <f>(3.36*2.13+4.73*2.9+1.05*1.95+3.35*3+3.65*2.9+2.13*1.37+1.37*2.13+1*3+0.6*1.2)*10.764</f>
        <v>571.70294999999999</v>
      </c>
      <c r="E469" s="28">
        <v>0</v>
      </c>
      <c r="F469" s="28">
        <f>D469*(($F$338)+1)+E469</f>
        <v>857.55442500000004</v>
      </c>
      <c r="G469" s="122"/>
      <c r="H469" s="123"/>
      <c r="I469" s="52"/>
      <c r="L469" s="107"/>
      <c r="M469" s="107"/>
    </row>
    <row r="470" spans="1:17" s="53" customFormat="1" hidden="1" x14ac:dyDescent="0.35">
      <c r="A470" s="124" t="s">
        <v>291</v>
      </c>
      <c r="B470" s="124"/>
      <c r="C470" s="124"/>
      <c r="D470" s="124"/>
      <c r="E470" s="124"/>
      <c r="F470" s="124"/>
      <c r="G470" s="124"/>
      <c r="H470" s="124"/>
      <c r="I470" s="52"/>
      <c r="L470" s="107"/>
      <c r="M470" s="107"/>
    </row>
    <row r="471" spans="1:17" s="53" customFormat="1" ht="15.75" hidden="1" customHeight="1" x14ac:dyDescent="0.35">
      <c r="A471" s="125" t="s">
        <v>299</v>
      </c>
      <c r="B471" s="125"/>
      <c r="C471" s="125"/>
      <c r="D471" s="125"/>
      <c r="E471" s="125"/>
      <c r="F471" s="125"/>
      <c r="G471" s="125"/>
      <c r="H471" s="125"/>
      <c r="I471" s="52"/>
      <c r="N471" s="52"/>
    </row>
    <row r="472" spans="1:17" s="53" customFormat="1" ht="15.75" hidden="1" customHeight="1" x14ac:dyDescent="0.35">
      <c r="A472" s="125" t="s">
        <v>294</v>
      </c>
      <c r="B472" s="125"/>
      <c r="C472" s="125"/>
      <c r="D472" s="125"/>
      <c r="E472" s="125"/>
      <c r="F472" s="125"/>
      <c r="G472" s="125"/>
      <c r="H472" s="125"/>
      <c r="I472" s="52"/>
      <c r="N472" s="52"/>
    </row>
    <row r="473" spans="1:17" s="53" customFormat="1" x14ac:dyDescent="0.35">
      <c r="A473" s="116" t="s">
        <v>295</v>
      </c>
      <c r="B473" s="116"/>
      <c r="C473" s="28" t="s">
        <v>204</v>
      </c>
      <c r="D473" s="28">
        <f>(2.3*3.5+2.78*4.71+3.05*3.75+2.28*1.37)*10.764</f>
        <v>384.32754360000001</v>
      </c>
      <c r="E473" s="28">
        <v>0</v>
      </c>
      <c r="F473" s="28">
        <f>D473*(($F$338)+1)+E473</f>
        <v>576.49131540000008</v>
      </c>
      <c r="G473" s="120" t="str">
        <f>A472</f>
        <v>2nd Podium Floor for Amenities &amp; Residential</v>
      </c>
      <c r="H473" s="121"/>
      <c r="I473" s="52"/>
      <c r="L473" s="107"/>
      <c r="M473" s="107"/>
    </row>
    <row r="474" spans="1:17" s="53" customFormat="1" ht="15.75" customHeight="1" x14ac:dyDescent="0.35">
      <c r="A474" s="116" t="s">
        <v>296</v>
      </c>
      <c r="B474" s="116"/>
      <c r="C474" s="28" t="s">
        <v>204</v>
      </c>
      <c r="D474" s="28">
        <f>(3*3.85+3.05*3.75+1.4*2.31)*10.764</f>
        <v>282.24822599999999</v>
      </c>
      <c r="E474" s="28">
        <v>0</v>
      </c>
      <c r="F474" s="28">
        <f>D474*(($F$338)+1)+E474</f>
        <v>423.37233900000001</v>
      </c>
      <c r="G474" s="173"/>
      <c r="H474" s="174"/>
      <c r="I474" s="52"/>
      <c r="N474" s="52"/>
    </row>
    <row r="475" spans="1:17" s="53" customFormat="1" ht="15.75" customHeight="1" x14ac:dyDescent="0.35">
      <c r="A475" s="125" t="s">
        <v>267</v>
      </c>
      <c r="B475" s="125"/>
      <c r="C475" s="125"/>
      <c r="D475" s="125"/>
      <c r="E475" s="125"/>
      <c r="F475" s="125"/>
      <c r="G475" s="125"/>
      <c r="H475" s="125"/>
      <c r="I475" s="52"/>
      <c r="N475" s="52"/>
    </row>
    <row r="476" spans="1:17" s="53" customFormat="1" ht="15.75" customHeight="1" x14ac:dyDescent="0.35">
      <c r="A476" s="116">
        <v>1</v>
      </c>
      <c r="B476" s="116"/>
      <c r="C476" s="28" t="s">
        <v>133</v>
      </c>
      <c r="D476" s="28">
        <f>(1.67*1.19+3.05*5.19+3.05*3.8+2.28*1.37+3.44*0.81+2.28*1.36+2.28*1.37+3.05*3.8+2.9*3.55+2.13*3.5+2.43*1.05+3.85*1.06+1.4*1.06)*10.764</f>
        <v>850.33124280000004</v>
      </c>
      <c r="E476" s="28">
        <v>0</v>
      </c>
      <c r="F476" s="28">
        <f t="shared" ref="F476:F481" si="81">D476*(($F$338)+1)+E476</f>
        <v>1275.4968642000001</v>
      </c>
      <c r="G476" s="120" t="str">
        <f>A475</f>
        <v>1st Floor for Residential</v>
      </c>
      <c r="H476" s="121"/>
      <c r="I476" s="52">
        <f>7500000/F478</f>
        <v>8467.8926869189581</v>
      </c>
      <c r="N476" s="52"/>
    </row>
    <row r="477" spans="1:17" s="53" customFormat="1" ht="15.75" customHeight="1" x14ac:dyDescent="0.35">
      <c r="A477" s="116">
        <v>2</v>
      </c>
      <c r="B477" s="116"/>
      <c r="C477" s="28" t="s">
        <v>133</v>
      </c>
      <c r="D477" s="28">
        <f>(1.67*1.19+3.05*5.19+3.05*3.8+2.28*1.37+3.44*0.81+2.28*1.36+2.28*1.37+3.05*3.8+2.9*3.55+2.13*3.5+2.43*1.05+3.85*1.06+1.4*1.06)*10.764</f>
        <v>850.33124280000004</v>
      </c>
      <c r="E477" s="28">
        <v>0</v>
      </c>
      <c r="F477" s="28">
        <f t="shared" si="81"/>
        <v>1275.4968642000001</v>
      </c>
      <c r="G477" s="122"/>
      <c r="H477" s="123"/>
      <c r="I477" s="52"/>
      <c r="N477" s="52"/>
    </row>
    <row r="478" spans="1:17" s="53" customFormat="1" ht="15.75" customHeight="1" x14ac:dyDescent="0.35">
      <c r="A478" s="116">
        <v>3</v>
      </c>
      <c r="B478" s="116"/>
      <c r="C478" s="28" t="s">
        <v>178</v>
      </c>
      <c r="D478" s="28">
        <f>(3.05*4.87+2.9*3.35+3.05*3.65+2.28*1.4+2.28*1.36+2.9*1.06+2.1*1.05+2.13*3.56)*10.764</f>
        <v>590.46567839999989</v>
      </c>
      <c r="E478" s="28">
        <v>0</v>
      </c>
      <c r="F478" s="28">
        <f t="shared" si="81"/>
        <v>885.69851759999983</v>
      </c>
      <c r="G478" s="122"/>
      <c r="H478" s="123"/>
      <c r="I478" s="52"/>
      <c r="N478" s="52"/>
    </row>
    <row r="479" spans="1:17" s="53" customFormat="1" ht="15.75" customHeight="1" x14ac:dyDescent="0.35">
      <c r="A479" s="116">
        <v>4</v>
      </c>
      <c r="B479" s="116"/>
      <c r="C479" s="28" t="s">
        <v>133</v>
      </c>
      <c r="D479" s="28">
        <f>(3.8*1.27+3.05*3.65+2.28*1.36+1.36*1.27+3.35*7.75+1.65*1.4+3.26*3.65+2.44*1.39+3.13*4.87+2.5*1.39+2.26*3.95+0.9*1.43*3.03*1.22)*10.764</f>
        <v>1041.4409412887999</v>
      </c>
      <c r="E479" s="28">
        <v>0</v>
      </c>
      <c r="F479" s="28">
        <f t="shared" si="81"/>
        <v>1562.1614119331998</v>
      </c>
      <c r="G479" s="122"/>
      <c r="H479" s="123"/>
      <c r="I479" s="52"/>
      <c r="N479" s="52"/>
    </row>
    <row r="480" spans="1:17" s="53" customFormat="1" x14ac:dyDescent="0.35">
      <c r="A480" s="116">
        <v>5</v>
      </c>
      <c r="B480" s="116"/>
      <c r="C480" s="28" t="s">
        <v>178</v>
      </c>
      <c r="D480" s="28">
        <f>(3.05*5.13+3.38*0.97+3.35*2.13+0.8*1.2+2.25*1.37+3.65*3.05+3.13*3.65+2.27*1.37+2.22*1.05)*10.764</f>
        <v>625.39916400000004</v>
      </c>
      <c r="E480" s="28">
        <v>0</v>
      </c>
      <c r="F480" s="28">
        <f t="shared" si="81"/>
        <v>938.09874600000012</v>
      </c>
      <c r="G480" s="122"/>
      <c r="H480" s="123"/>
      <c r="I480" s="52"/>
      <c r="L480" s="54">
        <v>201</v>
      </c>
      <c r="M480" s="54">
        <v>2901</v>
      </c>
      <c r="Q480" s="53" t="str">
        <f>L480&amp;""&amp;",…,"&amp;""&amp;M480</f>
        <v>201,…,2901</v>
      </c>
    </row>
    <row r="481" spans="1:17" s="53" customFormat="1" ht="15.75" customHeight="1" x14ac:dyDescent="0.35">
      <c r="A481" s="116">
        <v>6</v>
      </c>
      <c r="B481" s="116"/>
      <c r="C481" s="28" t="s">
        <v>178</v>
      </c>
      <c r="D481" s="28">
        <f>(3.05*5.13+3.38*0.97+3.35*2.13+0.8*1.2+2.25*1.37+3.65*3.05+3.13*3.65+2.27*1.37+2.22*1.05)*10.764</f>
        <v>625.39916400000004</v>
      </c>
      <c r="E481" s="28">
        <v>0</v>
      </c>
      <c r="F481" s="28">
        <f t="shared" si="81"/>
        <v>938.09874600000012</v>
      </c>
      <c r="G481" s="122"/>
      <c r="H481" s="123"/>
      <c r="I481" s="52"/>
      <c r="L481" s="55">
        <v>202</v>
      </c>
      <c r="M481" s="54">
        <v>2901</v>
      </c>
      <c r="N481" s="52"/>
      <c r="Q481" s="53" t="str">
        <f t="shared" ref="Q481:Q486" si="82">L481&amp;""&amp;",…,"&amp;""&amp;M481</f>
        <v>202,…,2901</v>
      </c>
    </row>
    <row r="482" spans="1:17" s="53" customFormat="1" ht="15.75" customHeight="1" x14ac:dyDescent="0.35">
      <c r="A482" s="125" t="s">
        <v>297</v>
      </c>
      <c r="B482" s="125"/>
      <c r="C482" s="125"/>
      <c r="D482" s="125"/>
      <c r="E482" s="125"/>
      <c r="F482" s="125"/>
      <c r="G482" s="125"/>
      <c r="H482" s="125"/>
      <c r="I482" s="52"/>
      <c r="L482" s="54">
        <v>203</v>
      </c>
      <c r="M482" s="54">
        <v>2901</v>
      </c>
      <c r="N482" s="52"/>
      <c r="Q482" s="53" t="str">
        <f t="shared" si="82"/>
        <v>203,…,2901</v>
      </c>
    </row>
    <row r="483" spans="1:17" s="53" customFormat="1" ht="15.75" customHeight="1" x14ac:dyDescent="0.35">
      <c r="A483" s="116">
        <v>1</v>
      </c>
      <c r="B483" s="116"/>
      <c r="C483" s="28" t="s">
        <v>133</v>
      </c>
      <c r="D483" s="28">
        <f>(1.67*1.19+3.05*5.19+3.05*3.8+2.28*1.37+3.44*0.81+2.28*1.36+2.28*1.37+3.05*3.8+2.9*3.55+2.13*3.5+2.43*1.05+3.85*1.06+1.4*1.06+3.05*0.65)*10.764</f>
        <v>871.6708728000001</v>
      </c>
      <c r="E483" s="28">
        <v>0</v>
      </c>
      <c r="F483" s="28">
        <f t="shared" ref="F483:F488" si="83">D483*(($F$338)+1)+E483</f>
        <v>1307.5063092</v>
      </c>
      <c r="G483" s="120" t="str">
        <f>A482</f>
        <v>2nd to 5th, 7th to 10th, 12th to 15th, 17th to 20th, 22nd to 25th, 27th to 28th Floor</v>
      </c>
      <c r="H483" s="121"/>
      <c r="I483" s="52">
        <f>7500000/F485</f>
        <v>8467.8926869189581</v>
      </c>
      <c r="L483" s="55">
        <v>204</v>
      </c>
      <c r="M483" s="54">
        <v>2901</v>
      </c>
      <c r="N483" s="52"/>
      <c r="Q483" s="53" t="str">
        <f t="shared" si="82"/>
        <v>204,…,2901</v>
      </c>
    </row>
    <row r="484" spans="1:17" s="53" customFormat="1" ht="15.75" customHeight="1" x14ac:dyDescent="0.35">
      <c r="A484" s="116">
        <v>2</v>
      </c>
      <c r="B484" s="116"/>
      <c r="C484" s="28" t="s">
        <v>133</v>
      </c>
      <c r="D484" s="28">
        <f>(1.67*1.19+3.05*5.19+3.05*3.8+2.28*1.37+3.44*0.81+2.28*1.36+2.28*1.37+3.05*3.8+2.9*3.55+2.13*3.5+2.43*1.05+3.85*1.06+1.4*1.06+3.05*0.65)*10.764</f>
        <v>871.6708728000001</v>
      </c>
      <c r="E484" s="28">
        <v>0</v>
      </c>
      <c r="F484" s="28">
        <f t="shared" si="83"/>
        <v>1307.5063092</v>
      </c>
      <c r="G484" s="122"/>
      <c r="H484" s="123"/>
      <c r="I484" s="52"/>
      <c r="L484" s="54">
        <v>205</v>
      </c>
      <c r="M484" s="54">
        <v>2901</v>
      </c>
      <c r="N484" s="52"/>
      <c r="Q484" s="53" t="str">
        <f t="shared" si="82"/>
        <v>205,…,2901</v>
      </c>
    </row>
    <row r="485" spans="1:17" s="53" customFormat="1" ht="15.75" customHeight="1" x14ac:dyDescent="0.35">
      <c r="A485" s="116">
        <v>3</v>
      </c>
      <c r="B485" s="116"/>
      <c r="C485" s="28" t="s">
        <v>178</v>
      </c>
      <c r="D485" s="28">
        <f>(3.05*4.87+2.9*3.35+3.05*3.65+2.28*1.4+2.28*1.36+2.9*1.06+2.1*1.05+2.13*3.56)*10.764</f>
        <v>590.46567839999989</v>
      </c>
      <c r="E485" s="28">
        <v>0</v>
      </c>
      <c r="F485" s="28">
        <f t="shared" si="83"/>
        <v>885.69851759999983</v>
      </c>
      <c r="G485" s="122"/>
      <c r="H485" s="123"/>
      <c r="I485" s="52"/>
      <c r="L485" s="55">
        <v>206</v>
      </c>
      <c r="M485" s="54">
        <v>2901</v>
      </c>
      <c r="N485" s="52"/>
      <c r="Q485" s="53" t="str">
        <f t="shared" si="82"/>
        <v>206,…,2901</v>
      </c>
    </row>
    <row r="486" spans="1:17" s="53" customFormat="1" ht="15.75" customHeight="1" x14ac:dyDescent="0.35">
      <c r="A486" s="116">
        <v>4</v>
      </c>
      <c r="B486" s="116"/>
      <c r="C486" s="28" t="s">
        <v>133</v>
      </c>
      <c r="D486" s="28">
        <f>(3.8*1.27+3.05*3.65+2.28*1.36+1.36*1.27+3.35*7.75+1.65*1.4+3.26*3.65+2.44*1.39+3.13*4.87+2.5*1.39+2.26*3.95+0.9*1.43*3.03*1.22+3.05*0.65)*10.764</f>
        <v>1062.7805712888</v>
      </c>
      <c r="E486" s="28">
        <v>0</v>
      </c>
      <c r="F486" s="28">
        <f t="shared" si="83"/>
        <v>1594.1708569332</v>
      </c>
      <c r="G486" s="122"/>
      <c r="H486" s="123"/>
      <c r="I486" s="52"/>
      <c r="L486" s="54">
        <v>207</v>
      </c>
      <c r="M486" s="54">
        <v>2901</v>
      </c>
      <c r="N486" s="52"/>
      <c r="Q486" s="53" t="str">
        <f t="shared" si="82"/>
        <v>207,…,2901</v>
      </c>
    </row>
    <row r="487" spans="1:17" s="53" customFormat="1" x14ac:dyDescent="0.35">
      <c r="A487" s="116">
        <v>5</v>
      </c>
      <c r="B487" s="116"/>
      <c r="C487" s="28" t="s">
        <v>178</v>
      </c>
      <c r="D487" s="28">
        <f>(3.05*5.13+3.38*0.97+3.35*2.13+0.8*1.2+2.25*1.37+3.65*3.05+3.13*3.65+2.27*1.37+2.22*1.05)*10.764</f>
        <v>625.39916400000004</v>
      </c>
      <c r="E487" s="28">
        <v>0</v>
      </c>
      <c r="F487" s="28">
        <f t="shared" si="83"/>
        <v>938.09874600000012</v>
      </c>
      <c r="G487" s="122"/>
      <c r="H487" s="123"/>
      <c r="I487" s="52"/>
      <c r="L487" s="107"/>
      <c r="M487" s="107"/>
    </row>
    <row r="488" spans="1:17" s="53" customFormat="1" ht="15.75" customHeight="1" x14ac:dyDescent="0.35">
      <c r="A488" s="116">
        <v>6</v>
      </c>
      <c r="B488" s="116"/>
      <c r="C488" s="28" t="s">
        <v>178</v>
      </c>
      <c r="D488" s="28">
        <f>(3.05*5.13+3.38*0.97+3.35*2.13+0.8*1.2+2.25*1.37+3.65*3.05+3.13*3.65+2.27*1.37+2.22*1.05)*10.764</f>
        <v>625.39916400000004</v>
      </c>
      <c r="E488" s="28">
        <v>0</v>
      </c>
      <c r="F488" s="28">
        <f t="shared" si="83"/>
        <v>938.09874600000012</v>
      </c>
      <c r="G488" s="122"/>
      <c r="H488" s="123"/>
      <c r="I488" s="52"/>
      <c r="L488" s="53">
        <v>601</v>
      </c>
      <c r="M488" s="53">
        <v>2601</v>
      </c>
      <c r="N488" s="52"/>
      <c r="Q488" s="53" t="str">
        <f>L488&amp;""&amp;",…,"&amp;""&amp;M488</f>
        <v>601,…,2601</v>
      </c>
    </row>
    <row r="489" spans="1:17" s="53" customFormat="1" ht="15.75" customHeight="1" x14ac:dyDescent="0.35">
      <c r="A489" s="125" t="s">
        <v>269</v>
      </c>
      <c r="B489" s="125"/>
      <c r="C489" s="125"/>
      <c r="D489" s="125"/>
      <c r="E489" s="125"/>
      <c r="F489" s="125"/>
      <c r="G489" s="125"/>
      <c r="H489" s="125"/>
      <c r="I489" s="52"/>
      <c r="L489" s="53">
        <v>602</v>
      </c>
      <c r="M489" s="53">
        <v>2602</v>
      </c>
      <c r="N489" s="52"/>
      <c r="Q489" s="53" t="str">
        <f t="shared" ref="Q489:Q492" si="84">L489&amp;""&amp;",…,"&amp;""&amp;M489</f>
        <v>602,…,2602</v>
      </c>
    </row>
    <row r="490" spans="1:17" s="53" customFormat="1" ht="15.75" customHeight="1" x14ac:dyDescent="0.35">
      <c r="A490" s="116">
        <v>1</v>
      </c>
      <c r="B490" s="116"/>
      <c r="C490" s="28" t="s">
        <v>133</v>
      </c>
      <c r="D490" s="28">
        <f>(1.67*1.19+3.05*5.19+3.05*3.8+2.28*1.37+3.44*0.81+2.28*1.36+2.28*1.37+3.05*3.8+2.9*3.55+2.13*3.5+2.43*1.05+3.85*1.06+1.4*1.06+3.05*0.65)*10.764</f>
        <v>871.6708728000001</v>
      </c>
      <c r="E490" s="28">
        <v>0</v>
      </c>
      <c r="F490" s="28">
        <f>D490*(($F$338)+1)+E490</f>
        <v>1307.5063092</v>
      </c>
      <c r="G490" s="120" t="str">
        <f>A489</f>
        <v>6th, 11th, 16th, 21st &amp; 26th Floor (Part Refuge Floor)</v>
      </c>
      <c r="H490" s="121"/>
      <c r="I490" s="52">
        <f>7500000/F492</f>
        <v>8467.8926869189581</v>
      </c>
      <c r="L490" s="53">
        <v>603</v>
      </c>
      <c r="M490" s="53">
        <v>2603</v>
      </c>
      <c r="N490" s="52"/>
      <c r="Q490" s="53" t="str">
        <f t="shared" si="84"/>
        <v>603,…,2603</v>
      </c>
    </row>
    <row r="491" spans="1:17" s="53" customFormat="1" ht="15.75" customHeight="1" x14ac:dyDescent="0.35">
      <c r="A491" s="116">
        <v>2</v>
      </c>
      <c r="B491" s="116"/>
      <c r="C491" s="28" t="s">
        <v>133</v>
      </c>
      <c r="D491" s="28">
        <f>(1.67*1.19+3.05*5.19+3.05*3.8+2.28*1.37+3.44*0.81+2.28*1.36+2.28*1.37+3.05*3.8+2.9*3.55+2.13*3.5+2.43*1.05+3.85*1.06+1.4*1.06+3.05*0.65)*10.764</f>
        <v>871.6708728000001</v>
      </c>
      <c r="E491" s="28">
        <v>0</v>
      </c>
      <c r="F491" s="28">
        <f>D491*(($F$338)+1)+E491</f>
        <v>1307.5063092</v>
      </c>
      <c r="G491" s="122"/>
      <c r="H491" s="123"/>
      <c r="I491" s="52"/>
      <c r="L491" s="53">
        <v>604</v>
      </c>
      <c r="M491" s="53">
        <v>2604</v>
      </c>
      <c r="N491" s="52"/>
      <c r="Q491" s="53" t="str">
        <f t="shared" si="84"/>
        <v>604,…,2604</v>
      </c>
    </row>
    <row r="492" spans="1:17" s="53" customFormat="1" ht="15.75" customHeight="1" x14ac:dyDescent="0.35">
      <c r="A492" s="116">
        <v>3</v>
      </c>
      <c r="B492" s="116"/>
      <c r="C492" s="28" t="s">
        <v>178</v>
      </c>
      <c r="D492" s="28">
        <f>(3.05*4.87+2.9*3.35+3.05*3.65+2.28*1.4+2.28*1.36+2.9*1.06+2.1*1.05+2.13*3.56)*10.764</f>
        <v>590.46567839999989</v>
      </c>
      <c r="E492" s="28">
        <v>0</v>
      </c>
      <c r="F492" s="28">
        <f>D492*(($F$338)+1)+E492</f>
        <v>885.69851759999983</v>
      </c>
      <c r="G492" s="122"/>
      <c r="H492" s="123"/>
      <c r="I492" s="52"/>
      <c r="L492" s="53">
        <v>606</v>
      </c>
      <c r="M492" s="53">
        <v>2606</v>
      </c>
      <c r="N492" s="52"/>
      <c r="Q492" s="53" t="str">
        <f t="shared" si="84"/>
        <v>606,…,2606</v>
      </c>
    </row>
    <row r="493" spans="1:17" s="53" customFormat="1" ht="15.75" customHeight="1" x14ac:dyDescent="0.35">
      <c r="A493" s="116">
        <v>4</v>
      </c>
      <c r="B493" s="116"/>
      <c r="C493" s="28" t="s">
        <v>133</v>
      </c>
      <c r="D493" s="28">
        <f>(3.8*1.27+3.05*3.65+2.28*1.36+1.36*1.27+3.35*7.75+1.65*1.4+3.26*3.65+2.44*1.39+3.13*4.87+2.5*1.39+2.26*3.95+0.9*1.43*3.03*1.22+3.05*0.65)*10.764</f>
        <v>1062.7805712888</v>
      </c>
      <c r="E493" s="28">
        <v>0</v>
      </c>
      <c r="F493" s="28">
        <f>D493*(($F$338)+1)+E493</f>
        <v>1594.1708569332</v>
      </c>
      <c r="G493" s="122"/>
      <c r="H493" s="123"/>
      <c r="I493" s="52"/>
      <c r="L493" s="53">
        <v>607</v>
      </c>
      <c r="M493" s="53">
        <v>2607</v>
      </c>
      <c r="N493" s="52"/>
      <c r="Q493" s="53" t="str">
        <f>L493&amp;""&amp;",…,"&amp;""&amp;M493</f>
        <v>607,…,2607</v>
      </c>
    </row>
    <row r="494" spans="1:17" s="53" customFormat="1" x14ac:dyDescent="0.35">
      <c r="A494" s="116">
        <v>5</v>
      </c>
      <c r="B494" s="116"/>
      <c r="C494" s="117" t="s">
        <v>201</v>
      </c>
      <c r="D494" s="118"/>
      <c r="E494" s="118"/>
      <c r="F494" s="119"/>
      <c r="G494" s="122"/>
      <c r="H494" s="123"/>
      <c r="I494" s="52"/>
      <c r="L494" s="54">
        <v>201</v>
      </c>
      <c r="M494" s="54">
        <v>2901</v>
      </c>
      <c r="Q494" s="53" t="str">
        <f>L494&amp;""&amp;",…,"&amp;""&amp;M494</f>
        <v>201,…,2901</v>
      </c>
    </row>
    <row r="495" spans="1:17" s="53" customFormat="1" ht="15.75" customHeight="1" x14ac:dyDescent="0.35">
      <c r="A495" s="116">
        <v>6</v>
      </c>
      <c r="B495" s="116"/>
      <c r="C495" s="28" t="s">
        <v>178</v>
      </c>
      <c r="D495" s="28">
        <f>(3.05*5.13+3.38*0.97+3.35*2.13+0.8*1.2+2.25*1.37+3.65*3.05+3.13*3.65+2.27*1.37+2.22*1.05)*10.764</f>
        <v>625.39916400000004</v>
      </c>
      <c r="E495" s="28">
        <v>0</v>
      </c>
      <c r="F495" s="28">
        <f>D495*(($F$338)+1)+E495</f>
        <v>938.09874600000012</v>
      </c>
      <c r="G495" s="122"/>
      <c r="H495" s="123"/>
      <c r="I495" s="52"/>
      <c r="L495" s="55">
        <v>202</v>
      </c>
      <c r="M495" s="54">
        <v>2901</v>
      </c>
      <c r="N495" s="52"/>
      <c r="Q495" s="53" t="str">
        <f t="shared" ref="Q495:Q499" si="85">L495&amp;""&amp;",…,"&amp;""&amp;M495</f>
        <v>202,…,2901</v>
      </c>
    </row>
    <row r="496" spans="1:17" s="53" customFormat="1" ht="15.75" customHeight="1" x14ac:dyDescent="0.35">
      <c r="A496" s="125" t="s">
        <v>300</v>
      </c>
      <c r="B496" s="125"/>
      <c r="C496" s="125"/>
      <c r="D496" s="125"/>
      <c r="E496" s="125"/>
      <c r="F496" s="125"/>
      <c r="G496" s="125"/>
      <c r="H496" s="125"/>
      <c r="I496" s="52"/>
      <c r="L496" s="54">
        <v>203</v>
      </c>
      <c r="M496" s="54">
        <v>2901</v>
      </c>
      <c r="N496" s="52"/>
      <c r="Q496" s="53" t="str">
        <f t="shared" si="85"/>
        <v>203,…,2901</v>
      </c>
    </row>
    <row r="497" spans="1:17" s="53" customFormat="1" ht="15.75" customHeight="1" x14ac:dyDescent="0.35">
      <c r="A497" s="116">
        <v>1</v>
      </c>
      <c r="B497" s="116"/>
      <c r="C497" s="28" t="s">
        <v>133</v>
      </c>
      <c r="D497" s="28">
        <f>(1.67*1.19+3.05*5.19+3.05*3.8+2.28*1.37+3.44*0.81+2.28*1.36+2.28*1.37+3.05*3.8+2.9*3.55+2.13*3.5+2.43*1.05+3.85*1.06+1.4*1.06+3.05*0.65)*10.764</f>
        <v>871.6708728000001</v>
      </c>
      <c r="E497" s="28">
        <v>0</v>
      </c>
      <c r="F497" s="28">
        <f>D497*(($F$338)+1)+E497</f>
        <v>1307.5063092</v>
      </c>
      <c r="G497" s="120" t="str">
        <f>A496</f>
        <v>29th &amp; 30th Floor</v>
      </c>
      <c r="H497" s="121"/>
      <c r="I497" s="52">
        <f>7500000/F499</f>
        <v>8467.8926869189581</v>
      </c>
      <c r="L497" s="55">
        <v>204</v>
      </c>
      <c r="M497" s="54">
        <v>2901</v>
      </c>
      <c r="N497" s="52"/>
      <c r="Q497" s="53" t="str">
        <f t="shared" si="85"/>
        <v>204,…,2901</v>
      </c>
    </row>
    <row r="498" spans="1:17" s="53" customFormat="1" ht="15.75" customHeight="1" x14ac:dyDescent="0.35">
      <c r="A498" s="116">
        <v>2</v>
      </c>
      <c r="B498" s="116"/>
      <c r="C498" s="28" t="s">
        <v>133</v>
      </c>
      <c r="D498" s="28">
        <f>(1.67*1.19+3.05*5.19+3.05*3.8+2.28*1.37+3.44*0.81+2.28*1.36+2.28*1.37+3.05*3.8+2.9*3.55+2.13*3.5+2.43*1.05+3.85*1.06+1.4*1.06+3.05*0.65)*10.764</f>
        <v>871.6708728000001</v>
      </c>
      <c r="E498" s="28">
        <v>0</v>
      </c>
      <c r="F498" s="28">
        <f>D498*(($F$338)+1)+E498</f>
        <v>1307.5063092</v>
      </c>
      <c r="G498" s="122"/>
      <c r="H498" s="123"/>
      <c r="I498" s="52"/>
      <c r="L498" s="54">
        <v>205</v>
      </c>
      <c r="M498" s="54">
        <v>2901</v>
      </c>
      <c r="N498" s="52"/>
      <c r="Q498" s="53" t="str">
        <f t="shared" si="85"/>
        <v>205,…,2901</v>
      </c>
    </row>
    <row r="499" spans="1:17" s="53" customFormat="1" ht="15.75" customHeight="1" x14ac:dyDescent="0.35">
      <c r="A499" s="116">
        <v>3</v>
      </c>
      <c r="B499" s="116"/>
      <c r="C499" s="28" t="s">
        <v>178</v>
      </c>
      <c r="D499" s="28">
        <f>(3.05*4.87+2.9*3.35+3.05*3.65+2.28*1.4+2.28*1.36+2.9*1.06+2.1*1.05+2.13*3.56)*10.764</f>
        <v>590.46567839999989</v>
      </c>
      <c r="E499" s="28">
        <v>0</v>
      </c>
      <c r="F499" s="28">
        <f>D499*(($F$338)+1)+E499</f>
        <v>885.69851759999983</v>
      </c>
      <c r="G499" s="122"/>
      <c r="H499" s="123"/>
      <c r="I499" s="52"/>
      <c r="L499" s="55">
        <v>206</v>
      </c>
      <c r="M499" s="54">
        <v>2901</v>
      </c>
      <c r="N499" s="52"/>
      <c r="Q499" s="53" t="str">
        <f t="shared" si="85"/>
        <v>206,…,2901</v>
      </c>
    </row>
    <row r="500" spans="1:17" s="53" customFormat="1" x14ac:dyDescent="0.35">
      <c r="A500" s="116">
        <v>4</v>
      </c>
      <c r="B500" s="116"/>
      <c r="C500" s="28" t="s">
        <v>133</v>
      </c>
      <c r="D500" s="28">
        <f>(3.8*1.27+3.05*3.65+2.28*1.36+1.36*1.27+3.35*7.75+1.65*1.4+3.26*3.65+2.44*1.39+3.13*4.87+2.5*1.39+2.26*3.95+0.9*1.43*3.03*1.22+3.05*0.65)*10.764</f>
        <v>1062.7805712888</v>
      </c>
      <c r="E500" s="28">
        <v>0</v>
      </c>
      <c r="F500" s="28">
        <f>D500*(($F$338)+1)+E500</f>
        <v>1594.1708569332</v>
      </c>
      <c r="G500" s="122"/>
      <c r="H500" s="123"/>
      <c r="I500" s="52"/>
      <c r="L500" s="107"/>
      <c r="M500" s="107"/>
    </row>
    <row r="501" spans="1:17" s="53" customFormat="1" ht="15.75" customHeight="1" x14ac:dyDescent="0.35">
      <c r="A501" s="116">
        <v>5</v>
      </c>
      <c r="B501" s="116"/>
      <c r="C501" s="28" t="s">
        <v>298</v>
      </c>
      <c r="D501" s="28">
        <f>(1.5*2.23+4.55*2.13+6.25*6.28+3.38*0.97+2.25*1.37+3.65*3.05+3.13*3.65+2.27*1.37+3.13*3.65+2.27*1.37+3.65*3.05+2.25*1.37+3.38*0.97+3.4*2.13+4.6*1.23+1.37*1.4+1.37*1.4+0.6*1.2+0.6*1.2)*10.764</f>
        <v>1447.9571339999998</v>
      </c>
      <c r="E501" s="28">
        <v>0</v>
      </c>
      <c r="F501" s="28">
        <f>D501*(($F$338)+1)+E501</f>
        <v>2171.9357009999994</v>
      </c>
      <c r="G501" s="122"/>
      <c r="H501" s="123"/>
      <c r="I501" s="52"/>
      <c r="L501" s="53">
        <v>3201</v>
      </c>
      <c r="M501" s="53">
        <v>3301</v>
      </c>
      <c r="N501" s="52"/>
      <c r="Q501" s="53" t="str">
        <f>L501&amp;""&amp;" &amp; "&amp;""&amp;M501</f>
        <v>3201 &amp; 3301</v>
      </c>
    </row>
    <row r="502" spans="1:17" s="53" customFormat="1" ht="15.75" customHeight="1" x14ac:dyDescent="0.35">
      <c r="A502" s="125" t="s">
        <v>271</v>
      </c>
      <c r="B502" s="125"/>
      <c r="C502" s="125"/>
      <c r="D502" s="125"/>
      <c r="E502" s="125"/>
      <c r="F502" s="125"/>
      <c r="G502" s="125"/>
      <c r="H502" s="125"/>
      <c r="I502" s="52"/>
      <c r="L502" s="53">
        <v>3202</v>
      </c>
      <c r="M502" s="53">
        <v>3302</v>
      </c>
      <c r="N502" s="52"/>
      <c r="Q502" s="53" t="str">
        <f t="shared" ref="Q502:Q505" si="86">L502&amp;""&amp;" &amp; "&amp;""&amp;M502</f>
        <v>3202 &amp; 3302</v>
      </c>
    </row>
    <row r="503" spans="1:17" s="53" customFormat="1" ht="15.75" customHeight="1" x14ac:dyDescent="0.35">
      <c r="A503" s="116">
        <v>1</v>
      </c>
      <c r="B503" s="116"/>
      <c r="C503" s="28" t="s">
        <v>133</v>
      </c>
      <c r="D503" s="28">
        <f>(1.67*1.19+3.05*5.19+3.05*3.8+2.28*1.37+3.44*0.81+2.28*1.36+2.28*1.37+3.05*3.8+2.9*3.55+2.13*3.5+2.43*1.05+3.85*1.06+1.4*1.06+3.05*0.65)*10.764</f>
        <v>871.6708728000001</v>
      </c>
      <c r="E503" s="28">
        <v>0</v>
      </c>
      <c r="F503" s="28">
        <f>D503*(($F$338)+1)+E503</f>
        <v>1307.5063092</v>
      </c>
      <c r="G503" s="120" t="str">
        <f>A502</f>
        <v xml:space="preserve">32nd &amp; 33rd Floor </v>
      </c>
      <c r="H503" s="121"/>
      <c r="I503" s="52">
        <f>7500000/F505</f>
        <v>8467.8926869189581</v>
      </c>
      <c r="L503" s="53">
        <v>3203</v>
      </c>
      <c r="M503" s="53">
        <v>3303</v>
      </c>
      <c r="N503" s="52"/>
      <c r="Q503" s="53" t="str">
        <f t="shared" si="86"/>
        <v>3203 &amp; 3303</v>
      </c>
    </row>
    <row r="504" spans="1:17" s="53" customFormat="1" ht="15.75" customHeight="1" x14ac:dyDescent="0.35">
      <c r="A504" s="116">
        <v>2</v>
      </c>
      <c r="B504" s="116"/>
      <c r="C504" s="28" t="s">
        <v>133</v>
      </c>
      <c r="D504" s="28">
        <f>(1.67*1.19+3.05*5.19+3.05*3.8+2.28*1.37+3.44*0.81+2.28*1.36+2.28*1.37+3.05*3.8+2.9*3.55+2.13*3.5+2.43*1.05+3.85*1.06+1.4*1.06+3.05*0.65)*10.764</f>
        <v>871.6708728000001</v>
      </c>
      <c r="E504" s="28">
        <v>0</v>
      </c>
      <c r="F504" s="28">
        <f>D504*(($F$338)+1)+E504</f>
        <v>1307.5063092</v>
      </c>
      <c r="G504" s="122"/>
      <c r="H504" s="123"/>
      <c r="I504" s="52"/>
      <c r="L504" s="53">
        <v>3204</v>
      </c>
      <c r="M504" s="53">
        <v>3304</v>
      </c>
      <c r="N504" s="52"/>
      <c r="Q504" s="53" t="str">
        <f t="shared" si="86"/>
        <v>3204 &amp; 3304</v>
      </c>
    </row>
    <row r="505" spans="1:17" s="53" customFormat="1" ht="15.75" customHeight="1" x14ac:dyDescent="0.35">
      <c r="A505" s="116">
        <v>3</v>
      </c>
      <c r="B505" s="116"/>
      <c r="C505" s="28" t="s">
        <v>178</v>
      </c>
      <c r="D505" s="28">
        <f>(3.05*4.87+2.9*3.35+3.05*3.65+2.28*1.4+2.28*1.36+2.9*1.06+2.1*1.05+2.13*3.56)*10.764</f>
        <v>590.46567839999989</v>
      </c>
      <c r="E505" s="28">
        <v>0</v>
      </c>
      <c r="F505" s="28">
        <f>D505*(($F$338)+1)+E505</f>
        <v>885.69851759999983</v>
      </c>
      <c r="G505" s="122"/>
      <c r="H505" s="123"/>
      <c r="I505" s="52"/>
      <c r="L505" s="53">
        <v>3205</v>
      </c>
      <c r="M505" s="53">
        <v>3305</v>
      </c>
      <c r="N505" s="52"/>
      <c r="Q505" s="53" t="str">
        <f t="shared" si="86"/>
        <v>3205 &amp; 3305</v>
      </c>
    </row>
    <row r="506" spans="1:17" s="53" customFormat="1" x14ac:dyDescent="0.35">
      <c r="A506" s="116">
        <v>4</v>
      </c>
      <c r="B506" s="116"/>
      <c r="C506" s="28" t="s">
        <v>133</v>
      </c>
      <c r="D506" s="28">
        <f>(3.8*1.27+3.05*3.65+2.28*1.36+1.36*1.27+3.35*7.75+1.65*1.4+3.26*3.65+2.44*1.39+3.13*4.87+2.5*1.39+2.26*3.95+0.9*1.43*3.03*1.22+3.05*0.65)*10.764</f>
        <v>1062.7805712888</v>
      </c>
      <c r="E506" s="28">
        <v>0</v>
      </c>
      <c r="F506" s="28">
        <f>D506*(($F$338)+1)+E506</f>
        <v>1594.1708569332</v>
      </c>
      <c r="G506" s="122"/>
      <c r="H506" s="123"/>
      <c r="I506" s="52"/>
      <c r="L506" s="107"/>
      <c r="M506" s="107"/>
    </row>
    <row r="507" spans="1:17" s="53" customFormat="1" ht="15.75" customHeight="1" x14ac:dyDescent="0.35">
      <c r="A507" s="116">
        <v>5</v>
      </c>
      <c r="B507" s="116"/>
      <c r="C507" s="28" t="s">
        <v>298</v>
      </c>
      <c r="D507" s="28">
        <f>(1.5*2.23+4.55*2.13+6.25*6.28+3.38*0.97+2.25*1.37+3.65*3.05+3.13*3.65+2.27*1.37+3.13*3.65+2.27*1.37+3.65*3.05+2.25*1.37+3.38*0.97+3.4*2.13+4.6*1.23+1.37*1.4+1.37*1.4+0.6*1.2+0.6*1.2)*10.764</f>
        <v>1447.9571339999998</v>
      </c>
      <c r="E507" s="28">
        <v>0</v>
      </c>
      <c r="F507" s="28">
        <f>D507*(($F$338)+1)+E507</f>
        <v>2171.9357009999994</v>
      </c>
      <c r="G507" s="122"/>
      <c r="H507" s="123"/>
      <c r="I507" s="52"/>
      <c r="N507" s="52"/>
    </row>
    <row r="508" spans="1:17" s="53" customFormat="1" ht="15.75" customHeight="1" x14ac:dyDescent="0.35">
      <c r="A508" s="125" t="s">
        <v>270</v>
      </c>
      <c r="B508" s="125"/>
      <c r="C508" s="125"/>
      <c r="D508" s="125"/>
      <c r="E508" s="125"/>
      <c r="F508" s="125"/>
      <c r="G508" s="125"/>
      <c r="H508" s="125"/>
      <c r="I508" s="52"/>
      <c r="N508" s="52"/>
    </row>
    <row r="509" spans="1:17" s="53" customFormat="1" ht="15.75" customHeight="1" x14ac:dyDescent="0.35">
      <c r="A509" s="116">
        <v>1</v>
      </c>
      <c r="B509" s="116"/>
      <c r="C509" s="117" t="s">
        <v>201</v>
      </c>
      <c r="D509" s="118"/>
      <c r="E509" s="118"/>
      <c r="F509" s="119"/>
      <c r="G509" s="120" t="str">
        <f>A508</f>
        <v>31st Floor (Part Refuge Area)</v>
      </c>
      <c r="H509" s="121"/>
      <c r="I509" s="52">
        <f>7500000/F511</f>
        <v>8467.8926869189581</v>
      </c>
      <c r="N509" s="52"/>
    </row>
    <row r="510" spans="1:17" s="53" customFormat="1" ht="15.75" customHeight="1" x14ac:dyDescent="0.35">
      <c r="A510" s="116">
        <v>2</v>
      </c>
      <c r="B510" s="116"/>
      <c r="C510" s="28" t="s">
        <v>133</v>
      </c>
      <c r="D510" s="28">
        <f>(1.67*1.19+3.05*5.19+3.05*3.8+2.28*1.37+3.44*0.81+2.28*1.36+2.28*1.37+3.05*3.8+2.9*3.55+2.13*3.5+2.43*1.05+3.85*1.06+1.4*1.06+3.05*0.65)*10.764</f>
        <v>871.6708728000001</v>
      </c>
      <c r="E510" s="28">
        <v>0</v>
      </c>
      <c r="F510" s="28">
        <f>D510*(($F$338)+1)+E510</f>
        <v>1307.5063092</v>
      </c>
      <c r="G510" s="122"/>
      <c r="H510" s="123"/>
      <c r="I510" s="52"/>
      <c r="N510" s="52"/>
    </row>
    <row r="511" spans="1:17" s="53" customFormat="1" ht="15.75" customHeight="1" x14ac:dyDescent="0.35">
      <c r="A511" s="116">
        <v>3</v>
      </c>
      <c r="B511" s="116"/>
      <c r="C511" s="28" t="s">
        <v>178</v>
      </c>
      <c r="D511" s="28">
        <f>(3.05*4.87+2.9*3.35+3.05*3.65+2.28*1.4+2.28*1.36+2.9*1.06+2.1*1.05+2.13*3.56)*10.764</f>
        <v>590.46567839999989</v>
      </c>
      <c r="E511" s="28">
        <v>0</v>
      </c>
      <c r="F511" s="28">
        <f>D511*(($F$338)+1)+E511</f>
        <v>885.69851759999983</v>
      </c>
      <c r="G511" s="122"/>
      <c r="H511" s="123"/>
      <c r="I511" s="52"/>
      <c r="N511" s="52"/>
    </row>
    <row r="512" spans="1:17" s="53" customFormat="1" x14ac:dyDescent="0.35">
      <c r="A512" s="116">
        <v>4</v>
      </c>
      <c r="B512" s="116"/>
      <c r="C512" s="28" t="s">
        <v>133</v>
      </c>
      <c r="D512" s="28">
        <f>(3.8*1.27+3.05*3.65+2.28*1.36+1.36*1.27+3.35*7.75+1.65*1.4+3.26*3.65+2.44*1.39+3.13*4.87+2.5*1.39+2.26*3.95+0.9*1.43*3.03*1.22+3.05*0.65)*10.764</f>
        <v>1062.7805712888</v>
      </c>
      <c r="E512" s="28">
        <v>0</v>
      </c>
      <c r="F512" s="28">
        <f>D512*(($F$338)+1)+E512</f>
        <v>1594.1708569332</v>
      </c>
      <c r="G512" s="122"/>
      <c r="H512" s="123"/>
      <c r="I512" s="52"/>
    </row>
    <row r="513" spans="1:14" s="53" customFormat="1" x14ac:dyDescent="0.35">
      <c r="A513" s="116">
        <v>5</v>
      </c>
      <c r="B513" s="116"/>
      <c r="C513" s="28" t="s">
        <v>298</v>
      </c>
      <c r="D513" s="28">
        <f>(1.5*2.23+4.55*2.13+6.25*6.28+3.38*0.97+2.25*1.37+3.65*3.05+3.13*3.65+2.27*1.37+3.13*3.65+2.27*1.37+3.65*3.05+2.25*1.37+3.38*0.97+3.4*2.13+4.6*1.23+1.37*1.4+1.37*1.4+0.6*1.2+0.6*1.2)*10.764</f>
        <v>1447.9571339999998</v>
      </c>
      <c r="E513" s="28">
        <v>0</v>
      </c>
      <c r="F513" s="28">
        <f>D513*(($F$338)+1)+E513</f>
        <v>2171.9357009999994</v>
      </c>
      <c r="G513" s="173"/>
      <c r="H513" s="174"/>
      <c r="I513" s="52"/>
    </row>
    <row r="514" spans="1:14" s="53" customFormat="1" x14ac:dyDescent="0.35">
      <c r="A514" s="124" t="s">
        <v>363</v>
      </c>
      <c r="B514" s="124"/>
      <c r="C514" s="124"/>
      <c r="D514" s="124"/>
      <c r="E514" s="124"/>
      <c r="F514" s="124"/>
      <c r="G514" s="124"/>
      <c r="H514" s="124"/>
      <c r="I514" s="52"/>
    </row>
    <row r="515" spans="1:14" s="53" customFormat="1" x14ac:dyDescent="0.35">
      <c r="A515" s="125" t="s">
        <v>175</v>
      </c>
      <c r="B515" s="125"/>
      <c r="C515" s="125"/>
      <c r="D515" s="125"/>
      <c r="E515" s="125"/>
      <c r="F515" s="125"/>
      <c r="G515" s="125"/>
      <c r="H515" s="125"/>
      <c r="I515" s="52"/>
      <c r="L515" s="107"/>
      <c r="M515" s="107"/>
    </row>
    <row r="516" spans="1:14" s="53" customFormat="1" ht="15.75" customHeight="1" x14ac:dyDescent="0.35">
      <c r="A516" s="125" t="s">
        <v>379</v>
      </c>
      <c r="B516" s="125"/>
      <c r="C516" s="125"/>
      <c r="D516" s="125"/>
      <c r="E516" s="125"/>
      <c r="F516" s="125"/>
      <c r="G516" s="125"/>
      <c r="H516" s="125"/>
      <c r="I516" s="52"/>
      <c r="N516" s="52"/>
    </row>
    <row r="517" spans="1:14" s="53" customFormat="1" ht="15.75" customHeight="1" x14ac:dyDescent="0.35">
      <c r="A517" s="125" t="s">
        <v>365</v>
      </c>
      <c r="B517" s="125"/>
      <c r="C517" s="125"/>
      <c r="D517" s="125"/>
      <c r="E517" s="125"/>
      <c r="F517" s="125"/>
      <c r="G517" s="125"/>
      <c r="H517" s="125"/>
      <c r="I517" s="52"/>
      <c r="N517" s="52"/>
    </row>
    <row r="518" spans="1:14" s="53" customFormat="1" ht="15.75" customHeight="1" x14ac:dyDescent="0.35">
      <c r="A518" s="116">
        <v>1</v>
      </c>
      <c r="B518" s="116"/>
      <c r="C518" s="117" t="s">
        <v>364</v>
      </c>
      <c r="D518" s="118"/>
      <c r="E518" s="118"/>
      <c r="F518" s="119"/>
      <c r="G518" s="120" t="str">
        <f>A517</f>
        <v>1st Podium Floor for Parking &amp; Residential</v>
      </c>
      <c r="H518" s="121"/>
      <c r="I518" s="52">
        <f>7500000/F520</f>
        <v>7903.3204037919968</v>
      </c>
      <c r="N518" s="52"/>
    </row>
    <row r="519" spans="1:14" s="53" customFormat="1" ht="15.75" customHeight="1" x14ac:dyDescent="0.35">
      <c r="A519" s="116">
        <v>2</v>
      </c>
      <c r="B519" s="116"/>
      <c r="C519" s="28" t="s">
        <v>178</v>
      </c>
      <c r="D519" s="28">
        <f>(3.05*5.17+1.23*2.5+2.28*3.05+3.05*3.81+3.05*3.81+2.44*1.37+2.28*1.37+2.28*0.75+1.2*0.9+4.1*1+3.05*1.05)*10.764</f>
        <v>706.09041359999992</v>
      </c>
      <c r="E519" s="28">
        <v>0</v>
      </c>
      <c r="F519" s="28">
        <f>D519*(($F$338)+1)+E519</f>
        <v>1059.1356203999999</v>
      </c>
      <c r="G519" s="122"/>
      <c r="H519" s="123"/>
      <c r="I519" s="52"/>
      <c r="N519" s="52"/>
    </row>
    <row r="520" spans="1:14" s="53" customFormat="1" ht="15.75" customHeight="1" x14ac:dyDescent="0.35">
      <c r="A520" s="116">
        <v>3</v>
      </c>
      <c r="B520" s="116"/>
      <c r="C520" s="28" t="s">
        <v>178</v>
      </c>
      <c r="D520" s="28">
        <f>(3.05*5.05+1.23*2.32+3.05*3.66+2.2*2.43+2.9*3.73+2.28*1.37+3.05*1.05+1.2*1.5+2.2*0.75+2.44*1.4)*10.764</f>
        <v>632.64548879999984</v>
      </c>
      <c r="E520" s="28">
        <v>0</v>
      </c>
      <c r="F520" s="28">
        <f>D520*(($F$338)+1)+E520</f>
        <v>948.96823319999976</v>
      </c>
      <c r="G520" s="122"/>
      <c r="H520" s="123"/>
      <c r="I520" s="52"/>
      <c r="N520" s="52"/>
    </row>
    <row r="521" spans="1:14" s="53" customFormat="1" ht="15.75" customHeight="1" x14ac:dyDescent="0.35">
      <c r="A521" s="116">
        <v>4</v>
      </c>
      <c r="B521" s="116"/>
      <c r="C521" s="28" t="s">
        <v>178</v>
      </c>
      <c r="D521" s="28">
        <f>(3.05*5.03+2.28*2.68+2.9*3.66+3.05*3.66+2.44*1.37+2.28*1.37+1.37*0.6+0.75*2.28+3.05*1.05+1*2.9)*10.764</f>
        <v>627.86196719999998</v>
      </c>
      <c r="E521" s="28">
        <v>0</v>
      </c>
      <c r="F521" s="28">
        <f>D521*(($F$338)+1)+E521</f>
        <v>941.79295079999997</v>
      </c>
      <c r="G521" s="122"/>
      <c r="H521" s="123"/>
      <c r="I521" s="52"/>
      <c r="N521" s="52"/>
    </row>
    <row r="522" spans="1:14" s="53" customFormat="1" x14ac:dyDescent="0.35">
      <c r="A522" s="116">
        <v>6</v>
      </c>
      <c r="B522" s="116"/>
      <c r="C522" s="120" t="s">
        <v>364</v>
      </c>
      <c r="D522" s="182"/>
      <c r="E522" s="182"/>
      <c r="F522" s="121"/>
      <c r="G522" s="122"/>
      <c r="H522" s="123"/>
      <c r="I522" s="52"/>
      <c r="L522" s="107"/>
      <c r="M522" s="107"/>
    </row>
    <row r="523" spans="1:14" s="53" customFormat="1" x14ac:dyDescent="0.35">
      <c r="A523" s="116">
        <v>7</v>
      </c>
      <c r="B523" s="116"/>
      <c r="C523" s="173"/>
      <c r="D523" s="184"/>
      <c r="E523" s="184"/>
      <c r="F523" s="174"/>
      <c r="G523" s="173"/>
      <c r="H523" s="174"/>
      <c r="I523" s="52"/>
      <c r="L523" s="107"/>
      <c r="M523" s="107"/>
    </row>
    <row r="524" spans="1:14" s="53" customFormat="1" ht="15.75" customHeight="1" x14ac:dyDescent="0.35">
      <c r="A524" s="125" t="s">
        <v>266</v>
      </c>
      <c r="B524" s="125"/>
      <c r="C524" s="125"/>
      <c r="D524" s="125"/>
      <c r="E524" s="125"/>
      <c r="F524" s="125"/>
      <c r="G524" s="125"/>
      <c r="H524" s="125"/>
      <c r="I524" s="52"/>
      <c r="N524" s="52"/>
    </row>
    <row r="525" spans="1:14" s="53" customFormat="1" ht="15.75" customHeight="1" x14ac:dyDescent="0.35">
      <c r="A525" s="125" t="s">
        <v>267</v>
      </c>
      <c r="B525" s="125"/>
      <c r="C525" s="125"/>
      <c r="D525" s="125"/>
      <c r="E525" s="125"/>
      <c r="F525" s="125"/>
      <c r="G525" s="125"/>
      <c r="H525" s="125"/>
      <c r="I525" s="52"/>
      <c r="N525" s="52"/>
    </row>
    <row r="526" spans="1:14" s="53" customFormat="1" ht="15.75" customHeight="1" x14ac:dyDescent="0.35">
      <c r="A526" s="116">
        <v>1</v>
      </c>
      <c r="B526" s="116"/>
      <c r="C526" s="28" t="s">
        <v>178</v>
      </c>
      <c r="D526" s="28">
        <f>(3.05*5.17+1.23*2.5+2.28*3.05+3.05*3.81+3.05*3.81+2.44*1.37+2.28*1.37+2.28*0.75+1.2*0.9+4.1*1+3.05*1.05)*10.764</f>
        <v>706.09041359999992</v>
      </c>
      <c r="E526" s="28">
        <v>0</v>
      </c>
      <c r="F526" s="28">
        <f t="shared" ref="F526:F532" si="87">D526*(($F$338)+1)+E526</f>
        <v>1059.1356203999999</v>
      </c>
      <c r="G526" s="120" t="str">
        <f>A525</f>
        <v>1st Floor for Residential</v>
      </c>
      <c r="H526" s="121"/>
      <c r="I526" s="52">
        <f>7500000/F528</f>
        <v>7903.3204037919968</v>
      </c>
      <c r="N526" s="52"/>
    </row>
    <row r="527" spans="1:14" s="53" customFormat="1" ht="15.75" customHeight="1" x14ac:dyDescent="0.35">
      <c r="A527" s="116">
        <v>2</v>
      </c>
      <c r="B527" s="116"/>
      <c r="C527" s="28" t="s">
        <v>178</v>
      </c>
      <c r="D527" s="28">
        <f>(3.05*5.17+1.23*2.5+2.28*3.05+3.05*3.81+3.05*3.81+2.44*1.37+2.28*1.37+2.28*0.75+1.2*0.9+4.1*1+3.05*1.05)*10.764</f>
        <v>706.09041359999992</v>
      </c>
      <c r="E527" s="28">
        <v>0</v>
      </c>
      <c r="F527" s="28">
        <f t="shared" si="87"/>
        <v>1059.1356203999999</v>
      </c>
      <c r="G527" s="122"/>
      <c r="H527" s="123"/>
      <c r="I527" s="52"/>
      <c r="N527" s="52"/>
    </row>
    <row r="528" spans="1:14" s="53" customFormat="1" ht="15.75" customHeight="1" x14ac:dyDescent="0.35">
      <c r="A528" s="116">
        <v>3</v>
      </c>
      <c r="B528" s="116"/>
      <c r="C528" s="28" t="s">
        <v>178</v>
      </c>
      <c r="D528" s="28">
        <f>(3.05*5.05+1.23*2.32+3.05*3.66+2.2*2.43+2.9*3.73+2.28*1.37+3.05*1.05+1.2*1.5+2.2*0.75+2.44*1.4)*10.764</f>
        <v>632.64548879999984</v>
      </c>
      <c r="E528" s="28">
        <v>0</v>
      </c>
      <c r="F528" s="28">
        <f t="shared" si="87"/>
        <v>948.96823319999976</v>
      </c>
      <c r="G528" s="122"/>
      <c r="H528" s="123"/>
      <c r="I528" s="52"/>
      <c r="N528" s="52"/>
    </row>
    <row r="529" spans="1:17" s="53" customFormat="1" ht="15.75" customHeight="1" x14ac:dyDescent="0.35">
      <c r="A529" s="116">
        <v>4</v>
      </c>
      <c r="B529" s="116"/>
      <c r="C529" s="28" t="s">
        <v>178</v>
      </c>
      <c r="D529" s="28">
        <f>(3.05*5.03+2.28*2.68+2.9*3.66+3.05*3.66+2.44*1.37+2.28*1.37+1.37*0.6+0.75*2.28+3.05*1.05+1*2.9)*10.764</f>
        <v>627.86196719999998</v>
      </c>
      <c r="E529" s="28">
        <v>0</v>
      </c>
      <c r="F529" s="28">
        <f t="shared" si="87"/>
        <v>941.79295079999997</v>
      </c>
      <c r="G529" s="122"/>
      <c r="H529" s="123"/>
      <c r="I529" s="52"/>
      <c r="N529" s="52"/>
    </row>
    <row r="530" spans="1:17" s="53" customFormat="1" ht="15.75" customHeight="1" x14ac:dyDescent="0.35">
      <c r="A530" s="116">
        <v>5</v>
      </c>
      <c r="B530" s="116"/>
      <c r="C530" s="28" t="s">
        <v>133</v>
      </c>
      <c r="D530" s="28">
        <f>(3.05*5.49+1.53*2.47+2.9*3.8+3.05*3.85+3.05*4.26+2.28*3.2+2.28*0.75+2.28*1.37+2.47*1.37+2.44*1.37+6.7*0.9+0.45*1.2+3.05*1.23)*10.764</f>
        <v>919.85807159999979</v>
      </c>
      <c r="E530" s="28">
        <v>0</v>
      </c>
      <c r="F530" s="28">
        <f t="shared" si="87"/>
        <v>1379.7871073999997</v>
      </c>
      <c r="G530" s="122"/>
      <c r="H530" s="123"/>
      <c r="I530" s="52"/>
      <c r="N530" s="52"/>
    </row>
    <row r="531" spans="1:17" s="53" customFormat="1" x14ac:dyDescent="0.35">
      <c r="A531" s="116">
        <v>6</v>
      </c>
      <c r="B531" s="116"/>
      <c r="C531" s="28" t="s">
        <v>178</v>
      </c>
      <c r="D531" s="28">
        <f>(3.05*6+1.38*3.41+2.9*2.28+2.28*0.75+3.05*3.89+3.85*3.05+2.28*1.37+2.44*1.37+3.05*1.05+1.37*1.2)*10.764</f>
        <v>713.09024279999994</v>
      </c>
      <c r="E531" s="28">
        <v>0</v>
      </c>
      <c r="F531" s="28">
        <f t="shared" si="87"/>
        <v>1069.6353641999999</v>
      </c>
      <c r="G531" s="122"/>
      <c r="H531" s="123"/>
      <c r="I531" s="52"/>
      <c r="L531" s="54">
        <v>201</v>
      </c>
      <c r="M531" s="54">
        <v>2901</v>
      </c>
      <c r="Q531" s="53" t="str">
        <f>L531&amp;""&amp;",…,"&amp;""&amp;M531</f>
        <v>201,…,2901</v>
      </c>
    </row>
    <row r="532" spans="1:17" s="53" customFormat="1" ht="15.75" customHeight="1" x14ac:dyDescent="0.35">
      <c r="A532" s="116">
        <v>7</v>
      </c>
      <c r="B532" s="116"/>
      <c r="C532" s="28" t="s">
        <v>178</v>
      </c>
      <c r="D532" s="28">
        <f>(3.05*6+1.38*3.41+2.9*2.28+2.28*0.75+3.05*3.89+3.85*3.05+2.28*1.37+2.44*1.37+3.05*1.05+1.37*1.2)*10.764</f>
        <v>713.09024279999994</v>
      </c>
      <c r="E532" s="28">
        <v>0</v>
      </c>
      <c r="F532" s="28">
        <f t="shared" si="87"/>
        <v>1069.6353641999999</v>
      </c>
      <c r="G532" s="122"/>
      <c r="H532" s="123"/>
      <c r="I532" s="52"/>
      <c r="L532" s="55">
        <v>202</v>
      </c>
      <c r="M532" s="54">
        <v>2901</v>
      </c>
      <c r="N532" s="52"/>
      <c r="Q532" s="53" t="str">
        <f t="shared" ref="Q532:Q537" si="88">L532&amp;""&amp;",…,"&amp;""&amp;M532</f>
        <v>202,…,2901</v>
      </c>
    </row>
    <row r="533" spans="1:17" s="53" customFormat="1" ht="15.75" customHeight="1" x14ac:dyDescent="0.35">
      <c r="A533" s="125" t="s">
        <v>297</v>
      </c>
      <c r="B533" s="125"/>
      <c r="C533" s="125"/>
      <c r="D533" s="125"/>
      <c r="E533" s="125"/>
      <c r="F533" s="125"/>
      <c r="G533" s="125"/>
      <c r="H533" s="125"/>
      <c r="I533" s="52"/>
      <c r="L533" s="54">
        <v>203</v>
      </c>
      <c r="M533" s="54">
        <v>2901</v>
      </c>
      <c r="N533" s="52"/>
      <c r="Q533" s="53" t="str">
        <f t="shared" si="88"/>
        <v>203,…,2901</v>
      </c>
    </row>
    <row r="534" spans="1:17" s="53" customFormat="1" ht="15.75" customHeight="1" x14ac:dyDescent="0.35">
      <c r="A534" s="116">
        <v>1</v>
      </c>
      <c r="B534" s="116"/>
      <c r="C534" s="28" t="s">
        <v>178</v>
      </c>
      <c r="D534" s="28">
        <f>(3.05*5.17+1.23*2.5+2.28*3.05+3.05*3.81+3.05*3.81+2.44*1.37+2.28*1.37+2.28*0.75+1.2*0.9+4.1*1+3.05*1.05)*10.764</f>
        <v>706.09041359999992</v>
      </c>
      <c r="E534" s="28">
        <v>0</v>
      </c>
      <c r="F534" s="28">
        <f t="shared" ref="F534:F540" si="89">D534*(($F$338)+1)+E534</f>
        <v>1059.1356203999999</v>
      </c>
      <c r="G534" s="120" t="str">
        <f>A533</f>
        <v>2nd to 5th, 7th to 10th, 12th to 15th, 17th to 20th, 22nd to 25th, 27th to 28th Floor</v>
      </c>
      <c r="H534" s="121"/>
      <c r="I534" s="52">
        <f>7500000/F536</f>
        <v>7903.3204037919968</v>
      </c>
      <c r="L534" s="55">
        <v>204</v>
      </c>
      <c r="M534" s="54">
        <v>2901</v>
      </c>
      <c r="N534" s="52"/>
      <c r="Q534" s="53" t="str">
        <f t="shared" si="88"/>
        <v>204,…,2901</v>
      </c>
    </row>
    <row r="535" spans="1:17" s="53" customFormat="1" ht="15.75" customHeight="1" x14ac:dyDescent="0.35">
      <c r="A535" s="116">
        <v>2</v>
      </c>
      <c r="B535" s="116"/>
      <c r="C535" s="28" t="s">
        <v>178</v>
      </c>
      <c r="D535" s="28">
        <f>(3.05*5.17+1.23*2.5+2.28*3.05+3.05*3.81+3.05*3.81+2.44*1.37+2.28*1.37+2.28*0.75+1.2*0.9+4.1*1+3.05*1.05)*10.764</f>
        <v>706.09041359999992</v>
      </c>
      <c r="E535" s="28">
        <v>0</v>
      </c>
      <c r="F535" s="28">
        <f t="shared" si="89"/>
        <v>1059.1356203999999</v>
      </c>
      <c r="G535" s="122"/>
      <c r="H535" s="123"/>
      <c r="I535" s="52"/>
      <c r="L535" s="54">
        <v>205</v>
      </c>
      <c r="M535" s="54">
        <v>2901</v>
      </c>
      <c r="N535" s="52"/>
      <c r="Q535" s="53" t="str">
        <f t="shared" si="88"/>
        <v>205,…,2901</v>
      </c>
    </row>
    <row r="536" spans="1:17" s="53" customFormat="1" ht="15.75" customHeight="1" x14ac:dyDescent="0.35">
      <c r="A536" s="116">
        <v>3</v>
      </c>
      <c r="B536" s="116"/>
      <c r="C536" s="28" t="s">
        <v>178</v>
      </c>
      <c r="D536" s="28">
        <f>(3.05*5.05+1.23*2.32+3.05*3.66+2.2*2.43+2.9*3.73+2.28*1.37+3.05*1.05+1.2*1.5+2.2*0.75+2.44*1.4)*10.764</f>
        <v>632.64548879999984</v>
      </c>
      <c r="E536" s="28">
        <v>0</v>
      </c>
      <c r="F536" s="28">
        <f t="shared" si="89"/>
        <v>948.96823319999976</v>
      </c>
      <c r="G536" s="122"/>
      <c r="H536" s="123"/>
      <c r="I536" s="52"/>
      <c r="L536" s="55">
        <v>206</v>
      </c>
      <c r="M536" s="54">
        <v>2901</v>
      </c>
      <c r="N536" s="52"/>
      <c r="Q536" s="53" t="str">
        <f t="shared" si="88"/>
        <v>206,…,2901</v>
      </c>
    </row>
    <row r="537" spans="1:17" s="53" customFormat="1" ht="15.75" customHeight="1" x14ac:dyDescent="0.35">
      <c r="A537" s="116">
        <v>4</v>
      </c>
      <c r="B537" s="116"/>
      <c r="C537" s="28" t="s">
        <v>178</v>
      </c>
      <c r="D537" s="28">
        <f>(3.05*5.03+2.28*2.68+2.9*3.66+3.05*3.66+2.44*1.37+2.28*1.37+1.37*0.6+0.75*2.28+3.05*1.05+1*2.9)*10.764</f>
        <v>627.86196719999998</v>
      </c>
      <c r="E537" s="28">
        <v>0</v>
      </c>
      <c r="F537" s="28">
        <f t="shared" si="89"/>
        <v>941.79295079999997</v>
      </c>
      <c r="G537" s="122"/>
      <c r="H537" s="123"/>
      <c r="I537" s="52"/>
      <c r="L537" s="54">
        <v>207</v>
      </c>
      <c r="M537" s="54">
        <v>2901</v>
      </c>
      <c r="N537" s="52"/>
      <c r="Q537" s="53" t="str">
        <f t="shared" si="88"/>
        <v>207,…,2901</v>
      </c>
    </row>
    <row r="538" spans="1:17" s="53" customFormat="1" ht="15.75" customHeight="1" x14ac:dyDescent="0.35">
      <c r="A538" s="116">
        <v>5</v>
      </c>
      <c r="B538" s="116"/>
      <c r="C538" s="28" t="s">
        <v>133</v>
      </c>
      <c r="D538" s="28">
        <f>(3.05*5.49+1.53*2.47+2.9*3.8+3.05*3.85+3.05*4.26+2.28*3.2+2.28*0.75+2.28*1.37+2.47*1.37+2.44*1.37+6.7*0.9+0.45*1.2+3.05*1.23)*10.764</f>
        <v>919.85807159999979</v>
      </c>
      <c r="E538" s="28">
        <v>0</v>
      </c>
      <c r="F538" s="28">
        <f t="shared" si="89"/>
        <v>1379.7871073999997</v>
      </c>
      <c r="G538" s="122"/>
      <c r="H538" s="123"/>
      <c r="I538" s="52"/>
      <c r="L538" s="55">
        <v>206</v>
      </c>
      <c r="M538" s="54">
        <v>2901</v>
      </c>
      <c r="N538" s="52"/>
      <c r="Q538" s="53" t="str">
        <f t="shared" ref="Q538" si="90">L538&amp;""&amp;",…,"&amp;""&amp;M538</f>
        <v>206,…,2901</v>
      </c>
    </row>
    <row r="539" spans="1:17" s="53" customFormat="1" x14ac:dyDescent="0.35">
      <c r="A539" s="116">
        <v>6</v>
      </c>
      <c r="B539" s="116"/>
      <c r="C539" s="28" t="s">
        <v>178</v>
      </c>
      <c r="D539" s="28">
        <f>(3.05*6+1.38*3.41+2.9*2.28+2.28*0.75+3.05*3.89+3.85*3.05+2.28*1.37+2.44*1.37+3.05*1.05+1.37*1.2)*10.764</f>
        <v>713.09024279999994</v>
      </c>
      <c r="E539" s="28">
        <v>0</v>
      </c>
      <c r="F539" s="28">
        <f t="shared" si="89"/>
        <v>1069.6353641999999</v>
      </c>
      <c r="G539" s="122"/>
      <c r="H539" s="123"/>
      <c r="I539" s="52"/>
      <c r="L539" s="107"/>
      <c r="M539" s="107"/>
    </row>
    <row r="540" spans="1:17" s="53" customFormat="1" ht="15.75" customHeight="1" x14ac:dyDescent="0.35">
      <c r="A540" s="116">
        <v>7</v>
      </c>
      <c r="B540" s="116"/>
      <c r="C540" s="28" t="s">
        <v>178</v>
      </c>
      <c r="D540" s="28">
        <f>(3.05*6+1.38*3.41+2.9*2.28+2.28*0.75+3.05*3.89+3.85*3.05+2.28*1.37+2.44*1.37+3.05*1.05+1.37*1.2)*10.764</f>
        <v>713.09024279999994</v>
      </c>
      <c r="E540" s="28">
        <v>0</v>
      </c>
      <c r="F540" s="28">
        <f t="shared" si="89"/>
        <v>1069.6353641999999</v>
      </c>
      <c r="G540" s="173"/>
      <c r="H540" s="174"/>
      <c r="I540" s="52"/>
      <c r="L540" s="53">
        <v>606</v>
      </c>
      <c r="M540" s="53">
        <v>2606</v>
      </c>
      <c r="N540" s="52"/>
      <c r="Q540" s="53" t="str">
        <f t="shared" ref="Q540" si="91">L540&amp;""&amp;",…,"&amp;""&amp;M540</f>
        <v>606,…,2606</v>
      </c>
    </row>
    <row r="541" spans="1:17" s="53" customFormat="1" ht="15.75" customHeight="1" x14ac:dyDescent="0.35">
      <c r="A541" s="125" t="s">
        <v>269</v>
      </c>
      <c r="B541" s="125"/>
      <c r="C541" s="125"/>
      <c r="D541" s="125"/>
      <c r="E541" s="125"/>
      <c r="F541" s="125"/>
      <c r="G541" s="125"/>
      <c r="H541" s="125"/>
      <c r="I541" s="52"/>
      <c r="L541" s="53">
        <v>601</v>
      </c>
      <c r="M541" s="53">
        <v>2601</v>
      </c>
      <c r="N541" s="52"/>
      <c r="Q541" s="53" t="str">
        <f>L541&amp;""&amp;",…,"&amp;""&amp;M541</f>
        <v>601,…,2601</v>
      </c>
    </row>
    <row r="542" spans="1:17" s="53" customFormat="1" ht="15.75" customHeight="1" x14ac:dyDescent="0.35">
      <c r="A542" s="116">
        <v>1</v>
      </c>
      <c r="B542" s="116"/>
      <c r="C542" s="117" t="s">
        <v>201</v>
      </c>
      <c r="D542" s="118"/>
      <c r="E542" s="118"/>
      <c r="F542" s="119"/>
      <c r="G542" s="120" t="str">
        <f>A541</f>
        <v>6th, 11th, 16th, 21st &amp; 26th Floor (Part Refuge Floor)</v>
      </c>
      <c r="H542" s="121"/>
      <c r="I542" s="52"/>
      <c r="L542" s="53">
        <v>602</v>
      </c>
      <c r="M542" s="53">
        <v>2602</v>
      </c>
      <c r="N542" s="52"/>
      <c r="Q542" s="53" t="str">
        <f t="shared" ref="Q542:Q544" si="92">L542&amp;""&amp;",…,"&amp;""&amp;M542</f>
        <v>602,…,2602</v>
      </c>
    </row>
    <row r="543" spans="1:17" s="53" customFormat="1" ht="15.75" customHeight="1" x14ac:dyDescent="0.35">
      <c r="A543" s="116">
        <v>2</v>
      </c>
      <c r="B543" s="116"/>
      <c r="C543" s="28" t="s">
        <v>178</v>
      </c>
      <c r="D543" s="28">
        <f>(3.05*5.17+1.23*2.5+2.28*3.05+3.05*3.81+3.05*3.81+2.44*1.37+2.28*1.37+2.28*0.75+1.2*0.9+4.1*1+3.05*1.05)*10.764</f>
        <v>706.09041359999992</v>
      </c>
      <c r="E543" s="28">
        <v>0</v>
      </c>
      <c r="F543" s="28">
        <f t="shared" ref="F543:F548" si="93">D543*(($F$338)+1)+E543</f>
        <v>1059.1356203999999</v>
      </c>
      <c r="G543" s="122"/>
      <c r="H543" s="123"/>
      <c r="I543" s="52">
        <f>7500000/F545</f>
        <v>7963.5338039312919</v>
      </c>
      <c r="L543" s="53">
        <v>603</v>
      </c>
      <c r="M543" s="53">
        <v>2603</v>
      </c>
      <c r="N543" s="52"/>
      <c r="Q543" s="53" t="str">
        <f t="shared" si="92"/>
        <v>603,…,2603</v>
      </c>
    </row>
    <row r="544" spans="1:17" s="53" customFormat="1" ht="15.75" customHeight="1" x14ac:dyDescent="0.35">
      <c r="A544" s="116">
        <v>3</v>
      </c>
      <c r="B544" s="116"/>
      <c r="C544" s="28" t="s">
        <v>178</v>
      </c>
      <c r="D544" s="28">
        <f>(3.05*5.05+1.23*2.32+3.05*3.66+2.2*2.43+2.9*3.73+2.28*1.37+3.05*1.05+1.2*1.5+2.2*0.75+2.44*1.4)*10.764</f>
        <v>632.64548879999984</v>
      </c>
      <c r="E544" s="28">
        <v>0</v>
      </c>
      <c r="F544" s="28">
        <f t="shared" si="93"/>
        <v>948.96823319999976</v>
      </c>
      <c r="G544" s="122"/>
      <c r="H544" s="123"/>
      <c r="I544" s="52"/>
      <c r="L544" s="53">
        <v>604</v>
      </c>
      <c r="M544" s="53">
        <v>2604</v>
      </c>
      <c r="N544" s="52"/>
      <c r="Q544" s="53" t="str">
        <f t="shared" si="92"/>
        <v>604,…,2604</v>
      </c>
    </row>
    <row r="545" spans="1:17" s="53" customFormat="1" ht="15.75" customHeight="1" x14ac:dyDescent="0.35">
      <c r="A545" s="116">
        <v>4</v>
      </c>
      <c r="B545" s="116"/>
      <c r="C545" s="28" t="s">
        <v>178</v>
      </c>
      <c r="D545" s="28">
        <f>(3.05*5.03+2.28*2.68+2.9*3.66+3.05*3.66+2.44*1.37+2.28*1.37+1.37*0.6+0.75*2.28+3.05*1.05+1*2.9)*10.764</f>
        <v>627.86196719999998</v>
      </c>
      <c r="E545" s="28">
        <v>0</v>
      </c>
      <c r="F545" s="28">
        <f t="shared" si="93"/>
        <v>941.79295079999997</v>
      </c>
      <c r="G545" s="122"/>
      <c r="H545" s="123"/>
      <c r="I545" s="52"/>
      <c r="L545" s="53">
        <v>607</v>
      </c>
      <c r="M545" s="53">
        <v>2607</v>
      </c>
      <c r="N545" s="52"/>
      <c r="Q545" s="53" t="str">
        <f>L545&amp;""&amp;",…,"&amp;""&amp;M545</f>
        <v>607,…,2607</v>
      </c>
    </row>
    <row r="546" spans="1:17" s="53" customFormat="1" ht="15.75" customHeight="1" x14ac:dyDescent="0.35">
      <c r="A546" s="116">
        <v>5</v>
      </c>
      <c r="B546" s="116"/>
      <c r="C546" s="28" t="s">
        <v>133</v>
      </c>
      <c r="D546" s="28">
        <f>(3.05*5.49+1.53*2.47+2.9*3.8+3.05*3.85+3.05*4.26+2.28*3.2+2.28*0.75+2.28*1.37+2.47*1.37+2.44*1.37+6.7*0.9+0.45*1.2+3.05*1.23)*10.764</f>
        <v>919.85807159999979</v>
      </c>
      <c r="E546" s="28">
        <v>0</v>
      </c>
      <c r="F546" s="28">
        <f t="shared" si="93"/>
        <v>1379.7871073999997</v>
      </c>
      <c r="G546" s="122"/>
      <c r="H546" s="123"/>
      <c r="I546" s="52"/>
      <c r="L546" s="53">
        <v>607</v>
      </c>
      <c r="M546" s="53">
        <v>2607</v>
      </c>
      <c r="N546" s="52"/>
      <c r="Q546" s="53" t="str">
        <f>L546&amp;""&amp;",…,"&amp;""&amp;M546</f>
        <v>607,…,2607</v>
      </c>
    </row>
    <row r="547" spans="1:17" s="53" customFormat="1" x14ac:dyDescent="0.35">
      <c r="A547" s="116">
        <v>6</v>
      </c>
      <c r="B547" s="116"/>
      <c r="C547" s="28" t="s">
        <v>178</v>
      </c>
      <c r="D547" s="28">
        <f>(3.05*6+1.38*3.41+2.9*2.28+2.28*0.75+3.05*3.89+3.85*3.05+2.28*1.37+2.44*1.37+3.05*1.05+1.37*1.2)*10.764</f>
        <v>713.09024279999994</v>
      </c>
      <c r="E547" s="28">
        <v>0</v>
      </c>
      <c r="F547" s="28">
        <f t="shared" si="93"/>
        <v>1069.6353641999999</v>
      </c>
      <c r="G547" s="122"/>
      <c r="H547" s="123"/>
      <c r="I547" s="52"/>
      <c r="L547" s="54">
        <v>201</v>
      </c>
      <c r="M547" s="54">
        <v>2901</v>
      </c>
      <c r="Q547" s="53" t="str">
        <f>L547&amp;""&amp;",…,"&amp;""&amp;M547</f>
        <v>201,…,2901</v>
      </c>
    </row>
    <row r="548" spans="1:17" s="53" customFormat="1" ht="15.75" customHeight="1" x14ac:dyDescent="0.35">
      <c r="A548" s="116">
        <v>7</v>
      </c>
      <c r="B548" s="116"/>
      <c r="C548" s="28" t="s">
        <v>178</v>
      </c>
      <c r="D548" s="28">
        <f>(3.05*6+1.38*3.41+2.9*2.28+2.28*0.75+3.05*3.89+3.85*3.05+2.28*1.37+2.44*1.37+3.05*1.05+1.37*1.2)*10.764</f>
        <v>713.09024279999994</v>
      </c>
      <c r="E548" s="28">
        <v>0</v>
      </c>
      <c r="F548" s="28">
        <f t="shared" si="93"/>
        <v>1069.6353641999999</v>
      </c>
      <c r="G548" s="173"/>
      <c r="H548" s="174"/>
      <c r="I548" s="52"/>
      <c r="L548" s="55">
        <v>202</v>
      </c>
      <c r="M548" s="54">
        <v>2901</v>
      </c>
      <c r="N548" s="52"/>
      <c r="Q548" s="53" t="str">
        <f t="shared" ref="Q548:Q553" si="94">L548&amp;""&amp;",…,"&amp;""&amp;M548</f>
        <v>202,…,2901</v>
      </c>
    </row>
    <row r="549" spans="1:17" s="53" customFormat="1" ht="15.75" customHeight="1" x14ac:dyDescent="0.35">
      <c r="A549" s="125" t="s">
        <v>366</v>
      </c>
      <c r="B549" s="125"/>
      <c r="C549" s="125"/>
      <c r="D549" s="125"/>
      <c r="E549" s="125"/>
      <c r="F549" s="125"/>
      <c r="G549" s="125"/>
      <c r="H549" s="125"/>
      <c r="I549" s="52"/>
      <c r="L549" s="54">
        <v>203</v>
      </c>
      <c r="M549" s="54">
        <v>2901</v>
      </c>
      <c r="N549" s="52"/>
      <c r="Q549" s="53" t="str">
        <f t="shared" si="94"/>
        <v>203,…,2901</v>
      </c>
    </row>
    <row r="550" spans="1:17" s="53" customFormat="1" ht="15.75" customHeight="1" x14ac:dyDescent="0.35">
      <c r="A550" s="116">
        <v>1</v>
      </c>
      <c r="B550" s="116"/>
      <c r="C550" s="28" t="s">
        <v>178</v>
      </c>
      <c r="D550" s="28">
        <f>(3.05*5.17+1.23*2.5+2.28*3.05+3.05*3.81+3.05*3.81+2.44*1.37+2.28*1.37+2.28*0.75+1.2*0.9+4.1*1+3.05*1.05)*10.764</f>
        <v>706.09041359999992</v>
      </c>
      <c r="E550" s="28">
        <v>0</v>
      </c>
      <c r="F550" s="28">
        <f t="shared" ref="F550:F555" si="95">D550*(($F$338)+1)+E550</f>
        <v>1059.1356203999999</v>
      </c>
      <c r="G550" s="120" t="str">
        <f>A549</f>
        <v>29th, 30th, 32nd &amp; 33rd Floor</v>
      </c>
      <c r="H550" s="121"/>
      <c r="I550" s="52">
        <f>7500000/F552</f>
        <v>7903.3204037919968</v>
      </c>
      <c r="L550" s="55">
        <v>204</v>
      </c>
      <c r="M550" s="54">
        <v>2901</v>
      </c>
      <c r="N550" s="52"/>
      <c r="Q550" s="53" t="str">
        <f t="shared" si="94"/>
        <v>204,…,2901</v>
      </c>
    </row>
    <row r="551" spans="1:17" s="53" customFormat="1" ht="15.75" customHeight="1" x14ac:dyDescent="0.35">
      <c r="A551" s="116">
        <v>2</v>
      </c>
      <c r="B551" s="116"/>
      <c r="C551" s="28" t="s">
        <v>178</v>
      </c>
      <c r="D551" s="28">
        <f>(3.05*5.17+1.23*2.5+2.28*3.05+3.05*3.81+3.05*3.81+2.44*1.37+2.28*1.37+2.28*0.75+1.2*0.9+4.1*1+3.05*1.05)*10.764</f>
        <v>706.09041359999992</v>
      </c>
      <c r="E551" s="28">
        <v>0</v>
      </c>
      <c r="F551" s="28">
        <f t="shared" si="95"/>
        <v>1059.1356203999999</v>
      </c>
      <c r="G551" s="122"/>
      <c r="H551" s="123"/>
      <c r="I551" s="52"/>
      <c r="L551" s="54">
        <v>205</v>
      </c>
      <c r="M551" s="54">
        <v>2901</v>
      </c>
      <c r="N551" s="52"/>
      <c r="Q551" s="53" t="str">
        <f t="shared" si="94"/>
        <v>205,…,2901</v>
      </c>
    </row>
    <row r="552" spans="1:17" s="53" customFormat="1" ht="15.75" customHeight="1" x14ac:dyDescent="0.35">
      <c r="A552" s="116">
        <v>3</v>
      </c>
      <c r="B552" s="116"/>
      <c r="C552" s="28" t="s">
        <v>178</v>
      </c>
      <c r="D552" s="28">
        <f>(3.05*5.05+1.23*2.32+3.05*3.66+2.2*2.43+2.9*3.73+2.28*1.37+3.05*1.05+1.2*1.5+2.2*0.75+2.44*1.4)*10.764</f>
        <v>632.64548879999984</v>
      </c>
      <c r="E552" s="28">
        <v>0</v>
      </c>
      <c r="F552" s="28">
        <f t="shared" si="95"/>
        <v>948.96823319999976</v>
      </c>
      <c r="G552" s="122"/>
      <c r="H552" s="123"/>
      <c r="I552" s="52">
        <f>7500000/F554</f>
        <v>5435.6211619723108</v>
      </c>
      <c r="L552" s="55">
        <v>204</v>
      </c>
      <c r="M552" s="54">
        <v>2901</v>
      </c>
      <c r="N552" s="52"/>
      <c r="Q552" s="53" t="str">
        <f t="shared" ref="Q552" si="96">L552&amp;""&amp;",…,"&amp;""&amp;M552</f>
        <v>204,…,2901</v>
      </c>
    </row>
    <row r="553" spans="1:17" s="53" customFormat="1" ht="15.75" customHeight="1" x14ac:dyDescent="0.35">
      <c r="A553" s="116">
        <v>4</v>
      </c>
      <c r="B553" s="116"/>
      <c r="C553" s="28" t="s">
        <v>178</v>
      </c>
      <c r="D553" s="28">
        <f>(3.05*5.03+2.28*2.68+2.9*3.66+3.05*3.66+2.44*1.37+2.28*1.37+1.37*0.6+0.75*2.28+3.05*1.05+1*2.9)*10.764</f>
        <v>627.86196719999998</v>
      </c>
      <c r="E553" s="28">
        <v>0</v>
      </c>
      <c r="F553" s="28">
        <f t="shared" si="95"/>
        <v>941.79295079999997</v>
      </c>
      <c r="G553" s="122"/>
      <c r="H553" s="123"/>
      <c r="I553" s="52"/>
      <c r="L553" s="55">
        <v>206</v>
      </c>
      <c r="M553" s="54">
        <v>2901</v>
      </c>
      <c r="N553" s="52"/>
      <c r="Q553" s="53" t="str">
        <f t="shared" si="94"/>
        <v>206,…,2901</v>
      </c>
    </row>
    <row r="554" spans="1:17" s="53" customFormat="1" x14ac:dyDescent="0.35">
      <c r="A554" s="116">
        <v>5</v>
      </c>
      <c r="B554" s="116"/>
      <c r="C554" s="28" t="s">
        <v>133</v>
      </c>
      <c r="D554" s="28">
        <f>(3.05*5.49+1.53*2.47+2.9*3.8+3.05*3.85+3.05*4.26+2.28*3.2+2.28*0.75+2.28*1.37+2.47*1.37+2.44*1.37+6.7*0.9+0.45*1.2+3.05*1.23)*10.764</f>
        <v>919.85807159999979</v>
      </c>
      <c r="E554" s="28">
        <v>0</v>
      </c>
      <c r="F554" s="28">
        <f t="shared" si="95"/>
        <v>1379.7871073999997</v>
      </c>
      <c r="G554" s="122"/>
      <c r="H554" s="123"/>
      <c r="I554" s="52"/>
      <c r="L554" s="107"/>
      <c r="M554" s="107"/>
    </row>
    <row r="555" spans="1:17" s="53" customFormat="1" ht="15.75" customHeight="1" x14ac:dyDescent="0.35">
      <c r="A555" s="116">
        <v>6</v>
      </c>
      <c r="B555" s="116"/>
      <c r="C555" s="28" t="s">
        <v>298</v>
      </c>
      <c r="D555" s="28">
        <f>(1.2*2.28+3.7*2.28+3.9*2.28+6.25*6+1.38*3.41+1.38*3.41+3.05*3.89+3.05*3.89+3.55*3.05+3.55*3.05+2.44*1.4+2.44*1.4+2.28*1.37+2.28*1.37+1.37*1.2+1.37*1.2+2.28*0.75+6.25*1.05)*10.764</f>
        <v>1474.6604651999999</v>
      </c>
      <c r="E555" s="28">
        <v>0</v>
      </c>
      <c r="F555" s="28">
        <f t="shared" si="95"/>
        <v>2211.9906977999999</v>
      </c>
      <c r="G555" s="122"/>
      <c r="H555" s="123"/>
      <c r="I555" s="52"/>
      <c r="N555" s="52"/>
    </row>
    <row r="556" spans="1:17" s="53" customFormat="1" ht="15.75" customHeight="1" x14ac:dyDescent="0.35">
      <c r="A556" s="125" t="s">
        <v>270</v>
      </c>
      <c r="B556" s="125"/>
      <c r="C556" s="125"/>
      <c r="D556" s="125"/>
      <c r="E556" s="125"/>
      <c r="F556" s="125"/>
      <c r="G556" s="125"/>
      <c r="H556" s="125"/>
      <c r="I556" s="52"/>
      <c r="N556" s="52"/>
    </row>
    <row r="557" spans="1:17" s="53" customFormat="1" ht="15.75" customHeight="1" x14ac:dyDescent="0.35">
      <c r="A557" s="116">
        <v>1</v>
      </c>
      <c r="B557" s="116"/>
      <c r="C557" s="117" t="s">
        <v>201</v>
      </c>
      <c r="D557" s="118"/>
      <c r="E557" s="118"/>
      <c r="F557" s="119"/>
      <c r="G557" s="120" t="str">
        <f>A556</f>
        <v>31st Floor (Part Refuge Area)</v>
      </c>
      <c r="H557" s="121"/>
      <c r="I557" s="52">
        <f>7500000/F559</f>
        <v>7903.3204037919968</v>
      </c>
      <c r="N557" s="52"/>
    </row>
    <row r="558" spans="1:17" s="53" customFormat="1" ht="15.75" customHeight="1" x14ac:dyDescent="0.35">
      <c r="A558" s="116">
        <v>2</v>
      </c>
      <c r="B558" s="116"/>
      <c r="C558" s="28" t="s">
        <v>178</v>
      </c>
      <c r="D558" s="28">
        <f>(3.05*5.17+1.23*2.5+2.28*3.05+3.05*3.81+3.05*3.81+2.44*1.37+2.28*1.37+2.28*0.75+1.2*0.9+4.1*1+3.05*1.05)*10.764</f>
        <v>706.09041359999992</v>
      </c>
      <c r="E558" s="28">
        <v>0</v>
      </c>
      <c r="F558" s="28">
        <f>D558*(($F$338)+1)+E558</f>
        <v>1059.1356203999999</v>
      </c>
      <c r="G558" s="122"/>
      <c r="H558" s="123"/>
      <c r="I558" s="52"/>
      <c r="N558" s="52"/>
    </row>
    <row r="559" spans="1:17" s="53" customFormat="1" ht="15.75" customHeight="1" x14ac:dyDescent="0.35">
      <c r="A559" s="116">
        <v>3</v>
      </c>
      <c r="B559" s="116"/>
      <c r="C559" s="28" t="s">
        <v>178</v>
      </c>
      <c r="D559" s="28">
        <f>(3.05*5.05+1.23*2.32+3.05*3.66+2.2*2.43+2.9*3.73+2.28*1.37+3.05*1.05+1.2*1.5+2.2*0.75+2.44*1.4)*10.764</f>
        <v>632.64548879999984</v>
      </c>
      <c r="E559" s="28">
        <v>0</v>
      </c>
      <c r="F559" s="28">
        <f>D559*(($F$338)+1)+E559</f>
        <v>948.96823319999976</v>
      </c>
      <c r="G559" s="122"/>
      <c r="H559" s="123"/>
      <c r="I559" s="52"/>
      <c r="N559" s="52"/>
    </row>
    <row r="560" spans="1:17" s="53" customFormat="1" ht="15.75" customHeight="1" x14ac:dyDescent="0.35">
      <c r="A560" s="116">
        <v>4</v>
      </c>
      <c r="B560" s="116"/>
      <c r="C560" s="28" t="s">
        <v>178</v>
      </c>
      <c r="D560" s="28">
        <f>(3.05*5.03+2.28*2.68+2.9*3.66+3.05*3.66+2.44*1.37+2.28*1.37+1.37*0.6+0.75*2.28+3.05*1.05+1*2.9)*10.764</f>
        <v>627.86196719999998</v>
      </c>
      <c r="E560" s="28">
        <v>0</v>
      </c>
      <c r="F560" s="28">
        <f>D560*(($F$338)+1)+E560</f>
        <v>941.79295079999997</v>
      </c>
      <c r="G560" s="122"/>
      <c r="H560" s="123"/>
      <c r="I560" s="52"/>
      <c r="N560" s="52"/>
    </row>
    <row r="561" spans="1:14" s="53" customFormat="1" x14ac:dyDescent="0.35">
      <c r="A561" s="116">
        <v>5</v>
      </c>
      <c r="B561" s="116"/>
      <c r="C561" s="28" t="s">
        <v>133</v>
      </c>
      <c r="D561" s="28">
        <f>(3.05*5.49+1.53*2.47+2.9*3.8+3.05*3.85+3.05*4.26+2.28*3.2+2.28*0.75+2.28*1.37+2.47*1.37+2.44*1.37+6.7*0.9+0.45*1.2+3.05*1.23)*10.764</f>
        <v>919.85807159999979</v>
      </c>
      <c r="E561" s="28">
        <v>0</v>
      </c>
      <c r="F561" s="28">
        <f>D561*(($F$338)+1)+E561</f>
        <v>1379.7871073999997</v>
      </c>
      <c r="G561" s="122"/>
      <c r="H561" s="123"/>
      <c r="I561" s="52"/>
    </row>
    <row r="562" spans="1:14" s="53" customFormat="1" x14ac:dyDescent="0.35">
      <c r="A562" s="116">
        <v>6</v>
      </c>
      <c r="B562" s="116"/>
      <c r="C562" s="28" t="s">
        <v>298</v>
      </c>
      <c r="D562" s="28">
        <f>(1.2*2.28+3.7*2.28+3.9*2.28+6.25*6+1.38*3.41+1.38*3.41+3.05*3.89+3.05*3.89+3.55*3.05+3.55*3.05+2.44*1.4+2.44*1.4+2.28*1.37+2.28*1.37+1.37*1.2+1.37*1.2+2.28*0.75+6.25*1.05)*10.764</f>
        <v>1474.6604651999999</v>
      </c>
      <c r="E562" s="28">
        <v>0</v>
      </c>
      <c r="F562" s="28">
        <f>D562*(($F$338)+1)+E562</f>
        <v>2211.9906977999999</v>
      </c>
      <c r="G562" s="173"/>
      <c r="H562" s="174"/>
      <c r="I562" s="52"/>
    </row>
    <row r="563" spans="1:14" s="53" customFormat="1" x14ac:dyDescent="0.35">
      <c r="A563" s="124" t="s">
        <v>367</v>
      </c>
      <c r="B563" s="124"/>
      <c r="C563" s="124"/>
      <c r="D563" s="124"/>
      <c r="E563" s="124"/>
      <c r="F563" s="124"/>
      <c r="G563" s="124"/>
      <c r="H563" s="124"/>
      <c r="I563" s="52"/>
    </row>
    <row r="564" spans="1:14" s="53" customFormat="1" x14ac:dyDescent="0.35">
      <c r="A564" s="125" t="s">
        <v>175</v>
      </c>
      <c r="B564" s="125"/>
      <c r="C564" s="125"/>
      <c r="D564" s="125"/>
      <c r="E564" s="125"/>
      <c r="F564" s="125"/>
      <c r="G564" s="125"/>
      <c r="H564" s="125"/>
      <c r="I564" s="52"/>
      <c r="L564" s="107"/>
      <c r="M564" s="107"/>
    </row>
    <row r="565" spans="1:14" s="53" customFormat="1" ht="15.75" customHeight="1" x14ac:dyDescent="0.35">
      <c r="A565" s="125" t="s">
        <v>234</v>
      </c>
      <c r="B565" s="125"/>
      <c r="C565" s="125"/>
      <c r="D565" s="125"/>
      <c r="E565" s="125"/>
      <c r="F565" s="125"/>
      <c r="G565" s="125"/>
      <c r="H565" s="125"/>
      <c r="I565" s="52"/>
      <c r="N565" s="52"/>
    </row>
    <row r="566" spans="1:14" s="53" customFormat="1" ht="15.75" customHeight="1" x14ac:dyDescent="0.35">
      <c r="A566" s="125" t="s">
        <v>365</v>
      </c>
      <c r="B566" s="125"/>
      <c r="C566" s="125"/>
      <c r="D566" s="125"/>
      <c r="E566" s="125"/>
      <c r="F566" s="125"/>
      <c r="G566" s="125"/>
      <c r="H566" s="125"/>
      <c r="I566" s="52">
        <f>7500000/F568</f>
        <v>7903.3204037919968</v>
      </c>
      <c r="N566" s="52"/>
    </row>
    <row r="567" spans="1:14" s="53" customFormat="1" ht="15.75" customHeight="1" x14ac:dyDescent="0.35">
      <c r="A567" s="116">
        <v>1</v>
      </c>
      <c r="B567" s="116"/>
      <c r="C567" s="28" t="s">
        <v>178</v>
      </c>
      <c r="D567" s="28">
        <f>(3.05*5.03+2.28*2.68+2.9*3.66+3.05*3.66+2.44*1.37+2.28*1.37+1.37*0.6+0.75*2.28+3.05*1.05+1*2.9)*10.764</f>
        <v>627.86196719999998</v>
      </c>
      <c r="E567" s="28">
        <v>0</v>
      </c>
      <c r="F567" s="28">
        <f>D567*(($F$338)+1)+E567</f>
        <v>941.79295079999997</v>
      </c>
      <c r="G567" s="122" t="str">
        <f>A566</f>
        <v>1st Podium Floor for Parking &amp; Residential</v>
      </c>
      <c r="H567" s="123"/>
      <c r="I567" s="52"/>
      <c r="N567" s="52"/>
    </row>
    <row r="568" spans="1:14" s="53" customFormat="1" x14ac:dyDescent="0.35">
      <c r="A568" s="116">
        <v>3</v>
      </c>
      <c r="B568" s="116"/>
      <c r="C568" s="28" t="s">
        <v>178</v>
      </c>
      <c r="D568" s="28">
        <f>(3.05*5.05+1.23*2.32+3.05*3.66+2.2*2.43+2.9*3.73+2.28*1.37+3.05*1.05+1.2*1.5+2.2*0.75+2.44*1.4)*10.764</f>
        <v>632.64548879999984</v>
      </c>
      <c r="E568" s="28">
        <v>0</v>
      </c>
      <c r="F568" s="28">
        <f>D568*(($F$338)+1)+E568</f>
        <v>948.96823319999976</v>
      </c>
      <c r="G568" s="122"/>
      <c r="H568" s="123"/>
      <c r="I568" s="52"/>
      <c r="L568" s="107"/>
      <c r="M568" s="107"/>
    </row>
    <row r="569" spans="1:14" s="53" customFormat="1" x14ac:dyDescent="0.35">
      <c r="A569" s="116">
        <v>4</v>
      </c>
      <c r="B569" s="116"/>
      <c r="C569" s="28" t="s">
        <v>178</v>
      </c>
      <c r="D569" s="28">
        <f>(3.05*5.17+1.23*2.5+2.28*3.05+3.05*3.81+3.05*3.81+2.44*1.37+2.28*1.37+2.28*0.75+1.2*0.9+4.1*1+3.05*1.05)*10.764</f>
        <v>706.09041359999992</v>
      </c>
      <c r="E569" s="28">
        <v>0</v>
      </c>
      <c r="F569" s="28">
        <f>D569*(($F$338)+1)+E569</f>
        <v>1059.1356203999999</v>
      </c>
      <c r="G569" s="122"/>
      <c r="H569" s="123"/>
      <c r="I569" s="52"/>
      <c r="L569" s="107"/>
      <c r="M569" s="107"/>
    </row>
    <row r="570" spans="1:14" s="53" customFormat="1" ht="15.75" customHeight="1" x14ac:dyDescent="0.35">
      <c r="A570" s="125" t="s">
        <v>294</v>
      </c>
      <c r="B570" s="125"/>
      <c r="C570" s="125"/>
      <c r="D570" s="125"/>
      <c r="E570" s="125"/>
      <c r="F570" s="125"/>
      <c r="G570" s="125"/>
      <c r="H570" s="125"/>
      <c r="I570" s="52"/>
      <c r="N570" s="52"/>
    </row>
    <row r="571" spans="1:14" s="53" customFormat="1" ht="15.75" customHeight="1" x14ac:dyDescent="0.35">
      <c r="A571" s="125" t="s">
        <v>267</v>
      </c>
      <c r="B571" s="125"/>
      <c r="C571" s="125"/>
      <c r="D571" s="125"/>
      <c r="E571" s="125"/>
      <c r="F571" s="125"/>
      <c r="G571" s="125"/>
      <c r="H571" s="125"/>
      <c r="I571" s="52"/>
      <c r="N571" s="52"/>
    </row>
    <row r="572" spans="1:14" s="53" customFormat="1" ht="15.75" customHeight="1" x14ac:dyDescent="0.35">
      <c r="A572" s="116">
        <v>1</v>
      </c>
      <c r="B572" s="116"/>
      <c r="C572" s="28" t="s">
        <v>133</v>
      </c>
      <c r="D572" s="28">
        <f>(3.05*5.49+2.23*2.47+2.28*3.2+2.28*0.75+2.9*3.8+3.05*3.85+3.05*3.66+1.37*2.43+1.37*2.44+2.28*1.37+1.37*1+3.05*1+1.5*1+3.05*1.22)*10.764</f>
        <v>910.85613839999985</v>
      </c>
      <c r="E572" s="28">
        <v>0</v>
      </c>
      <c r="F572" s="28">
        <f t="shared" ref="F572:F578" si="97">D572*(($F$338)+1)+E572</f>
        <v>1366.2842075999997</v>
      </c>
      <c r="G572" s="120" t="str">
        <f>A571</f>
        <v>1st Floor for Residential</v>
      </c>
      <c r="H572" s="121"/>
      <c r="I572" s="52">
        <f>7500000/F574</f>
        <v>7903.3204037919968</v>
      </c>
      <c r="N572" s="52"/>
    </row>
    <row r="573" spans="1:14" s="53" customFormat="1" ht="15.75" customHeight="1" x14ac:dyDescent="0.35">
      <c r="A573" s="116">
        <v>2</v>
      </c>
      <c r="B573" s="116"/>
      <c r="C573" s="28" t="s">
        <v>178</v>
      </c>
      <c r="D573" s="28">
        <f>(3.05*5.03+2.28*2.68+2.9*3.66+3.05*3.66+2.44*1.37+2.28*1.37+1.37*0.6+0.75*2.28+3.05*1.05+1*2.9)*10.764</f>
        <v>627.86196719999998</v>
      </c>
      <c r="E573" s="28">
        <v>0</v>
      </c>
      <c r="F573" s="28">
        <f t="shared" si="97"/>
        <v>941.79295079999997</v>
      </c>
      <c r="G573" s="122"/>
      <c r="H573" s="123"/>
      <c r="I573" s="52"/>
      <c r="N573" s="52"/>
    </row>
    <row r="574" spans="1:14" s="53" customFormat="1" ht="15.75" customHeight="1" x14ac:dyDescent="0.35">
      <c r="A574" s="116">
        <v>3</v>
      </c>
      <c r="B574" s="116"/>
      <c r="C574" s="28" t="s">
        <v>178</v>
      </c>
      <c r="D574" s="28">
        <f>(3.05*5.05+1.23*2.32+3.05*3.66+2.2*2.43+2.9*3.73+2.28*1.37+3.05*1.05+1.2*1.5+2.2*0.75+2.44*1.4)*10.764</f>
        <v>632.64548879999984</v>
      </c>
      <c r="E574" s="28">
        <v>0</v>
      </c>
      <c r="F574" s="28">
        <f t="shared" si="97"/>
        <v>948.96823319999976</v>
      </c>
      <c r="G574" s="122"/>
      <c r="H574" s="123"/>
      <c r="I574" s="52"/>
      <c r="N574" s="52"/>
    </row>
    <row r="575" spans="1:14" s="53" customFormat="1" ht="15.75" customHeight="1" x14ac:dyDescent="0.35">
      <c r="A575" s="116">
        <v>4</v>
      </c>
      <c r="B575" s="116"/>
      <c r="C575" s="28" t="s">
        <v>178</v>
      </c>
      <c r="D575" s="28">
        <f>(3.05*5.17+1.23*2.5+2.28*3.05+3.05*3.81+3.05*3.81+2.44*1.37+2.28*1.37+2.28*0.75+1.2*0.9+4.1*1+3.05*1.05)*10.764</f>
        <v>706.09041359999992</v>
      </c>
      <c r="E575" s="28">
        <v>0</v>
      </c>
      <c r="F575" s="28">
        <f t="shared" si="97"/>
        <v>1059.1356203999999</v>
      </c>
      <c r="G575" s="122"/>
      <c r="H575" s="123"/>
      <c r="I575" s="52"/>
      <c r="N575" s="52"/>
    </row>
    <row r="576" spans="1:14" s="53" customFormat="1" ht="15.75" customHeight="1" x14ac:dyDescent="0.35">
      <c r="A576" s="116">
        <v>5</v>
      </c>
      <c r="B576" s="116"/>
      <c r="C576" s="28" t="s">
        <v>178</v>
      </c>
      <c r="D576" s="28">
        <f>(3.05*5.17+1.23*2.5+2.28*3.05+3.05*3.81+3.05*3.81+2.44*1.37+2.28*1.37+2.28*0.75+1.2*0.9+4.1*1+3.05*1.05)*10.764</f>
        <v>706.09041359999992</v>
      </c>
      <c r="E576" s="28">
        <v>0</v>
      </c>
      <c r="F576" s="28">
        <f t="shared" si="97"/>
        <v>1059.1356203999999</v>
      </c>
      <c r="G576" s="122"/>
      <c r="H576" s="123"/>
      <c r="I576" s="52"/>
      <c r="N576" s="52"/>
    </row>
    <row r="577" spans="1:17" s="53" customFormat="1" x14ac:dyDescent="0.35">
      <c r="A577" s="116">
        <v>6</v>
      </c>
      <c r="B577" s="116"/>
      <c r="C577" s="28" t="s">
        <v>178</v>
      </c>
      <c r="D577" s="28">
        <f>(3.05*6+1.38*3.41+2.9*2.28+2.28*0.75+3.05*3.89+3.85*3.05+2.28*1.37+2.44*1.37+3.05*1.05+1.37*1.2)*10.764</f>
        <v>713.09024279999994</v>
      </c>
      <c r="E577" s="28">
        <v>0</v>
      </c>
      <c r="F577" s="28">
        <f t="shared" si="97"/>
        <v>1069.6353641999999</v>
      </c>
      <c r="G577" s="122"/>
      <c r="H577" s="123"/>
      <c r="I577" s="52"/>
      <c r="L577" s="54">
        <v>201</v>
      </c>
      <c r="M577" s="54">
        <v>2901</v>
      </c>
      <c r="Q577" s="53" t="str">
        <f>L577&amp;""&amp;",…,"&amp;""&amp;M577</f>
        <v>201,…,2901</v>
      </c>
    </row>
    <row r="578" spans="1:17" s="53" customFormat="1" ht="15.75" customHeight="1" x14ac:dyDescent="0.35">
      <c r="A578" s="116">
        <v>7</v>
      </c>
      <c r="B578" s="116"/>
      <c r="C578" s="28" t="s">
        <v>178</v>
      </c>
      <c r="D578" s="28">
        <f>(3.05*6+1.38*3.41+2.9*2.28+2.28*0.75+3.05*3.89+3.85*3.05+2.28*1.37+2.44*1.37+3.05*1.05+1.37*1.2)*10.764</f>
        <v>713.09024279999994</v>
      </c>
      <c r="E578" s="28">
        <v>0</v>
      </c>
      <c r="F578" s="28">
        <f t="shared" si="97"/>
        <v>1069.6353641999999</v>
      </c>
      <c r="G578" s="122"/>
      <c r="H578" s="123"/>
      <c r="I578" s="52"/>
      <c r="L578" s="55">
        <v>202</v>
      </c>
      <c r="M578" s="54">
        <v>2901</v>
      </c>
      <c r="N578" s="52"/>
      <c r="Q578" s="53" t="str">
        <f t="shared" ref="Q578:Q584" si="98">L578&amp;""&amp;",…,"&amp;""&amp;M578</f>
        <v>202,…,2901</v>
      </c>
    </row>
    <row r="579" spans="1:17" s="53" customFormat="1" ht="15.75" customHeight="1" x14ac:dyDescent="0.35">
      <c r="A579" s="125" t="s">
        <v>368</v>
      </c>
      <c r="B579" s="125"/>
      <c r="C579" s="125"/>
      <c r="D579" s="125"/>
      <c r="E579" s="125"/>
      <c r="F579" s="125"/>
      <c r="G579" s="125"/>
      <c r="H579" s="125"/>
      <c r="I579" s="52"/>
      <c r="L579" s="54">
        <v>203</v>
      </c>
      <c r="M579" s="54">
        <v>2901</v>
      </c>
      <c r="N579" s="52"/>
      <c r="Q579" s="53" t="str">
        <f t="shared" si="98"/>
        <v>203,…,2901</v>
      </c>
    </row>
    <row r="580" spans="1:17" s="53" customFormat="1" ht="15.75" customHeight="1" x14ac:dyDescent="0.35">
      <c r="A580" s="116">
        <v>1</v>
      </c>
      <c r="B580" s="116"/>
      <c r="C580" s="28" t="s">
        <v>133</v>
      </c>
      <c r="D580" s="28">
        <f>(3.05*5.49+2.23*2.47+2.28*3.2+2.28*0.75+2.9*3.8+3.05*3.85+3.05*3.66+1.37*2.43+1.37*2.44+2.28*1.37+1.37*1+3.05*1+1.5*1+3.05*1.22)*10.764</f>
        <v>910.85613839999985</v>
      </c>
      <c r="E580" s="28">
        <v>0</v>
      </c>
      <c r="F580" s="28">
        <f t="shared" ref="F580:F586" si="99">D580*(($F$338)+1)+E580</f>
        <v>1366.2842075999997</v>
      </c>
      <c r="G580" s="120" t="str">
        <f>A579</f>
        <v>2nd to 5th, 7th to 10th, 12th to 15th, 17th to 20th, 22nd to 25th, 27th to 30th, 32nd &amp; 33rd Floor</v>
      </c>
      <c r="H580" s="121"/>
      <c r="I580" s="52">
        <f>7500000/F582</f>
        <v>7903.3204037919968</v>
      </c>
      <c r="L580" s="55">
        <v>204</v>
      </c>
      <c r="M580" s="54">
        <v>2901</v>
      </c>
      <c r="N580" s="52"/>
      <c r="Q580" s="53" t="str">
        <f t="shared" si="98"/>
        <v>204,…,2901</v>
      </c>
    </row>
    <row r="581" spans="1:17" s="53" customFormat="1" ht="15.75" customHeight="1" x14ac:dyDescent="0.35">
      <c r="A581" s="116">
        <v>2</v>
      </c>
      <c r="B581" s="116"/>
      <c r="C581" s="28" t="s">
        <v>178</v>
      </c>
      <c r="D581" s="28">
        <f>(3.05*5.03+2.28*2.68+2.9*3.66+3.05*3.66+2.44*1.37+2.28*1.37+1.37*0.6+0.75*2.28+3.05*1.05+1*2.9)*10.764</f>
        <v>627.86196719999998</v>
      </c>
      <c r="E581" s="28">
        <v>0</v>
      </c>
      <c r="F581" s="28">
        <f t="shared" si="99"/>
        <v>941.79295079999997</v>
      </c>
      <c r="G581" s="122"/>
      <c r="H581" s="123"/>
      <c r="I581" s="52"/>
      <c r="L581" s="54">
        <v>205</v>
      </c>
      <c r="M581" s="54">
        <v>2901</v>
      </c>
      <c r="N581" s="52"/>
      <c r="Q581" s="53" t="str">
        <f t="shared" si="98"/>
        <v>205,…,2901</v>
      </c>
    </row>
    <row r="582" spans="1:17" s="53" customFormat="1" ht="15.75" customHeight="1" x14ac:dyDescent="0.35">
      <c r="A582" s="116">
        <v>3</v>
      </c>
      <c r="B582" s="116"/>
      <c r="C582" s="28" t="s">
        <v>178</v>
      </c>
      <c r="D582" s="28">
        <f>(3.05*5.05+1.23*2.32+3.05*3.66+2.2*2.43+2.9*3.73+2.28*1.37+3.05*1.05+1.2*1.5+2.2*0.75+2.44*1.4)*10.764</f>
        <v>632.64548879999984</v>
      </c>
      <c r="E582" s="28">
        <v>0</v>
      </c>
      <c r="F582" s="28">
        <f t="shared" si="99"/>
        <v>948.96823319999976</v>
      </c>
      <c r="G582" s="122"/>
      <c r="H582" s="123"/>
      <c r="I582" s="52"/>
      <c r="L582" s="55">
        <v>206</v>
      </c>
      <c r="M582" s="54">
        <v>2901</v>
      </c>
      <c r="N582" s="52"/>
      <c r="Q582" s="53" t="str">
        <f t="shared" si="98"/>
        <v>206,…,2901</v>
      </c>
    </row>
    <row r="583" spans="1:17" s="53" customFormat="1" ht="15.75" customHeight="1" x14ac:dyDescent="0.35">
      <c r="A583" s="116">
        <v>4</v>
      </c>
      <c r="B583" s="116"/>
      <c r="C583" s="28" t="s">
        <v>178</v>
      </c>
      <c r="D583" s="28">
        <f>(3.05*5.17+1.23*2.5+2.28*3.05+3.05*3.81+3.05*3.81+2.44*1.37+2.28*1.37+2.28*0.75+1.2*0.9+4.1*1+3.05*1.05)*10.764</f>
        <v>706.09041359999992</v>
      </c>
      <c r="E583" s="28">
        <v>0</v>
      </c>
      <c r="F583" s="28">
        <f t="shared" si="99"/>
        <v>1059.1356203999999</v>
      </c>
      <c r="G583" s="122"/>
      <c r="H583" s="123"/>
      <c r="I583" s="52"/>
      <c r="L583" s="54">
        <v>207</v>
      </c>
      <c r="M583" s="54">
        <v>2901</v>
      </c>
      <c r="N583" s="52"/>
      <c r="Q583" s="53" t="str">
        <f t="shared" si="98"/>
        <v>207,…,2901</v>
      </c>
    </row>
    <row r="584" spans="1:17" s="53" customFormat="1" ht="15.75" customHeight="1" x14ac:dyDescent="0.35">
      <c r="A584" s="116">
        <v>5</v>
      </c>
      <c r="B584" s="116"/>
      <c r="C584" s="28" t="s">
        <v>178</v>
      </c>
      <c r="D584" s="28">
        <f>(3.05*5.17+1.23*2.5+2.28*3.05+3.05*3.81+3.05*3.81+2.44*1.37+2.28*1.37+2.28*0.75+1.2*0.9+4.1*1+3.05*1.05)*10.764</f>
        <v>706.09041359999992</v>
      </c>
      <c r="E584" s="28">
        <v>0</v>
      </c>
      <c r="F584" s="28">
        <f t="shared" si="99"/>
        <v>1059.1356203999999</v>
      </c>
      <c r="G584" s="122"/>
      <c r="H584" s="123"/>
      <c r="I584" s="52"/>
      <c r="L584" s="55">
        <v>206</v>
      </c>
      <c r="M584" s="54">
        <v>2901</v>
      </c>
      <c r="N584" s="52"/>
      <c r="Q584" s="53" t="str">
        <f t="shared" si="98"/>
        <v>206,…,2901</v>
      </c>
    </row>
    <row r="585" spans="1:17" s="53" customFormat="1" x14ac:dyDescent="0.35">
      <c r="A585" s="116">
        <v>6</v>
      </c>
      <c r="B585" s="116"/>
      <c r="C585" s="28" t="s">
        <v>178</v>
      </c>
      <c r="D585" s="28">
        <f>(3.05*6+1.38*3.41+2.9*2.28+2.28*0.75+3.05*3.89+3.85*3.05+2.28*1.37+2.44*1.37+3.05*1.05+1.37*1.2)*10.764</f>
        <v>713.09024279999994</v>
      </c>
      <c r="E585" s="28">
        <v>0</v>
      </c>
      <c r="F585" s="28">
        <f t="shared" si="99"/>
        <v>1069.6353641999999</v>
      </c>
      <c r="G585" s="122"/>
      <c r="H585" s="123"/>
      <c r="I585" s="52"/>
      <c r="L585" s="107"/>
      <c r="M585" s="107"/>
    </row>
    <row r="586" spans="1:17" s="53" customFormat="1" ht="15.75" customHeight="1" x14ac:dyDescent="0.35">
      <c r="A586" s="116">
        <v>7</v>
      </c>
      <c r="B586" s="116"/>
      <c r="C586" s="28" t="s">
        <v>178</v>
      </c>
      <c r="D586" s="28">
        <f>(3.05*6+1.38*3.41+2.9*2.28+2.28*0.75+3.05*3.89+3.85*3.05+2.28*1.37+2.44*1.37+3.05*1.05+1.37*1.2)*10.764</f>
        <v>713.09024279999994</v>
      </c>
      <c r="E586" s="28">
        <v>0</v>
      </c>
      <c r="F586" s="28">
        <f t="shared" si="99"/>
        <v>1069.6353641999999</v>
      </c>
      <c r="G586" s="173"/>
      <c r="H586" s="174"/>
      <c r="I586" s="52"/>
      <c r="L586" s="55">
        <v>202</v>
      </c>
      <c r="M586" s="54">
        <v>2901</v>
      </c>
      <c r="N586" s="52"/>
      <c r="Q586" s="53" t="str">
        <f t="shared" ref="Q586:Q592" si="100">L586&amp;""&amp;",…,"&amp;""&amp;M586</f>
        <v>202,…,2901</v>
      </c>
    </row>
    <row r="587" spans="1:17" s="53" customFormat="1" ht="15.75" customHeight="1" x14ac:dyDescent="0.35">
      <c r="A587" s="125" t="s">
        <v>284</v>
      </c>
      <c r="B587" s="125"/>
      <c r="C587" s="125"/>
      <c r="D587" s="125"/>
      <c r="E587" s="125"/>
      <c r="F587" s="125"/>
      <c r="G587" s="125"/>
      <c r="H587" s="125"/>
      <c r="I587" s="52"/>
      <c r="L587" s="54">
        <v>203</v>
      </c>
      <c r="M587" s="54">
        <v>2901</v>
      </c>
      <c r="N587" s="52"/>
      <c r="Q587" s="53" t="str">
        <f t="shared" si="100"/>
        <v>203,…,2901</v>
      </c>
    </row>
    <row r="588" spans="1:17" s="53" customFormat="1" ht="15.75" customHeight="1" x14ac:dyDescent="0.35">
      <c r="A588" s="116">
        <v>1</v>
      </c>
      <c r="B588" s="116"/>
      <c r="C588" s="28" t="s">
        <v>133</v>
      </c>
      <c r="D588" s="28">
        <f>(3.05*5.49+2.23*2.47+2.28*3.2+2.28*0.75+2.9*3.8+3.05*3.85+3.05*3.66+1.37*2.43+1.37*2.44+2.28*1.37+1.37*1+3.05*1+1.5*1+3.05*1.22)*10.764</f>
        <v>910.85613839999985</v>
      </c>
      <c r="E588" s="28">
        <v>0</v>
      </c>
      <c r="F588" s="28">
        <f>D588*(($F$338)+1)+E588</f>
        <v>1366.2842075999997</v>
      </c>
      <c r="G588" s="120" t="str">
        <f>A587</f>
        <v>6th, 11th, 16th, 21st, 26th &amp; 31st Floor (Part Refuge Floor)</v>
      </c>
      <c r="H588" s="121"/>
      <c r="I588" s="52">
        <f>7500000/F590</f>
        <v>7903.3204037919968</v>
      </c>
      <c r="L588" s="55">
        <v>204</v>
      </c>
      <c r="M588" s="54">
        <v>2901</v>
      </c>
      <c r="N588" s="52"/>
      <c r="Q588" s="53" t="str">
        <f t="shared" si="100"/>
        <v>204,…,2901</v>
      </c>
    </row>
    <row r="589" spans="1:17" s="53" customFormat="1" ht="15.75" customHeight="1" x14ac:dyDescent="0.35">
      <c r="A589" s="116">
        <v>2</v>
      </c>
      <c r="B589" s="116"/>
      <c r="C589" s="28" t="s">
        <v>178</v>
      </c>
      <c r="D589" s="28">
        <f>(3.05*5.03+2.28*2.68+2.9*3.66+3.05*3.66+2.44*1.37+2.28*1.37+1.37*0.6+0.75*2.28+3.05*1.05+1*2.9)*10.764</f>
        <v>627.86196719999998</v>
      </c>
      <c r="E589" s="28">
        <v>0</v>
      </c>
      <c r="F589" s="28">
        <f>D589*(($F$338)+1)+E589</f>
        <v>941.79295079999997</v>
      </c>
      <c r="G589" s="122"/>
      <c r="H589" s="123"/>
      <c r="I589" s="52"/>
      <c r="L589" s="54">
        <v>205</v>
      </c>
      <c r="M589" s="54">
        <v>2901</v>
      </c>
      <c r="N589" s="52"/>
      <c r="Q589" s="53" t="str">
        <f t="shared" si="100"/>
        <v>205,…,2901</v>
      </c>
    </row>
    <row r="590" spans="1:17" s="53" customFormat="1" ht="15.75" customHeight="1" x14ac:dyDescent="0.35">
      <c r="A590" s="116">
        <v>3</v>
      </c>
      <c r="B590" s="116"/>
      <c r="C590" s="28" t="s">
        <v>178</v>
      </c>
      <c r="D590" s="28">
        <f>(3.05*5.05+1.23*2.32+3.05*3.66+2.2*2.43+2.9*3.73+2.28*1.37+3.05*1.05+1.2*1.5+2.2*0.75+2.44*1.4)*10.764</f>
        <v>632.64548879999984</v>
      </c>
      <c r="E590" s="28">
        <v>0</v>
      </c>
      <c r="F590" s="28">
        <f>D590*(($F$338)+1)+E590</f>
        <v>948.96823319999976</v>
      </c>
      <c r="G590" s="122"/>
      <c r="H590" s="123"/>
      <c r="I590" s="52"/>
      <c r="L590" s="53">
        <v>606</v>
      </c>
      <c r="M590" s="53">
        <v>2606</v>
      </c>
      <c r="N590" s="52"/>
      <c r="Q590" s="53" t="str">
        <f t="shared" si="100"/>
        <v>606,…,2606</v>
      </c>
    </row>
    <row r="591" spans="1:17" s="53" customFormat="1" ht="15.75" customHeight="1" x14ac:dyDescent="0.35">
      <c r="A591" s="116">
        <v>4</v>
      </c>
      <c r="B591" s="116"/>
      <c r="C591" s="28" t="s">
        <v>178</v>
      </c>
      <c r="D591" s="28">
        <f>(3.05*5.17+1.23*2.5+2.28*3.05+3.05*3.81+3.05*3.81+2.44*1.37+2.28*1.37+2.28*0.75+1.2*0.9+4.1*1+3.05*1.05)*10.764</f>
        <v>706.09041359999992</v>
      </c>
      <c r="E591" s="28">
        <v>0</v>
      </c>
      <c r="F591" s="28">
        <f>D591*(($F$338)+1)+E591</f>
        <v>1059.1356203999999</v>
      </c>
      <c r="G591" s="122"/>
      <c r="H591" s="123"/>
      <c r="I591" s="52"/>
      <c r="L591" s="54">
        <v>207</v>
      </c>
      <c r="M591" s="54">
        <v>2901</v>
      </c>
      <c r="N591" s="52"/>
      <c r="Q591" s="53" t="str">
        <f t="shared" si="100"/>
        <v>207,…,2901</v>
      </c>
    </row>
    <row r="592" spans="1:17" s="53" customFormat="1" ht="15.75" customHeight="1" x14ac:dyDescent="0.35">
      <c r="A592" s="116">
        <v>5</v>
      </c>
      <c r="B592" s="116"/>
      <c r="C592" s="117" t="s">
        <v>201</v>
      </c>
      <c r="D592" s="118"/>
      <c r="E592" s="118"/>
      <c r="F592" s="119"/>
      <c r="G592" s="122"/>
      <c r="H592" s="123"/>
      <c r="I592" s="52"/>
      <c r="L592" s="55">
        <v>206</v>
      </c>
      <c r="M592" s="54">
        <v>2901</v>
      </c>
      <c r="N592" s="52"/>
      <c r="Q592" s="53" t="str">
        <f t="shared" si="100"/>
        <v>206,…,2901</v>
      </c>
    </row>
    <row r="593" spans="1:16" s="53" customFormat="1" x14ac:dyDescent="0.35">
      <c r="A593" s="116">
        <v>6</v>
      </c>
      <c r="B593" s="116"/>
      <c r="C593" s="28" t="s">
        <v>178</v>
      </c>
      <c r="D593" s="28">
        <f>(3.05*6+1.38*3.41+2.9*2.28+2.28*0.75+3.05*3.89+3.85*3.05+2.28*1.37+2.44*1.37+3.05*1.05+1.37*1.2)*10.764</f>
        <v>713.09024279999994</v>
      </c>
      <c r="E593" s="28">
        <v>0</v>
      </c>
      <c r="F593" s="28">
        <f>D593*(($F$338)+1)+E593</f>
        <v>1069.6353641999999</v>
      </c>
      <c r="G593" s="122"/>
      <c r="H593" s="123"/>
      <c r="I593" s="52"/>
    </row>
    <row r="594" spans="1:16" s="53" customFormat="1" x14ac:dyDescent="0.35">
      <c r="A594" s="116">
        <v>7</v>
      </c>
      <c r="B594" s="116"/>
      <c r="C594" s="28" t="s">
        <v>178</v>
      </c>
      <c r="D594" s="28">
        <f>(3.05*6+1.38*3.41+2.9*2.28+2.28*0.75+3.05*3.89+3.85*3.05+2.28*1.37+2.44*1.37+3.05*1.05+1.37*1.2)*10.764</f>
        <v>713.09024279999994</v>
      </c>
      <c r="E594" s="28">
        <v>0</v>
      </c>
      <c r="F594" s="28">
        <f>D594*(($F$338)+1)+E594</f>
        <v>1069.6353641999999</v>
      </c>
      <c r="G594" s="173"/>
      <c r="H594" s="174"/>
      <c r="I594" s="52"/>
    </row>
    <row r="595" spans="1:16" s="53" customFormat="1" x14ac:dyDescent="0.35">
      <c r="A595" s="124" t="s">
        <v>202</v>
      </c>
      <c r="B595" s="124"/>
      <c r="C595" s="124"/>
      <c r="D595" s="124"/>
      <c r="E595" s="124"/>
      <c r="F595" s="124"/>
      <c r="G595" s="124"/>
      <c r="H595" s="124"/>
      <c r="I595" s="52"/>
    </row>
    <row r="596" spans="1:16" s="53" customFormat="1" x14ac:dyDescent="0.35">
      <c r="A596" s="125" t="s">
        <v>175</v>
      </c>
      <c r="B596" s="125"/>
      <c r="C596" s="125"/>
      <c r="D596" s="125"/>
      <c r="E596" s="125"/>
      <c r="F596" s="125"/>
      <c r="G596" s="125"/>
      <c r="H596" s="125"/>
      <c r="I596" s="52"/>
      <c r="L596" s="107"/>
      <c r="M596" s="107"/>
    </row>
    <row r="597" spans="1:16" s="53" customFormat="1" ht="15.75" customHeight="1" x14ac:dyDescent="0.35">
      <c r="A597" s="125" t="s">
        <v>234</v>
      </c>
      <c r="B597" s="125"/>
      <c r="C597" s="125"/>
      <c r="D597" s="125"/>
      <c r="E597" s="125"/>
      <c r="F597" s="125"/>
      <c r="G597" s="125"/>
      <c r="H597" s="125"/>
      <c r="I597" s="52"/>
      <c r="N597" s="52"/>
    </row>
    <row r="598" spans="1:16" s="53" customFormat="1" ht="15.75" customHeight="1" x14ac:dyDescent="0.35">
      <c r="A598" s="125" t="s">
        <v>177</v>
      </c>
      <c r="B598" s="125"/>
      <c r="C598" s="125"/>
      <c r="D598" s="125"/>
      <c r="E598" s="125"/>
      <c r="F598" s="125"/>
      <c r="G598" s="125"/>
      <c r="H598" s="125"/>
      <c r="I598" s="52"/>
      <c r="N598" s="52"/>
    </row>
    <row r="599" spans="1:16" s="53" customFormat="1" ht="15.75" customHeight="1" x14ac:dyDescent="0.35">
      <c r="A599" s="116" t="s">
        <v>235</v>
      </c>
      <c r="B599" s="116"/>
      <c r="C599" s="120" t="s">
        <v>193</v>
      </c>
      <c r="D599" s="182"/>
      <c r="E599" s="182"/>
      <c r="F599" s="121"/>
      <c r="G599" s="120" t="str">
        <f>A598</f>
        <v>1st Podium Floor for Part Residential &amp; Part Parking</v>
      </c>
      <c r="H599" s="121"/>
      <c r="I599" s="52">
        <f>7500000/F601</f>
        <v>11957.026134320886</v>
      </c>
      <c r="N599" s="52"/>
    </row>
    <row r="600" spans="1:16" s="53" customFormat="1" ht="15.75" customHeight="1" x14ac:dyDescent="0.35">
      <c r="A600" s="116" t="s">
        <v>236</v>
      </c>
      <c r="B600" s="116"/>
      <c r="C600" s="173"/>
      <c r="D600" s="184"/>
      <c r="E600" s="184"/>
      <c r="F600" s="174"/>
      <c r="G600" s="122"/>
      <c r="H600" s="123"/>
      <c r="I600" s="52"/>
      <c r="N600" s="52"/>
    </row>
    <row r="601" spans="1:16" s="53" customFormat="1" ht="15.75" customHeight="1" x14ac:dyDescent="0.35">
      <c r="A601" s="116" t="s">
        <v>237</v>
      </c>
      <c r="B601" s="116"/>
      <c r="C601" s="28" t="s">
        <v>204</v>
      </c>
      <c r="D601" s="28">
        <f>(3.05*4.34+2.9*3.65+2.28*1.22+1.82*3.05+2.2*1.22+2.04*1.37+1.62*0.75)*(10.764)</f>
        <v>418.16417759999996</v>
      </c>
      <c r="E601" s="28">
        <v>0</v>
      </c>
      <c r="F601" s="28">
        <f>D601*(($F$338)+1)+E601</f>
        <v>627.24626639999997</v>
      </c>
      <c r="G601" s="122"/>
      <c r="H601" s="123"/>
      <c r="I601" s="52"/>
      <c r="N601" s="52"/>
    </row>
    <row r="602" spans="1:16" s="53" customFormat="1" ht="15.75" customHeight="1" x14ac:dyDescent="0.35">
      <c r="A602" s="116" t="s">
        <v>238</v>
      </c>
      <c r="B602" s="116"/>
      <c r="C602" s="28" t="s">
        <v>204</v>
      </c>
      <c r="D602" s="28">
        <f t="shared" ref="D602:D603" si="101">(3.05*4.34+2.9*3.65+2.28*1.22+1.82*3.05+2.2*1.22+2.04*1.37+1.62*0.75)*(10.764)</f>
        <v>418.16417759999996</v>
      </c>
      <c r="E602" s="28">
        <v>0</v>
      </c>
      <c r="F602" s="28">
        <f>D602*(($F$338)+1)+E602</f>
        <v>627.24626639999997</v>
      </c>
      <c r="G602" s="122"/>
      <c r="H602" s="123"/>
      <c r="I602" s="52"/>
      <c r="N602" s="52"/>
    </row>
    <row r="603" spans="1:16" s="53" customFormat="1" ht="15.75" customHeight="1" x14ac:dyDescent="0.35">
      <c r="A603" s="116" t="s">
        <v>239</v>
      </c>
      <c r="B603" s="116"/>
      <c r="C603" s="28" t="s">
        <v>204</v>
      </c>
      <c r="D603" s="28">
        <f t="shared" si="101"/>
        <v>418.16417759999996</v>
      </c>
      <c r="E603" s="28">
        <v>0</v>
      </c>
      <c r="F603" s="28">
        <f>D603*(($F$338)+1)+E603</f>
        <v>627.24626639999997</v>
      </c>
      <c r="G603" s="122"/>
      <c r="H603" s="123"/>
      <c r="I603" s="52"/>
      <c r="N603" s="52"/>
    </row>
    <row r="604" spans="1:16" s="53" customFormat="1" ht="15.75" customHeight="1" x14ac:dyDescent="0.35">
      <c r="A604" s="116" t="s">
        <v>240</v>
      </c>
      <c r="B604" s="116"/>
      <c r="C604" s="120" t="s">
        <v>315</v>
      </c>
      <c r="D604" s="182"/>
      <c r="E604" s="182"/>
      <c r="F604" s="121"/>
      <c r="G604" s="122"/>
      <c r="H604" s="123"/>
      <c r="I604" s="52"/>
      <c r="N604" s="52"/>
    </row>
    <row r="605" spans="1:16" s="53" customFormat="1" ht="15.75" customHeight="1" x14ac:dyDescent="0.35">
      <c r="A605" s="116" t="s">
        <v>241</v>
      </c>
      <c r="B605" s="116"/>
      <c r="C605" s="122"/>
      <c r="D605" s="183"/>
      <c r="E605" s="183"/>
      <c r="F605" s="123"/>
      <c r="G605" s="122"/>
      <c r="H605" s="123"/>
      <c r="I605" s="52"/>
      <c r="N605" s="52"/>
    </row>
    <row r="606" spans="1:16" s="53" customFormat="1" ht="36" customHeight="1" x14ac:dyDescent="0.35">
      <c r="A606" s="116" t="s">
        <v>242</v>
      </c>
      <c r="B606" s="116"/>
      <c r="C606" s="122"/>
      <c r="D606" s="183"/>
      <c r="E606" s="183"/>
      <c r="F606" s="123"/>
      <c r="G606" s="122"/>
      <c r="H606" s="123"/>
      <c r="I606" s="52"/>
      <c r="L606" s="107"/>
      <c r="M606" s="107"/>
    </row>
    <row r="607" spans="1:16" s="53" customFormat="1" x14ac:dyDescent="0.35">
      <c r="A607" s="116" t="s">
        <v>243</v>
      </c>
      <c r="B607" s="116"/>
      <c r="C607" s="173"/>
      <c r="D607" s="184"/>
      <c r="E607" s="184"/>
      <c r="F607" s="174"/>
      <c r="G607" s="122"/>
      <c r="H607" s="123"/>
      <c r="I607" s="52"/>
    </row>
    <row r="608" spans="1:16" s="53" customFormat="1" ht="15.75" customHeight="1" x14ac:dyDescent="0.35">
      <c r="A608" s="125" t="s">
        <v>316</v>
      </c>
      <c r="B608" s="125"/>
      <c r="C608" s="125"/>
      <c r="D608" s="125"/>
      <c r="E608" s="125"/>
      <c r="F608" s="125"/>
      <c r="G608" s="125"/>
      <c r="H608" s="125"/>
      <c r="I608" s="52"/>
      <c r="N608" s="53" t="str">
        <f t="shared" ref="N608:N613" ca="1" si="102">O608&amp;""&amp;",..,"&amp;""&amp;P608</f>
        <v>101,..,101</v>
      </c>
      <c r="O608" s="53">
        <f ca="1">(SUMPRODUCT(MID(0&amp;(LEFT(A609,SUM(LEN(A609)-LEN(SUBSTITUTE(A609,{"0","1","2"},""))))), LARGE(INDEX(ISNUMBER(--MID((LEFT(A609,SUM(LEN(A609)-LEN(SUBSTITUTE(A609,{"0","1","2"},""))))), ROW(INDIRECT("1:"&amp;LEN((LEFT(A609,SUM(LEN(A609)-LEN(SUBSTITUTE(A609,{"0","1","2"},"")))))))), 1)) * ROW(INDIRECT("1:"&amp;LEN((LEFT(A609,SUM(LEN(A609)-LEN(SUBSTITUTE(A609,{"0","1","2"},"")))))))), 0), ROW(INDIRECT("1:"&amp;LEN((LEFT(A609,SUM(LEN(A609)-LEN(SUBSTITUTE(A609,{"0","1","2"},"")))))))))+1, 1) * 10^ROW(INDIRECT("1:"&amp;LEN((LEFT(A609,SUM(LEN(A609)-LEN(SUBSTITUTE(A609,{"0","1","2"},""))))))))/10))*100+1</f>
        <v>101</v>
      </c>
      <c r="P608" s="53">
        <f ca="1">(SUMPRODUCT(MID(0&amp;(--TRIM(RIGHT(SUBSTITUTE(LEFT(A609,_xlfn.AGGREGATE(16,6,FIND({0,1,2,3,4,5,6,7,8,9},A609,ROW(INDIRECT("1:"&amp;LEN(A609)))),1))," ",REPT(" ",LEN(A609))),LEN(A609)))), LARGE(INDEX(ISNUMBER(--MID((--TRIM(RIGHT(SUBSTITUTE(LEFT(A609,_xlfn.AGGREGATE(16,6,FIND({0,1,2,3,4,5,6,7,8,9},A609,ROW(INDIRECT("1:"&amp;LEN(A609)))),1))," ",REPT(" ",LEN(A609))),LEN(A609)))), ROW(INDIRECT("1:"&amp;LEN((--TRIM(RIGHT(SUBSTITUTE(LEFT(A609,_xlfn.AGGREGATE(16,6,FIND({0,1,2,3,4,5,6,7,8,9},A609,ROW(INDIRECT("1:"&amp;LEN(A609)))),1))," ",REPT(" ",LEN(A609))),LEN(A609))))))), 1)) * ROW(INDIRECT("1:"&amp;LEN((--TRIM(RIGHT(SUBSTITUTE(LEFT(A609,_xlfn.AGGREGATE(16,6,FIND({0,1,2,3,4,5,6,7,8,9},A609,ROW(INDIRECT("1:"&amp;LEN(A609)))),1))," ",REPT(" ",LEN(A609))),LEN(A609))))))), 0), ROW(INDIRECT("1:"&amp;LEN((--TRIM(RIGHT(SUBSTITUTE(LEFT(A609,_xlfn.AGGREGATE(16,6,FIND({0,1,2,3,4,5,6,7,8,9},A609,ROW(INDIRECT("1:"&amp;LEN(A609)))),1))," ",REPT(" ",LEN(A609))),LEN(A609))))))))+1, 1) * 10^ROW(INDIRECT("1:"&amp;LEN((--TRIM(RIGHT(SUBSTITUTE(LEFT(A609,_xlfn.AGGREGATE(16,6,FIND({0,1,2,3,4,5,6,7,8,9},A609,ROW(INDIRECT("1:"&amp;LEN(A609)))),1))," ",REPT(" ",LEN(A609))),LEN(A609)))))))/10))*100+1</f>
        <v>101</v>
      </c>
    </row>
    <row r="609" spans="1:16" s="53" customFormat="1" ht="15.75" customHeight="1" x14ac:dyDescent="0.35">
      <c r="A609" s="127" t="s">
        <v>318</v>
      </c>
      <c r="B609" s="128"/>
      <c r="C609" s="128"/>
      <c r="D609" s="128"/>
      <c r="E609" s="128"/>
      <c r="F609" s="128"/>
      <c r="G609" s="128"/>
      <c r="H609" s="129"/>
      <c r="I609" s="52"/>
      <c r="N609" s="53" t="str">
        <f t="shared" ca="1" si="102"/>
        <v>102,..,102</v>
      </c>
      <c r="O609" s="53">
        <f t="shared" ref="O609:P609" ca="1" si="103">O608+1</f>
        <v>102</v>
      </c>
      <c r="P609" s="53">
        <f t="shared" ca="1" si="103"/>
        <v>102</v>
      </c>
    </row>
    <row r="610" spans="1:16" s="53" customFormat="1" ht="15.75" customHeight="1" x14ac:dyDescent="0.35">
      <c r="A610" s="116">
        <v>101</v>
      </c>
      <c r="B610" s="116"/>
      <c r="C610" s="28" t="s">
        <v>178</v>
      </c>
      <c r="D610" s="28">
        <f>(3.05*5.18+2.2*2.98+2.9*3.65+3.05*3.65+2*(2.28*1.37)+3*1+2.5*1.05+2.2*0.75)*(10.764)</f>
        <v>619.94935079999993</v>
      </c>
      <c r="E610" s="28">
        <v>0</v>
      </c>
      <c r="F610" s="28">
        <f t="shared" ref="F610:F618" si="104">D610*(($F$338)+1)+E610</f>
        <v>929.92402619999984</v>
      </c>
      <c r="G610" s="120" t="str">
        <f>A609</f>
        <v>1st Floor</v>
      </c>
      <c r="H610" s="121"/>
      <c r="I610" s="52"/>
      <c r="N610" s="53" t="str">
        <f t="shared" ca="1" si="102"/>
        <v>103,..,103</v>
      </c>
      <c r="O610" s="53">
        <f t="shared" ref="O610:P610" ca="1" si="105">O609+1</f>
        <v>103</v>
      </c>
      <c r="P610" s="53">
        <f t="shared" ca="1" si="105"/>
        <v>103</v>
      </c>
    </row>
    <row r="611" spans="1:16" s="53" customFormat="1" ht="15.75" customHeight="1" x14ac:dyDescent="0.35">
      <c r="A611" s="116">
        <f>A610+1</f>
        <v>102</v>
      </c>
      <c r="B611" s="116"/>
      <c r="C611" s="28" t="s">
        <v>178</v>
      </c>
      <c r="D611" s="28">
        <f>(1.75*0.86+3.05*6.76+2.28*3.05+2*(2.28*1.37)+3.05*3.96+0.9*1.37+3.05*3.65+1*1.37+3.05*1.05+2.28*0.75)*(10.764)</f>
        <v>710.96435279999969</v>
      </c>
      <c r="E611" s="28">
        <v>0</v>
      </c>
      <c r="F611" s="28">
        <f t="shared" si="104"/>
        <v>1066.4465291999995</v>
      </c>
      <c r="G611" s="122"/>
      <c r="H611" s="123"/>
      <c r="I611" s="52"/>
      <c r="N611" s="53" t="str">
        <f t="shared" ca="1" si="102"/>
        <v>104,..,104</v>
      </c>
      <c r="O611" s="53">
        <f t="shared" ref="O611:P611" ca="1" si="106">O610+1</f>
        <v>104</v>
      </c>
      <c r="P611" s="53">
        <f t="shared" ca="1" si="106"/>
        <v>104</v>
      </c>
    </row>
    <row r="612" spans="1:16" s="53" customFormat="1" ht="15.75" customHeight="1" x14ac:dyDescent="0.35">
      <c r="A612" s="116">
        <f t="shared" ref="A612:A618" si="107">A611+1</f>
        <v>103</v>
      </c>
      <c r="B612" s="116"/>
      <c r="C612" s="28" t="s">
        <v>204</v>
      </c>
      <c r="D612" s="28">
        <f>(3.05*4.34+2.9*3.65+2.28*1.22+1.82*3.05+2.2*1.22+2.04*1.37+1.62*0.75)*(10.764)</f>
        <v>418.16417759999996</v>
      </c>
      <c r="E612" s="28">
        <v>0</v>
      </c>
      <c r="F612" s="28">
        <f t="shared" si="104"/>
        <v>627.24626639999997</v>
      </c>
      <c r="G612" s="122"/>
      <c r="H612" s="123"/>
      <c r="I612" s="52"/>
      <c r="N612" s="53" t="str">
        <f t="shared" ca="1" si="102"/>
        <v>105,..,105</v>
      </c>
      <c r="O612" s="53">
        <f t="shared" ref="O612:P612" ca="1" si="108">O611+1</f>
        <v>105</v>
      </c>
      <c r="P612" s="53">
        <f t="shared" ca="1" si="108"/>
        <v>105</v>
      </c>
    </row>
    <row r="613" spans="1:16" s="53" customFormat="1" ht="15.75" customHeight="1" x14ac:dyDescent="0.35">
      <c r="A613" s="116">
        <f t="shared" si="107"/>
        <v>104</v>
      </c>
      <c r="B613" s="116"/>
      <c r="C613" s="28" t="s">
        <v>204</v>
      </c>
      <c r="D613" s="28">
        <f t="shared" ref="D613:D614" si="109">(3.05*4.34+2.9*3.65+2.28*1.22+1.82*3.05+2.2*1.22+2.04*1.37+1.62*0.75)*(10.764)</f>
        <v>418.16417759999996</v>
      </c>
      <c r="E613" s="28">
        <v>0</v>
      </c>
      <c r="F613" s="28">
        <f t="shared" si="104"/>
        <v>627.24626639999997</v>
      </c>
      <c r="G613" s="122"/>
      <c r="H613" s="123"/>
      <c r="I613" s="52"/>
      <c r="N613" s="53" t="str">
        <f t="shared" ca="1" si="102"/>
        <v>106,..,106</v>
      </c>
      <c r="O613" s="53">
        <f ca="1">O612+1</f>
        <v>106</v>
      </c>
      <c r="P613" s="53">
        <f ca="1">P612+1</f>
        <v>106</v>
      </c>
    </row>
    <row r="614" spans="1:16" s="53" customFormat="1" x14ac:dyDescent="0.35">
      <c r="A614" s="116">
        <f t="shared" si="107"/>
        <v>105</v>
      </c>
      <c r="B614" s="116"/>
      <c r="C614" s="28" t="s">
        <v>204</v>
      </c>
      <c r="D614" s="28">
        <f t="shared" si="109"/>
        <v>418.16417759999996</v>
      </c>
      <c r="E614" s="28">
        <v>0</v>
      </c>
      <c r="F614" s="28">
        <f t="shared" si="104"/>
        <v>627.24626639999997</v>
      </c>
      <c r="G614" s="122"/>
      <c r="H614" s="123"/>
      <c r="I614" s="52"/>
    </row>
    <row r="615" spans="1:16" s="53" customFormat="1" x14ac:dyDescent="0.35">
      <c r="A615" s="116">
        <f t="shared" si="107"/>
        <v>106</v>
      </c>
      <c r="B615" s="116"/>
      <c r="C615" s="28" t="s">
        <v>178</v>
      </c>
      <c r="D615" s="28">
        <f>(1.75*0.86+3.05*6.76+2.28*3.05+2*(2.28*1.37)+3.05*3.96+0.9*1.37+3.05*3.65+1*1.37+3.05*1.05+2.28*0.75)*(10.764)</f>
        <v>710.96435279999969</v>
      </c>
      <c r="E615" s="28">
        <v>0</v>
      </c>
      <c r="F615" s="28">
        <f t="shared" si="104"/>
        <v>1066.4465291999995</v>
      </c>
      <c r="G615" s="122"/>
      <c r="H615" s="123"/>
      <c r="I615" s="52"/>
    </row>
    <row r="616" spans="1:16" s="53" customFormat="1" x14ac:dyDescent="0.35">
      <c r="A616" s="116">
        <f t="shared" si="107"/>
        <v>107</v>
      </c>
      <c r="B616" s="116"/>
      <c r="C616" s="28" t="s">
        <v>178</v>
      </c>
      <c r="D616" s="28">
        <f>(3.05*5.18+2.2*2.98+2.9*3.65+3.05*3.65+2*(2.28*1.37)+3*1+2.5*1.05+2.2*0.75)*(10.764)</f>
        <v>619.94935079999993</v>
      </c>
      <c r="E616" s="28">
        <v>0</v>
      </c>
      <c r="F616" s="28">
        <f t="shared" si="104"/>
        <v>929.92402619999984</v>
      </c>
      <c r="G616" s="122"/>
      <c r="H616" s="123"/>
      <c r="I616" s="52"/>
    </row>
    <row r="617" spans="1:16" s="53" customFormat="1" x14ac:dyDescent="0.35">
      <c r="A617" s="116">
        <f t="shared" si="107"/>
        <v>108</v>
      </c>
      <c r="B617" s="116"/>
      <c r="C617" s="28" t="s">
        <v>178</v>
      </c>
      <c r="D617" s="28">
        <f>(5.18*3.05+2.5*1.38+3.05*2.28+3.65*2.9+3.96*3.05+2*(2.28*1.37)+3.5*1+3.05*1.05+2.28*0.75)*(10.764)</f>
        <v>683.79063479999991</v>
      </c>
      <c r="E617" s="28">
        <v>0</v>
      </c>
      <c r="F617" s="28">
        <f t="shared" si="104"/>
        <v>1025.6859522</v>
      </c>
      <c r="G617" s="122"/>
      <c r="H617" s="123"/>
      <c r="I617" s="52"/>
    </row>
    <row r="618" spans="1:16" s="53" customFormat="1" ht="15.75" customHeight="1" x14ac:dyDescent="0.35">
      <c r="A618" s="116">
        <f t="shared" si="107"/>
        <v>109</v>
      </c>
      <c r="B618" s="116"/>
      <c r="C618" s="28" t="s">
        <v>178</v>
      </c>
      <c r="D618" s="28">
        <f>(5.18*3.05+2.5*1.38+3.05*2.28+3.65*2.9+3.96*3.05+2*(2.28*1.37)+3.5*1+3.05*1.05+2.28*0.75)*(10.764)</f>
        <v>683.79063479999991</v>
      </c>
      <c r="E618" s="28">
        <v>0</v>
      </c>
      <c r="F618" s="28">
        <f t="shared" si="104"/>
        <v>1025.6859522</v>
      </c>
      <c r="G618" s="122"/>
      <c r="H618" s="123"/>
      <c r="I618" s="52"/>
      <c r="N618" s="53" t="str">
        <f t="shared" ref="N618:N623" ca="1" si="110">O618&amp;""&amp;",..,"&amp;""&amp;P618</f>
        <v>25701,..,2801</v>
      </c>
      <c r="O618" s="53">
        <f ca="1">(SUMPRODUCT(MID(0&amp;(LEFT(A619,SUM(LEN(A619)-LEN(SUBSTITUTE(A619,{"0","1","2"},""))))), LARGE(INDEX(ISNUMBER(--MID((LEFT(A619,SUM(LEN(A619)-LEN(SUBSTITUTE(A619,{"0","1","2"},""))))), ROW(INDIRECT("1:"&amp;LEN((LEFT(A619,SUM(LEN(A619)-LEN(SUBSTITUTE(A619,{"0","1","2"},"")))))))), 1)) * ROW(INDIRECT("1:"&amp;LEN((LEFT(A619,SUM(LEN(A619)-LEN(SUBSTITUTE(A619,{"0","1","2"},"")))))))), 0), ROW(INDIRECT("1:"&amp;LEN((LEFT(A619,SUM(LEN(A619)-LEN(SUBSTITUTE(A619,{"0","1","2"},"")))))))))+1, 1) * 10^ROW(INDIRECT("1:"&amp;LEN((LEFT(A619,SUM(LEN(A619)-LEN(SUBSTITUTE(A619,{"0","1","2"},""))))))))/10))*100+1</f>
        <v>25701</v>
      </c>
      <c r="P618" s="53">
        <f ca="1">(SUMPRODUCT(MID(0&amp;(--TRIM(RIGHT(SUBSTITUTE(LEFT(A619,_xlfn.AGGREGATE(16,6,FIND({0,1,2,3,4,5,6,7,8,9},A619,ROW(INDIRECT("1:"&amp;LEN(A619)))),1))," ",REPT(" ",LEN(A619))),LEN(A619)))), LARGE(INDEX(ISNUMBER(--MID((--TRIM(RIGHT(SUBSTITUTE(LEFT(A619,_xlfn.AGGREGATE(16,6,FIND({0,1,2,3,4,5,6,7,8,9},A619,ROW(INDIRECT("1:"&amp;LEN(A619)))),1))," ",REPT(" ",LEN(A619))),LEN(A619)))), ROW(INDIRECT("1:"&amp;LEN((--TRIM(RIGHT(SUBSTITUTE(LEFT(A619,_xlfn.AGGREGATE(16,6,FIND({0,1,2,3,4,5,6,7,8,9},A619,ROW(INDIRECT("1:"&amp;LEN(A619)))),1))," ",REPT(" ",LEN(A619))),LEN(A619))))))), 1)) * ROW(INDIRECT("1:"&amp;LEN((--TRIM(RIGHT(SUBSTITUTE(LEFT(A619,_xlfn.AGGREGATE(16,6,FIND({0,1,2,3,4,5,6,7,8,9},A619,ROW(INDIRECT("1:"&amp;LEN(A619)))),1))," ",REPT(" ",LEN(A619))),LEN(A619))))))), 0), ROW(INDIRECT("1:"&amp;LEN((--TRIM(RIGHT(SUBSTITUTE(LEFT(A619,_xlfn.AGGREGATE(16,6,FIND({0,1,2,3,4,5,6,7,8,9},A619,ROW(INDIRECT("1:"&amp;LEN(A619)))),1))," ",REPT(" ",LEN(A619))),LEN(A619))))))))+1, 1) * 10^ROW(INDIRECT("1:"&amp;LEN((--TRIM(RIGHT(SUBSTITUTE(LEFT(A619,_xlfn.AGGREGATE(16,6,FIND({0,1,2,3,4,5,6,7,8,9},A619,ROW(INDIRECT("1:"&amp;LEN(A619)))),1))," ",REPT(" ",LEN(A619))),LEN(A619)))))))/10))*100+1</f>
        <v>2801</v>
      </c>
    </row>
    <row r="619" spans="1:16" s="53" customFormat="1" ht="15.75" customHeight="1" x14ac:dyDescent="0.35">
      <c r="A619" s="127" t="s">
        <v>317</v>
      </c>
      <c r="B619" s="128"/>
      <c r="C619" s="128"/>
      <c r="D619" s="128"/>
      <c r="E619" s="128"/>
      <c r="F619" s="128"/>
      <c r="G619" s="128"/>
      <c r="H619" s="129"/>
      <c r="I619" s="52"/>
      <c r="N619" s="53" t="str">
        <f t="shared" ca="1" si="110"/>
        <v>25702,..,2802</v>
      </c>
      <c r="O619" s="53">
        <f t="shared" ref="O619:P619" ca="1" si="111">O618+1</f>
        <v>25702</v>
      </c>
      <c r="P619" s="53">
        <f t="shared" ca="1" si="111"/>
        <v>2802</v>
      </c>
    </row>
    <row r="620" spans="1:16" s="53" customFormat="1" ht="15.75" customHeight="1" x14ac:dyDescent="0.35">
      <c r="A620" s="116" t="s">
        <v>319</v>
      </c>
      <c r="B620" s="116"/>
      <c r="C620" s="28" t="s">
        <v>178</v>
      </c>
      <c r="D620" s="28">
        <f>(3.05*5.18+2.2*2.98+2.9*3.65+3.05*3.65+2*(2.28*1.37)+3*1+2.5*1.05+2.2*0.75)*(10.764)</f>
        <v>619.94935079999993</v>
      </c>
      <c r="E620" s="28">
        <v>0</v>
      </c>
      <c r="F620" s="28">
        <f t="shared" ref="F620:F628" si="112">D620*(($F$338)+1)+E620</f>
        <v>929.92402619999984</v>
      </c>
      <c r="G620" s="120" t="str">
        <f>A619</f>
        <v>2nd to 5th, 7th to 10th, 12th to 15th, 17th to 20th, 22nd to 25th, 27th &amp; 28th Floor</v>
      </c>
      <c r="H620" s="121"/>
      <c r="I620" s="52"/>
      <c r="N620" s="53" t="str">
        <f t="shared" ca="1" si="110"/>
        <v>25703,..,2803</v>
      </c>
      <c r="O620" s="53">
        <f t="shared" ref="O620:P620" ca="1" si="113">O619+1</f>
        <v>25703</v>
      </c>
      <c r="P620" s="53">
        <f t="shared" ca="1" si="113"/>
        <v>2803</v>
      </c>
    </row>
    <row r="621" spans="1:16" s="53" customFormat="1" ht="15.75" customHeight="1" x14ac:dyDescent="0.35">
      <c r="A621" s="116" t="s">
        <v>320</v>
      </c>
      <c r="B621" s="116"/>
      <c r="C621" s="28" t="s">
        <v>178</v>
      </c>
      <c r="D621" s="28">
        <f>(1.75*0.86+3.05*6.76+2.28*3.05+2*(2.28*1.37)+3.05*3.96+0.9*1.37+3.05*3.65+1*1.37+3.05*1.05+2.28*0.75)*(10.764)</f>
        <v>710.96435279999969</v>
      </c>
      <c r="E621" s="28">
        <v>0</v>
      </c>
      <c r="F621" s="28">
        <f t="shared" si="112"/>
        <v>1066.4465291999995</v>
      </c>
      <c r="G621" s="122"/>
      <c r="H621" s="123"/>
      <c r="I621" s="52"/>
      <c r="N621" s="53" t="str">
        <f t="shared" ca="1" si="110"/>
        <v>25704,..,2804</v>
      </c>
      <c r="O621" s="53">
        <f t="shared" ref="O621:P621" ca="1" si="114">O620+1</f>
        <v>25704</v>
      </c>
      <c r="P621" s="53">
        <f t="shared" ca="1" si="114"/>
        <v>2804</v>
      </c>
    </row>
    <row r="622" spans="1:16" s="53" customFormat="1" ht="15.75" customHeight="1" x14ac:dyDescent="0.35">
      <c r="A622" s="116" t="s">
        <v>321</v>
      </c>
      <c r="B622" s="116"/>
      <c r="C622" s="28" t="s">
        <v>204</v>
      </c>
      <c r="D622" s="28">
        <f>(3.05*4.34+2.9*3.65+2.28*1.22+1.82*3.05+2.2*1.22+2.04*1.37+1.62*0.75)*(10.764)</f>
        <v>418.16417759999996</v>
      </c>
      <c r="E622" s="28">
        <v>0</v>
      </c>
      <c r="F622" s="28">
        <f t="shared" si="112"/>
        <v>627.24626639999997</v>
      </c>
      <c r="G622" s="122"/>
      <c r="H622" s="123"/>
      <c r="I622" s="52"/>
      <c r="N622" s="53" t="str">
        <f t="shared" ca="1" si="110"/>
        <v>25705,..,2805</v>
      </c>
      <c r="O622" s="53">
        <f t="shared" ref="O622:P622" ca="1" si="115">O621+1</f>
        <v>25705</v>
      </c>
      <c r="P622" s="53">
        <f t="shared" ca="1" si="115"/>
        <v>2805</v>
      </c>
    </row>
    <row r="623" spans="1:16" s="53" customFormat="1" ht="15.75" customHeight="1" x14ac:dyDescent="0.35">
      <c r="A623" s="116" t="s">
        <v>322</v>
      </c>
      <c r="B623" s="116"/>
      <c r="C623" s="28" t="s">
        <v>204</v>
      </c>
      <c r="D623" s="28">
        <f t="shared" ref="D623:D624" si="116">(3.05*4.34+2.9*3.65+2.28*1.22+1.82*3.05+2.2*1.22+2.04*1.37+1.62*0.75)*(10.764)</f>
        <v>418.16417759999996</v>
      </c>
      <c r="E623" s="28">
        <v>0</v>
      </c>
      <c r="F623" s="28">
        <f t="shared" si="112"/>
        <v>627.24626639999997</v>
      </c>
      <c r="G623" s="122"/>
      <c r="H623" s="123"/>
      <c r="I623" s="52"/>
      <c r="N623" s="53" t="str">
        <f t="shared" ca="1" si="110"/>
        <v>25706,..,2806</v>
      </c>
      <c r="O623" s="53">
        <f ca="1">O622+1</f>
        <v>25706</v>
      </c>
      <c r="P623" s="53">
        <f ca="1">P622+1</f>
        <v>2806</v>
      </c>
    </row>
    <row r="624" spans="1:16" s="53" customFormat="1" x14ac:dyDescent="0.35">
      <c r="A624" s="116" t="s">
        <v>323</v>
      </c>
      <c r="B624" s="116"/>
      <c r="C624" s="28" t="s">
        <v>204</v>
      </c>
      <c r="D624" s="28">
        <f t="shared" si="116"/>
        <v>418.16417759999996</v>
      </c>
      <c r="E624" s="28">
        <v>0</v>
      </c>
      <c r="F624" s="28">
        <f t="shared" si="112"/>
        <v>627.24626639999997</v>
      </c>
      <c r="G624" s="122"/>
      <c r="H624" s="123"/>
      <c r="I624" s="52"/>
    </row>
    <row r="625" spans="1:16" s="53" customFormat="1" x14ac:dyDescent="0.35">
      <c r="A625" s="116" t="s">
        <v>324</v>
      </c>
      <c r="B625" s="116"/>
      <c r="C625" s="28" t="s">
        <v>178</v>
      </c>
      <c r="D625" s="28">
        <f>(1.75*0.86+3.05*6.76+2.28*3.05+2*(2.28*1.37)+3.05*3.96+0.9*1.37+3.05*3.65+1*1.37+3.05*1.05+2.28*0.75)*(10.764)</f>
        <v>710.96435279999969</v>
      </c>
      <c r="E625" s="28">
        <v>0</v>
      </c>
      <c r="F625" s="28">
        <f t="shared" si="112"/>
        <v>1066.4465291999995</v>
      </c>
      <c r="G625" s="122"/>
      <c r="H625" s="123"/>
      <c r="I625" s="52"/>
    </row>
    <row r="626" spans="1:16" s="53" customFormat="1" x14ac:dyDescent="0.35">
      <c r="A626" s="116" t="s">
        <v>325</v>
      </c>
      <c r="B626" s="116"/>
      <c r="C626" s="28" t="s">
        <v>178</v>
      </c>
      <c r="D626" s="28">
        <f>(3.05*5.18+2.2*2.98+2.9*3.65+3.05*3.65+2*(2.28*1.37)+3*1+2.5*1.05+2.2*0.75)*(10.764)</f>
        <v>619.94935079999993</v>
      </c>
      <c r="E626" s="28">
        <v>0</v>
      </c>
      <c r="F626" s="28">
        <f t="shared" si="112"/>
        <v>929.92402619999984</v>
      </c>
      <c r="G626" s="122"/>
      <c r="H626" s="123"/>
      <c r="I626" s="52"/>
    </row>
    <row r="627" spans="1:16" s="53" customFormat="1" x14ac:dyDescent="0.35">
      <c r="A627" s="116" t="s">
        <v>326</v>
      </c>
      <c r="B627" s="116"/>
      <c r="C627" s="28" t="s">
        <v>178</v>
      </c>
      <c r="D627" s="28">
        <f>(5.18*3.05+2.5*1.38+3.05*2.28+3.65*2.9+3.96*3.05+2*(2.28*1.37)+3.5*1+3.05*1.05+2.28*0.75)*(10.764)</f>
        <v>683.79063479999991</v>
      </c>
      <c r="E627" s="28">
        <v>0</v>
      </c>
      <c r="F627" s="28">
        <f t="shared" si="112"/>
        <v>1025.6859522</v>
      </c>
      <c r="G627" s="122"/>
      <c r="H627" s="123"/>
      <c r="I627" s="52"/>
    </row>
    <row r="628" spans="1:16" s="53" customFormat="1" ht="15.75" customHeight="1" x14ac:dyDescent="0.35">
      <c r="A628" s="116" t="s">
        <v>327</v>
      </c>
      <c r="B628" s="116"/>
      <c r="C628" s="28" t="s">
        <v>178</v>
      </c>
      <c r="D628" s="28">
        <f>(5.18*3.05+2.5*1.38+3.05*2.28+3.65*2.9+3.96*3.05+2*(2.28*1.37)+3.5*1+3.05*1.05+2.28*0.75)*(10.764)</f>
        <v>683.79063479999991</v>
      </c>
      <c r="E628" s="28">
        <v>0</v>
      </c>
      <c r="F628" s="28">
        <f t="shared" si="112"/>
        <v>1025.6859522</v>
      </c>
      <c r="G628" s="122"/>
      <c r="H628" s="123"/>
      <c r="I628" s="52">
        <f>7200000/F630</f>
        <v>7742.5679917334319</v>
      </c>
      <c r="N628" s="53" t="str">
        <f t="shared" ref="N628:N633" ca="1" si="117">O628&amp;""&amp;",..,"&amp;""&amp;P628</f>
        <v>6101,..,2601</v>
      </c>
      <c r="O628" s="53">
        <f ca="1">(SUMPRODUCT(MID(0&amp;(LEFT(A629,SUM(LEN(A629)-LEN(SUBSTITUTE(A629,{"0","1","2"},""))))), LARGE(INDEX(ISNUMBER(--MID((LEFT(A629,SUM(LEN(A629)-LEN(SUBSTITUTE(A629,{"0","1","2"},""))))), ROW(INDIRECT("1:"&amp;LEN((LEFT(A629,SUM(LEN(A629)-LEN(SUBSTITUTE(A629,{"0","1","2"},"")))))))), 1)) * ROW(INDIRECT("1:"&amp;LEN((LEFT(A629,SUM(LEN(A629)-LEN(SUBSTITUTE(A629,{"0","1","2"},"")))))))), 0), ROW(INDIRECT("1:"&amp;LEN((LEFT(A629,SUM(LEN(A629)-LEN(SUBSTITUTE(A629,{"0","1","2"},"")))))))))+1, 1) * 10^ROW(INDIRECT("1:"&amp;LEN((LEFT(A629,SUM(LEN(A629)-LEN(SUBSTITUTE(A629,{"0","1","2"},""))))))))/10))*100+1</f>
        <v>6101</v>
      </c>
      <c r="P628" s="53">
        <f ca="1">(SUMPRODUCT(MID(0&amp;(--TRIM(RIGHT(SUBSTITUTE(LEFT(A629,_xlfn.AGGREGATE(16,6,FIND({0,1,2,3,4,5,6,7,8,9},A629,ROW(INDIRECT("1:"&amp;LEN(A629)))),1))," ",REPT(" ",LEN(A629))),LEN(A629)))), LARGE(INDEX(ISNUMBER(--MID((--TRIM(RIGHT(SUBSTITUTE(LEFT(A629,_xlfn.AGGREGATE(16,6,FIND({0,1,2,3,4,5,6,7,8,9},A629,ROW(INDIRECT("1:"&amp;LEN(A629)))),1))," ",REPT(" ",LEN(A629))),LEN(A629)))), ROW(INDIRECT("1:"&amp;LEN((--TRIM(RIGHT(SUBSTITUTE(LEFT(A629,_xlfn.AGGREGATE(16,6,FIND({0,1,2,3,4,5,6,7,8,9},A629,ROW(INDIRECT("1:"&amp;LEN(A629)))),1))," ",REPT(" ",LEN(A629))),LEN(A629))))))), 1)) * ROW(INDIRECT("1:"&amp;LEN((--TRIM(RIGHT(SUBSTITUTE(LEFT(A629,_xlfn.AGGREGATE(16,6,FIND({0,1,2,3,4,5,6,7,8,9},A629,ROW(INDIRECT("1:"&amp;LEN(A629)))),1))," ",REPT(" ",LEN(A629))),LEN(A629))))))), 0), ROW(INDIRECT("1:"&amp;LEN((--TRIM(RIGHT(SUBSTITUTE(LEFT(A629,_xlfn.AGGREGATE(16,6,FIND({0,1,2,3,4,5,6,7,8,9},A629,ROW(INDIRECT("1:"&amp;LEN(A629)))),1))," ",REPT(" ",LEN(A629))),LEN(A629))))))))+1, 1) * 10^ROW(INDIRECT("1:"&amp;LEN((--TRIM(RIGHT(SUBSTITUTE(LEFT(A629,_xlfn.AGGREGATE(16,6,FIND({0,1,2,3,4,5,6,7,8,9},A629,ROW(INDIRECT("1:"&amp;LEN(A629)))),1))," ",REPT(" ",LEN(A629))),LEN(A629)))))))/10))*100+1</f>
        <v>2601</v>
      </c>
    </row>
    <row r="629" spans="1:16" s="53" customFormat="1" ht="15.75" customHeight="1" x14ac:dyDescent="0.35">
      <c r="A629" s="127" t="s">
        <v>269</v>
      </c>
      <c r="B629" s="128"/>
      <c r="C629" s="128"/>
      <c r="D629" s="128"/>
      <c r="E629" s="128"/>
      <c r="F629" s="128"/>
      <c r="G629" s="128"/>
      <c r="H629" s="129"/>
      <c r="I629" s="52"/>
      <c r="N629" s="53" t="str">
        <f t="shared" ca="1" si="117"/>
        <v>6102,..,2602</v>
      </c>
      <c r="O629" s="53">
        <f t="shared" ref="O629:P629" ca="1" si="118">O628+1</f>
        <v>6102</v>
      </c>
      <c r="P629" s="53">
        <f t="shared" ca="1" si="118"/>
        <v>2602</v>
      </c>
    </row>
    <row r="630" spans="1:16" s="53" customFormat="1" ht="15.75" customHeight="1" x14ac:dyDescent="0.35">
      <c r="A630" s="117" t="s">
        <v>223</v>
      </c>
      <c r="B630" s="119"/>
      <c r="C630" s="28" t="s">
        <v>178</v>
      </c>
      <c r="D630" s="28">
        <f>(3.05*5.18+2.2*2.98+2.9*3.65+3.05*3.65+2*(2.28*1.37)+3*1+2.5*1.05+2.2*0.75)*(10.764)</f>
        <v>619.94935079999993</v>
      </c>
      <c r="E630" s="28">
        <v>0</v>
      </c>
      <c r="F630" s="28">
        <f t="shared" ref="F630:F637" si="119">D630*(($F$338)+1)+E630</f>
        <v>929.92402619999984</v>
      </c>
      <c r="G630" s="120" t="str">
        <f>A629</f>
        <v>6th, 11th, 16th, 21st &amp; 26th Floor (Part Refuge Floor)</v>
      </c>
      <c r="H630" s="121"/>
      <c r="I630" s="52"/>
      <c r="N630" s="53" t="str">
        <f t="shared" ca="1" si="117"/>
        <v>6103,..,2603</v>
      </c>
      <c r="O630" s="53">
        <f t="shared" ref="O630:P630" ca="1" si="120">O629+1</f>
        <v>6103</v>
      </c>
      <c r="P630" s="53">
        <f t="shared" ca="1" si="120"/>
        <v>2603</v>
      </c>
    </row>
    <row r="631" spans="1:16" s="53" customFormat="1" ht="15.75" customHeight="1" x14ac:dyDescent="0.35">
      <c r="A631" s="117" t="s">
        <v>224</v>
      </c>
      <c r="B631" s="119"/>
      <c r="C631" s="28" t="s">
        <v>178</v>
      </c>
      <c r="D631" s="28">
        <f>(1.75*0.86+3.05*6.76+2.28*3.05+2*(2.28*1.37)+3.05*3.96+0.9*1.37+3.05*3.65+1*1.37+3.05*1.05+2.28*0.75)*(10.764)</f>
        <v>710.96435279999969</v>
      </c>
      <c r="E631" s="28">
        <v>0</v>
      </c>
      <c r="F631" s="28">
        <f t="shared" si="119"/>
        <v>1066.4465291999995</v>
      </c>
      <c r="G631" s="122"/>
      <c r="H631" s="123"/>
      <c r="I631" s="52"/>
      <c r="N631" s="53" t="str">
        <f t="shared" ca="1" si="117"/>
        <v>6104,..,2604</v>
      </c>
      <c r="O631" s="53">
        <f t="shared" ref="O631:P631" ca="1" si="121">O630+1</f>
        <v>6104</v>
      </c>
      <c r="P631" s="53">
        <f t="shared" ca="1" si="121"/>
        <v>2604</v>
      </c>
    </row>
    <row r="632" spans="1:16" s="53" customFormat="1" ht="15.75" customHeight="1" x14ac:dyDescent="0.35">
      <c r="A632" s="117" t="s">
        <v>225</v>
      </c>
      <c r="B632" s="119"/>
      <c r="C632" s="28" t="s">
        <v>204</v>
      </c>
      <c r="D632" s="28">
        <f>(3.05*4.34+2.9*3.65+2.28*1.22+1.82*3.05+2.2*1.22+2.04*1.37+1.62*0.75)*(10.764)</f>
        <v>418.16417759999996</v>
      </c>
      <c r="E632" s="28">
        <v>0</v>
      </c>
      <c r="F632" s="28">
        <f t="shared" si="119"/>
        <v>627.24626639999997</v>
      </c>
      <c r="G632" s="122"/>
      <c r="H632" s="123"/>
      <c r="I632" s="52"/>
      <c r="N632" s="53" t="str">
        <f t="shared" ca="1" si="117"/>
        <v>6105,..,2605</v>
      </c>
      <c r="O632" s="53">
        <f t="shared" ref="O632:P632" ca="1" si="122">O631+1</f>
        <v>6105</v>
      </c>
      <c r="P632" s="53">
        <f t="shared" ca="1" si="122"/>
        <v>2605</v>
      </c>
    </row>
    <row r="633" spans="1:16" s="53" customFormat="1" ht="15.75" customHeight="1" x14ac:dyDescent="0.35">
      <c r="A633" s="117" t="s">
        <v>226</v>
      </c>
      <c r="B633" s="119"/>
      <c r="C633" s="28" t="s">
        <v>204</v>
      </c>
      <c r="D633" s="28">
        <f t="shared" ref="D633:D634" si="123">(3.05*4.34+2.9*3.65+2.28*1.22+1.82*3.05+2.2*1.22+2.04*1.37+1.62*0.75)*(10.764)</f>
        <v>418.16417759999996</v>
      </c>
      <c r="E633" s="28">
        <v>0</v>
      </c>
      <c r="F633" s="28">
        <f t="shared" si="119"/>
        <v>627.24626639999997</v>
      </c>
      <c r="G633" s="122"/>
      <c r="H633" s="123"/>
      <c r="I633" s="52"/>
      <c r="N633" s="53" t="str">
        <f t="shared" ca="1" si="117"/>
        <v>6106,..,2606</v>
      </c>
      <c r="O633" s="53">
        <f ca="1">O632+1</f>
        <v>6106</v>
      </c>
      <c r="P633" s="53">
        <f ca="1">P632+1</f>
        <v>2606</v>
      </c>
    </row>
    <row r="634" spans="1:16" s="53" customFormat="1" x14ac:dyDescent="0.35">
      <c r="A634" s="117" t="s">
        <v>227</v>
      </c>
      <c r="B634" s="119"/>
      <c r="C634" s="28" t="s">
        <v>204</v>
      </c>
      <c r="D634" s="28">
        <f t="shared" si="123"/>
        <v>418.16417759999996</v>
      </c>
      <c r="E634" s="28">
        <v>0</v>
      </c>
      <c r="F634" s="28">
        <f t="shared" si="119"/>
        <v>627.24626639999997</v>
      </c>
      <c r="G634" s="122"/>
      <c r="H634" s="123"/>
      <c r="I634" s="52"/>
    </row>
    <row r="635" spans="1:16" s="53" customFormat="1" x14ac:dyDescent="0.35">
      <c r="A635" s="117" t="s">
        <v>228</v>
      </c>
      <c r="B635" s="119"/>
      <c r="C635" s="28" t="s">
        <v>178</v>
      </c>
      <c r="D635" s="28">
        <f>(1.75*0.86+3.05*6.76+2.28*3.05+2*(2.28*1.37)+3.05*3.96+0.9*1.37+3.05*3.65+1*1.37+3.05*1.05+2.28*0.75)*(10.764)</f>
        <v>710.96435279999969</v>
      </c>
      <c r="E635" s="28">
        <v>0</v>
      </c>
      <c r="F635" s="28">
        <f t="shared" si="119"/>
        <v>1066.4465291999995</v>
      </c>
      <c r="G635" s="122"/>
      <c r="H635" s="123"/>
      <c r="I635" s="52"/>
    </row>
    <row r="636" spans="1:16" s="53" customFormat="1" x14ac:dyDescent="0.35">
      <c r="A636" s="117" t="s">
        <v>229</v>
      </c>
      <c r="B636" s="119"/>
      <c r="C636" s="28" t="s">
        <v>178</v>
      </c>
      <c r="D636" s="28">
        <f>(3.05*5.18+2.2*2.98+2.9*3.65+3.05*3.65+2*(2.28*1.37)+3*1+2.5*1.05+2.2*0.75)*(10.764)</f>
        <v>619.94935079999993</v>
      </c>
      <c r="E636" s="28">
        <v>0</v>
      </c>
      <c r="F636" s="28">
        <f t="shared" si="119"/>
        <v>929.92402619999984</v>
      </c>
      <c r="G636" s="122"/>
      <c r="H636" s="123"/>
      <c r="I636" s="52"/>
    </row>
    <row r="637" spans="1:16" s="53" customFormat="1" x14ac:dyDescent="0.35">
      <c r="A637" s="116" t="s">
        <v>230</v>
      </c>
      <c r="B637" s="116"/>
      <c r="C637" s="28" t="s">
        <v>178</v>
      </c>
      <c r="D637" s="28">
        <f>(5.18*3.05+2.5*1.38+3.05*2.28+3.65*2.9+3.96*3.05+2*(2.28*1.37)+3.5*1+3.05*1.05+2.28*0.75)*(10.764)</f>
        <v>683.79063479999991</v>
      </c>
      <c r="E637" s="28">
        <v>0</v>
      </c>
      <c r="F637" s="28">
        <f t="shared" si="119"/>
        <v>1025.6859522</v>
      </c>
      <c r="G637" s="122"/>
      <c r="H637" s="123"/>
      <c r="I637" s="52"/>
    </row>
    <row r="638" spans="1:16" s="53" customFormat="1" ht="15.75" customHeight="1" x14ac:dyDescent="0.35">
      <c r="A638" s="116" t="s">
        <v>231</v>
      </c>
      <c r="B638" s="116"/>
      <c r="C638" s="117" t="s">
        <v>201</v>
      </c>
      <c r="D638" s="118"/>
      <c r="E638" s="118"/>
      <c r="F638" s="119"/>
      <c r="G638" s="122"/>
      <c r="H638" s="123"/>
      <c r="I638" s="52"/>
      <c r="N638" s="53" t="str">
        <f t="shared" ref="N638:N643" ca="1" si="124">O638&amp;""&amp;",..,"&amp;""&amp;P638</f>
        <v>2901,..,3301</v>
      </c>
      <c r="O638" s="53">
        <f ca="1">(SUMPRODUCT(MID(0&amp;(LEFT(A639,SUM(LEN(A639)-LEN(SUBSTITUTE(A639,{"0","1","2"},""))))), LARGE(INDEX(ISNUMBER(--MID((LEFT(A639,SUM(LEN(A639)-LEN(SUBSTITUTE(A639,{"0","1","2"},""))))), ROW(INDIRECT("1:"&amp;LEN((LEFT(A639,SUM(LEN(A639)-LEN(SUBSTITUTE(A639,{"0","1","2"},"")))))))), 1)) * ROW(INDIRECT("1:"&amp;LEN((LEFT(A639,SUM(LEN(A639)-LEN(SUBSTITUTE(A639,{"0","1","2"},"")))))))), 0), ROW(INDIRECT("1:"&amp;LEN((LEFT(A639,SUM(LEN(A639)-LEN(SUBSTITUTE(A639,{"0","1","2"},"")))))))))+1, 1) * 10^ROW(INDIRECT("1:"&amp;LEN((LEFT(A639,SUM(LEN(A639)-LEN(SUBSTITUTE(A639,{"0","1","2"},""))))))))/10))*100+1</f>
        <v>2901</v>
      </c>
      <c r="P638" s="53">
        <f ca="1">(SUMPRODUCT(MID(0&amp;(--TRIM(RIGHT(SUBSTITUTE(LEFT(A639,_xlfn.AGGREGATE(16,6,FIND({0,1,2,3,4,5,6,7,8,9},A639,ROW(INDIRECT("1:"&amp;LEN(A639)))),1))," ",REPT(" ",LEN(A639))),LEN(A639)))), LARGE(INDEX(ISNUMBER(--MID((--TRIM(RIGHT(SUBSTITUTE(LEFT(A639,_xlfn.AGGREGATE(16,6,FIND({0,1,2,3,4,5,6,7,8,9},A639,ROW(INDIRECT("1:"&amp;LEN(A639)))),1))," ",REPT(" ",LEN(A639))),LEN(A639)))), ROW(INDIRECT("1:"&amp;LEN((--TRIM(RIGHT(SUBSTITUTE(LEFT(A639,_xlfn.AGGREGATE(16,6,FIND({0,1,2,3,4,5,6,7,8,9},A639,ROW(INDIRECT("1:"&amp;LEN(A639)))),1))," ",REPT(" ",LEN(A639))),LEN(A639))))))), 1)) * ROW(INDIRECT("1:"&amp;LEN((--TRIM(RIGHT(SUBSTITUTE(LEFT(A639,_xlfn.AGGREGATE(16,6,FIND({0,1,2,3,4,5,6,7,8,9},A639,ROW(INDIRECT("1:"&amp;LEN(A639)))),1))," ",REPT(" ",LEN(A639))),LEN(A639))))))), 0), ROW(INDIRECT("1:"&amp;LEN((--TRIM(RIGHT(SUBSTITUTE(LEFT(A639,_xlfn.AGGREGATE(16,6,FIND({0,1,2,3,4,5,6,7,8,9},A639,ROW(INDIRECT("1:"&amp;LEN(A639)))),1))," ",REPT(" ",LEN(A639))),LEN(A639))))))))+1, 1) * 10^ROW(INDIRECT("1:"&amp;LEN((--TRIM(RIGHT(SUBSTITUTE(LEFT(A639,_xlfn.AGGREGATE(16,6,FIND({0,1,2,3,4,5,6,7,8,9},A639,ROW(INDIRECT("1:"&amp;LEN(A639)))),1))," ",REPT(" ",LEN(A639))),LEN(A639)))))))/10))*100+1</f>
        <v>3301</v>
      </c>
    </row>
    <row r="639" spans="1:16" s="53" customFormat="1" ht="15.75" customHeight="1" x14ac:dyDescent="0.35">
      <c r="A639" s="127" t="s">
        <v>328</v>
      </c>
      <c r="B639" s="128"/>
      <c r="C639" s="128"/>
      <c r="D639" s="128"/>
      <c r="E639" s="128"/>
      <c r="F639" s="128"/>
      <c r="G639" s="128"/>
      <c r="H639" s="129"/>
      <c r="I639" s="52"/>
      <c r="N639" s="53" t="str">
        <f t="shared" ca="1" si="124"/>
        <v>2902,..,3302</v>
      </c>
      <c r="O639" s="53">
        <f t="shared" ref="O639:P639" ca="1" si="125">O638+1</f>
        <v>2902</v>
      </c>
      <c r="P639" s="53">
        <f t="shared" ca="1" si="125"/>
        <v>3302</v>
      </c>
    </row>
    <row r="640" spans="1:16" s="53" customFormat="1" ht="15.75" customHeight="1" x14ac:dyDescent="0.35">
      <c r="A640" s="116" t="s">
        <v>330</v>
      </c>
      <c r="B640" s="116"/>
      <c r="C640" s="28" t="s">
        <v>178</v>
      </c>
      <c r="D640" s="28">
        <f>(3.05*5.18+2.2*2.98+2.9*3.65+3.05*3.65+2*(2.28*1.37)+3*1+2.5*1.05+2.2*0.75)*(10.764)</f>
        <v>619.94935079999993</v>
      </c>
      <c r="E640" s="28">
        <v>0</v>
      </c>
      <c r="F640" s="28">
        <f t="shared" ref="F640:F647" si="126">D640*(($F$338)+1)+E640</f>
        <v>929.92402619999984</v>
      </c>
      <c r="G640" s="120" t="str">
        <f>A639</f>
        <v>29th, 30th, 32nd &amp; 33th Floor</v>
      </c>
      <c r="H640" s="121"/>
      <c r="I640" s="52"/>
      <c r="N640" s="53" t="str">
        <f t="shared" ca="1" si="124"/>
        <v>2903,..,3303</v>
      </c>
      <c r="O640" s="53">
        <f t="shared" ref="O640:P640" ca="1" si="127">O639+1</f>
        <v>2903</v>
      </c>
      <c r="P640" s="53">
        <f t="shared" ca="1" si="127"/>
        <v>3303</v>
      </c>
    </row>
    <row r="641" spans="1:16" s="53" customFormat="1" ht="15.75" customHeight="1" x14ac:dyDescent="0.35">
      <c r="A641" s="116" t="s">
        <v>331</v>
      </c>
      <c r="B641" s="116"/>
      <c r="C641" s="28" t="s">
        <v>178</v>
      </c>
      <c r="D641" s="28">
        <f>(1.75*0.86+3.05*6.76+2.28*3.05+2*(2.28*1.37)+3.05*3.96+0.9*1.37+3.05*3.65+1*1.37+3.05*1.05+2.28*0.75)*(10.764)</f>
        <v>710.96435279999969</v>
      </c>
      <c r="E641" s="28">
        <v>0</v>
      </c>
      <c r="F641" s="28">
        <f t="shared" si="126"/>
        <v>1066.4465291999995</v>
      </c>
      <c r="G641" s="122"/>
      <c r="H641" s="123"/>
      <c r="I641" s="52"/>
      <c r="N641" s="53" t="str">
        <f t="shared" ca="1" si="124"/>
        <v>2904,..,3304</v>
      </c>
      <c r="O641" s="53">
        <f t="shared" ref="O641:P641" ca="1" si="128">O640+1</f>
        <v>2904</v>
      </c>
      <c r="P641" s="53">
        <f t="shared" ca="1" si="128"/>
        <v>3304</v>
      </c>
    </row>
    <row r="642" spans="1:16" s="53" customFormat="1" ht="15.75" customHeight="1" x14ac:dyDescent="0.35">
      <c r="A642" s="116" t="s">
        <v>332</v>
      </c>
      <c r="B642" s="116"/>
      <c r="C642" s="28" t="s">
        <v>204</v>
      </c>
      <c r="D642" s="28">
        <f>(3.05*4.34+2.9*3.65+2.28*1.22+1.82*3.05+2.2*1.22+2.04*1.37+1.62*0.75)*(10.764)</f>
        <v>418.16417759999996</v>
      </c>
      <c r="E642" s="28">
        <v>0</v>
      </c>
      <c r="F642" s="28">
        <f t="shared" si="126"/>
        <v>627.24626639999997</v>
      </c>
      <c r="G642" s="122"/>
      <c r="H642" s="123"/>
      <c r="I642" s="52"/>
      <c r="N642" s="53" t="str">
        <f t="shared" ca="1" si="124"/>
        <v>2905,..,3305</v>
      </c>
      <c r="O642" s="53">
        <f t="shared" ref="O642:P642" ca="1" si="129">O641+1</f>
        <v>2905</v>
      </c>
      <c r="P642" s="53">
        <f t="shared" ca="1" si="129"/>
        <v>3305</v>
      </c>
    </row>
    <row r="643" spans="1:16" s="53" customFormat="1" ht="15.75" customHeight="1" x14ac:dyDescent="0.35">
      <c r="A643" s="116" t="s">
        <v>333</v>
      </c>
      <c r="B643" s="116"/>
      <c r="C643" s="28" t="s">
        <v>204</v>
      </c>
      <c r="D643" s="28">
        <f t="shared" ref="D643:D644" si="130">(3.05*4.34+2.9*3.65+2.28*1.22+1.82*3.05+2.2*1.22+2.04*1.37+1.62*0.75)*(10.764)</f>
        <v>418.16417759999996</v>
      </c>
      <c r="E643" s="28">
        <v>0</v>
      </c>
      <c r="F643" s="28">
        <f t="shared" si="126"/>
        <v>627.24626639999997</v>
      </c>
      <c r="G643" s="122"/>
      <c r="H643" s="123"/>
      <c r="I643" s="52"/>
      <c r="N643" s="53" t="str">
        <f t="shared" ca="1" si="124"/>
        <v>2906,..,3306</v>
      </c>
      <c r="O643" s="53">
        <f ca="1">O642+1</f>
        <v>2906</v>
      </c>
      <c r="P643" s="53">
        <f ca="1">P642+1</f>
        <v>3306</v>
      </c>
    </row>
    <row r="644" spans="1:16" s="53" customFormat="1" x14ac:dyDescent="0.35">
      <c r="A644" s="116" t="s">
        <v>334</v>
      </c>
      <c r="B644" s="116"/>
      <c r="C644" s="28" t="s">
        <v>204</v>
      </c>
      <c r="D644" s="28">
        <f t="shared" si="130"/>
        <v>418.16417759999996</v>
      </c>
      <c r="E644" s="28">
        <v>0</v>
      </c>
      <c r="F644" s="28">
        <f t="shared" si="126"/>
        <v>627.24626639999997</v>
      </c>
      <c r="G644" s="122"/>
      <c r="H644" s="123"/>
      <c r="I644" s="52"/>
    </row>
    <row r="645" spans="1:16" s="53" customFormat="1" x14ac:dyDescent="0.35">
      <c r="A645" s="116" t="s">
        <v>335</v>
      </c>
      <c r="B645" s="116"/>
      <c r="C645" s="28" t="s">
        <v>178</v>
      </c>
      <c r="D645" s="28">
        <f>(1.75*0.86+3.05*6.76+2.28*3.05+2*(2.28*1.37)+3.05*3.96+0.9*1.37+3.05*3.65+1*1.37+3.05*1.05+2.28*0.75)*(10.764)</f>
        <v>710.96435279999969</v>
      </c>
      <c r="E645" s="28">
        <v>0</v>
      </c>
      <c r="F645" s="28">
        <f t="shared" si="126"/>
        <v>1066.4465291999995</v>
      </c>
      <c r="G645" s="122"/>
      <c r="H645" s="123"/>
      <c r="I645" s="52"/>
    </row>
    <row r="646" spans="1:16" s="53" customFormat="1" x14ac:dyDescent="0.35">
      <c r="A646" s="116" t="s">
        <v>336</v>
      </c>
      <c r="B646" s="116"/>
      <c r="C646" s="28" t="s">
        <v>178</v>
      </c>
      <c r="D646" s="28">
        <f>(3.05*5.18+2.2*2.98+2.9*3.65+3.05*3.65+2*(2.28*1.37)+3*1+2.5*1.05+2.2*0.75)*(10.764)</f>
        <v>619.94935079999993</v>
      </c>
      <c r="E646" s="28">
        <v>0</v>
      </c>
      <c r="F646" s="28">
        <f t="shared" si="126"/>
        <v>929.92402619999984</v>
      </c>
      <c r="G646" s="122"/>
      <c r="H646" s="123"/>
      <c r="I646" s="52"/>
    </row>
    <row r="647" spans="1:16" s="53" customFormat="1" ht="15.75" customHeight="1" x14ac:dyDescent="0.35">
      <c r="A647" s="116" t="s">
        <v>337</v>
      </c>
      <c r="B647" s="116"/>
      <c r="C647" s="28" t="s">
        <v>329</v>
      </c>
      <c r="D647" s="28">
        <f>(1.4*1.37+6.7*3.05+3.8*5.43+5.14*1.38+3.05*2.28+2.28*1+2*(3.65*2.9+3.96*3.05+2.28*1.37+3.5*1)+2*(3.05*1.05+3.3*1.23+1*1)+2.28*0.75)*(10.764)</f>
        <v>1465.1999855999998</v>
      </c>
      <c r="E647" s="28">
        <v>0</v>
      </c>
      <c r="F647" s="28">
        <f t="shared" si="126"/>
        <v>2197.7999783999994</v>
      </c>
      <c r="G647" s="122"/>
      <c r="H647" s="123"/>
      <c r="I647" s="52">
        <f>7200000/F650</f>
        <v>6751.3933449632186</v>
      </c>
      <c r="N647" s="53" t="str">
        <f t="shared" ref="N647:N652" ca="1" si="131">O647&amp;""&amp;",..,"&amp;""&amp;P647</f>
        <v>301,..,3101</v>
      </c>
      <c r="O647" s="53">
        <f ca="1">(SUMPRODUCT(MID(0&amp;(LEFT(A648,SUM(LEN(A648)-LEN(SUBSTITUTE(A648,{"0","1","2"},""))))), LARGE(INDEX(ISNUMBER(--MID((LEFT(A648,SUM(LEN(A648)-LEN(SUBSTITUTE(A648,{"0","1","2"},""))))), ROW(INDIRECT("1:"&amp;LEN((LEFT(A648,SUM(LEN(A648)-LEN(SUBSTITUTE(A648,{"0","1","2"},"")))))))), 1)) * ROW(INDIRECT("1:"&amp;LEN((LEFT(A648,SUM(LEN(A648)-LEN(SUBSTITUTE(A648,{"0","1","2"},"")))))))), 0), ROW(INDIRECT("1:"&amp;LEN((LEFT(A648,SUM(LEN(A648)-LEN(SUBSTITUTE(A648,{"0","1","2"},"")))))))))+1, 1) * 10^ROW(INDIRECT("1:"&amp;LEN((LEFT(A648,SUM(LEN(A648)-LEN(SUBSTITUTE(A648,{"0","1","2"},""))))))))/10))*100+1</f>
        <v>301</v>
      </c>
      <c r="P647" s="53">
        <f ca="1">(SUMPRODUCT(MID(0&amp;(--TRIM(RIGHT(SUBSTITUTE(LEFT(A648,_xlfn.AGGREGATE(16,6,FIND({0,1,2,3,4,5,6,7,8,9},A648,ROW(INDIRECT("1:"&amp;LEN(A648)))),1))," ",REPT(" ",LEN(A648))),LEN(A648)))), LARGE(INDEX(ISNUMBER(--MID((--TRIM(RIGHT(SUBSTITUTE(LEFT(A648,_xlfn.AGGREGATE(16,6,FIND({0,1,2,3,4,5,6,7,8,9},A648,ROW(INDIRECT("1:"&amp;LEN(A648)))),1))," ",REPT(" ",LEN(A648))),LEN(A648)))), ROW(INDIRECT("1:"&amp;LEN((--TRIM(RIGHT(SUBSTITUTE(LEFT(A648,_xlfn.AGGREGATE(16,6,FIND({0,1,2,3,4,5,6,7,8,9},A648,ROW(INDIRECT("1:"&amp;LEN(A648)))),1))," ",REPT(" ",LEN(A648))),LEN(A648))))))), 1)) * ROW(INDIRECT("1:"&amp;LEN((--TRIM(RIGHT(SUBSTITUTE(LEFT(A648,_xlfn.AGGREGATE(16,6,FIND({0,1,2,3,4,5,6,7,8,9},A648,ROW(INDIRECT("1:"&amp;LEN(A648)))),1))," ",REPT(" ",LEN(A648))),LEN(A648))))))), 0), ROW(INDIRECT("1:"&amp;LEN((--TRIM(RIGHT(SUBSTITUTE(LEFT(A648,_xlfn.AGGREGATE(16,6,FIND({0,1,2,3,4,5,6,7,8,9},A648,ROW(INDIRECT("1:"&amp;LEN(A648)))),1))," ",REPT(" ",LEN(A648))),LEN(A648))))))))+1, 1) * 10^ROW(INDIRECT("1:"&amp;LEN((--TRIM(RIGHT(SUBSTITUTE(LEFT(A648,_xlfn.AGGREGATE(16,6,FIND({0,1,2,3,4,5,6,7,8,9},A648,ROW(INDIRECT("1:"&amp;LEN(A648)))),1))," ",REPT(" ",LEN(A648))),LEN(A648)))))))/10))*100+1</f>
        <v>3101</v>
      </c>
    </row>
    <row r="648" spans="1:16" s="53" customFormat="1" ht="15.75" customHeight="1" x14ac:dyDescent="0.35">
      <c r="A648" s="127" t="s">
        <v>306</v>
      </c>
      <c r="B648" s="128"/>
      <c r="C648" s="128"/>
      <c r="D648" s="128"/>
      <c r="E648" s="128"/>
      <c r="F648" s="128"/>
      <c r="G648" s="128"/>
      <c r="H648" s="129"/>
      <c r="I648" s="52"/>
      <c r="N648" s="53" t="str">
        <f t="shared" ca="1" si="131"/>
        <v>302,..,3102</v>
      </c>
      <c r="O648" s="53">
        <f t="shared" ref="O648:P648" ca="1" si="132">O647+1</f>
        <v>302</v>
      </c>
      <c r="P648" s="53">
        <f t="shared" ca="1" si="132"/>
        <v>3102</v>
      </c>
    </row>
    <row r="649" spans="1:16" s="53" customFormat="1" ht="15.75" customHeight="1" x14ac:dyDescent="0.35">
      <c r="A649" s="117">
        <v>3101</v>
      </c>
      <c r="B649" s="119"/>
      <c r="C649" s="117" t="s">
        <v>201</v>
      </c>
      <c r="D649" s="118"/>
      <c r="E649" s="118"/>
      <c r="F649" s="119"/>
      <c r="G649" s="120" t="str">
        <f>A648</f>
        <v>31st Floor (Part Refuge Floor)</v>
      </c>
      <c r="H649" s="121"/>
      <c r="I649" s="52"/>
      <c r="N649" s="53" t="str">
        <f t="shared" ca="1" si="131"/>
        <v>303,..,3103</v>
      </c>
      <c r="O649" s="53">
        <f t="shared" ref="O649:P649" ca="1" si="133">O648+1</f>
        <v>303</v>
      </c>
      <c r="P649" s="53">
        <f t="shared" ca="1" si="133"/>
        <v>3103</v>
      </c>
    </row>
    <row r="650" spans="1:16" s="53" customFormat="1" ht="15.75" customHeight="1" x14ac:dyDescent="0.35">
      <c r="A650" s="117">
        <f>A649+1</f>
        <v>3102</v>
      </c>
      <c r="B650" s="119"/>
      <c r="C650" s="28" t="s">
        <v>178</v>
      </c>
      <c r="D650" s="28">
        <f>(1.75*0.86+3.05*6.76+2.28*3.05+2*(2.28*1.37)+3.05*3.96+0.9*1.37+3.05*3.65+1*1.37+3.05*1.05+2.28*0.75)*(10.764)</f>
        <v>710.96435279999969</v>
      </c>
      <c r="E650" s="28">
        <v>0</v>
      </c>
      <c r="F650" s="28">
        <f t="shared" ref="F650:F656" si="134">D650*(($F$338)+1)+E650</f>
        <v>1066.4465291999995</v>
      </c>
      <c r="G650" s="122"/>
      <c r="H650" s="123"/>
      <c r="I650" s="52"/>
      <c r="N650" s="53" t="str">
        <f t="shared" ca="1" si="131"/>
        <v>304,..,3104</v>
      </c>
      <c r="O650" s="53">
        <f t="shared" ref="O650:P650" ca="1" si="135">O649+1</f>
        <v>304</v>
      </c>
      <c r="P650" s="53">
        <f t="shared" ca="1" si="135"/>
        <v>3104</v>
      </c>
    </row>
    <row r="651" spans="1:16" s="53" customFormat="1" ht="15.75" customHeight="1" x14ac:dyDescent="0.35">
      <c r="A651" s="117">
        <f t="shared" ref="A651:A655" si="136">A650+1</f>
        <v>3103</v>
      </c>
      <c r="B651" s="119"/>
      <c r="C651" s="28" t="s">
        <v>204</v>
      </c>
      <c r="D651" s="28">
        <f>(3.05*4.34+2.9*3.65+2.28*1.22+1.82*3.05+2.2*1.22+2.04*1.37+1.62*0.75)*(10.764)</f>
        <v>418.16417759999996</v>
      </c>
      <c r="E651" s="28">
        <v>0</v>
      </c>
      <c r="F651" s="28">
        <f t="shared" si="134"/>
        <v>627.24626639999997</v>
      </c>
      <c r="G651" s="122"/>
      <c r="H651" s="123"/>
      <c r="I651" s="52"/>
      <c r="N651" s="53" t="str">
        <f t="shared" ca="1" si="131"/>
        <v>305,..,3105</v>
      </c>
      <c r="O651" s="53">
        <f t="shared" ref="O651:P651" ca="1" si="137">O650+1</f>
        <v>305</v>
      </c>
      <c r="P651" s="53">
        <f t="shared" ca="1" si="137"/>
        <v>3105</v>
      </c>
    </row>
    <row r="652" spans="1:16" s="53" customFormat="1" ht="15.75" customHeight="1" x14ac:dyDescent="0.35">
      <c r="A652" s="117">
        <f t="shared" si="136"/>
        <v>3104</v>
      </c>
      <c r="B652" s="119"/>
      <c r="C652" s="28" t="s">
        <v>204</v>
      </c>
      <c r="D652" s="28">
        <f t="shared" ref="D652:D653" si="138">(3.05*4.34+2.9*3.65+2.28*1.22+1.82*3.05+2.2*1.22+2.04*1.37+1.62*0.75)*(10.764)</f>
        <v>418.16417759999996</v>
      </c>
      <c r="E652" s="28">
        <v>0</v>
      </c>
      <c r="F652" s="28">
        <f t="shared" si="134"/>
        <v>627.24626639999997</v>
      </c>
      <c r="G652" s="122"/>
      <c r="H652" s="123"/>
      <c r="I652" s="52"/>
      <c r="N652" s="53" t="str">
        <f t="shared" ca="1" si="131"/>
        <v>306,..,3106</v>
      </c>
      <c r="O652" s="53">
        <f ca="1">O651+1</f>
        <v>306</v>
      </c>
      <c r="P652" s="53">
        <f ca="1">P651+1</f>
        <v>3106</v>
      </c>
    </row>
    <row r="653" spans="1:16" s="53" customFormat="1" x14ac:dyDescent="0.35">
      <c r="A653" s="117">
        <f t="shared" si="136"/>
        <v>3105</v>
      </c>
      <c r="B653" s="119"/>
      <c r="C653" s="28" t="s">
        <v>204</v>
      </c>
      <c r="D653" s="28">
        <f t="shared" si="138"/>
        <v>418.16417759999996</v>
      </c>
      <c r="E653" s="28">
        <v>0</v>
      </c>
      <c r="F653" s="28">
        <f t="shared" si="134"/>
        <v>627.24626639999997</v>
      </c>
      <c r="G653" s="122"/>
      <c r="H653" s="123"/>
      <c r="I653" s="52"/>
    </row>
    <row r="654" spans="1:16" s="53" customFormat="1" x14ac:dyDescent="0.35">
      <c r="A654" s="117">
        <f t="shared" si="136"/>
        <v>3106</v>
      </c>
      <c r="B654" s="119"/>
      <c r="C654" s="28" t="s">
        <v>178</v>
      </c>
      <c r="D654" s="28">
        <f>(1.75*0.86+3.05*6.76+2.28*3.05+2*(2.28*1.37)+3.05*3.96+0.9*1.37+3.05*3.65+1*1.37+3.05*1.05+2.28*0.75)*(10.764)</f>
        <v>710.96435279999969</v>
      </c>
      <c r="E654" s="28">
        <v>0</v>
      </c>
      <c r="F654" s="28">
        <f t="shared" si="134"/>
        <v>1066.4465291999995</v>
      </c>
      <c r="G654" s="122"/>
      <c r="H654" s="123"/>
      <c r="I654" s="52"/>
    </row>
    <row r="655" spans="1:16" s="53" customFormat="1" x14ac:dyDescent="0.35">
      <c r="A655" s="117">
        <f t="shared" si="136"/>
        <v>3107</v>
      </c>
      <c r="B655" s="119"/>
      <c r="C655" s="28" t="s">
        <v>178</v>
      </c>
      <c r="D655" s="28">
        <f>(3.05*5.18+2.2*2.98+2.9*3.65+3.05*3.65+2*(2.28*1.37)+3*1+2.5*1.05+2.2*0.75)*(10.764)</f>
        <v>619.94935079999993</v>
      </c>
      <c r="E655" s="28">
        <v>0</v>
      </c>
      <c r="F655" s="28">
        <f t="shared" si="134"/>
        <v>929.92402619999984</v>
      </c>
      <c r="G655" s="122"/>
      <c r="H655" s="123"/>
      <c r="I655" s="52"/>
    </row>
    <row r="656" spans="1:16" s="53" customFormat="1" ht="15.75" customHeight="1" x14ac:dyDescent="0.35">
      <c r="A656" s="117">
        <f t="shared" ref="A656" si="139">A655+1</f>
        <v>3108</v>
      </c>
      <c r="B656" s="119"/>
      <c r="C656" s="28" t="s">
        <v>329</v>
      </c>
      <c r="D656" s="28">
        <f>(1.4*1.37+6.7*3.05+3.8*5.43+5.14*1.38+3.05*2.28+2.28*1+2*(3.65*2.9+3.96*3.05+2.28*1.37+3.5*1)+2*(3.05*1.05+3.3*1.23+1*1)+2.28*0.75)*(10.764)</f>
        <v>1465.1999855999998</v>
      </c>
      <c r="E656" s="28">
        <v>0</v>
      </c>
      <c r="F656" s="28">
        <f t="shared" si="134"/>
        <v>2197.7999783999994</v>
      </c>
      <c r="G656" s="122"/>
      <c r="H656" s="123"/>
      <c r="I656" s="52"/>
    </row>
    <row r="657" spans="1:16" s="53" customFormat="1" x14ac:dyDescent="0.35">
      <c r="A657" s="124" t="s">
        <v>203</v>
      </c>
      <c r="B657" s="124"/>
      <c r="C657" s="124"/>
      <c r="D657" s="124"/>
      <c r="E657" s="124"/>
      <c r="F657" s="124"/>
      <c r="G657" s="124"/>
      <c r="H657" s="124"/>
      <c r="I657" s="52"/>
    </row>
    <row r="658" spans="1:16" s="53" customFormat="1" x14ac:dyDescent="0.35">
      <c r="A658" s="125" t="s">
        <v>175</v>
      </c>
      <c r="B658" s="125"/>
      <c r="C658" s="125"/>
      <c r="D658" s="125"/>
      <c r="E658" s="125"/>
      <c r="F658" s="125"/>
      <c r="G658" s="125"/>
      <c r="H658" s="125"/>
      <c r="I658" s="52"/>
    </row>
    <row r="659" spans="1:16" s="53" customFormat="1" x14ac:dyDescent="0.35">
      <c r="A659" s="125" t="s">
        <v>338</v>
      </c>
      <c r="B659" s="125"/>
      <c r="C659" s="125"/>
      <c r="D659" s="125"/>
      <c r="E659" s="125"/>
      <c r="F659" s="125"/>
      <c r="G659" s="125"/>
      <c r="H659" s="125"/>
      <c r="I659" s="52"/>
      <c r="L659" s="107"/>
      <c r="M659" s="107"/>
    </row>
    <row r="660" spans="1:16" s="53" customFormat="1" ht="15.75" customHeight="1" x14ac:dyDescent="0.35">
      <c r="A660" s="125" t="s">
        <v>177</v>
      </c>
      <c r="B660" s="125"/>
      <c r="C660" s="125"/>
      <c r="D660" s="125"/>
      <c r="E660" s="125"/>
      <c r="F660" s="125"/>
      <c r="G660" s="125"/>
      <c r="H660" s="125"/>
      <c r="I660" s="52"/>
      <c r="N660" s="52"/>
    </row>
    <row r="661" spans="1:16" s="53" customFormat="1" ht="15.75" customHeight="1" x14ac:dyDescent="0.35">
      <c r="A661" s="116" t="s">
        <v>235</v>
      </c>
      <c r="B661" s="116"/>
      <c r="C661" s="120" t="s">
        <v>193</v>
      </c>
      <c r="D661" s="182"/>
      <c r="E661" s="182"/>
      <c r="F661" s="121"/>
      <c r="G661" s="120" t="str">
        <f>A660</f>
        <v>1st Podium Floor for Part Residential &amp; Part Parking</v>
      </c>
      <c r="H661" s="121"/>
      <c r="I661" s="52"/>
      <c r="N661" s="52"/>
    </row>
    <row r="662" spans="1:16" s="53" customFormat="1" ht="15.75" customHeight="1" x14ac:dyDescent="0.35">
      <c r="A662" s="116" t="s">
        <v>236</v>
      </c>
      <c r="B662" s="116"/>
      <c r="C662" s="122"/>
      <c r="D662" s="183"/>
      <c r="E662" s="183"/>
      <c r="F662" s="123"/>
      <c r="G662" s="122"/>
      <c r="H662" s="123"/>
      <c r="I662" s="52"/>
      <c r="N662" s="52"/>
    </row>
    <row r="663" spans="1:16" s="53" customFormat="1" ht="15.75" customHeight="1" x14ac:dyDescent="0.35">
      <c r="A663" s="116" t="s">
        <v>237</v>
      </c>
      <c r="B663" s="116"/>
      <c r="C663" s="173"/>
      <c r="D663" s="184"/>
      <c r="E663" s="184"/>
      <c r="F663" s="174"/>
      <c r="G663" s="122"/>
      <c r="H663" s="123"/>
      <c r="I663" s="52"/>
      <c r="N663" s="52"/>
    </row>
    <row r="664" spans="1:16" s="53" customFormat="1" ht="15.75" customHeight="1" x14ac:dyDescent="0.35">
      <c r="A664" s="116" t="s">
        <v>238</v>
      </c>
      <c r="B664" s="116"/>
      <c r="C664" s="28" t="s">
        <v>204</v>
      </c>
      <c r="D664" s="28">
        <f>(2.75*4.65+1.92*1.95+1.22*2.13+2.9*3.58+2.12*1.27+1.3*0.9+1.94*0.75)*(10.764)</f>
        <v>374.90473800000001</v>
      </c>
      <c r="E664" s="28">
        <v>0</v>
      </c>
      <c r="F664" s="28">
        <f>D664*(($F$338)+1)+E664</f>
        <v>562.35710700000004</v>
      </c>
      <c r="G664" s="122"/>
      <c r="H664" s="123"/>
      <c r="I664" s="52"/>
      <c r="N664" s="52"/>
    </row>
    <row r="665" spans="1:16" s="53" customFormat="1" ht="15.75" customHeight="1" x14ac:dyDescent="0.35">
      <c r="A665" s="116" t="s">
        <v>239</v>
      </c>
      <c r="B665" s="116"/>
      <c r="C665" s="28" t="s">
        <v>204</v>
      </c>
      <c r="D665" s="28">
        <f t="shared" ref="D665:D666" si="140">(2.75*4.65+1.92*1.95+1.22*2.13+2.9*3.58+2.12*1.27+1.3*0.9+1.94*0.75)*(10.764)</f>
        <v>374.90473800000001</v>
      </c>
      <c r="E665" s="28">
        <v>0</v>
      </c>
      <c r="F665" s="28">
        <f>D665*(($F$338)+1)+E665</f>
        <v>562.35710700000004</v>
      </c>
      <c r="G665" s="122"/>
      <c r="H665" s="123"/>
      <c r="I665" s="52"/>
      <c r="N665" s="52"/>
    </row>
    <row r="666" spans="1:16" s="53" customFormat="1" ht="15.75" customHeight="1" x14ac:dyDescent="0.35">
      <c r="A666" s="116" t="s">
        <v>240</v>
      </c>
      <c r="B666" s="116"/>
      <c r="C666" s="28" t="s">
        <v>204</v>
      </c>
      <c r="D666" s="28">
        <f t="shared" si="140"/>
        <v>374.90473800000001</v>
      </c>
      <c r="E666" s="28">
        <v>0</v>
      </c>
      <c r="F666" s="28">
        <f>D666*(($F$338)+1)+E666</f>
        <v>562.35710700000004</v>
      </c>
      <c r="G666" s="122"/>
      <c r="H666" s="123"/>
      <c r="I666" s="52"/>
      <c r="N666" s="52"/>
    </row>
    <row r="667" spans="1:16" s="53" customFormat="1" ht="15.75" customHeight="1" x14ac:dyDescent="0.35">
      <c r="A667" s="116" t="s">
        <v>241</v>
      </c>
      <c r="B667" s="116"/>
      <c r="C667" s="120" t="s">
        <v>193</v>
      </c>
      <c r="D667" s="182"/>
      <c r="E667" s="182"/>
      <c r="F667" s="121"/>
      <c r="G667" s="122"/>
      <c r="H667" s="123"/>
      <c r="I667" s="52"/>
      <c r="N667" s="52"/>
    </row>
    <row r="668" spans="1:16" s="53" customFormat="1" ht="15.75" customHeight="1" x14ac:dyDescent="0.35">
      <c r="A668" s="116" t="s">
        <v>242</v>
      </c>
      <c r="B668" s="116"/>
      <c r="C668" s="122"/>
      <c r="D668" s="183"/>
      <c r="E668" s="183"/>
      <c r="F668" s="123"/>
      <c r="G668" s="122"/>
      <c r="H668" s="123"/>
      <c r="I668" s="52"/>
      <c r="N668" s="52"/>
    </row>
    <row r="669" spans="1:16" s="53" customFormat="1" ht="15.75" customHeight="1" x14ac:dyDescent="0.35">
      <c r="A669" s="116" t="s">
        <v>243</v>
      </c>
      <c r="B669" s="116"/>
      <c r="C669" s="122"/>
      <c r="D669" s="183"/>
      <c r="E669" s="183"/>
      <c r="F669" s="123"/>
      <c r="G669" s="122"/>
      <c r="H669" s="123"/>
      <c r="I669" s="52"/>
      <c r="N669" s="52"/>
    </row>
    <row r="670" spans="1:16" s="53" customFormat="1" x14ac:dyDescent="0.35">
      <c r="A670" s="116" t="s">
        <v>244</v>
      </c>
      <c r="B670" s="116"/>
      <c r="C670" s="122"/>
      <c r="D670" s="183"/>
      <c r="E670" s="183"/>
      <c r="F670" s="123"/>
      <c r="G670" s="122"/>
      <c r="H670" s="123"/>
      <c r="I670" s="52"/>
    </row>
    <row r="671" spans="1:16" s="53" customFormat="1" ht="15.75" customHeight="1" x14ac:dyDescent="0.35">
      <c r="A671" s="116" t="s">
        <v>245</v>
      </c>
      <c r="B671" s="116"/>
      <c r="C671" s="173"/>
      <c r="D671" s="184"/>
      <c r="E671" s="184"/>
      <c r="F671" s="174"/>
      <c r="G671" s="173"/>
      <c r="H671" s="174"/>
      <c r="I671" s="52"/>
    </row>
    <row r="672" spans="1:16" s="53" customFormat="1" ht="15.75" customHeight="1" x14ac:dyDescent="0.35">
      <c r="A672" s="125" t="s">
        <v>339</v>
      </c>
      <c r="B672" s="125"/>
      <c r="C672" s="125"/>
      <c r="D672" s="125"/>
      <c r="E672" s="125"/>
      <c r="F672" s="125"/>
      <c r="G672" s="125"/>
      <c r="H672" s="125"/>
      <c r="I672" s="52"/>
      <c r="N672" s="53" t="str">
        <f t="shared" ref="N672:N677" ca="1" si="141">O672&amp;""&amp;",..,"&amp;""&amp;P672</f>
        <v>101,..,101</v>
      </c>
      <c r="O672" s="53">
        <f ca="1">(SUMPRODUCT(MID(0&amp;(LEFT(A673,SUM(LEN(A673)-LEN(SUBSTITUTE(A673,{"0","1","2"},""))))), LARGE(INDEX(ISNUMBER(--MID((LEFT(A673,SUM(LEN(A673)-LEN(SUBSTITUTE(A673,{"0","1","2"},""))))), ROW(INDIRECT("1:"&amp;LEN((LEFT(A673,SUM(LEN(A673)-LEN(SUBSTITUTE(A673,{"0","1","2"},"")))))))), 1)) * ROW(INDIRECT("1:"&amp;LEN((LEFT(A673,SUM(LEN(A673)-LEN(SUBSTITUTE(A673,{"0","1","2"},"")))))))), 0), ROW(INDIRECT("1:"&amp;LEN((LEFT(A673,SUM(LEN(A673)-LEN(SUBSTITUTE(A673,{"0","1","2"},"")))))))))+1, 1) * 10^ROW(INDIRECT("1:"&amp;LEN((LEFT(A673,SUM(LEN(A673)-LEN(SUBSTITUTE(A673,{"0","1","2"},""))))))))/10))*100+1</f>
        <v>101</v>
      </c>
      <c r="P672" s="53">
        <f ca="1">(SUMPRODUCT(MID(0&amp;(--TRIM(RIGHT(SUBSTITUTE(LEFT(A673,_xlfn.AGGREGATE(16,6,FIND({0,1,2,3,4,5,6,7,8,9},A673,ROW(INDIRECT("1:"&amp;LEN(A673)))),1))," ",REPT(" ",LEN(A673))),LEN(A673)))), LARGE(INDEX(ISNUMBER(--MID((--TRIM(RIGHT(SUBSTITUTE(LEFT(A673,_xlfn.AGGREGATE(16,6,FIND({0,1,2,3,4,5,6,7,8,9},A673,ROW(INDIRECT("1:"&amp;LEN(A673)))),1))," ",REPT(" ",LEN(A673))),LEN(A673)))), ROW(INDIRECT("1:"&amp;LEN((--TRIM(RIGHT(SUBSTITUTE(LEFT(A673,_xlfn.AGGREGATE(16,6,FIND({0,1,2,3,4,5,6,7,8,9},A673,ROW(INDIRECT("1:"&amp;LEN(A673)))),1))," ",REPT(" ",LEN(A673))),LEN(A673))))))), 1)) * ROW(INDIRECT("1:"&amp;LEN((--TRIM(RIGHT(SUBSTITUTE(LEFT(A673,_xlfn.AGGREGATE(16,6,FIND({0,1,2,3,4,5,6,7,8,9},A673,ROW(INDIRECT("1:"&amp;LEN(A673)))),1))," ",REPT(" ",LEN(A673))),LEN(A673))))))), 0), ROW(INDIRECT("1:"&amp;LEN((--TRIM(RIGHT(SUBSTITUTE(LEFT(A673,_xlfn.AGGREGATE(16,6,FIND({0,1,2,3,4,5,6,7,8,9},A673,ROW(INDIRECT("1:"&amp;LEN(A673)))),1))," ",REPT(" ",LEN(A673))),LEN(A673))))))))+1, 1) * 10^ROW(INDIRECT("1:"&amp;LEN((--TRIM(RIGHT(SUBSTITUTE(LEFT(A673,_xlfn.AGGREGATE(16,6,FIND({0,1,2,3,4,5,6,7,8,9},A673,ROW(INDIRECT("1:"&amp;LEN(A673)))),1))," ",REPT(" ",LEN(A673))),LEN(A673)))))))/10))*100+1</f>
        <v>101</v>
      </c>
    </row>
    <row r="673" spans="1:16" s="53" customFormat="1" ht="15.75" customHeight="1" x14ac:dyDescent="0.35">
      <c r="A673" s="127" t="s">
        <v>267</v>
      </c>
      <c r="B673" s="128"/>
      <c r="C673" s="128"/>
      <c r="D673" s="128"/>
      <c r="E673" s="128"/>
      <c r="F673" s="128"/>
      <c r="G673" s="128"/>
      <c r="H673" s="129"/>
      <c r="I673" s="52"/>
      <c r="N673" s="53" t="str">
        <f t="shared" ca="1" si="141"/>
        <v>102,..,102</v>
      </c>
      <c r="O673" s="53">
        <f t="shared" ref="O673:P673" ca="1" si="142">O672+1</f>
        <v>102</v>
      </c>
      <c r="P673" s="53">
        <f t="shared" ca="1" si="142"/>
        <v>102</v>
      </c>
    </row>
    <row r="674" spans="1:16" s="53" customFormat="1" ht="15.75" customHeight="1" x14ac:dyDescent="0.35">
      <c r="A674" s="116" t="s">
        <v>205</v>
      </c>
      <c r="B674" s="116"/>
      <c r="C674" s="28" t="s">
        <v>204</v>
      </c>
      <c r="D674" s="28">
        <f>(2.75*4.65+1.92*1.95+1.22*2.13+2.9*3.58+2.12*1.27+1.3*0.9+1.94*0.75)*(10.764)</f>
        <v>374.90473800000001</v>
      </c>
      <c r="E674" s="28">
        <v>0</v>
      </c>
      <c r="F674" s="28">
        <f t="shared" ref="F674:F684" si="143">D674*(($F$338)+1)+E674</f>
        <v>562.35710700000004</v>
      </c>
      <c r="G674" s="120" t="str">
        <f>A673</f>
        <v>1st Floor for Residential</v>
      </c>
      <c r="H674" s="121"/>
      <c r="I674" s="52"/>
      <c r="N674" s="53" t="str">
        <f t="shared" ca="1" si="141"/>
        <v>103,..,103</v>
      </c>
      <c r="O674" s="53">
        <f t="shared" ref="O674:P674" ca="1" si="144">O673+1</f>
        <v>103</v>
      </c>
      <c r="P674" s="53">
        <f t="shared" ca="1" si="144"/>
        <v>103</v>
      </c>
    </row>
    <row r="675" spans="1:16" s="53" customFormat="1" ht="15.75" customHeight="1" x14ac:dyDescent="0.35">
      <c r="A675" s="116" t="s">
        <v>206</v>
      </c>
      <c r="B675" s="116"/>
      <c r="C675" s="28" t="s">
        <v>204</v>
      </c>
      <c r="D675" s="28">
        <f>(2.75*4.66+2.13*2.08+2.9*3.58+2.13*1.22+1.22*2.13+2.2*1.025+2.13*0.75)*(10.764)</f>
        <v>394.79230440000003</v>
      </c>
      <c r="E675" s="28">
        <v>0</v>
      </c>
      <c r="F675" s="28">
        <f t="shared" si="143"/>
        <v>592.18845660000011</v>
      </c>
      <c r="G675" s="122"/>
      <c r="H675" s="123"/>
      <c r="I675" s="52"/>
      <c r="N675" s="53" t="str">
        <f t="shared" ca="1" si="141"/>
        <v>104,..,104</v>
      </c>
      <c r="O675" s="53">
        <f t="shared" ref="O675:P675" ca="1" si="145">O674+1</f>
        <v>104</v>
      </c>
      <c r="P675" s="53">
        <f t="shared" ca="1" si="145"/>
        <v>104</v>
      </c>
    </row>
    <row r="676" spans="1:16" s="53" customFormat="1" ht="15.75" customHeight="1" x14ac:dyDescent="0.35">
      <c r="A676" s="116" t="s">
        <v>207</v>
      </c>
      <c r="B676" s="116"/>
      <c r="C676" s="28" t="s">
        <v>204</v>
      </c>
      <c r="D676" s="28">
        <f>(2.75*4.66+2.13*2.08+2.9*3.58+2.13*1.22+1.22*2.13+2.2*1.025+2.13*0.75)*(10.764)</f>
        <v>394.79230440000003</v>
      </c>
      <c r="E676" s="28">
        <v>0</v>
      </c>
      <c r="F676" s="28">
        <f t="shared" si="143"/>
        <v>592.18845660000011</v>
      </c>
      <c r="G676" s="122"/>
      <c r="H676" s="123"/>
      <c r="I676" s="52"/>
      <c r="N676" s="53" t="str">
        <f t="shared" ca="1" si="141"/>
        <v>105,..,105</v>
      </c>
      <c r="O676" s="53">
        <f t="shared" ref="O676:P676" ca="1" si="146">O675+1</f>
        <v>105</v>
      </c>
      <c r="P676" s="53">
        <f t="shared" ca="1" si="146"/>
        <v>105</v>
      </c>
    </row>
    <row r="677" spans="1:16" s="53" customFormat="1" ht="15.75" customHeight="1" x14ac:dyDescent="0.35">
      <c r="A677" s="116" t="s">
        <v>208</v>
      </c>
      <c r="B677" s="116"/>
      <c r="C677" s="28" t="s">
        <v>204</v>
      </c>
      <c r="D677" s="28">
        <f>(2.75*4.65+1.92*1.95+1.22*2.13+2.9*3.58+2.12*1.27+1.3*0.9)*(10.764)</f>
        <v>359.24311800000004</v>
      </c>
      <c r="E677" s="28">
        <v>0</v>
      </c>
      <c r="F677" s="28">
        <f t="shared" si="143"/>
        <v>538.86467700000003</v>
      </c>
      <c r="G677" s="122"/>
      <c r="H677" s="123"/>
      <c r="I677" s="52"/>
      <c r="N677" s="53" t="str">
        <f t="shared" ca="1" si="141"/>
        <v>106,..,106</v>
      </c>
      <c r="O677" s="53">
        <f ca="1">O676+1</f>
        <v>106</v>
      </c>
      <c r="P677" s="53">
        <f ca="1">P676+1</f>
        <v>106</v>
      </c>
    </row>
    <row r="678" spans="1:16" s="53" customFormat="1" x14ac:dyDescent="0.35">
      <c r="A678" s="116" t="s">
        <v>209</v>
      </c>
      <c r="B678" s="116"/>
      <c r="C678" s="28" t="s">
        <v>204</v>
      </c>
      <c r="D678" s="28">
        <f t="shared" ref="D678:D679" si="147">(2.75*4.65+1.92*1.95+1.22*2.13+2.9*3.58+2.12*1.27+1.3*0.9)*(10.764)</f>
        <v>359.24311800000004</v>
      </c>
      <c r="E678" s="28">
        <v>0</v>
      </c>
      <c r="F678" s="28">
        <f t="shared" si="143"/>
        <v>538.86467700000003</v>
      </c>
      <c r="G678" s="122"/>
      <c r="H678" s="123"/>
      <c r="I678" s="52"/>
    </row>
    <row r="679" spans="1:16" s="53" customFormat="1" x14ac:dyDescent="0.35">
      <c r="A679" s="116" t="s">
        <v>210</v>
      </c>
      <c r="B679" s="116"/>
      <c r="C679" s="28" t="s">
        <v>204</v>
      </c>
      <c r="D679" s="28">
        <f t="shared" si="147"/>
        <v>359.24311800000004</v>
      </c>
      <c r="E679" s="28">
        <v>0</v>
      </c>
      <c r="F679" s="28">
        <f t="shared" si="143"/>
        <v>538.86467700000003</v>
      </c>
      <c r="G679" s="122"/>
      <c r="H679" s="123"/>
      <c r="I679" s="52"/>
    </row>
    <row r="680" spans="1:16" s="53" customFormat="1" x14ac:dyDescent="0.35">
      <c r="A680" s="116" t="s">
        <v>211</v>
      </c>
      <c r="B680" s="116"/>
      <c r="C680" s="28" t="s">
        <v>204</v>
      </c>
      <c r="D680" s="28">
        <f>(2.75*4.66+2.13*2.08+2.9*3.58+2.13*1.22+1.22*2.13+2.2*1.025+2.13*0.75)*(10.764)</f>
        <v>394.79230440000003</v>
      </c>
      <c r="E680" s="28">
        <v>0</v>
      </c>
      <c r="F680" s="28">
        <f t="shared" si="143"/>
        <v>592.18845660000011</v>
      </c>
      <c r="G680" s="122"/>
      <c r="H680" s="123"/>
      <c r="I680" s="52"/>
    </row>
    <row r="681" spans="1:16" s="53" customFormat="1" x14ac:dyDescent="0.35">
      <c r="A681" s="116" t="s">
        <v>212</v>
      </c>
      <c r="B681" s="116"/>
      <c r="C681" s="28" t="s">
        <v>204</v>
      </c>
      <c r="D681" s="28">
        <f>(2.75*4.66+2.13*2.08+2.9*3.58+2.13*1.22+1.22*2.13+2.2*1.025+2.13*0.75)*(10.764)</f>
        <v>394.79230440000003</v>
      </c>
      <c r="E681" s="28">
        <v>0</v>
      </c>
      <c r="F681" s="28">
        <f t="shared" si="143"/>
        <v>592.18845660000011</v>
      </c>
      <c r="G681" s="122"/>
      <c r="H681" s="123"/>
      <c r="I681" s="52"/>
    </row>
    <row r="682" spans="1:16" s="53" customFormat="1" x14ac:dyDescent="0.35">
      <c r="A682" s="116" t="s">
        <v>213</v>
      </c>
      <c r="B682" s="116"/>
      <c r="C682" s="28" t="s">
        <v>204</v>
      </c>
      <c r="D682" s="28">
        <f>(2.75*4.65+1.92*1.95+1.22*2.13+2.9*3.58+2.12*1.27+1.3*0.9)*(10.764)</f>
        <v>359.24311800000004</v>
      </c>
      <c r="E682" s="28">
        <v>0</v>
      </c>
      <c r="F682" s="28">
        <f t="shared" si="143"/>
        <v>538.86467700000003</v>
      </c>
      <c r="G682" s="122"/>
      <c r="H682" s="123"/>
      <c r="I682" s="52"/>
    </row>
    <row r="683" spans="1:16" s="53" customFormat="1" ht="15.75" customHeight="1" x14ac:dyDescent="0.35">
      <c r="A683" s="116" t="s">
        <v>214</v>
      </c>
      <c r="B683" s="116"/>
      <c r="C683" s="28" t="s">
        <v>178</v>
      </c>
      <c r="D683" s="28">
        <f>(4.73*2.9+0.7*1.2+2.59*2.13+3.35*3+3.65*2.9+2.13*1.37+2.13*1.37+3.2*1+0.75*1.48)*(10.764)</f>
        <v>547.40214360000004</v>
      </c>
      <c r="E683" s="28">
        <v>0</v>
      </c>
      <c r="F683" s="28">
        <f t="shared" si="143"/>
        <v>821.10321540000007</v>
      </c>
      <c r="G683" s="122"/>
      <c r="H683" s="123"/>
      <c r="I683" s="52"/>
    </row>
    <row r="684" spans="1:16" s="53" customFormat="1" ht="15.75" customHeight="1" x14ac:dyDescent="0.35">
      <c r="A684" s="116" t="s">
        <v>215</v>
      </c>
      <c r="B684" s="116"/>
      <c r="C684" s="28" t="s">
        <v>178</v>
      </c>
      <c r="D684" s="28">
        <f>(4.73*2.9+0.7*1.2+2.59*2.13+3.35*3+3.65*2.9+2.13*1.37+2.13*1.37+3.2*1+0.75*1.48)*(10.764)</f>
        <v>547.40214360000004</v>
      </c>
      <c r="E684" s="28">
        <v>0</v>
      </c>
      <c r="F684" s="28">
        <f t="shared" si="143"/>
        <v>821.10321540000007</v>
      </c>
      <c r="G684" s="173"/>
      <c r="H684" s="174"/>
      <c r="I684" s="52"/>
      <c r="N684" s="53" t="str">
        <f t="shared" ref="N684:N689" ca="1" si="148">O684&amp;""&amp;",..,"&amp;""&amp;P684</f>
        <v>201,..,701</v>
      </c>
      <c r="O684" s="53">
        <f ca="1">(SUMPRODUCT(MID(0&amp;(LEFT(A685,SUM(LEN(A685)-LEN(SUBSTITUTE(A685,{"0","1","2"},""))))), LARGE(INDEX(ISNUMBER(--MID((LEFT(A685,SUM(LEN(A685)-LEN(SUBSTITUTE(A685,{"0","1","2"},""))))), ROW(INDIRECT("1:"&amp;LEN((LEFT(A685,SUM(LEN(A685)-LEN(SUBSTITUTE(A685,{"0","1","2"},"")))))))), 1)) * ROW(INDIRECT("1:"&amp;LEN((LEFT(A685,SUM(LEN(A685)-LEN(SUBSTITUTE(A685,{"0","1","2"},"")))))))), 0), ROW(INDIRECT("1:"&amp;LEN((LEFT(A685,SUM(LEN(A685)-LEN(SUBSTITUTE(A685,{"0","1","2"},"")))))))))+1, 1) * 10^ROW(INDIRECT("1:"&amp;LEN((LEFT(A685,SUM(LEN(A685)-LEN(SUBSTITUTE(A685,{"0","1","2"},""))))))))/10))*100+1</f>
        <v>201</v>
      </c>
      <c r="P684" s="53">
        <f ca="1">(SUMPRODUCT(MID(0&amp;(--TRIM(RIGHT(SUBSTITUTE(LEFT(A685,_xlfn.AGGREGATE(16,6,FIND({0,1,2,3,4,5,6,7,8,9},A685,ROW(INDIRECT("1:"&amp;LEN(A685)))),1))," ",REPT(" ",LEN(A685))),LEN(A685)))), LARGE(INDEX(ISNUMBER(--MID((--TRIM(RIGHT(SUBSTITUTE(LEFT(A685,_xlfn.AGGREGATE(16,6,FIND({0,1,2,3,4,5,6,7,8,9},A685,ROW(INDIRECT("1:"&amp;LEN(A685)))),1))," ",REPT(" ",LEN(A685))),LEN(A685)))), ROW(INDIRECT("1:"&amp;LEN((--TRIM(RIGHT(SUBSTITUTE(LEFT(A685,_xlfn.AGGREGATE(16,6,FIND({0,1,2,3,4,5,6,7,8,9},A685,ROW(INDIRECT("1:"&amp;LEN(A685)))),1))," ",REPT(" ",LEN(A685))),LEN(A685))))))), 1)) * ROW(INDIRECT("1:"&amp;LEN((--TRIM(RIGHT(SUBSTITUTE(LEFT(A685,_xlfn.AGGREGATE(16,6,FIND({0,1,2,3,4,5,6,7,8,9},A685,ROW(INDIRECT("1:"&amp;LEN(A685)))),1))," ",REPT(" ",LEN(A685))),LEN(A685))))))), 0), ROW(INDIRECT("1:"&amp;LEN((--TRIM(RIGHT(SUBSTITUTE(LEFT(A685,_xlfn.AGGREGATE(16,6,FIND({0,1,2,3,4,5,6,7,8,9},A685,ROW(INDIRECT("1:"&amp;LEN(A685)))),1))," ",REPT(" ",LEN(A685))),LEN(A685))))))))+1, 1) * 10^ROW(INDIRECT("1:"&amp;LEN((--TRIM(RIGHT(SUBSTITUTE(LEFT(A685,_xlfn.AGGREGATE(16,6,FIND({0,1,2,3,4,5,6,7,8,9},A685,ROW(INDIRECT("1:"&amp;LEN(A685)))),1))," ",REPT(" ",LEN(A685))),LEN(A685)))))))/10))*100+1</f>
        <v>701</v>
      </c>
    </row>
    <row r="685" spans="1:16" s="53" customFormat="1" ht="15.75" customHeight="1" x14ac:dyDescent="0.35">
      <c r="A685" s="127" t="s">
        <v>340</v>
      </c>
      <c r="B685" s="128"/>
      <c r="C685" s="128"/>
      <c r="D685" s="128"/>
      <c r="E685" s="128"/>
      <c r="F685" s="128"/>
      <c r="G685" s="128"/>
      <c r="H685" s="129"/>
      <c r="I685" s="52"/>
      <c r="N685" s="53" t="str">
        <f t="shared" ca="1" si="148"/>
        <v>202,..,702</v>
      </c>
      <c r="O685" s="53">
        <f t="shared" ref="O685:P685" ca="1" si="149">O684+1</f>
        <v>202</v>
      </c>
      <c r="P685" s="53">
        <f t="shared" ca="1" si="149"/>
        <v>702</v>
      </c>
    </row>
    <row r="686" spans="1:16" s="53" customFormat="1" ht="15.75" customHeight="1" x14ac:dyDescent="0.35">
      <c r="A686" s="116" t="s">
        <v>205</v>
      </c>
      <c r="B686" s="116"/>
      <c r="C686" s="28" t="s">
        <v>204</v>
      </c>
      <c r="D686" s="28">
        <f>(2.75*4.65+1.92*1.95+1.22*2.13+2.9*3.58+2.12*1.27+1.3*0.9+1.94*0.75)*(10.764)</f>
        <v>374.90473800000001</v>
      </c>
      <c r="E686" s="28">
        <v>0</v>
      </c>
      <c r="F686" s="28">
        <f t="shared" ref="F686:F696" si="150">D686*(($F$338)+1)+E686</f>
        <v>562.35710700000004</v>
      </c>
      <c r="G686" s="120" t="str">
        <f>A685</f>
        <v>2nd to 5th, 7th Floor</v>
      </c>
      <c r="H686" s="121"/>
      <c r="I686" s="52"/>
      <c r="N686" s="53" t="str">
        <f t="shared" ca="1" si="148"/>
        <v>203,..,703</v>
      </c>
      <c r="O686" s="53">
        <f t="shared" ref="O686:P686" ca="1" si="151">O685+1</f>
        <v>203</v>
      </c>
      <c r="P686" s="53">
        <f t="shared" ca="1" si="151"/>
        <v>703</v>
      </c>
    </row>
    <row r="687" spans="1:16" s="53" customFormat="1" ht="15.75" customHeight="1" x14ac:dyDescent="0.35">
      <c r="A687" s="116" t="s">
        <v>206</v>
      </c>
      <c r="B687" s="116"/>
      <c r="C687" s="28" t="s">
        <v>204</v>
      </c>
      <c r="D687" s="28">
        <f>(2.75*4.66+2.13*2.08+2.9*3.58+2.13*1.22+1.22*2.13+2.2*1.025+2.13*0.75)*(10.764)</f>
        <v>394.79230440000003</v>
      </c>
      <c r="E687" s="28">
        <v>0</v>
      </c>
      <c r="F687" s="28">
        <f t="shared" si="150"/>
        <v>592.18845660000011</v>
      </c>
      <c r="G687" s="122"/>
      <c r="H687" s="123"/>
      <c r="I687" s="52"/>
      <c r="N687" s="53" t="str">
        <f t="shared" ca="1" si="148"/>
        <v>204,..,704</v>
      </c>
      <c r="O687" s="53">
        <f t="shared" ref="O687:P687" ca="1" si="152">O686+1</f>
        <v>204</v>
      </c>
      <c r="P687" s="53">
        <f t="shared" ca="1" si="152"/>
        <v>704</v>
      </c>
    </row>
    <row r="688" spans="1:16" s="53" customFormat="1" ht="15.75" customHeight="1" x14ac:dyDescent="0.35">
      <c r="A688" s="116" t="s">
        <v>207</v>
      </c>
      <c r="B688" s="116"/>
      <c r="C688" s="28" t="s">
        <v>204</v>
      </c>
      <c r="D688" s="28">
        <f>(2.75*4.66+2.13*2.08+2.9*3.58+2.13*1.22+1.22*2.13+2.2*1.025+2.13*0.75)*(10.764)</f>
        <v>394.79230440000003</v>
      </c>
      <c r="E688" s="28">
        <v>0</v>
      </c>
      <c r="F688" s="28">
        <f t="shared" si="150"/>
        <v>592.18845660000011</v>
      </c>
      <c r="G688" s="122"/>
      <c r="H688" s="123"/>
      <c r="I688" s="52"/>
      <c r="N688" s="53" t="str">
        <f t="shared" ca="1" si="148"/>
        <v>205,..,705</v>
      </c>
      <c r="O688" s="53">
        <f t="shared" ref="O688:P688" ca="1" si="153">O687+1</f>
        <v>205</v>
      </c>
      <c r="P688" s="53">
        <f t="shared" ca="1" si="153"/>
        <v>705</v>
      </c>
    </row>
    <row r="689" spans="1:16" s="53" customFormat="1" ht="15.75" customHeight="1" x14ac:dyDescent="0.35">
      <c r="A689" s="116" t="s">
        <v>208</v>
      </c>
      <c r="B689" s="116"/>
      <c r="C689" s="28" t="s">
        <v>204</v>
      </c>
      <c r="D689" s="28">
        <f>(2.75*4.65+1.92*1.95+1.22*2.13+2.9*3.58+2.12*1.27+1.3*0.9)*(10.764)</f>
        <v>359.24311800000004</v>
      </c>
      <c r="E689" s="28">
        <v>0</v>
      </c>
      <c r="F689" s="28">
        <f t="shared" si="150"/>
        <v>538.86467700000003</v>
      </c>
      <c r="G689" s="122"/>
      <c r="H689" s="123"/>
      <c r="I689" s="52"/>
      <c r="N689" s="53" t="str">
        <f t="shared" ca="1" si="148"/>
        <v>206,..,706</v>
      </c>
      <c r="O689" s="53">
        <f ca="1">O688+1</f>
        <v>206</v>
      </c>
      <c r="P689" s="53">
        <f ca="1">P688+1</f>
        <v>706</v>
      </c>
    </row>
    <row r="690" spans="1:16" s="53" customFormat="1" x14ac:dyDescent="0.35">
      <c r="A690" s="116" t="s">
        <v>209</v>
      </c>
      <c r="B690" s="116"/>
      <c r="C690" s="28" t="s">
        <v>204</v>
      </c>
      <c r="D690" s="28">
        <f t="shared" ref="D690:D691" si="154">(2.75*4.65+1.92*1.95+1.22*2.13+2.9*3.58+2.12*1.27+1.3*0.9)*(10.764)</f>
        <v>359.24311800000004</v>
      </c>
      <c r="E690" s="28">
        <v>0</v>
      </c>
      <c r="F690" s="28">
        <f t="shared" si="150"/>
        <v>538.86467700000003</v>
      </c>
      <c r="G690" s="122"/>
      <c r="H690" s="123"/>
      <c r="I690" s="52"/>
    </row>
    <row r="691" spans="1:16" s="53" customFormat="1" x14ac:dyDescent="0.35">
      <c r="A691" s="116" t="s">
        <v>210</v>
      </c>
      <c r="B691" s="116"/>
      <c r="C691" s="28" t="s">
        <v>204</v>
      </c>
      <c r="D691" s="28">
        <f t="shared" si="154"/>
        <v>359.24311800000004</v>
      </c>
      <c r="E691" s="28">
        <v>0</v>
      </c>
      <c r="F691" s="28">
        <f t="shared" si="150"/>
        <v>538.86467700000003</v>
      </c>
      <c r="G691" s="122"/>
      <c r="H691" s="123"/>
      <c r="I691" s="52"/>
    </row>
    <row r="692" spans="1:16" s="53" customFormat="1" x14ac:dyDescent="0.35">
      <c r="A692" s="116" t="s">
        <v>211</v>
      </c>
      <c r="B692" s="116"/>
      <c r="C692" s="28" t="s">
        <v>204</v>
      </c>
      <c r="D692" s="28">
        <f>(2.75*4.66+2.13*2.08+2.9*3.58+2.13*1.22+1.22*2.13+2.2*1.025+2.13*0.75)*(10.764)</f>
        <v>394.79230440000003</v>
      </c>
      <c r="E692" s="28">
        <v>0</v>
      </c>
      <c r="F692" s="28">
        <f t="shared" si="150"/>
        <v>592.18845660000011</v>
      </c>
      <c r="G692" s="122"/>
      <c r="H692" s="123"/>
      <c r="I692" s="52"/>
    </row>
    <row r="693" spans="1:16" s="53" customFormat="1" x14ac:dyDescent="0.35">
      <c r="A693" s="116" t="s">
        <v>212</v>
      </c>
      <c r="B693" s="116"/>
      <c r="C693" s="28" t="s">
        <v>204</v>
      </c>
      <c r="D693" s="28">
        <f>(2.75*4.66+2.13*2.08+2.9*3.58+2.13*1.22+1.22*2.13+2.2*1.025+2.13*0.75)*(10.764)</f>
        <v>394.79230440000003</v>
      </c>
      <c r="E693" s="28">
        <v>0</v>
      </c>
      <c r="F693" s="28">
        <f t="shared" si="150"/>
        <v>592.18845660000011</v>
      </c>
      <c r="G693" s="122"/>
      <c r="H693" s="123"/>
      <c r="I693" s="52"/>
    </row>
    <row r="694" spans="1:16" s="53" customFormat="1" x14ac:dyDescent="0.35">
      <c r="A694" s="116" t="s">
        <v>213</v>
      </c>
      <c r="B694" s="116"/>
      <c r="C694" s="28" t="s">
        <v>204</v>
      </c>
      <c r="D694" s="28">
        <f>(2.75*4.65+1.92*1.95+1.22*2.13+2.9*3.58+2.12*1.27+1.3*0.9)*(10.764)</f>
        <v>359.24311800000004</v>
      </c>
      <c r="E694" s="28">
        <v>0</v>
      </c>
      <c r="F694" s="28">
        <f t="shared" si="150"/>
        <v>538.86467700000003</v>
      </c>
      <c r="G694" s="122"/>
      <c r="H694" s="123"/>
      <c r="I694" s="52"/>
    </row>
    <row r="695" spans="1:16" s="53" customFormat="1" ht="15.75" customHeight="1" x14ac:dyDescent="0.35">
      <c r="A695" s="116" t="s">
        <v>214</v>
      </c>
      <c r="B695" s="116"/>
      <c r="C695" s="28" t="s">
        <v>178</v>
      </c>
      <c r="D695" s="28">
        <f>(4.73*2.9+0.7*1.2+2.59*2.13+3.35*3+3.65*2.9+2.13*1.37+2.13*1.37+3.2*1+0.75*1.48)*(10.764)</f>
        <v>547.40214360000004</v>
      </c>
      <c r="E695" s="28">
        <v>0</v>
      </c>
      <c r="F695" s="28">
        <f t="shared" si="150"/>
        <v>821.10321540000007</v>
      </c>
      <c r="G695" s="122"/>
      <c r="H695" s="123"/>
      <c r="I695" s="52"/>
    </row>
    <row r="696" spans="1:16" s="53" customFormat="1" ht="15.75" customHeight="1" x14ac:dyDescent="0.35">
      <c r="A696" s="116" t="s">
        <v>215</v>
      </c>
      <c r="B696" s="116"/>
      <c r="C696" s="28" t="s">
        <v>178</v>
      </c>
      <c r="D696" s="28">
        <f>(4.73*2.9+0.7*1.2+2.59*2.13+3.35*3+3.65*2.9+2.13*1.37+2.13*1.37+3.2*1+0.75*1.48)*(10.764)</f>
        <v>547.40214360000004</v>
      </c>
      <c r="E696" s="28">
        <v>0</v>
      </c>
      <c r="F696" s="28">
        <f t="shared" si="150"/>
        <v>821.10321540000007</v>
      </c>
      <c r="G696" s="173"/>
      <c r="H696" s="174"/>
      <c r="I696" s="52"/>
      <c r="N696" s="53" t="str">
        <f t="shared" ref="N696:N701" ca="1" si="155">O696&amp;""&amp;",..,"&amp;""&amp;P696</f>
        <v>801,..,1201</v>
      </c>
      <c r="O696" s="53">
        <f ca="1">(SUMPRODUCT(MID(0&amp;(LEFT(A697,SUM(LEN(A697)-LEN(SUBSTITUTE(A697,{"0","1","2"},""))))), LARGE(INDEX(ISNUMBER(--MID((LEFT(A697,SUM(LEN(A697)-LEN(SUBSTITUTE(A697,{"0","1","2"},""))))), ROW(INDIRECT("1:"&amp;LEN((LEFT(A697,SUM(LEN(A697)-LEN(SUBSTITUTE(A697,{"0","1","2"},"")))))))), 1)) * ROW(INDIRECT("1:"&amp;LEN((LEFT(A697,SUM(LEN(A697)-LEN(SUBSTITUTE(A697,{"0","1","2"},"")))))))), 0), ROW(INDIRECT("1:"&amp;LEN((LEFT(A697,SUM(LEN(A697)-LEN(SUBSTITUTE(A697,{"0","1","2"},"")))))))))+1, 1) * 10^ROW(INDIRECT("1:"&amp;LEN((LEFT(A697,SUM(LEN(A697)-LEN(SUBSTITUTE(A697,{"0","1","2"},""))))))))/10))*100+1</f>
        <v>801</v>
      </c>
      <c r="P696" s="53">
        <f ca="1">(SUMPRODUCT(MID(0&amp;(--TRIM(RIGHT(SUBSTITUTE(LEFT(A697,_xlfn.AGGREGATE(16,6,FIND({0,1,2,3,4,5,6,7,8,9},A697,ROW(INDIRECT("1:"&amp;LEN(A697)))),1))," ",REPT(" ",LEN(A697))),LEN(A697)))), LARGE(INDEX(ISNUMBER(--MID((--TRIM(RIGHT(SUBSTITUTE(LEFT(A697,_xlfn.AGGREGATE(16,6,FIND({0,1,2,3,4,5,6,7,8,9},A697,ROW(INDIRECT("1:"&amp;LEN(A697)))),1))," ",REPT(" ",LEN(A697))),LEN(A697)))), ROW(INDIRECT("1:"&amp;LEN((--TRIM(RIGHT(SUBSTITUTE(LEFT(A697,_xlfn.AGGREGATE(16,6,FIND({0,1,2,3,4,5,6,7,8,9},A697,ROW(INDIRECT("1:"&amp;LEN(A697)))),1))," ",REPT(" ",LEN(A697))),LEN(A697))))))), 1)) * ROW(INDIRECT("1:"&amp;LEN((--TRIM(RIGHT(SUBSTITUTE(LEFT(A697,_xlfn.AGGREGATE(16,6,FIND({0,1,2,3,4,5,6,7,8,9},A697,ROW(INDIRECT("1:"&amp;LEN(A697)))),1))," ",REPT(" ",LEN(A697))),LEN(A697))))))), 0), ROW(INDIRECT("1:"&amp;LEN((--TRIM(RIGHT(SUBSTITUTE(LEFT(A697,_xlfn.AGGREGATE(16,6,FIND({0,1,2,3,4,5,6,7,8,9},A697,ROW(INDIRECT("1:"&amp;LEN(A697)))),1))," ",REPT(" ",LEN(A697))),LEN(A697))))))))+1, 1) * 10^ROW(INDIRECT("1:"&amp;LEN((--TRIM(RIGHT(SUBSTITUTE(LEFT(A697,_xlfn.AGGREGATE(16,6,FIND({0,1,2,3,4,5,6,7,8,9},A697,ROW(INDIRECT("1:"&amp;LEN(A697)))),1))," ",REPT(" ",LEN(A697))),LEN(A697)))))))/10))*100+1</f>
        <v>1201</v>
      </c>
    </row>
    <row r="697" spans="1:16" s="53" customFormat="1" ht="15.75" customHeight="1" x14ac:dyDescent="0.35">
      <c r="A697" s="127" t="s">
        <v>341</v>
      </c>
      <c r="B697" s="128"/>
      <c r="C697" s="128"/>
      <c r="D697" s="128"/>
      <c r="E697" s="128"/>
      <c r="F697" s="128"/>
      <c r="G697" s="128"/>
      <c r="H697" s="129"/>
      <c r="I697" s="52"/>
      <c r="N697" s="53" t="str">
        <f t="shared" ca="1" si="155"/>
        <v>802,..,1202</v>
      </c>
      <c r="O697" s="53">
        <f t="shared" ref="O697:P697" ca="1" si="156">O696+1</f>
        <v>802</v>
      </c>
      <c r="P697" s="53">
        <f t="shared" ca="1" si="156"/>
        <v>1202</v>
      </c>
    </row>
    <row r="698" spans="1:16" s="53" customFormat="1" ht="15.75" customHeight="1" x14ac:dyDescent="0.35">
      <c r="A698" s="116" t="s">
        <v>205</v>
      </c>
      <c r="B698" s="116"/>
      <c r="C698" s="28" t="s">
        <v>204</v>
      </c>
      <c r="D698" s="28">
        <f>(2.75*4.65+1.92*1.95+1.22*2.13+2.9*3.58+2.12*1.27+1.3*0.9+1.94*0.75)*(10.764)</f>
        <v>374.90473800000001</v>
      </c>
      <c r="E698" s="28">
        <v>0</v>
      </c>
      <c r="F698" s="28">
        <f t="shared" ref="F698:F708" si="157">D698*(($F$338)+1)+E698</f>
        <v>562.35710700000004</v>
      </c>
      <c r="G698" s="120" t="str">
        <f>A697</f>
        <v>8th to 10th, 12th Floor</v>
      </c>
      <c r="H698" s="121"/>
      <c r="I698" s="52"/>
      <c r="N698" s="53" t="str">
        <f t="shared" ca="1" si="155"/>
        <v>803,..,1203</v>
      </c>
      <c r="O698" s="53">
        <f t="shared" ref="O698:P698" ca="1" si="158">O697+1</f>
        <v>803</v>
      </c>
      <c r="P698" s="53">
        <f t="shared" ca="1" si="158"/>
        <v>1203</v>
      </c>
    </row>
    <row r="699" spans="1:16" s="53" customFormat="1" ht="15.75" customHeight="1" x14ac:dyDescent="0.35">
      <c r="A699" s="116" t="s">
        <v>206</v>
      </c>
      <c r="B699" s="116"/>
      <c r="C699" s="28" t="s">
        <v>204</v>
      </c>
      <c r="D699" s="28">
        <f>(2.75*4.66+2.13*2.08+2.9*3.58+2.13*1.22+1.22*2.13+2.2*1.025+2.13*0.75)*(10.764)</f>
        <v>394.79230440000003</v>
      </c>
      <c r="E699" s="28">
        <v>0</v>
      </c>
      <c r="F699" s="28">
        <f t="shared" si="157"/>
        <v>592.18845660000011</v>
      </c>
      <c r="G699" s="122"/>
      <c r="H699" s="123"/>
      <c r="I699" s="52"/>
      <c r="N699" s="53" t="str">
        <f t="shared" ca="1" si="155"/>
        <v>804,..,1204</v>
      </c>
      <c r="O699" s="53">
        <f t="shared" ref="O699:P699" ca="1" si="159">O698+1</f>
        <v>804</v>
      </c>
      <c r="P699" s="53">
        <f t="shared" ca="1" si="159"/>
        <v>1204</v>
      </c>
    </row>
    <row r="700" spans="1:16" s="53" customFormat="1" ht="15.75" customHeight="1" x14ac:dyDescent="0.35">
      <c r="A700" s="116" t="s">
        <v>207</v>
      </c>
      <c r="B700" s="116"/>
      <c r="C700" s="28" t="s">
        <v>204</v>
      </c>
      <c r="D700" s="28">
        <f>(2.75*4.66+2.13*2.08+2.9*3.58+2.13*1.22+1.22*2.13+2.2*1.025+2.13*0.75)*(10.764)</f>
        <v>394.79230440000003</v>
      </c>
      <c r="E700" s="28">
        <v>0</v>
      </c>
      <c r="F700" s="28">
        <f t="shared" si="157"/>
        <v>592.18845660000011</v>
      </c>
      <c r="G700" s="122"/>
      <c r="H700" s="123"/>
      <c r="I700" s="52"/>
      <c r="N700" s="53" t="str">
        <f t="shared" ca="1" si="155"/>
        <v>805,..,1205</v>
      </c>
      <c r="O700" s="53">
        <f t="shared" ref="O700:P700" ca="1" si="160">O699+1</f>
        <v>805</v>
      </c>
      <c r="P700" s="53">
        <f t="shared" ca="1" si="160"/>
        <v>1205</v>
      </c>
    </row>
    <row r="701" spans="1:16" s="53" customFormat="1" ht="15.75" customHeight="1" x14ac:dyDescent="0.35">
      <c r="A701" s="116" t="s">
        <v>208</v>
      </c>
      <c r="B701" s="116"/>
      <c r="C701" s="28" t="s">
        <v>204</v>
      </c>
      <c r="D701" s="28">
        <f>(2.75*4.65+1.92*1.95+1.22*2.13+2.9*3.58+2.12*1.27+1.3*0.9)*(10.764)</f>
        <v>359.24311800000004</v>
      </c>
      <c r="E701" s="28">
        <v>0</v>
      </c>
      <c r="F701" s="28">
        <f t="shared" si="157"/>
        <v>538.86467700000003</v>
      </c>
      <c r="G701" s="122"/>
      <c r="H701" s="123"/>
      <c r="I701" s="52"/>
      <c r="N701" s="53" t="str">
        <f t="shared" ca="1" si="155"/>
        <v>806,..,1206</v>
      </c>
      <c r="O701" s="53">
        <f ca="1">O700+1</f>
        <v>806</v>
      </c>
      <c r="P701" s="53">
        <f ca="1">P700+1</f>
        <v>1206</v>
      </c>
    </row>
    <row r="702" spans="1:16" s="53" customFormat="1" x14ac:dyDescent="0.35">
      <c r="A702" s="116" t="s">
        <v>209</v>
      </c>
      <c r="B702" s="116"/>
      <c r="C702" s="28" t="s">
        <v>204</v>
      </c>
      <c r="D702" s="28">
        <f t="shared" ref="D702:D703" si="161">(2.75*4.65+1.92*1.95+1.22*2.13+2.9*3.58+2.12*1.27+1.3*0.9)*(10.764)</f>
        <v>359.24311800000004</v>
      </c>
      <c r="E702" s="28">
        <v>0</v>
      </c>
      <c r="F702" s="28">
        <f t="shared" si="157"/>
        <v>538.86467700000003</v>
      </c>
      <c r="G702" s="122"/>
      <c r="H702" s="123"/>
      <c r="I702" s="52"/>
    </row>
    <row r="703" spans="1:16" s="53" customFormat="1" x14ac:dyDescent="0.35">
      <c r="A703" s="116" t="s">
        <v>210</v>
      </c>
      <c r="B703" s="116"/>
      <c r="C703" s="28" t="s">
        <v>204</v>
      </c>
      <c r="D703" s="28">
        <f t="shared" si="161"/>
        <v>359.24311800000004</v>
      </c>
      <c r="E703" s="28">
        <v>0</v>
      </c>
      <c r="F703" s="28">
        <f t="shared" si="157"/>
        <v>538.86467700000003</v>
      </c>
      <c r="G703" s="122"/>
      <c r="H703" s="123"/>
      <c r="I703" s="52"/>
    </row>
    <row r="704" spans="1:16" s="53" customFormat="1" x14ac:dyDescent="0.35">
      <c r="A704" s="116" t="s">
        <v>211</v>
      </c>
      <c r="B704" s="116"/>
      <c r="C704" s="28" t="s">
        <v>204</v>
      </c>
      <c r="D704" s="28">
        <f>(2.75*4.66+2.13*2.08+2.9*3.58+2.13*1.22+1.22*2.13+2.2*1.025+2.13*0.75)*(10.764)</f>
        <v>394.79230440000003</v>
      </c>
      <c r="E704" s="28">
        <v>0</v>
      </c>
      <c r="F704" s="28">
        <f t="shared" si="157"/>
        <v>592.18845660000011</v>
      </c>
      <c r="G704" s="122"/>
      <c r="H704" s="123"/>
      <c r="I704" s="52"/>
    </row>
    <row r="705" spans="1:16" s="53" customFormat="1" x14ac:dyDescent="0.35">
      <c r="A705" s="116" t="s">
        <v>212</v>
      </c>
      <c r="B705" s="116"/>
      <c r="C705" s="28" t="s">
        <v>204</v>
      </c>
      <c r="D705" s="28">
        <f>(2.75*4.66+2.13*2.08+2.9*3.58+2.13*1.22+1.22*2.13+2.2*1.025+2.13*0.75)*(10.764)</f>
        <v>394.79230440000003</v>
      </c>
      <c r="E705" s="28">
        <v>0</v>
      </c>
      <c r="F705" s="28">
        <f t="shared" si="157"/>
        <v>592.18845660000011</v>
      </c>
      <c r="G705" s="122"/>
      <c r="H705" s="123"/>
      <c r="I705" s="52"/>
    </row>
    <row r="706" spans="1:16" s="53" customFormat="1" x14ac:dyDescent="0.35">
      <c r="A706" s="116" t="s">
        <v>213</v>
      </c>
      <c r="B706" s="116"/>
      <c r="C706" s="28" t="s">
        <v>204</v>
      </c>
      <c r="D706" s="28">
        <f>(2.75*4.65+1.92*1.95+1.22*2.13+2.9*3.58+2.12*1.27+1.3*0.9)*(10.764)</f>
        <v>359.24311800000004</v>
      </c>
      <c r="E706" s="28">
        <v>0</v>
      </c>
      <c r="F706" s="28">
        <f t="shared" si="157"/>
        <v>538.86467700000003</v>
      </c>
      <c r="G706" s="122"/>
      <c r="H706" s="123"/>
      <c r="I706" s="52"/>
    </row>
    <row r="707" spans="1:16" s="53" customFormat="1" x14ac:dyDescent="0.35">
      <c r="A707" s="116" t="s">
        <v>214</v>
      </c>
      <c r="B707" s="116"/>
      <c r="C707" s="28" t="s">
        <v>178</v>
      </c>
      <c r="D707" s="28">
        <f>(4.73*2.9+0.7*1.2+2.59*2.13+3.35*3+3.65*2.9+2.13*1.37+2.13*1.37+3.2*1+0.75*1.48)*(10.764)</f>
        <v>547.40214360000004</v>
      </c>
      <c r="E707" s="28">
        <v>0</v>
      </c>
      <c r="F707" s="28">
        <f t="shared" si="157"/>
        <v>821.10321540000007</v>
      </c>
      <c r="G707" s="122"/>
      <c r="H707" s="123"/>
      <c r="I707" s="52"/>
    </row>
    <row r="708" spans="1:16" s="53" customFormat="1" ht="15.75" customHeight="1" x14ac:dyDescent="0.35">
      <c r="A708" s="116" t="s">
        <v>215</v>
      </c>
      <c r="B708" s="116"/>
      <c r="C708" s="28" t="s">
        <v>178</v>
      </c>
      <c r="D708" s="28">
        <f>(4.73*2.9+0.7*1.2+2.59*2.13+3.35*3+3.65*2.9+2.13*1.37+2.13*1.37+3.2*1+0.75*1.48)*(10.764)</f>
        <v>547.40214360000004</v>
      </c>
      <c r="E708" s="28">
        <v>0</v>
      </c>
      <c r="F708" s="28">
        <f t="shared" si="157"/>
        <v>821.10321540000007</v>
      </c>
      <c r="G708" s="173"/>
      <c r="H708" s="174"/>
      <c r="I708" s="52"/>
      <c r="N708" s="53" t="e">
        <f t="shared" ref="N708:N713" ca="1" si="162">O708&amp;""&amp;",..,"&amp;""&amp;P708</f>
        <v>#REF!</v>
      </c>
      <c r="O708" s="53" t="e">
        <f ca="1">(SUMPRODUCT(MID(0&amp;(LEFT(A709,SUM(LEN(A709)-LEN(SUBSTITUTE(A709,{"0","1","2"},""))))), LARGE(INDEX(ISNUMBER(--MID((LEFT(A709,SUM(LEN(A709)-LEN(SUBSTITUTE(A709,{"0","1","2"},""))))), ROW(INDIRECT("1:"&amp;LEN((LEFT(A709,SUM(LEN(A709)-LEN(SUBSTITUTE(A709,{"0","1","2"},"")))))))), 1)) * ROW(INDIRECT("1:"&amp;LEN((LEFT(A709,SUM(LEN(A709)-LEN(SUBSTITUTE(A709,{"0","1","2"},"")))))))), 0), ROW(INDIRECT("1:"&amp;LEN((LEFT(A709,SUM(LEN(A709)-LEN(SUBSTITUTE(A709,{"0","1","2"},"")))))))))+1, 1) * 10^ROW(INDIRECT("1:"&amp;LEN((LEFT(A709,SUM(LEN(A709)-LEN(SUBSTITUTE(A709,{"0","1","2"},""))))))))/10))*100+1</f>
        <v>#REF!</v>
      </c>
      <c r="P708" s="53">
        <f ca="1">(SUMPRODUCT(MID(0&amp;(--TRIM(RIGHT(SUBSTITUTE(LEFT(A709,_xlfn.AGGREGATE(16,6,FIND({0,1,2,3,4,5,6,7,8,9},A709,ROW(INDIRECT("1:"&amp;LEN(A709)))),1))," ",REPT(" ",LEN(A709))),LEN(A709)))), LARGE(INDEX(ISNUMBER(--MID((--TRIM(RIGHT(SUBSTITUTE(LEFT(A709,_xlfn.AGGREGATE(16,6,FIND({0,1,2,3,4,5,6,7,8,9},A709,ROW(INDIRECT("1:"&amp;LEN(A709)))),1))," ",REPT(" ",LEN(A709))),LEN(A709)))), ROW(INDIRECT("1:"&amp;LEN((--TRIM(RIGHT(SUBSTITUTE(LEFT(A709,_xlfn.AGGREGATE(16,6,FIND({0,1,2,3,4,5,6,7,8,9},A709,ROW(INDIRECT("1:"&amp;LEN(A709)))),1))," ",REPT(" ",LEN(A709))),LEN(A709))))))), 1)) * ROW(INDIRECT("1:"&amp;LEN((--TRIM(RIGHT(SUBSTITUTE(LEFT(A709,_xlfn.AGGREGATE(16,6,FIND({0,1,2,3,4,5,6,7,8,9},A709,ROW(INDIRECT("1:"&amp;LEN(A709)))),1))," ",REPT(" ",LEN(A709))),LEN(A709))))))), 0), ROW(INDIRECT("1:"&amp;LEN((--TRIM(RIGHT(SUBSTITUTE(LEFT(A709,_xlfn.AGGREGATE(16,6,FIND({0,1,2,3,4,5,6,7,8,9},A709,ROW(INDIRECT("1:"&amp;LEN(A709)))),1))," ",REPT(" ",LEN(A709))),LEN(A709))))))))+1, 1) * 10^ROW(INDIRECT("1:"&amp;LEN((--TRIM(RIGHT(SUBSTITUTE(LEFT(A709,_xlfn.AGGREGATE(16,6,FIND({0,1,2,3,4,5,6,7,8,9},A709,ROW(INDIRECT("1:"&amp;LEN(A709)))),1))," ",REPT(" ",LEN(A709))),LEN(A709)))))))/10))*100+1</f>
        <v>601</v>
      </c>
    </row>
    <row r="709" spans="1:16" s="53" customFormat="1" ht="15.75" customHeight="1" x14ac:dyDescent="0.35">
      <c r="A709" s="127" t="s">
        <v>342</v>
      </c>
      <c r="B709" s="128"/>
      <c r="C709" s="128"/>
      <c r="D709" s="128"/>
      <c r="E709" s="128"/>
      <c r="F709" s="128"/>
      <c r="G709" s="128"/>
      <c r="H709" s="129"/>
      <c r="I709" s="52"/>
      <c r="N709" s="53" t="e">
        <f t="shared" ca="1" si="162"/>
        <v>#REF!</v>
      </c>
      <c r="O709" s="53" t="e">
        <f t="shared" ref="O709:P709" ca="1" si="163">O708+1</f>
        <v>#REF!</v>
      </c>
      <c r="P709" s="53">
        <f t="shared" ca="1" si="163"/>
        <v>602</v>
      </c>
    </row>
    <row r="710" spans="1:16" s="53" customFormat="1" ht="15.75" customHeight="1" x14ac:dyDescent="0.35">
      <c r="A710" s="117">
        <v>601</v>
      </c>
      <c r="B710" s="119"/>
      <c r="C710" s="28" t="s">
        <v>204</v>
      </c>
      <c r="D710" s="28">
        <f>(2.75*4.65+1.92*1.95+1.22*2.13+2.9*3.58+2.12*1.27+1.3*0.9+1.94*0.75)*(10.764)</f>
        <v>374.90473800000001</v>
      </c>
      <c r="E710" s="28">
        <v>0</v>
      </c>
      <c r="F710" s="28">
        <f t="shared" ref="F710:F718" si="164">D710*(($F$338)+1)+E710</f>
        <v>562.35710700000004</v>
      </c>
      <c r="G710" s="120" t="str">
        <f>A709</f>
        <v>6th Floor (Part Refuge Floor)</v>
      </c>
      <c r="H710" s="121"/>
      <c r="I710" s="52"/>
      <c r="N710" s="53" t="e">
        <f t="shared" ca="1" si="162"/>
        <v>#REF!</v>
      </c>
      <c r="O710" s="53" t="e">
        <f t="shared" ref="O710:P710" ca="1" si="165">O709+1</f>
        <v>#REF!</v>
      </c>
      <c r="P710" s="53">
        <f t="shared" ca="1" si="165"/>
        <v>603</v>
      </c>
    </row>
    <row r="711" spans="1:16" s="53" customFormat="1" ht="15.75" customHeight="1" x14ac:dyDescent="0.35">
      <c r="A711" s="117">
        <f>A710+1</f>
        <v>602</v>
      </c>
      <c r="B711" s="119"/>
      <c r="C711" s="28" t="s">
        <v>204</v>
      </c>
      <c r="D711" s="28">
        <f>(2.75*4.66+2.13*2.08+2.9*3.58+2.13*1.22+1.22*2.13+2.2*1.025+2.13*0.75)*(10.764)</f>
        <v>394.79230440000003</v>
      </c>
      <c r="E711" s="28">
        <v>0</v>
      </c>
      <c r="F711" s="28">
        <f t="shared" si="164"/>
        <v>592.18845660000011</v>
      </c>
      <c r="G711" s="122"/>
      <c r="H711" s="123"/>
      <c r="I711" s="52"/>
      <c r="N711" s="53" t="e">
        <f t="shared" ca="1" si="162"/>
        <v>#REF!</v>
      </c>
      <c r="O711" s="53" t="e">
        <f t="shared" ref="O711:P711" ca="1" si="166">O710+1</f>
        <v>#REF!</v>
      </c>
      <c r="P711" s="53">
        <f t="shared" ca="1" si="166"/>
        <v>604</v>
      </c>
    </row>
    <row r="712" spans="1:16" s="53" customFormat="1" ht="15.75" customHeight="1" x14ac:dyDescent="0.35">
      <c r="A712" s="117">
        <f t="shared" ref="A712:A720" si="167">A711+1</f>
        <v>603</v>
      </c>
      <c r="B712" s="119"/>
      <c r="C712" s="28" t="s">
        <v>204</v>
      </c>
      <c r="D712" s="28">
        <f>(2.75*4.66+2.13*2.08+2.9*3.58+2.13*1.22+1.22*2.13+2.2*1.025+2.13*0.75)*(10.764)</f>
        <v>394.79230440000003</v>
      </c>
      <c r="E712" s="28">
        <v>0</v>
      </c>
      <c r="F712" s="28">
        <f t="shared" si="164"/>
        <v>592.18845660000011</v>
      </c>
      <c r="G712" s="122"/>
      <c r="H712" s="123"/>
      <c r="I712" s="52"/>
      <c r="N712" s="53" t="e">
        <f t="shared" ca="1" si="162"/>
        <v>#REF!</v>
      </c>
      <c r="O712" s="53" t="e">
        <f t="shared" ref="O712:P712" ca="1" si="168">O711+1</f>
        <v>#REF!</v>
      </c>
      <c r="P712" s="53">
        <f t="shared" ca="1" si="168"/>
        <v>605</v>
      </c>
    </row>
    <row r="713" spans="1:16" s="53" customFormat="1" ht="15.75" customHeight="1" x14ac:dyDescent="0.35">
      <c r="A713" s="117">
        <f t="shared" si="167"/>
        <v>604</v>
      </c>
      <c r="B713" s="119"/>
      <c r="C713" s="28" t="s">
        <v>204</v>
      </c>
      <c r="D713" s="28">
        <f>(2.75*4.65+1.92*1.95+1.22*2.13+2.9*3.58+2.12*1.27+1.3*0.9)*(10.764)</f>
        <v>359.24311800000004</v>
      </c>
      <c r="E713" s="28">
        <v>0</v>
      </c>
      <c r="F713" s="28">
        <f t="shared" si="164"/>
        <v>538.86467700000003</v>
      </c>
      <c r="G713" s="122"/>
      <c r="H713" s="123"/>
      <c r="I713" s="52"/>
      <c r="N713" s="53" t="e">
        <f t="shared" ca="1" si="162"/>
        <v>#REF!</v>
      </c>
      <c r="O713" s="53" t="e">
        <f ca="1">O712+1</f>
        <v>#REF!</v>
      </c>
      <c r="P713" s="53">
        <f ca="1">P712+1</f>
        <v>606</v>
      </c>
    </row>
    <row r="714" spans="1:16" s="53" customFormat="1" x14ac:dyDescent="0.35">
      <c r="A714" s="117">
        <f t="shared" si="167"/>
        <v>605</v>
      </c>
      <c r="B714" s="119"/>
      <c r="C714" s="28" t="s">
        <v>204</v>
      </c>
      <c r="D714" s="28">
        <f t="shared" ref="D714:D715" si="169">(2.75*4.65+1.92*1.95+1.22*2.13+2.9*3.58+2.12*1.27+1.3*0.9)*(10.764)</f>
        <v>359.24311800000004</v>
      </c>
      <c r="E714" s="28">
        <v>0</v>
      </c>
      <c r="F714" s="28">
        <f t="shared" si="164"/>
        <v>538.86467700000003</v>
      </c>
      <c r="G714" s="122"/>
      <c r="H714" s="123"/>
      <c r="I714" s="52"/>
    </row>
    <row r="715" spans="1:16" s="53" customFormat="1" x14ac:dyDescent="0.35">
      <c r="A715" s="117">
        <f t="shared" si="167"/>
        <v>606</v>
      </c>
      <c r="B715" s="119"/>
      <c r="C715" s="28" t="s">
        <v>204</v>
      </c>
      <c r="D715" s="28">
        <f t="shared" si="169"/>
        <v>359.24311800000004</v>
      </c>
      <c r="E715" s="28">
        <v>0</v>
      </c>
      <c r="F715" s="28">
        <f t="shared" si="164"/>
        <v>538.86467700000003</v>
      </c>
      <c r="G715" s="122"/>
      <c r="H715" s="123"/>
      <c r="I715" s="52"/>
    </row>
    <row r="716" spans="1:16" s="53" customFormat="1" x14ac:dyDescent="0.35">
      <c r="A716" s="117">
        <f t="shared" si="167"/>
        <v>607</v>
      </c>
      <c r="B716" s="119"/>
      <c r="C716" s="28" t="s">
        <v>204</v>
      </c>
      <c r="D716" s="28">
        <f>(2.75*4.66+2.13*2.08+2.9*3.58+2.13*1.22+1.22*2.13+2.2*1.025+2.13*0.75)*(10.764)</f>
        <v>394.79230440000003</v>
      </c>
      <c r="E716" s="28">
        <v>0</v>
      </c>
      <c r="F716" s="28">
        <f t="shared" si="164"/>
        <v>592.18845660000011</v>
      </c>
      <c r="G716" s="122"/>
      <c r="H716" s="123"/>
      <c r="I716" s="52"/>
    </row>
    <row r="717" spans="1:16" s="53" customFormat="1" x14ac:dyDescent="0.35">
      <c r="A717" s="117">
        <f t="shared" si="167"/>
        <v>608</v>
      </c>
      <c r="B717" s="119"/>
      <c r="C717" s="28" t="s">
        <v>204</v>
      </c>
      <c r="D717" s="28">
        <f>(2.75*4.66+2.13*2.08+2.9*3.58+2.13*1.22+1.22*2.13+2.2*1.025+2.13*0.75)*(10.764)</f>
        <v>394.79230440000003</v>
      </c>
      <c r="E717" s="28">
        <v>0</v>
      </c>
      <c r="F717" s="28">
        <f t="shared" si="164"/>
        <v>592.18845660000011</v>
      </c>
      <c r="G717" s="122"/>
      <c r="H717" s="123"/>
      <c r="I717" s="52"/>
    </row>
    <row r="718" spans="1:16" s="53" customFormat="1" x14ac:dyDescent="0.35">
      <c r="A718" s="117">
        <f t="shared" si="167"/>
        <v>609</v>
      </c>
      <c r="B718" s="119"/>
      <c r="C718" s="28" t="s">
        <v>204</v>
      </c>
      <c r="D718" s="28">
        <f>(2.75*4.65+1.92*1.95+1.22*2.13+2.9*3.58+2.12*1.27+1.3*0.9)*(10.764)</f>
        <v>359.24311800000004</v>
      </c>
      <c r="E718" s="28">
        <v>0</v>
      </c>
      <c r="F718" s="28">
        <f t="shared" si="164"/>
        <v>538.86467700000003</v>
      </c>
      <c r="G718" s="122"/>
      <c r="H718" s="123"/>
      <c r="I718" s="52"/>
    </row>
    <row r="719" spans="1:16" s="53" customFormat="1" x14ac:dyDescent="0.35">
      <c r="A719" s="117">
        <f t="shared" si="167"/>
        <v>610</v>
      </c>
      <c r="B719" s="119"/>
      <c r="C719" s="117" t="s">
        <v>201</v>
      </c>
      <c r="D719" s="118"/>
      <c r="E719" s="118"/>
      <c r="F719" s="119"/>
      <c r="G719" s="122"/>
      <c r="H719" s="123"/>
      <c r="I719" s="52"/>
    </row>
    <row r="720" spans="1:16" s="53" customFormat="1" ht="15.75" customHeight="1" x14ac:dyDescent="0.35">
      <c r="A720" s="117">
        <f t="shared" si="167"/>
        <v>611</v>
      </c>
      <c r="B720" s="119"/>
      <c r="C720" s="28" t="s">
        <v>178</v>
      </c>
      <c r="D720" s="28">
        <f>(4.73*2.9+0.7*1.2+2.59*2.13+3.35*3+3.65*2.9+2.13*1.37+2.13*1.37+3.2*1+0.75*1.48)*(10.764)</f>
        <v>547.40214360000004</v>
      </c>
      <c r="E720" s="28">
        <v>0</v>
      </c>
      <c r="F720" s="28">
        <f>D720*(($F$338)+1)+E720</f>
        <v>821.10321540000007</v>
      </c>
      <c r="G720" s="173"/>
      <c r="H720" s="174"/>
      <c r="I720" s="52"/>
      <c r="N720" s="53" t="str">
        <f t="shared" ref="N720:N725" ca="1" si="170">O720&amp;""&amp;",..,"&amp;""&amp;P720</f>
        <v>1101,..,1101</v>
      </c>
      <c r="O720" s="53">
        <f ca="1">(SUMPRODUCT(MID(0&amp;(LEFT(A721,SUM(LEN(A721)-LEN(SUBSTITUTE(A721,{"0","1","2"},""))))), LARGE(INDEX(ISNUMBER(--MID((LEFT(A721,SUM(LEN(A721)-LEN(SUBSTITUTE(A721,{"0","1","2"},""))))), ROW(INDIRECT("1:"&amp;LEN((LEFT(A721,SUM(LEN(A721)-LEN(SUBSTITUTE(A721,{"0","1","2"},"")))))))), 1)) * ROW(INDIRECT("1:"&amp;LEN((LEFT(A721,SUM(LEN(A721)-LEN(SUBSTITUTE(A721,{"0","1","2"},"")))))))), 0), ROW(INDIRECT("1:"&amp;LEN((LEFT(A721,SUM(LEN(A721)-LEN(SUBSTITUTE(A721,{"0","1","2"},"")))))))))+1, 1) * 10^ROW(INDIRECT("1:"&amp;LEN((LEFT(A721,SUM(LEN(A721)-LEN(SUBSTITUTE(A721,{"0","1","2"},""))))))))/10))*100+1</f>
        <v>1101</v>
      </c>
      <c r="P720" s="53">
        <f ca="1">(SUMPRODUCT(MID(0&amp;(--TRIM(RIGHT(SUBSTITUTE(LEFT(A721,_xlfn.AGGREGATE(16,6,FIND({0,1,2,3,4,5,6,7,8,9},A721,ROW(INDIRECT("1:"&amp;LEN(A721)))),1))," ",REPT(" ",LEN(A721))),LEN(A721)))), LARGE(INDEX(ISNUMBER(--MID((--TRIM(RIGHT(SUBSTITUTE(LEFT(A721,_xlfn.AGGREGATE(16,6,FIND({0,1,2,3,4,5,6,7,8,9},A721,ROW(INDIRECT("1:"&amp;LEN(A721)))),1))," ",REPT(" ",LEN(A721))),LEN(A721)))), ROW(INDIRECT("1:"&amp;LEN((--TRIM(RIGHT(SUBSTITUTE(LEFT(A721,_xlfn.AGGREGATE(16,6,FIND({0,1,2,3,4,5,6,7,8,9},A721,ROW(INDIRECT("1:"&amp;LEN(A721)))),1))," ",REPT(" ",LEN(A721))),LEN(A721))))))), 1)) * ROW(INDIRECT("1:"&amp;LEN((--TRIM(RIGHT(SUBSTITUTE(LEFT(A721,_xlfn.AGGREGATE(16,6,FIND({0,1,2,3,4,5,6,7,8,9},A721,ROW(INDIRECT("1:"&amp;LEN(A721)))),1))," ",REPT(" ",LEN(A721))),LEN(A721))))))), 0), ROW(INDIRECT("1:"&amp;LEN((--TRIM(RIGHT(SUBSTITUTE(LEFT(A721,_xlfn.AGGREGATE(16,6,FIND({0,1,2,3,4,5,6,7,8,9},A721,ROW(INDIRECT("1:"&amp;LEN(A721)))),1))," ",REPT(" ",LEN(A721))),LEN(A721))))))))+1, 1) * 10^ROW(INDIRECT("1:"&amp;LEN((--TRIM(RIGHT(SUBSTITUTE(LEFT(A721,_xlfn.AGGREGATE(16,6,FIND({0,1,2,3,4,5,6,7,8,9},A721,ROW(INDIRECT("1:"&amp;LEN(A721)))),1))," ",REPT(" ",LEN(A721))),LEN(A721)))))))/10))*100+1</f>
        <v>1101</v>
      </c>
    </row>
    <row r="721" spans="1:16" s="53" customFormat="1" ht="15.75" customHeight="1" x14ac:dyDescent="0.35">
      <c r="A721" s="127" t="s">
        <v>343</v>
      </c>
      <c r="B721" s="128"/>
      <c r="C721" s="128"/>
      <c r="D721" s="128"/>
      <c r="E721" s="128"/>
      <c r="F721" s="128"/>
      <c r="G721" s="128"/>
      <c r="H721" s="129"/>
      <c r="I721" s="52"/>
      <c r="N721" s="53" t="str">
        <f t="shared" ca="1" si="170"/>
        <v>1102,..,1102</v>
      </c>
      <c r="O721" s="53">
        <f t="shared" ref="O721:P721" ca="1" si="171">O720+1</f>
        <v>1102</v>
      </c>
      <c r="P721" s="53">
        <f t="shared" ca="1" si="171"/>
        <v>1102</v>
      </c>
    </row>
    <row r="722" spans="1:16" s="53" customFormat="1" ht="15.75" customHeight="1" x14ac:dyDescent="0.35">
      <c r="A722" s="117">
        <v>1101</v>
      </c>
      <c r="B722" s="119"/>
      <c r="C722" s="28" t="s">
        <v>204</v>
      </c>
      <c r="D722" s="28">
        <f>(2.75*4.65+1.92*1.95+1.22*2.13+2.9*3.58+2.12*1.27+1.3*0.9+1.94*0.75)*(10.764)</f>
        <v>374.90473800000001</v>
      </c>
      <c r="E722" s="28">
        <v>0</v>
      </c>
      <c r="F722" s="28">
        <f t="shared" ref="F722:F730" si="172">D722*(($F$338)+1)+E722</f>
        <v>562.35710700000004</v>
      </c>
      <c r="G722" s="120" t="str">
        <f>A721</f>
        <v>11th Floor (Part Refuge Floor)</v>
      </c>
      <c r="H722" s="121"/>
      <c r="I722" s="52"/>
      <c r="N722" s="53" t="str">
        <f t="shared" ca="1" si="170"/>
        <v>1103,..,1103</v>
      </c>
      <c r="O722" s="53">
        <f t="shared" ref="O722:P722" ca="1" si="173">O721+1</f>
        <v>1103</v>
      </c>
      <c r="P722" s="53">
        <f t="shared" ca="1" si="173"/>
        <v>1103</v>
      </c>
    </row>
    <row r="723" spans="1:16" s="53" customFormat="1" ht="15.75" customHeight="1" x14ac:dyDescent="0.35">
      <c r="A723" s="117">
        <f>A722+1</f>
        <v>1102</v>
      </c>
      <c r="B723" s="119"/>
      <c r="C723" s="28" t="s">
        <v>204</v>
      </c>
      <c r="D723" s="28">
        <f>(2.75*4.66+2.13*2.08+2.9*3.58+2.13*1.22+1.22*2.13+2.2*1.025+2.13*0.75)*(10.764)</f>
        <v>394.79230440000003</v>
      </c>
      <c r="E723" s="28">
        <v>0</v>
      </c>
      <c r="F723" s="28">
        <f t="shared" si="172"/>
        <v>592.18845660000011</v>
      </c>
      <c r="G723" s="122"/>
      <c r="H723" s="123"/>
      <c r="I723" s="52"/>
      <c r="N723" s="53" t="str">
        <f t="shared" ca="1" si="170"/>
        <v>1104,..,1104</v>
      </c>
      <c r="O723" s="53">
        <f t="shared" ref="O723:P723" ca="1" si="174">O722+1</f>
        <v>1104</v>
      </c>
      <c r="P723" s="53">
        <f t="shared" ca="1" si="174"/>
        <v>1104</v>
      </c>
    </row>
    <row r="724" spans="1:16" s="53" customFormat="1" ht="15.75" customHeight="1" x14ac:dyDescent="0.35">
      <c r="A724" s="117">
        <f t="shared" ref="A724:A732" si="175">A723+1</f>
        <v>1103</v>
      </c>
      <c r="B724" s="119"/>
      <c r="C724" s="28" t="s">
        <v>204</v>
      </c>
      <c r="D724" s="28">
        <f>(2.75*4.66+2.13*2.08+2.9*3.58+2.13*1.22+1.22*2.13+2.2*1.025+2.13*0.75)*(10.764)</f>
        <v>394.79230440000003</v>
      </c>
      <c r="E724" s="28">
        <v>0</v>
      </c>
      <c r="F724" s="28">
        <f t="shared" si="172"/>
        <v>592.18845660000011</v>
      </c>
      <c r="G724" s="122"/>
      <c r="H724" s="123"/>
      <c r="I724" s="52"/>
      <c r="N724" s="53" t="str">
        <f t="shared" ca="1" si="170"/>
        <v>1105,..,1105</v>
      </c>
      <c r="O724" s="53">
        <f t="shared" ref="O724:P724" ca="1" si="176">O723+1</f>
        <v>1105</v>
      </c>
      <c r="P724" s="53">
        <f t="shared" ca="1" si="176"/>
        <v>1105</v>
      </c>
    </row>
    <row r="725" spans="1:16" s="53" customFormat="1" ht="15.75" customHeight="1" x14ac:dyDescent="0.35">
      <c r="A725" s="117">
        <f t="shared" si="175"/>
        <v>1104</v>
      </c>
      <c r="B725" s="119"/>
      <c r="C725" s="28" t="s">
        <v>204</v>
      </c>
      <c r="D725" s="28">
        <f>(2.75*4.65+1.92*1.95+1.22*2.13+2.9*3.58+2.12*1.27+1.3*0.9)*(10.764)</f>
        <v>359.24311800000004</v>
      </c>
      <c r="E725" s="28">
        <v>0</v>
      </c>
      <c r="F725" s="28">
        <f t="shared" si="172"/>
        <v>538.86467700000003</v>
      </c>
      <c r="G725" s="122"/>
      <c r="H725" s="123"/>
      <c r="I725" s="52"/>
      <c r="N725" s="53" t="str">
        <f t="shared" ca="1" si="170"/>
        <v>1106,..,1106</v>
      </c>
      <c r="O725" s="53">
        <f ca="1">O724+1</f>
        <v>1106</v>
      </c>
      <c r="P725" s="53">
        <f ca="1">P724+1</f>
        <v>1106</v>
      </c>
    </row>
    <row r="726" spans="1:16" s="53" customFormat="1" x14ac:dyDescent="0.35">
      <c r="A726" s="117">
        <f t="shared" si="175"/>
        <v>1105</v>
      </c>
      <c r="B726" s="119"/>
      <c r="C726" s="28" t="s">
        <v>204</v>
      </c>
      <c r="D726" s="28">
        <f t="shared" ref="D726:D727" si="177">(2.75*4.65+1.92*1.95+1.22*2.13+2.9*3.58+2.12*1.27+1.3*0.9)*(10.764)</f>
        <v>359.24311800000004</v>
      </c>
      <c r="E726" s="28">
        <v>0</v>
      </c>
      <c r="F726" s="28">
        <f t="shared" si="172"/>
        <v>538.86467700000003</v>
      </c>
      <c r="G726" s="122"/>
      <c r="H726" s="123"/>
      <c r="I726" s="52"/>
    </row>
    <row r="727" spans="1:16" s="53" customFormat="1" x14ac:dyDescent="0.35">
      <c r="A727" s="117">
        <f t="shared" si="175"/>
        <v>1106</v>
      </c>
      <c r="B727" s="119"/>
      <c r="C727" s="28" t="s">
        <v>204</v>
      </c>
      <c r="D727" s="28">
        <f t="shared" si="177"/>
        <v>359.24311800000004</v>
      </c>
      <c r="E727" s="28">
        <v>0</v>
      </c>
      <c r="F727" s="28">
        <f t="shared" si="172"/>
        <v>538.86467700000003</v>
      </c>
      <c r="G727" s="122"/>
      <c r="H727" s="123"/>
      <c r="I727" s="52"/>
    </row>
    <row r="728" spans="1:16" s="53" customFormat="1" x14ac:dyDescent="0.35">
      <c r="A728" s="117">
        <f t="shared" si="175"/>
        <v>1107</v>
      </c>
      <c r="B728" s="119"/>
      <c r="C728" s="28" t="s">
        <v>204</v>
      </c>
      <c r="D728" s="28">
        <f>(2.75*4.66+2.13*2.08+2.9*3.58+2.13*1.22+1.22*2.13+2.2*1.025+2.13*0.75)*(10.764)</f>
        <v>394.79230440000003</v>
      </c>
      <c r="E728" s="28">
        <v>0</v>
      </c>
      <c r="F728" s="28">
        <f t="shared" si="172"/>
        <v>592.18845660000011</v>
      </c>
      <c r="G728" s="122"/>
      <c r="H728" s="123"/>
      <c r="I728" s="52"/>
    </row>
    <row r="729" spans="1:16" s="53" customFormat="1" x14ac:dyDescent="0.35">
      <c r="A729" s="117">
        <f t="shared" si="175"/>
        <v>1108</v>
      </c>
      <c r="B729" s="119"/>
      <c r="C729" s="28" t="s">
        <v>204</v>
      </c>
      <c r="D729" s="28">
        <f>(2.75*4.66+2.13*2.08+2.9*3.58+2.13*1.22+1.22*2.13+2.2*1.025+2.13*0.75)*(10.764)</f>
        <v>394.79230440000003</v>
      </c>
      <c r="E729" s="28">
        <v>0</v>
      </c>
      <c r="F729" s="28">
        <f t="shared" si="172"/>
        <v>592.18845660000011</v>
      </c>
      <c r="G729" s="122"/>
      <c r="H729" s="123"/>
      <c r="I729" s="52"/>
    </row>
    <row r="730" spans="1:16" s="53" customFormat="1" x14ac:dyDescent="0.35">
      <c r="A730" s="117">
        <f t="shared" si="175"/>
        <v>1109</v>
      </c>
      <c r="B730" s="119"/>
      <c r="C730" s="28" t="s">
        <v>204</v>
      </c>
      <c r="D730" s="28">
        <f>(2.75*4.65+1.92*1.95+1.22*2.13+2.9*3.58+2.12*1.27+1.3*0.9)*(10.764)</f>
        <v>359.24311800000004</v>
      </c>
      <c r="E730" s="28">
        <v>0</v>
      </c>
      <c r="F730" s="28">
        <f t="shared" si="172"/>
        <v>538.86467700000003</v>
      </c>
      <c r="G730" s="122"/>
      <c r="H730" s="123"/>
      <c r="I730" s="52"/>
    </row>
    <row r="731" spans="1:16" s="53" customFormat="1" ht="15.75" customHeight="1" x14ac:dyDescent="0.35">
      <c r="A731" s="117">
        <f t="shared" si="175"/>
        <v>1110</v>
      </c>
      <c r="B731" s="119"/>
      <c r="C731" s="117" t="s">
        <v>201</v>
      </c>
      <c r="D731" s="118"/>
      <c r="E731" s="118"/>
      <c r="F731" s="119"/>
      <c r="G731" s="122"/>
      <c r="H731" s="123"/>
      <c r="I731" s="52"/>
    </row>
    <row r="732" spans="1:16" s="53" customFormat="1" ht="15.75" customHeight="1" x14ac:dyDescent="0.35">
      <c r="A732" s="117">
        <f t="shared" si="175"/>
        <v>1111</v>
      </c>
      <c r="B732" s="119"/>
      <c r="C732" s="28" t="s">
        <v>178</v>
      </c>
      <c r="D732" s="28">
        <f>(4.73*2.9+0.7*1.2+2.59*2.13+3.35*3+3.65*2.9+2.13*1.37+2.13*1.37+3.2*1+0.75*1.48)*(10.764)</f>
        <v>547.40214360000004</v>
      </c>
      <c r="E732" s="28">
        <v>0</v>
      </c>
      <c r="F732" s="28">
        <f>D732*(($F$338)+1)+E732</f>
        <v>821.10321540000007</v>
      </c>
      <c r="G732" s="173"/>
      <c r="H732" s="174"/>
      <c r="I732" s="52"/>
      <c r="N732" s="53" t="str">
        <f t="shared" ref="N732:N737" ca="1" si="178">O732&amp;""&amp;",..,"&amp;""&amp;P732</f>
        <v>131501,..,3301</v>
      </c>
      <c r="O732" s="53">
        <f ca="1">(SUMPRODUCT(MID(0&amp;(LEFT(A733,SUM(LEN(A733)-LEN(SUBSTITUTE(A733,{"0","1","2"},""))))), LARGE(INDEX(ISNUMBER(--MID((LEFT(A733,SUM(LEN(A733)-LEN(SUBSTITUTE(A733,{"0","1","2"},""))))), ROW(INDIRECT("1:"&amp;LEN((LEFT(A733,SUM(LEN(A733)-LEN(SUBSTITUTE(A733,{"0","1","2"},"")))))))), 1)) * ROW(INDIRECT("1:"&amp;LEN((LEFT(A733,SUM(LEN(A733)-LEN(SUBSTITUTE(A733,{"0","1","2"},"")))))))), 0), ROW(INDIRECT("1:"&amp;LEN((LEFT(A733,SUM(LEN(A733)-LEN(SUBSTITUTE(A733,{"0","1","2"},"")))))))))+1, 1) * 10^ROW(INDIRECT("1:"&amp;LEN((LEFT(A733,SUM(LEN(A733)-LEN(SUBSTITUTE(A733,{"0","1","2"},""))))))))/10))*100+1</f>
        <v>131501</v>
      </c>
      <c r="P732" s="53">
        <f ca="1">(SUMPRODUCT(MID(0&amp;(--TRIM(RIGHT(SUBSTITUTE(LEFT(A733,_xlfn.AGGREGATE(16,6,FIND({0,1,2,3,4,5,6,7,8,9},A733,ROW(INDIRECT("1:"&amp;LEN(A733)))),1))," ",REPT(" ",LEN(A733))),LEN(A733)))), LARGE(INDEX(ISNUMBER(--MID((--TRIM(RIGHT(SUBSTITUTE(LEFT(A733,_xlfn.AGGREGATE(16,6,FIND({0,1,2,3,4,5,6,7,8,9},A733,ROW(INDIRECT("1:"&amp;LEN(A733)))),1))," ",REPT(" ",LEN(A733))),LEN(A733)))), ROW(INDIRECT("1:"&amp;LEN((--TRIM(RIGHT(SUBSTITUTE(LEFT(A733,_xlfn.AGGREGATE(16,6,FIND({0,1,2,3,4,5,6,7,8,9},A733,ROW(INDIRECT("1:"&amp;LEN(A733)))),1))," ",REPT(" ",LEN(A733))),LEN(A733))))))), 1)) * ROW(INDIRECT("1:"&amp;LEN((--TRIM(RIGHT(SUBSTITUTE(LEFT(A733,_xlfn.AGGREGATE(16,6,FIND({0,1,2,3,4,5,6,7,8,9},A733,ROW(INDIRECT("1:"&amp;LEN(A733)))),1))," ",REPT(" ",LEN(A733))),LEN(A733))))))), 0), ROW(INDIRECT("1:"&amp;LEN((--TRIM(RIGHT(SUBSTITUTE(LEFT(A733,_xlfn.AGGREGATE(16,6,FIND({0,1,2,3,4,5,6,7,8,9},A733,ROW(INDIRECT("1:"&amp;LEN(A733)))),1))," ",REPT(" ",LEN(A733))),LEN(A733))))))))+1, 1) * 10^ROW(INDIRECT("1:"&amp;LEN((--TRIM(RIGHT(SUBSTITUTE(LEFT(A733,_xlfn.AGGREGATE(16,6,FIND({0,1,2,3,4,5,6,7,8,9},A733,ROW(INDIRECT("1:"&amp;LEN(A733)))),1))," ",REPT(" ",LEN(A733))),LEN(A733)))))))/10))*100+1</f>
        <v>3301</v>
      </c>
    </row>
    <row r="733" spans="1:16" s="53" customFormat="1" ht="15.75" customHeight="1" x14ac:dyDescent="0.35">
      <c r="A733" s="127" t="s">
        <v>344</v>
      </c>
      <c r="B733" s="128"/>
      <c r="C733" s="128"/>
      <c r="D733" s="128"/>
      <c r="E733" s="128"/>
      <c r="F733" s="128"/>
      <c r="G733" s="128"/>
      <c r="H733" s="129"/>
      <c r="I733" s="52"/>
      <c r="N733" s="53" t="str">
        <f t="shared" ca="1" si="178"/>
        <v>131502,..,3302</v>
      </c>
      <c r="O733" s="53">
        <f t="shared" ref="O733:P733" ca="1" si="179">O732+1</f>
        <v>131502</v>
      </c>
      <c r="P733" s="53">
        <f t="shared" ca="1" si="179"/>
        <v>3302</v>
      </c>
    </row>
    <row r="734" spans="1:16" s="53" customFormat="1" ht="15.75" customHeight="1" x14ac:dyDescent="0.35">
      <c r="A734" s="116" t="s">
        <v>347</v>
      </c>
      <c r="B734" s="116"/>
      <c r="C734" s="28" t="s">
        <v>204</v>
      </c>
      <c r="D734" s="28">
        <f>(2.75*4.65+1.92*1.95+1.22*2.13+2.9*3.58+2.12*1.27+1.3*0.9+1.94*0.75)*(10.764)</f>
        <v>374.90473800000001</v>
      </c>
      <c r="E734" s="28">
        <v>0</v>
      </c>
      <c r="F734" s="28">
        <f t="shared" ref="F734:F744" si="180">D734*(($F$338)+1)+E734</f>
        <v>562.35710700000004</v>
      </c>
      <c r="G734" s="120" t="str">
        <f>A733</f>
        <v>13th to 15th, 17th to 20th, 22nd to 25th, 27th to 30th, 32nd &amp; 33rd Floor</v>
      </c>
      <c r="H734" s="121"/>
      <c r="I734" s="52"/>
      <c r="N734" s="53" t="str">
        <f t="shared" ca="1" si="178"/>
        <v>131503,..,3303</v>
      </c>
      <c r="O734" s="53">
        <f t="shared" ref="O734:P734" ca="1" si="181">O733+1</f>
        <v>131503</v>
      </c>
      <c r="P734" s="53">
        <f t="shared" ca="1" si="181"/>
        <v>3303</v>
      </c>
    </row>
    <row r="735" spans="1:16" s="53" customFormat="1" ht="15.75" customHeight="1" x14ac:dyDescent="0.35">
      <c r="A735" s="116" t="s">
        <v>348</v>
      </c>
      <c r="B735" s="116"/>
      <c r="C735" s="28" t="s">
        <v>204</v>
      </c>
      <c r="D735" s="28">
        <f>(2.75*4.66+2.13*2.08+2.9*3.58+2.13*1.22+1.22*2.13+2.2*1.025+2.13*0.75)*(10.764)</f>
        <v>394.79230440000003</v>
      </c>
      <c r="E735" s="28">
        <v>0</v>
      </c>
      <c r="F735" s="28">
        <f t="shared" si="180"/>
        <v>592.18845660000011</v>
      </c>
      <c r="G735" s="122"/>
      <c r="H735" s="123"/>
      <c r="I735" s="52"/>
      <c r="N735" s="53" t="str">
        <f t="shared" ca="1" si="178"/>
        <v>131504,..,3304</v>
      </c>
      <c r="O735" s="53">
        <f t="shared" ref="O735:P735" ca="1" si="182">O734+1</f>
        <v>131504</v>
      </c>
      <c r="P735" s="53">
        <f t="shared" ca="1" si="182"/>
        <v>3304</v>
      </c>
    </row>
    <row r="736" spans="1:16" s="53" customFormat="1" ht="15.75" customHeight="1" x14ac:dyDescent="0.35">
      <c r="A736" s="116" t="s">
        <v>349</v>
      </c>
      <c r="B736" s="116"/>
      <c r="C736" s="28" t="s">
        <v>204</v>
      </c>
      <c r="D736" s="28">
        <f>(2.75*4.66+2.13*2.08+2.9*3.58+2.13*1.22+1.22*2.13+2.2*1.025+2.13*0.75)*(10.764)</f>
        <v>394.79230440000003</v>
      </c>
      <c r="E736" s="28">
        <v>0</v>
      </c>
      <c r="F736" s="28">
        <f t="shared" si="180"/>
        <v>592.18845660000011</v>
      </c>
      <c r="G736" s="122"/>
      <c r="H736" s="123"/>
      <c r="I736" s="52"/>
      <c r="N736" s="53" t="str">
        <f t="shared" ca="1" si="178"/>
        <v>131505,..,3305</v>
      </c>
      <c r="O736" s="53">
        <f t="shared" ref="O736:P736" ca="1" si="183">O735+1</f>
        <v>131505</v>
      </c>
      <c r="P736" s="53">
        <f t="shared" ca="1" si="183"/>
        <v>3305</v>
      </c>
    </row>
    <row r="737" spans="1:16" s="53" customFormat="1" ht="15.75" customHeight="1" x14ac:dyDescent="0.35">
      <c r="A737" s="116" t="s">
        <v>350</v>
      </c>
      <c r="B737" s="116"/>
      <c r="C737" s="28" t="s">
        <v>204</v>
      </c>
      <c r="D737" s="28">
        <f>(2.75*4.65+1.92*1.95+1.22*2.13+2.9*3.58+2.12*1.27+1.3*0.9)*(10.764)</f>
        <v>359.24311800000004</v>
      </c>
      <c r="E737" s="28">
        <v>0</v>
      </c>
      <c r="F737" s="28">
        <f t="shared" si="180"/>
        <v>538.86467700000003</v>
      </c>
      <c r="G737" s="122"/>
      <c r="H737" s="123"/>
      <c r="I737" s="52"/>
      <c r="N737" s="53" t="str">
        <f t="shared" ca="1" si="178"/>
        <v>131506,..,3306</v>
      </c>
      <c r="O737" s="53">
        <f ca="1">O736+1</f>
        <v>131506</v>
      </c>
      <c r="P737" s="53">
        <f ca="1">P736+1</f>
        <v>3306</v>
      </c>
    </row>
    <row r="738" spans="1:16" s="53" customFormat="1" x14ac:dyDescent="0.35">
      <c r="A738" s="116" t="s">
        <v>351</v>
      </c>
      <c r="B738" s="116"/>
      <c r="C738" s="28" t="s">
        <v>204</v>
      </c>
      <c r="D738" s="28">
        <f t="shared" ref="D738:D739" si="184">(2.75*4.65+1.92*1.95+1.22*2.13+2.9*3.58+2.12*1.27+1.3*0.9)*(10.764)</f>
        <v>359.24311800000004</v>
      </c>
      <c r="E738" s="28">
        <v>0</v>
      </c>
      <c r="F738" s="28">
        <f t="shared" si="180"/>
        <v>538.86467700000003</v>
      </c>
      <c r="G738" s="122"/>
      <c r="H738" s="123"/>
      <c r="I738" s="52"/>
    </row>
    <row r="739" spans="1:16" s="53" customFormat="1" x14ac:dyDescent="0.35">
      <c r="A739" s="116" t="s">
        <v>352</v>
      </c>
      <c r="B739" s="116"/>
      <c r="C739" s="28" t="s">
        <v>204</v>
      </c>
      <c r="D739" s="28">
        <f t="shared" si="184"/>
        <v>359.24311800000004</v>
      </c>
      <c r="E739" s="28">
        <v>0</v>
      </c>
      <c r="F739" s="28">
        <f t="shared" si="180"/>
        <v>538.86467700000003</v>
      </c>
      <c r="G739" s="122"/>
      <c r="H739" s="123"/>
      <c r="I739" s="52"/>
    </row>
    <row r="740" spans="1:16" s="53" customFormat="1" x14ac:dyDescent="0.35">
      <c r="A740" s="116" t="s">
        <v>353</v>
      </c>
      <c r="B740" s="116"/>
      <c r="C740" s="28" t="s">
        <v>204</v>
      </c>
      <c r="D740" s="28">
        <f>(2.75*4.66+2.13*2.08+2.9*3.58+2.13*1.22+1.22*2.13+2.2*1.025+2.13*0.75)*(10.764)</f>
        <v>394.79230440000003</v>
      </c>
      <c r="E740" s="28">
        <v>0</v>
      </c>
      <c r="F740" s="28">
        <f t="shared" si="180"/>
        <v>592.18845660000011</v>
      </c>
      <c r="G740" s="122"/>
      <c r="H740" s="123"/>
      <c r="I740" s="52"/>
    </row>
    <row r="741" spans="1:16" s="53" customFormat="1" x14ac:dyDescent="0.35">
      <c r="A741" s="116" t="s">
        <v>354</v>
      </c>
      <c r="B741" s="116"/>
      <c r="C741" s="28" t="s">
        <v>204</v>
      </c>
      <c r="D741" s="28">
        <f>(2.75*4.66+2.13*2.08+2.9*3.58+2.13*1.22+1.22*2.13+2.2*1.025+2.13*0.75)*(10.764)</f>
        <v>394.79230440000003</v>
      </c>
      <c r="E741" s="28">
        <v>0</v>
      </c>
      <c r="F741" s="28">
        <f t="shared" si="180"/>
        <v>592.18845660000011</v>
      </c>
      <c r="G741" s="122"/>
      <c r="H741" s="123"/>
      <c r="I741" s="52"/>
    </row>
    <row r="742" spans="1:16" s="53" customFormat="1" x14ac:dyDescent="0.35">
      <c r="A742" s="116" t="s">
        <v>355</v>
      </c>
      <c r="B742" s="116"/>
      <c r="C742" s="28" t="s">
        <v>204</v>
      </c>
      <c r="D742" s="28">
        <f>(2.75*4.65+1.92*1.95+1.22*2.13+2.9*3.58+2.12*1.27+1.3*0.9)*(10.764)</f>
        <v>359.24311800000004</v>
      </c>
      <c r="E742" s="28">
        <v>0</v>
      </c>
      <c r="F742" s="28">
        <f t="shared" si="180"/>
        <v>538.86467700000003</v>
      </c>
      <c r="G742" s="122"/>
      <c r="H742" s="123"/>
      <c r="I742" s="52"/>
    </row>
    <row r="743" spans="1:16" s="53" customFormat="1" x14ac:dyDescent="0.35">
      <c r="A743" s="116" t="s">
        <v>345</v>
      </c>
      <c r="B743" s="116"/>
      <c r="C743" s="28" t="s">
        <v>178</v>
      </c>
      <c r="D743" s="28">
        <f>(4.73*2.9+0.7*1.2+2.59*2.13+3.35*3+3.65*2.9+2.13*1.37+2.13*1.37+3.2*1+0.75*1.48)*(10.764)</f>
        <v>547.40214360000004</v>
      </c>
      <c r="E743" s="28">
        <v>0</v>
      </c>
      <c r="F743" s="28">
        <f t="shared" si="180"/>
        <v>821.10321540000007</v>
      </c>
      <c r="G743" s="122"/>
      <c r="H743" s="123"/>
      <c r="I743" s="52"/>
    </row>
    <row r="744" spans="1:16" s="53" customFormat="1" ht="15.75" customHeight="1" x14ac:dyDescent="0.35">
      <c r="A744" s="116" t="s">
        <v>346</v>
      </c>
      <c r="B744" s="116"/>
      <c r="C744" s="28" t="s">
        <v>178</v>
      </c>
      <c r="D744" s="28">
        <f>(4.73*2.9+0.7*1.2+2.59*2.13+3.35*3+3.65*2.9+2.13*1.37+2.13*1.37+3.2*1+0.75*1.48)*(10.764)</f>
        <v>547.40214360000004</v>
      </c>
      <c r="E744" s="28">
        <v>0</v>
      </c>
      <c r="F744" s="28">
        <f t="shared" si="180"/>
        <v>821.10321540000007</v>
      </c>
      <c r="G744" s="173"/>
      <c r="H744" s="174"/>
      <c r="I744" s="52"/>
      <c r="N744" s="53" t="str">
        <f t="shared" ref="N744:N749" ca="1" si="185">O744&amp;""&amp;",..,"&amp;""&amp;P744</f>
        <v>1601,..,3101</v>
      </c>
      <c r="O744" s="53">
        <f ca="1">(SUMPRODUCT(MID(0&amp;(LEFT(A745,SUM(LEN(A745)-LEN(SUBSTITUTE(A745,{"0","1","2"},""))))), LARGE(INDEX(ISNUMBER(--MID((LEFT(A745,SUM(LEN(A745)-LEN(SUBSTITUTE(A745,{"0","1","2"},""))))), ROW(INDIRECT("1:"&amp;LEN((LEFT(A745,SUM(LEN(A745)-LEN(SUBSTITUTE(A745,{"0","1","2"},"")))))))), 1)) * ROW(INDIRECT("1:"&amp;LEN((LEFT(A745,SUM(LEN(A745)-LEN(SUBSTITUTE(A745,{"0","1","2"},"")))))))), 0), ROW(INDIRECT("1:"&amp;LEN((LEFT(A745,SUM(LEN(A745)-LEN(SUBSTITUTE(A745,{"0","1","2"},"")))))))))+1, 1) * 10^ROW(INDIRECT("1:"&amp;LEN((LEFT(A745,SUM(LEN(A745)-LEN(SUBSTITUTE(A745,{"0","1","2"},""))))))))/10))*100+1</f>
        <v>1601</v>
      </c>
      <c r="P744" s="53">
        <f ca="1">(SUMPRODUCT(MID(0&amp;(--TRIM(RIGHT(SUBSTITUTE(LEFT(A745,_xlfn.AGGREGATE(16,6,FIND({0,1,2,3,4,5,6,7,8,9},A745,ROW(INDIRECT("1:"&amp;LEN(A745)))),1))," ",REPT(" ",LEN(A745))),LEN(A745)))), LARGE(INDEX(ISNUMBER(--MID((--TRIM(RIGHT(SUBSTITUTE(LEFT(A745,_xlfn.AGGREGATE(16,6,FIND({0,1,2,3,4,5,6,7,8,9},A745,ROW(INDIRECT("1:"&amp;LEN(A745)))),1))," ",REPT(" ",LEN(A745))),LEN(A745)))), ROW(INDIRECT("1:"&amp;LEN((--TRIM(RIGHT(SUBSTITUTE(LEFT(A745,_xlfn.AGGREGATE(16,6,FIND({0,1,2,3,4,5,6,7,8,9},A745,ROW(INDIRECT("1:"&amp;LEN(A745)))),1))," ",REPT(" ",LEN(A745))),LEN(A745))))))), 1)) * ROW(INDIRECT("1:"&amp;LEN((--TRIM(RIGHT(SUBSTITUTE(LEFT(A745,_xlfn.AGGREGATE(16,6,FIND({0,1,2,3,4,5,6,7,8,9},A745,ROW(INDIRECT("1:"&amp;LEN(A745)))),1))," ",REPT(" ",LEN(A745))),LEN(A745))))))), 0), ROW(INDIRECT("1:"&amp;LEN((--TRIM(RIGHT(SUBSTITUTE(LEFT(A745,_xlfn.AGGREGATE(16,6,FIND({0,1,2,3,4,5,6,7,8,9},A745,ROW(INDIRECT("1:"&amp;LEN(A745)))),1))," ",REPT(" ",LEN(A745))),LEN(A745))))))))+1, 1) * 10^ROW(INDIRECT("1:"&amp;LEN((--TRIM(RIGHT(SUBSTITUTE(LEFT(A745,_xlfn.AGGREGATE(16,6,FIND({0,1,2,3,4,5,6,7,8,9},A745,ROW(INDIRECT("1:"&amp;LEN(A745)))),1))," ",REPT(" ",LEN(A745))),LEN(A745)))))))/10))*100+1</f>
        <v>3101</v>
      </c>
    </row>
    <row r="745" spans="1:16" s="53" customFormat="1" ht="15.75" customHeight="1" x14ac:dyDescent="0.35">
      <c r="A745" s="127" t="s">
        <v>356</v>
      </c>
      <c r="B745" s="128"/>
      <c r="C745" s="128"/>
      <c r="D745" s="128"/>
      <c r="E745" s="128"/>
      <c r="F745" s="128"/>
      <c r="G745" s="128"/>
      <c r="H745" s="129"/>
      <c r="I745" s="52"/>
      <c r="N745" s="53" t="str">
        <f t="shared" ca="1" si="185"/>
        <v>1602,..,3102</v>
      </c>
      <c r="O745" s="53">
        <f t="shared" ref="O745:P745" ca="1" si="186">O744+1</f>
        <v>1602</v>
      </c>
      <c r="P745" s="53">
        <f t="shared" ca="1" si="186"/>
        <v>3102</v>
      </c>
    </row>
    <row r="746" spans="1:16" s="53" customFormat="1" ht="15.75" customHeight="1" x14ac:dyDescent="0.35">
      <c r="A746" s="117" t="s">
        <v>223</v>
      </c>
      <c r="B746" s="119"/>
      <c r="C746" s="28" t="s">
        <v>204</v>
      </c>
      <c r="D746" s="28">
        <f>(2.75*4.65+1.92*1.95+1.22*2.13+2.9*3.58+2.12*1.27+1.3*0.9+1.94*0.75)*(10.764)</f>
        <v>374.90473800000001</v>
      </c>
      <c r="E746" s="28">
        <v>0</v>
      </c>
      <c r="F746" s="28">
        <f t="shared" ref="F746:F754" si="187">D746*(($F$338)+1)+E746</f>
        <v>562.35710700000004</v>
      </c>
      <c r="G746" s="120" t="str">
        <f>A745</f>
        <v>16th, 21st, 26th &amp; 31st Floor (Part Refuge Floor)</v>
      </c>
      <c r="H746" s="121"/>
      <c r="I746" s="52"/>
      <c r="N746" s="53" t="str">
        <f t="shared" ca="1" si="185"/>
        <v>1603,..,3103</v>
      </c>
      <c r="O746" s="53">
        <f t="shared" ref="O746:P746" ca="1" si="188">O745+1</f>
        <v>1603</v>
      </c>
      <c r="P746" s="53">
        <f t="shared" ca="1" si="188"/>
        <v>3103</v>
      </c>
    </row>
    <row r="747" spans="1:16" s="53" customFormat="1" ht="15.75" customHeight="1" x14ac:dyDescent="0.35">
      <c r="A747" s="117" t="s">
        <v>224</v>
      </c>
      <c r="B747" s="119"/>
      <c r="C747" s="28" t="s">
        <v>204</v>
      </c>
      <c r="D747" s="28">
        <f>(2.75*4.66+2.13*2.08+2.9*3.58+2.13*1.22+1.22*2.13+2.2*1.025+2.13*0.75)*(10.764)</f>
        <v>394.79230440000003</v>
      </c>
      <c r="E747" s="28">
        <v>0</v>
      </c>
      <c r="F747" s="28">
        <f t="shared" si="187"/>
        <v>592.18845660000011</v>
      </c>
      <c r="G747" s="122"/>
      <c r="H747" s="123"/>
      <c r="I747" s="52"/>
      <c r="N747" s="53" t="str">
        <f t="shared" ca="1" si="185"/>
        <v>1604,..,3104</v>
      </c>
      <c r="O747" s="53">
        <f t="shared" ref="O747:P747" ca="1" si="189">O746+1</f>
        <v>1604</v>
      </c>
      <c r="P747" s="53">
        <f t="shared" ca="1" si="189"/>
        <v>3104</v>
      </c>
    </row>
    <row r="748" spans="1:16" s="53" customFormat="1" ht="15.75" customHeight="1" x14ac:dyDescent="0.35">
      <c r="A748" s="117" t="s">
        <v>225</v>
      </c>
      <c r="B748" s="119"/>
      <c r="C748" s="28" t="s">
        <v>204</v>
      </c>
      <c r="D748" s="28">
        <f>(2.75*4.66+2.13*2.08+2.9*3.58+2.13*1.22+1.22*2.13+2.2*1.025+2.13*0.75)*(10.764)</f>
        <v>394.79230440000003</v>
      </c>
      <c r="E748" s="28">
        <v>0</v>
      </c>
      <c r="F748" s="28">
        <f t="shared" si="187"/>
        <v>592.18845660000011</v>
      </c>
      <c r="G748" s="122"/>
      <c r="H748" s="123"/>
      <c r="I748" s="52"/>
      <c r="N748" s="53" t="str">
        <f t="shared" ca="1" si="185"/>
        <v>1605,..,3105</v>
      </c>
      <c r="O748" s="53">
        <f t="shared" ref="O748:P748" ca="1" si="190">O747+1</f>
        <v>1605</v>
      </c>
      <c r="P748" s="53">
        <f t="shared" ca="1" si="190"/>
        <v>3105</v>
      </c>
    </row>
    <row r="749" spans="1:16" s="53" customFormat="1" ht="15.75" customHeight="1" x14ac:dyDescent="0.35">
      <c r="A749" s="117" t="s">
        <v>226</v>
      </c>
      <c r="B749" s="119"/>
      <c r="C749" s="28" t="s">
        <v>204</v>
      </c>
      <c r="D749" s="28">
        <f>(2.75*4.65+1.92*1.95+1.22*2.13+2.9*3.58+2.12*1.27+1.3*0.9)*(10.764)</f>
        <v>359.24311800000004</v>
      </c>
      <c r="E749" s="28">
        <v>0</v>
      </c>
      <c r="F749" s="28">
        <f t="shared" si="187"/>
        <v>538.86467700000003</v>
      </c>
      <c r="G749" s="122"/>
      <c r="H749" s="123"/>
      <c r="I749" s="52"/>
      <c r="N749" s="53" t="str">
        <f t="shared" ca="1" si="185"/>
        <v>1606,..,3106</v>
      </c>
      <c r="O749" s="53">
        <f ca="1">O748+1</f>
        <v>1606</v>
      </c>
      <c r="P749" s="53">
        <f ca="1">P748+1</f>
        <v>3106</v>
      </c>
    </row>
    <row r="750" spans="1:16" s="53" customFormat="1" x14ac:dyDescent="0.35">
      <c r="A750" s="117" t="s">
        <v>227</v>
      </c>
      <c r="B750" s="119"/>
      <c r="C750" s="28" t="s">
        <v>204</v>
      </c>
      <c r="D750" s="28">
        <f t="shared" ref="D750:D751" si="191">(2.75*4.65+1.92*1.95+1.22*2.13+2.9*3.58+2.12*1.27+1.3*0.9)*(10.764)</f>
        <v>359.24311800000004</v>
      </c>
      <c r="E750" s="28">
        <v>0</v>
      </c>
      <c r="F750" s="28">
        <f t="shared" si="187"/>
        <v>538.86467700000003</v>
      </c>
      <c r="G750" s="122"/>
      <c r="H750" s="123"/>
      <c r="I750" s="52"/>
    </row>
    <row r="751" spans="1:16" s="53" customFormat="1" x14ac:dyDescent="0.35">
      <c r="A751" s="117" t="s">
        <v>228</v>
      </c>
      <c r="B751" s="119"/>
      <c r="C751" s="28" t="s">
        <v>204</v>
      </c>
      <c r="D751" s="28">
        <f t="shared" si="191"/>
        <v>359.24311800000004</v>
      </c>
      <c r="E751" s="28">
        <v>0</v>
      </c>
      <c r="F751" s="28">
        <f t="shared" si="187"/>
        <v>538.86467700000003</v>
      </c>
      <c r="G751" s="122"/>
      <c r="H751" s="123"/>
      <c r="I751" s="52"/>
    </row>
    <row r="752" spans="1:16" s="53" customFormat="1" x14ac:dyDescent="0.35">
      <c r="A752" s="117" t="s">
        <v>229</v>
      </c>
      <c r="B752" s="119"/>
      <c r="C752" s="28" t="s">
        <v>204</v>
      </c>
      <c r="D752" s="28">
        <f>(2.75*4.66+2.13*2.08+2.9*3.58+2.13*1.22+1.22*2.13+2.2*1.025+2.13*0.75)*(10.764)</f>
        <v>394.79230440000003</v>
      </c>
      <c r="E752" s="28">
        <v>0</v>
      </c>
      <c r="F752" s="28">
        <f t="shared" si="187"/>
        <v>592.18845660000011</v>
      </c>
      <c r="G752" s="122"/>
      <c r="H752" s="123"/>
      <c r="I752" s="52"/>
    </row>
    <row r="753" spans="1:16" s="53" customFormat="1" x14ac:dyDescent="0.35">
      <c r="A753" s="116" t="s">
        <v>230</v>
      </c>
      <c r="B753" s="116"/>
      <c r="C753" s="28" t="s">
        <v>204</v>
      </c>
      <c r="D753" s="28">
        <f>(2.75*4.66+2.13*2.08+2.9*3.58+2.13*1.22+1.22*2.13+2.2*1.025+2.13*0.75)*(10.764)</f>
        <v>394.79230440000003</v>
      </c>
      <c r="E753" s="28">
        <v>0</v>
      </c>
      <c r="F753" s="28">
        <f t="shared" si="187"/>
        <v>592.18845660000011</v>
      </c>
      <c r="G753" s="122"/>
      <c r="H753" s="123"/>
      <c r="I753" s="52"/>
    </row>
    <row r="754" spans="1:16" s="53" customFormat="1" x14ac:dyDescent="0.35">
      <c r="A754" s="116" t="s">
        <v>231</v>
      </c>
      <c r="B754" s="116"/>
      <c r="C754" s="28" t="s">
        <v>204</v>
      </c>
      <c r="D754" s="28">
        <f>(2.75*4.65+1.92*1.95+1.22*2.13+2.9*3.58+2.12*1.27+1.3*0.9)*(10.764)</f>
        <v>359.24311800000004</v>
      </c>
      <c r="E754" s="28">
        <v>0</v>
      </c>
      <c r="F754" s="28">
        <f t="shared" si="187"/>
        <v>538.86467700000003</v>
      </c>
      <c r="G754" s="122"/>
      <c r="H754" s="123"/>
      <c r="I754" s="52"/>
    </row>
    <row r="755" spans="1:16" s="53" customFormat="1" x14ac:dyDescent="0.35">
      <c r="A755" s="116" t="s">
        <v>232</v>
      </c>
      <c r="B755" s="116"/>
      <c r="C755" s="117" t="s">
        <v>201</v>
      </c>
      <c r="D755" s="118"/>
      <c r="E755" s="118"/>
      <c r="F755" s="119"/>
      <c r="G755" s="122"/>
      <c r="H755" s="123"/>
      <c r="I755" s="52"/>
    </row>
    <row r="756" spans="1:16" s="53" customFormat="1" x14ac:dyDescent="0.35">
      <c r="A756" s="116" t="s">
        <v>233</v>
      </c>
      <c r="B756" s="116"/>
      <c r="C756" s="28" t="s">
        <v>178</v>
      </c>
      <c r="D756" s="28">
        <f>(4.73*2.9+0.7*1.2+2.59*2.13+3.35*3+3.65*2.9+2.13*1.37+2.13*1.37+3.2*1+0.75*1.48)*(10.764)</f>
        <v>547.40214360000004</v>
      </c>
      <c r="E756" s="28">
        <v>0</v>
      </c>
      <c r="F756" s="28">
        <f>D756*(($F$338)+1)+E756</f>
        <v>821.10321540000007</v>
      </c>
      <c r="G756" s="173"/>
      <c r="H756" s="174"/>
      <c r="I756" s="52">
        <v>1</v>
      </c>
      <c r="J756" s="69"/>
    </row>
    <row r="757" spans="1:16" s="53" customFormat="1" ht="15.75" customHeight="1" x14ac:dyDescent="0.35">
      <c r="A757" s="126" t="s">
        <v>394</v>
      </c>
      <c r="B757" s="126"/>
      <c r="C757" s="126"/>
      <c r="D757" s="126"/>
      <c r="E757" s="126"/>
      <c r="F757" s="126"/>
      <c r="G757" s="126"/>
      <c r="H757" s="126"/>
      <c r="I757" s="52">
        <v>1</v>
      </c>
    </row>
    <row r="758" spans="1:16" s="53" customFormat="1" ht="15.75" customHeight="1" x14ac:dyDescent="0.35">
      <c r="A758" s="130" t="s">
        <v>407</v>
      </c>
      <c r="B758" s="130"/>
      <c r="C758" s="130"/>
      <c r="D758" s="130"/>
      <c r="E758" s="130"/>
      <c r="F758" s="130"/>
      <c r="G758" s="130"/>
      <c r="H758" s="130"/>
      <c r="I758" s="52"/>
      <c r="N758" s="53" t="str">
        <f t="shared" ref="N758:N762" ca="1" si="192">O758&amp;""&amp;",..,"&amp;""&amp;P758</f>
        <v>101,..,101</v>
      </c>
      <c r="O758" s="53">
        <f ca="1">(SUMPRODUCT(MID(0&amp;(LEFT(A759,SUM(LEN(A759)-LEN(SUBSTITUTE(A759,{"0","1","2"},""))))), LARGE(INDEX(ISNUMBER(--MID((LEFT(A759,SUM(LEN(A759)-LEN(SUBSTITUTE(A759,{"0","1","2"},""))))), ROW(INDIRECT("1:"&amp;LEN((LEFT(A759,SUM(LEN(A759)-LEN(SUBSTITUTE(A759,{"0","1","2"},"")))))))), 1)) * ROW(INDIRECT("1:"&amp;LEN((LEFT(A759,SUM(LEN(A759)-LEN(SUBSTITUTE(A759,{"0","1","2"},"")))))))), 0), ROW(INDIRECT("1:"&amp;LEN((LEFT(A759,SUM(LEN(A759)-LEN(SUBSTITUTE(A759,{"0","1","2"},"")))))))))+1, 1) * 10^ROW(INDIRECT("1:"&amp;LEN((LEFT(A759,SUM(LEN(A759)-LEN(SUBSTITUTE(A759,{"0","1","2"},""))))))))/10))*100+1</f>
        <v>101</v>
      </c>
      <c r="P758" s="53">
        <f ca="1">(SUMPRODUCT(MID(0&amp;(--TRIM(RIGHT(SUBSTITUTE(LEFT(A759,_xlfn.AGGREGATE(16,6,FIND({0,1,2,3,4,5,6,7,8,9},A759,ROW(INDIRECT("1:"&amp;LEN(A759)))),1))," ",REPT(" ",LEN(A759))),LEN(A759)))), LARGE(INDEX(ISNUMBER(--MID((--TRIM(RIGHT(SUBSTITUTE(LEFT(A759,_xlfn.AGGREGATE(16,6,FIND({0,1,2,3,4,5,6,7,8,9},A759,ROW(INDIRECT("1:"&amp;LEN(A759)))),1))," ",REPT(" ",LEN(A759))),LEN(A759)))), ROW(INDIRECT("1:"&amp;LEN((--TRIM(RIGHT(SUBSTITUTE(LEFT(A759,_xlfn.AGGREGATE(16,6,FIND({0,1,2,3,4,5,6,7,8,9},A759,ROW(INDIRECT("1:"&amp;LEN(A759)))),1))," ",REPT(" ",LEN(A759))),LEN(A759))))))), 1)) * ROW(INDIRECT("1:"&amp;LEN((--TRIM(RIGHT(SUBSTITUTE(LEFT(A759,_xlfn.AGGREGATE(16,6,FIND({0,1,2,3,4,5,6,7,8,9},A759,ROW(INDIRECT("1:"&amp;LEN(A759)))),1))," ",REPT(" ",LEN(A759))),LEN(A759))))))), 0), ROW(INDIRECT("1:"&amp;LEN((--TRIM(RIGHT(SUBSTITUTE(LEFT(A759,_xlfn.AGGREGATE(16,6,FIND({0,1,2,3,4,5,6,7,8,9},A759,ROW(INDIRECT("1:"&amp;LEN(A759)))),1))," ",REPT(" ",LEN(A759))),LEN(A759))))))))+1, 1) * 10^ROW(INDIRECT("1:"&amp;LEN((--TRIM(RIGHT(SUBSTITUTE(LEFT(A759,_xlfn.AGGREGATE(16,6,FIND({0,1,2,3,4,5,6,7,8,9},A759,ROW(INDIRECT("1:"&amp;LEN(A759)))),1))," ",REPT(" ",LEN(A759))),LEN(A759)))))))/10))*100+1</f>
        <v>101</v>
      </c>
    </row>
    <row r="759" spans="1:16" s="53" customFormat="1" ht="15.75" customHeight="1" x14ac:dyDescent="0.35">
      <c r="A759" s="131" t="s">
        <v>267</v>
      </c>
      <c r="B759" s="132"/>
      <c r="C759" s="132"/>
      <c r="D759" s="132"/>
      <c r="E759" s="132"/>
      <c r="F759" s="132"/>
      <c r="G759" s="132"/>
      <c r="H759" s="133"/>
      <c r="I759" s="52"/>
      <c r="N759" s="53" t="str">
        <f t="shared" ca="1" si="192"/>
        <v>102,..,102</v>
      </c>
      <c r="O759" s="53">
        <f t="shared" ref="O759:P759" ca="1" si="193">O758+1</f>
        <v>102</v>
      </c>
      <c r="P759" s="53">
        <f t="shared" ca="1" si="193"/>
        <v>102</v>
      </c>
    </row>
    <row r="760" spans="1:16" s="53" customFormat="1" ht="15.75" customHeight="1" x14ac:dyDescent="0.35">
      <c r="A760" s="108">
        <v>1</v>
      </c>
      <c r="B760" s="108"/>
      <c r="C760" s="80" t="s">
        <v>133</v>
      </c>
      <c r="D760" s="80">
        <f>(3.5*7.08+2.45*4.57+3.05*(3.35+3.8)+3.35*4.27+1.52*(2.5+2.45+2.8)+5.2+3.7*1.53+1.55+1.1*3.65+3.05*1.15+3.35*1.05)*(10.764)</f>
        <v>1155.1870979999999</v>
      </c>
      <c r="E760" s="80">
        <v>0</v>
      </c>
      <c r="F760" s="80">
        <f>D760*(($F$338)+1)+E760</f>
        <v>1732.7806469999998</v>
      </c>
      <c r="G760" s="109" t="str">
        <f>A759</f>
        <v>1st Floor for Residential</v>
      </c>
      <c r="H760" s="110"/>
      <c r="I760" s="52"/>
      <c r="N760" s="53" t="str">
        <f t="shared" ca="1" si="192"/>
        <v>103,..,103</v>
      </c>
      <c r="O760" s="53">
        <f t="shared" ref="O760:P760" ca="1" si="194">O759+1</f>
        <v>103</v>
      </c>
      <c r="P760" s="53">
        <f t="shared" ca="1" si="194"/>
        <v>103</v>
      </c>
    </row>
    <row r="761" spans="1:16" s="53" customFormat="1" ht="15.75" customHeight="1" x14ac:dyDescent="0.35">
      <c r="A761" s="108">
        <f>A760+1</f>
        <v>2</v>
      </c>
      <c r="B761" s="108"/>
      <c r="C761" s="80" t="s">
        <v>133</v>
      </c>
      <c r="D761" s="80">
        <f>(3.5*7.08+2.45*4.57+3.05*(3.35+3.8)+3.35*4.27+1.52*(2.5+2.45+2.8)+5.2+3.7*1.53+1.55+1.1*3.65+3.05*1.15+3.35*1.05)*(10.764)</f>
        <v>1155.1870979999999</v>
      </c>
      <c r="E761" s="80">
        <v>0</v>
      </c>
      <c r="F761" s="80">
        <f>D761*(($F$338)+1)+E761</f>
        <v>1732.7806469999998</v>
      </c>
      <c r="G761" s="111"/>
      <c r="H761" s="112"/>
      <c r="I761" s="52"/>
      <c r="L761" s="53">
        <f>169+5</f>
        <v>174</v>
      </c>
      <c r="N761" s="53" t="str">
        <f t="shared" ca="1" si="192"/>
        <v>104,..,104</v>
      </c>
      <c r="O761" s="53">
        <f t="shared" ref="O761:P761" ca="1" si="195">O760+1</f>
        <v>104</v>
      </c>
      <c r="P761" s="53">
        <f t="shared" ca="1" si="195"/>
        <v>104</v>
      </c>
    </row>
    <row r="762" spans="1:16" s="53" customFormat="1" ht="15.75" customHeight="1" x14ac:dyDescent="0.35">
      <c r="A762" s="108">
        <f t="shared" ref="A762:A764" si="196">A761+1</f>
        <v>3</v>
      </c>
      <c r="B762" s="108"/>
      <c r="C762" s="80" t="s">
        <v>329</v>
      </c>
      <c r="D762" s="80">
        <f>(5.47*4.87+4.12*2.8+3.35*5.95+3.05*4.1+(3.2+3.05)*4.12+1.52*(2.45*3+2.75)+1.52*1.3+2.17*1.97+1.87*1.07+1.82*1.66+1.65*1.52+3.1*1.08+1.53*3.05+2*1.5+1.5*1.1+3.8*3.59+5.47*1.82)*(10.764)</f>
        <v>1741.1555772000002</v>
      </c>
      <c r="E762" s="80">
        <v>0</v>
      </c>
      <c r="F762" s="80">
        <f>D762*(($F$338)+1)+E762</f>
        <v>2611.7333658000002</v>
      </c>
      <c r="G762" s="111"/>
      <c r="H762" s="112"/>
      <c r="I762" s="52"/>
      <c r="N762" s="53" t="str">
        <f t="shared" ca="1" si="192"/>
        <v>105,..,105</v>
      </c>
      <c r="O762" s="53">
        <f t="shared" ref="O762:P762" ca="1" si="197">O761+1</f>
        <v>105</v>
      </c>
      <c r="P762" s="53">
        <f t="shared" ca="1" si="197"/>
        <v>105</v>
      </c>
    </row>
    <row r="763" spans="1:16" s="53" customFormat="1" ht="15.75" customHeight="1" x14ac:dyDescent="0.35">
      <c r="A763" s="108">
        <f t="shared" si="196"/>
        <v>4</v>
      </c>
      <c r="B763" s="108"/>
      <c r="C763" s="80" t="s">
        <v>133</v>
      </c>
      <c r="D763" s="80">
        <f>(3.5*6.28+2.45*4.57+3.05*(3.65+3.8)+3.35*4.27+1.52*(2.45*2+2.75)+0.92*3.65+2.02*2.2+1.2*1.05+2*0.9+4.7+0.5*1.6+3.5*1.3+3.35*1.05)*(10.764)</f>
        <v>1143.793404</v>
      </c>
      <c r="E763" s="80">
        <v>0</v>
      </c>
      <c r="F763" s="80">
        <f>D763*(($F$338)+1)+E763</f>
        <v>1715.690106</v>
      </c>
      <c r="G763" s="111"/>
      <c r="H763" s="112"/>
      <c r="I763" s="52">
        <f>4+4+4+4+4+4+5</f>
        <v>29</v>
      </c>
    </row>
    <row r="764" spans="1:16" s="53" customFormat="1" ht="15.75" customHeight="1" x14ac:dyDescent="0.35">
      <c r="A764" s="108">
        <f t="shared" si="196"/>
        <v>5</v>
      </c>
      <c r="B764" s="108"/>
      <c r="C764" s="80" t="s">
        <v>133</v>
      </c>
      <c r="D764" s="80">
        <f>(3.5*6.28+2.45*4.57+3.05*(3.65+3.8)+3.35*4.27+1.52*(2.45*2+2.75)+0.92*3.65+2.02*2.2+1.2*1.05+2*0.9+4.7+0.5*1.6+3.5*1.3+3.35*1.05)*(10.764)</f>
        <v>1143.793404</v>
      </c>
      <c r="E764" s="80">
        <v>0</v>
      </c>
      <c r="F764" s="80">
        <f>D764*(($F$338)+1)+E764</f>
        <v>1715.690106</v>
      </c>
      <c r="G764" s="111"/>
      <c r="H764" s="112"/>
      <c r="I764" s="52"/>
      <c r="N764" s="53" t="str">
        <f t="shared" ref="N764:N768" ca="1" si="198">O764&amp;""&amp;",..,"&amp;""&amp;P764</f>
        <v>25701,..,3601</v>
      </c>
      <c r="O764" s="53">
        <f ca="1">(SUMPRODUCT(MID(0&amp;(LEFT(A765,SUM(LEN(A765)-LEN(SUBSTITUTE(A765,{"0","1","2"},""))))), LARGE(INDEX(ISNUMBER(--MID((LEFT(A765,SUM(LEN(A765)-LEN(SUBSTITUTE(A765,{"0","1","2"},""))))), ROW(INDIRECT("1:"&amp;LEN((LEFT(A765,SUM(LEN(A765)-LEN(SUBSTITUTE(A765,{"0","1","2"},"")))))))), 1)) * ROW(INDIRECT("1:"&amp;LEN((LEFT(A765,SUM(LEN(A765)-LEN(SUBSTITUTE(A765,{"0","1","2"},"")))))))), 0), ROW(INDIRECT("1:"&amp;LEN((LEFT(A765,SUM(LEN(A765)-LEN(SUBSTITUTE(A765,{"0","1","2"},"")))))))))+1, 1) * 10^ROW(INDIRECT("1:"&amp;LEN((LEFT(A765,SUM(LEN(A765)-LEN(SUBSTITUTE(A765,{"0","1","2"},""))))))))/10))*100+1</f>
        <v>25701</v>
      </c>
      <c r="P764" s="53">
        <f ca="1">(SUMPRODUCT(MID(0&amp;(--TRIM(RIGHT(SUBSTITUTE(LEFT(A765,_xlfn.AGGREGATE(16,6,FIND({0,1,2,3,4,5,6,7,8,9},A765,ROW(INDIRECT("1:"&amp;LEN(A765)))),1))," ",REPT(" ",LEN(A765))),LEN(A765)))), LARGE(INDEX(ISNUMBER(--MID((--TRIM(RIGHT(SUBSTITUTE(LEFT(A765,_xlfn.AGGREGATE(16,6,FIND({0,1,2,3,4,5,6,7,8,9},A765,ROW(INDIRECT("1:"&amp;LEN(A765)))),1))," ",REPT(" ",LEN(A765))),LEN(A765)))), ROW(INDIRECT("1:"&amp;LEN((--TRIM(RIGHT(SUBSTITUTE(LEFT(A765,_xlfn.AGGREGATE(16,6,FIND({0,1,2,3,4,5,6,7,8,9},A765,ROW(INDIRECT("1:"&amp;LEN(A765)))),1))," ",REPT(" ",LEN(A765))),LEN(A765))))))), 1)) * ROW(INDIRECT("1:"&amp;LEN((--TRIM(RIGHT(SUBSTITUTE(LEFT(A765,_xlfn.AGGREGATE(16,6,FIND({0,1,2,3,4,5,6,7,8,9},A765,ROW(INDIRECT("1:"&amp;LEN(A765)))),1))," ",REPT(" ",LEN(A765))),LEN(A765))))))), 0), ROW(INDIRECT("1:"&amp;LEN((--TRIM(RIGHT(SUBSTITUTE(LEFT(A765,_xlfn.AGGREGATE(16,6,FIND({0,1,2,3,4,5,6,7,8,9},A765,ROW(INDIRECT("1:"&amp;LEN(A765)))),1))," ",REPT(" ",LEN(A765))),LEN(A765))))))))+1, 1) * 10^ROW(INDIRECT("1:"&amp;LEN((--TRIM(RIGHT(SUBSTITUTE(LEFT(A765,_xlfn.AGGREGATE(16,6,FIND({0,1,2,3,4,5,6,7,8,9},A765,ROW(INDIRECT("1:"&amp;LEN(A765)))),1))," ",REPT(" ",LEN(A765))),LEN(A765)))))))/10))*100+1</f>
        <v>3601</v>
      </c>
    </row>
    <row r="765" spans="1:16" s="53" customFormat="1" ht="15.75" customHeight="1" x14ac:dyDescent="0.35">
      <c r="A765" s="127" t="s">
        <v>412</v>
      </c>
      <c r="B765" s="128"/>
      <c r="C765" s="128"/>
      <c r="D765" s="128"/>
      <c r="E765" s="128"/>
      <c r="F765" s="128"/>
      <c r="G765" s="128"/>
      <c r="H765" s="129"/>
      <c r="I765" s="52"/>
      <c r="K765" s="53">
        <f>18000/1.5</f>
        <v>12000</v>
      </c>
      <c r="N765" s="53" t="str">
        <f t="shared" ca="1" si="198"/>
        <v>25702,..,3602</v>
      </c>
      <c r="O765" s="53">
        <f t="shared" ref="O765:P765" ca="1" si="199">O764+1</f>
        <v>25702</v>
      </c>
      <c r="P765" s="53">
        <f t="shared" ca="1" si="199"/>
        <v>3602</v>
      </c>
    </row>
    <row r="766" spans="1:16" s="53" customFormat="1" ht="15.75" customHeight="1" x14ac:dyDescent="0.35">
      <c r="A766" s="116">
        <v>1</v>
      </c>
      <c r="B766" s="116"/>
      <c r="C766" s="28" t="s">
        <v>133</v>
      </c>
      <c r="D766" s="28">
        <f>(3.5*7.08+2.45*4.57+3.05*(3.35+3.8)+3.35*4.27+1.52*(2.5+2.45+2.8)+5.2+3.7*1.53+1.55+1.1*3.65+3.05*1.15+3.35*1.05)*(10.764)</f>
        <v>1155.1870979999999</v>
      </c>
      <c r="E766" s="28">
        <v>0</v>
      </c>
      <c r="F766" s="28">
        <f>D766*(($F$338)+1)+E766</f>
        <v>1732.7806469999998</v>
      </c>
      <c r="G766" s="120" t="str">
        <f>A765</f>
        <v>2nd to 5th, 7th to 10th, 12th to 15th, 17th to 20th, 22nd to 25th, 27th to 30th, 32nd to 36th Floor</v>
      </c>
      <c r="H766" s="121"/>
      <c r="I766" s="52"/>
      <c r="N766" s="53" t="str">
        <f t="shared" ca="1" si="198"/>
        <v>25703,..,3603</v>
      </c>
      <c r="O766" s="53">
        <f t="shared" ref="O766:P766" ca="1" si="200">O765+1</f>
        <v>25703</v>
      </c>
      <c r="P766" s="53">
        <f t="shared" ca="1" si="200"/>
        <v>3603</v>
      </c>
    </row>
    <row r="767" spans="1:16" s="53" customFormat="1" ht="15.75" customHeight="1" x14ac:dyDescent="0.35">
      <c r="A767" s="116">
        <f>A766+1</f>
        <v>2</v>
      </c>
      <c r="B767" s="116"/>
      <c r="C767" s="28" t="s">
        <v>133</v>
      </c>
      <c r="D767" s="28">
        <f>(3.5*7.08+2.45*4.57+3.05*(3.35+3.8)+3.35*4.27+1.52*(2.5+2.45+2.8)+5.2+3.7*1.53+1.55+1.1*3.65+3.05*1.15+3.35*1.05)*(10.764)</f>
        <v>1155.1870979999999</v>
      </c>
      <c r="E767" s="28">
        <v>0</v>
      </c>
      <c r="F767" s="28">
        <f>D767*(($F$338)+1)+E767</f>
        <v>1732.7806469999998</v>
      </c>
      <c r="G767" s="122"/>
      <c r="H767" s="123"/>
      <c r="I767" s="52"/>
      <c r="N767" s="53" t="str">
        <f t="shared" ca="1" si="198"/>
        <v>25704,..,3604</v>
      </c>
      <c r="O767" s="53">
        <f t="shared" ref="O767:P767" ca="1" si="201">O766+1</f>
        <v>25704</v>
      </c>
      <c r="P767" s="53">
        <f t="shared" ca="1" si="201"/>
        <v>3604</v>
      </c>
    </row>
    <row r="768" spans="1:16" s="53" customFormat="1" ht="15.75" customHeight="1" x14ac:dyDescent="0.35">
      <c r="A768" s="116">
        <f t="shared" ref="A768:A770" si="202">A767+1</f>
        <v>3</v>
      </c>
      <c r="B768" s="116"/>
      <c r="C768" s="28" t="s">
        <v>329</v>
      </c>
      <c r="D768" s="28">
        <f>(5.47*4.87+4.12*2.8+3.35*5.95+3.05*4.1+(3.2+3.05)*4.12+1.52*(2.45*3+2.75)+1.52*1.3+2.17*1.97+1.87*1.07+1.82*1.66+1.65*1.52+3.1*1.08+1.53*3.05+2*1.5+1.5*1.1+3.8*3.59+5.47*1.82)*(10.764)</f>
        <v>1741.1555772000002</v>
      </c>
      <c r="E768" s="28">
        <v>0</v>
      </c>
      <c r="F768" s="28">
        <f>D768*(($F$338)+1)+E768</f>
        <v>2611.7333658000002</v>
      </c>
      <c r="G768" s="122"/>
      <c r="H768" s="123"/>
      <c r="I768" s="52"/>
      <c r="J768" s="53">
        <f>39225750/F768</f>
        <v>15019.048465533066</v>
      </c>
      <c r="K768" s="53">
        <f>39225750/D768</f>
        <v>22528.572698299598</v>
      </c>
      <c r="N768" s="53" t="str">
        <f t="shared" ca="1" si="198"/>
        <v>25705,..,3605</v>
      </c>
      <c r="O768" s="53">
        <f t="shared" ref="O768:P768" ca="1" si="203">O767+1</f>
        <v>25705</v>
      </c>
      <c r="P768" s="53">
        <f t="shared" ca="1" si="203"/>
        <v>3605</v>
      </c>
    </row>
    <row r="769" spans="1:16" s="53" customFormat="1" ht="15.75" customHeight="1" x14ac:dyDescent="0.35">
      <c r="A769" s="116">
        <f t="shared" si="202"/>
        <v>4</v>
      </c>
      <c r="B769" s="116"/>
      <c r="C769" s="28" t="s">
        <v>133</v>
      </c>
      <c r="D769" s="28">
        <f>(3.5*6.28+2.45*4.57+3.05*(3.65+3.8)+3.35*4.27+1.52*(2.45*2+2.75)+0.92*3.65+2.02*2.2+1.2*1.05+2*0.9+4.7+0.5*1.6+3.5*1.3+3.35*1.05)*(10.764)</f>
        <v>1143.793404</v>
      </c>
      <c r="E769" s="28">
        <v>0</v>
      </c>
      <c r="F769" s="28">
        <f>D769*(($F$338)+1)+E769</f>
        <v>1715.690106</v>
      </c>
      <c r="G769" s="122"/>
      <c r="H769" s="123"/>
      <c r="I769" s="52">
        <v>6</v>
      </c>
    </row>
    <row r="770" spans="1:16" s="53" customFormat="1" ht="15.75" customHeight="1" x14ac:dyDescent="0.35">
      <c r="A770" s="116">
        <f t="shared" si="202"/>
        <v>5</v>
      </c>
      <c r="B770" s="116"/>
      <c r="C770" s="28" t="s">
        <v>133</v>
      </c>
      <c r="D770" s="28">
        <f>(3.5*6.28+2.45*4.57+3.05*(3.65+3.8)+3.35*4.27+1.52*(2.45*2+2.75)+0.92*3.65+2.02*2.2+1.2*1.05+2*0.9+4.7+0.5*1.6+3.5*1.3+3.35*1.05)*(10.764)</f>
        <v>1143.793404</v>
      </c>
      <c r="E770" s="28">
        <v>0</v>
      </c>
      <c r="F770" s="28">
        <f>D770*(($F$338)+1)+E770</f>
        <v>1715.690106</v>
      </c>
      <c r="G770" s="122"/>
      <c r="H770" s="123"/>
      <c r="I770" s="52"/>
      <c r="N770" s="53" t="str">
        <f t="shared" ref="N770:N774" ca="1" si="204">O770&amp;""&amp;",..,"&amp;""&amp;P770</f>
        <v>61101,..,3101</v>
      </c>
      <c r="O770" s="53">
        <f ca="1">(SUMPRODUCT(MID(0&amp;(LEFT(A771,SUM(LEN(A771)-LEN(SUBSTITUTE(A771,{"0","1","2"},""))))), LARGE(INDEX(ISNUMBER(--MID((LEFT(A771,SUM(LEN(A771)-LEN(SUBSTITUTE(A771,{"0","1","2"},""))))), ROW(INDIRECT("1:"&amp;LEN((LEFT(A771,SUM(LEN(A771)-LEN(SUBSTITUTE(A771,{"0","1","2"},"")))))))), 1)) * ROW(INDIRECT("1:"&amp;LEN((LEFT(A771,SUM(LEN(A771)-LEN(SUBSTITUTE(A771,{"0","1","2"},"")))))))), 0), ROW(INDIRECT("1:"&amp;LEN((LEFT(A771,SUM(LEN(A771)-LEN(SUBSTITUTE(A771,{"0","1","2"},"")))))))))+1, 1) * 10^ROW(INDIRECT("1:"&amp;LEN((LEFT(A771,SUM(LEN(A771)-LEN(SUBSTITUTE(A771,{"0","1","2"},""))))))))/10))*100+1</f>
        <v>61101</v>
      </c>
      <c r="P770" s="53">
        <f ca="1">(SUMPRODUCT(MID(0&amp;(--TRIM(RIGHT(SUBSTITUTE(LEFT(A771,_xlfn.AGGREGATE(16,6,FIND({0,1,2,3,4,5,6,7,8,9},A771,ROW(INDIRECT("1:"&amp;LEN(A771)))),1))," ",REPT(" ",LEN(A771))),LEN(A771)))), LARGE(INDEX(ISNUMBER(--MID((--TRIM(RIGHT(SUBSTITUTE(LEFT(A771,_xlfn.AGGREGATE(16,6,FIND({0,1,2,3,4,5,6,7,8,9},A771,ROW(INDIRECT("1:"&amp;LEN(A771)))),1))," ",REPT(" ",LEN(A771))),LEN(A771)))), ROW(INDIRECT("1:"&amp;LEN((--TRIM(RIGHT(SUBSTITUTE(LEFT(A771,_xlfn.AGGREGATE(16,6,FIND({0,1,2,3,4,5,6,7,8,9},A771,ROW(INDIRECT("1:"&amp;LEN(A771)))),1))," ",REPT(" ",LEN(A771))),LEN(A771))))))), 1)) * ROW(INDIRECT("1:"&amp;LEN((--TRIM(RIGHT(SUBSTITUTE(LEFT(A771,_xlfn.AGGREGATE(16,6,FIND({0,1,2,3,4,5,6,7,8,9},A771,ROW(INDIRECT("1:"&amp;LEN(A771)))),1))," ",REPT(" ",LEN(A771))),LEN(A771))))))), 0), ROW(INDIRECT("1:"&amp;LEN((--TRIM(RIGHT(SUBSTITUTE(LEFT(A771,_xlfn.AGGREGATE(16,6,FIND({0,1,2,3,4,5,6,7,8,9},A771,ROW(INDIRECT("1:"&amp;LEN(A771)))),1))," ",REPT(" ",LEN(A771))),LEN(A771))))))))+1, 1) * 10^ROW(INDIRECT("1:"&amp;LEN((--TRIM(RIGHT(SUBSTITUTE(LEFT(A771,_xlfn.AGGREGATE(16,6,FIND({0,1,2,3,4,5,6,7,8,9},A771,ROW(INDIRECT("1:"&amp;LEN(A771)))),1))," ",REPT(" ",LEN(A771))),LEN(A771)))))))/10))*100+1</f>
        <v>3101</v>
      </c>
    </row>
    <row r="771" spans="1:16" s="53" customFormat="1" ht="15.75" customHeight="1" x14ac:dyDescent="0.35">
      <c r="A771" s="127" t="s">
        <v>284</v>
      </c>
      <c r="B771" s="128"/>
      <c r="C771" s="128"/>
      <c r="D771" s="128"/>
      <c r="E771" s="128"/>
      <c r="F771" s="128"/>
      <c r="G771" s="128"/>
      <c r="H771" s="129"/>
      <c r="I771" s="52"/>
      <c r="N771" s="53" t="str">
        <f t="shared" ca="1" si="204"/>
        <v>61102,..,3102</v>
      </c>
      <c r="O771" s="53">
        <f t="shared" ref="O771:P771" ca="1" si="205">O770+1</f>
        <v>61102</v>
      </c>
      <c r="P771" s="53">
        <f t="shared" ca="1" si="205"/>
        <v>3102</v>
      </c>
    </row>
    <row r="772" spans="1:16" s="53" customFormat="1" ht="15.75" customHeight="1" x14ac:dyDescent="0.35">
      <c r="A772" s="116">
        <v>1</v>
      </c>
      <c r="B772" s="116"/>
      <c r="C772" s="28" t="s">
        <v>133</v>
      </c>
      <c r="D772" s="28">
        <f>(3.5*7.08+2.45*4.57+3.05*(3.35+3.8)+3.35*4.27+1.52*(2.5+2.45+2.8)+5.2+3.7*1.53+1.55+1.1*3.65+3.05*1.15+3.35*1.05)*(10.764)</f>
        <v>1155.1870979999999</v>
      </c>
      <c r="E772" s="28">
        <v>0</v>
      </c>
      <c r="F772" s="28">
        <f>D772*(($F$338)+1)+E772</f>
        <v>1732.7806469999998</v>
      </c>
      <c r="G772" s="120" t="str">
        <f>A771</f>
        <v>6th, 11th, 16th, 21st, 26th &amp; 31st Floor (Part Refuge Floor)</v>
      </c>
      <c r="H772" s="121"/>
      <c r="I772" s="52"/>
      <c r="N772" s="53" t="str">
        <f t="shared" ca="1" si="204"/>
        <v>61103,..,3103</v>
      </c>
      <c r="O772" s="53">
        <f t="shared" ref="O772:P772" ca="1" si="206">O771+1</f>
        <v>61103</v>
      </c>
      <c r="P772" s="53">
        <f t="shared" ca="1" si="206"/>
        <v>3103</v>
      </c>
    </row>
    <row r="773" spans="1:16" s="53" customFormat="1" ht="15.75" customHeight="1" x14ac:dyDescent="0.35">
      <c r="A773" s="116">
        <f>A772+1</f>
        <v>2</v>
      </c>
      <c r="B773" s="116"/>
      <c r="C773" s="28" t="s">
        <v>133</v>
      </c>
      <c r="D773" s="28">
        <f>(3.5*7.08+2.45*4.57+3.05*(3.35+3.8)+3.35*4.27+1.52*(2.5+2.45+2.8)+5.2+3.7*1.53+1.55+1.1*3.65+3.05*1.15+3.35*1.05)*(10.764)</f>
        <v>1155.1870979999999</v>
      </c>
      <c r="E773" s="28">
        <v>0</v>
      </c>
      <c r="F773" s="28">
        <f>D773*(($F$338)+1)+E773</f>
        <v>1732.7806469999998</v>
      </c>
      <c r="G773" s="122"/>
      <c r="H773" s="123"/>
      <c r="I773" s="52"/>
      <c r="N773" s="53" t="str">
        <f t="shared" ca="1" si="204"/>
        <v>61104,..,3104</v>
      </c>
      <c r="O773" s="53">
        <f t="shared" ref="O773:P773" ca="1" si="207">O772+1</f>
        <v>61104</v>
      </c>
      <c r="P773" s="53">
        <f t="shared" ca="1" si="207"/>
        <v>3104</v>
      </c>
    </row>
    <row r="774" spans="1:16" s="53" customFormat="1" ht="15.75" customHeight="1" x14ac:dyDescent="0.35">
      <c r="A774" s="116">
        <f t="shared" ref="A774:A776" si="208">A773+1</f>
        <v>3</v>
      </c>
      <c r="B774" s="116"/>
      <c r="C774" s="28" t="s">
        <v>329</v>
      </c>
      <c r="D774" s="28">
        <f>(5.47*4.87+4.12*2.8+3.35*5.95+3.05*4.1+(3.2+3.05)*4.12+1.52*(2.45*3+2.75)+1.52*1.3+2.17*1.97+1.87*1.07+1.82*1.66+1.65*1.52+3.1*1.08+1.53*3.05+2*1.5+1.5*1.1+3.8*3.59+5.47*1.82)*(10.764)</f>
        <v>1741.1555772000002</v>
      </c>
      <c r="E774" s="28">
        <v>0</v>
      </c>
      <c r="F774" s="28">
        <f>D774*(($F$338)+1)+E774</f>
        <v>2611.7333658000002</v>
      </c>
      <c r="G774" s="122"/>
      <c r="H774" s="123"/>
      <c r="I774" s="52"/>
      <c r="N774" s="53" t="str">
        <f t="shared" ca="1" si="204"/>
        <v>61105,..,3105</v>
      </c>
      <c r="O774" s="53">
        <f t="shared" ref="O774:P774" ca="1" si="209">O773+1</f>
        <v>61105</v>
      </c>
      <c r="P774" s="53">
        <f t="shared" ca="1" si="209"/>
        <v>3105</v>
      </c>
    </row>
    <row r="775" spans="1:16" s="53" customFormat="1" x14ac:dyDescent="0.35">
      <c r="A775" s="116">
        <f t="shared" si="208"/>
        <v>4</v>
      </c>
      <c r="B775" s="116"/>
      <c r="C775" s="28" t="s">
        <v>133</v>
      </c>
      <c r="D775" s="28">
        <f>(3.5*6.28+2.45*4.57+3.05*(3.65+3.8)+3.35*4.27+1.52*(2.45*2+2.75)+0.92*3.65+2.02*2.2+1.2*1.05+2*0.9+4.7+0.5*1.6+3.5*1.3+3.35*1.05)*(10.764)</f>
        <v>1143.793404</v>
      </c>
      <c r="E775" s="28">
        <v>0</v>
      </c>
      <c r="F775" s="28">
        <f>D775*(($F$338)+1)+E775</f>
        <v>1715.690106</v>
      </c>
      <c r="G775" s="122"/>
      <c r="H775" s="123"/>
      <c r="I775" s="52"/>
    </row>
    <row r="776" spans="1:16" s="53" customFormat="1" ht="15.75" customHeight="1" x14ac:dyDescent="0.35">
      <c r="A776" s="116">
        <f t="shared" si="208"/>
        <v>5</v>
      </c>
      <c r="B776" s="116"/>
      <c r="C776" s="117" t="s">
        <v>201</v>
      </c>
      <c r="D776" s="118"/>
      <c r="E776" s="118"/>
      <c r="F776" s="119"/>
      <c r="G776" s="122"/>
      <c r="H776" s="123"/>
      <c r="I776" s="52"/>
    </row>
    <row r="777" spans="1:16" s="53" customFormat="1" x14ac:dyDescent="0.35">
      <c r="A777" s="124" t="s">
        <v>395</v>
      </c>
      <c r="B777" s="124"/>
      <c r="C777" s="124"/>
      <c r="D777" s="124"/>
      <c r="E777" s="124"/>
      <c r="F777" s="124"/>
      <c r="G777" s="124"/>
      <c r="H777" s="124"/>
      <c r="I777" s="266" t="s">
        <v>409</v>
      </c>
      <c r="J777" s="267"/>
    </row>
    <row r="778" spans="1:16" s="53" customFormat="1" x14ac:dyDescent="0.35">
      <c r="A778" s="125" t="s">
        <v>175</v>
      </c>
      <c r="B778" s="125"/>
      <c r="C778" s="125"/>
      <c r="D778" s="125"/>
      <c r="E778" s="125"/>
      <c r="F778" s="125"/>
      <c r="G778" s="125"/>
      <c r="H778" s="125"/>
      <c r="I778" s="52">
        <v>1</v>
      </c>
    </row>
    <row r="779" spans="1:16" s="53" customFormat="1" ht="15.75" customHeight="1" x14ac:dyDescent="0.35">
      <c r="A779" s="125" t="s">
        <v>408</v>
      </c>
      <c r="B779" s="125"/>
      <c r="C779" s="125"/>
      <c r="D779" s="125"/>
      <c r="E779" s="125"/>
      <c r="F779" s="125"/>
      <c r="G779" s="125"/>
      <c r="H779" s="125"/>
      <c r="I779" s="52"/>
      <c r="N779" s="53" t="str">
        <f t="shared" ref="N779:N783" ca="1" si="210">O779&amp;""&amp;",..,"&amp;""&amp;P779</f>
        <v>101,..,101</v>
      </c>
      <c r="O779" s="53">
        <f ca="1">(SUMPRODUCT(MID(0&amp;(LEFT(A780,SUM(LEN(A780)-LEN(SUBSTITUTE(A780,{"0","1","2"},""))))), LARGE(INDEX(ISNUMBER(--MID((LEFT(A780,SUM(LEN(A780)-LEN(SUBSTITUTE(A780,{"0","1","2"},""))))), ROW(INDIRECT("1:"&amp;LEN((LEFT(A780,SUM(LEN(A780)-LEN(SUBSTITUTE(A780,{"0","1","2"},"")))))))), 1)) * ROW(INDIRECT("1:"&amp;LEN((LEFT(A780,SUM(LEN(A780)-LEN(SUBSTITUTE(A780,{"0","1","2"},"")))))))), 0), ROW(INDIRECT("1:"&amp;LEN((LEFT(A780,SUM(LEN(A780)-LEN(SUBSTITUTE(A780,{"0","1","2"},"")))))))))+1, 1) * 10^ROW(INDIRECT("1:"&amp;LEN((LEFT(A780,SUM(LEN(A780)-LEN(SUBSTITUTE(A780,{"0","1","2"},""))))))))/10))*100+1</f>
        <v>101</v>
      </c>
      <c r="P779" s="53">
        <f ca="1">(SUMPRODUCT(MID(0&amp;(--TRIM(RIGHT(SUBSTITUTE(LEFT(A780,_xlfn.AGGREGATE(16,6,FIND({0,1,2,3,4,5,6,7,8,9},A780,ROW(INDIRECT("1:"&amp;LEN(A780)))),1))," ",REPT(" ",LEN(A780))),LEN(A780)))), LARGE(INDEX(ISNUMBER(--MID((--TRIM(RIGHT(SUBSTITUTE(LEFT(A780,_xlfn.AGGREGATE(16,6,FIND({0,1,2,3,4,5,6,7,8,9},A780,ROW(INDIRECT("1:"&amp;LEN(A780)))),1))," ",REPT(" ",LEN(A780))),LEN(A780)))), ROW(INDIRECT("1:"&amp;LEN((--TRIM(RIGHT(SUBSTITUTE(LEFT(A780,_xlfn.AGGREGATE(16,6,FIND({0,1,2,3,4,5,6,7,8,9},A780,ROW(INDIRECT("1:"&amp;LEN(A780)))),1))," ",REPT(" ",LEN(A780))),LEN(A780))))))), 1)) * ROW(INDIRECT("1:"&amp;LEN((--TRIM(RIGHT(SUBSTITUTE(LEFT(A780,_xlfn.AGGREGATE(16,6,FIND({0,1,2,3,4,5,6,7,8,9},A780,ROW(INDIRECT("1:"&amp;LEN(A780)))),1))," ",REPT(" ",LEN(A780))),LEN(A780))))))), 0), ROW(INDIRECT("1:"&amp;LEN((--TRIM(RIGHT(SUBSTITUTE(LEFT(A780,_xlfn.AGGREGATE(16,6,FIND({0,1,2,3,4,5,6,7,8,9},A780,ROW(INDIRECT("1:"&amp;LEN(A780)))),1))," ",REPT(" ",LEN(A780))),LEN(A780))))))))+1, 1) * 10^ROW(INDIRECT("1:"&amp;LEN((--TRIM(RIGHT(SUBSTITUTE(LEFT(A780,_xlfn.AGGREGATE(16,6,FIND({0,1,2,3,4,5,6,7,8,9},A780,ROW(INDIRECT("1:"&amp;LEN(A780)))),1))," ",REPT(" ",LEN(A780))),LEN(A780)))))))/10))*100+1</f>
        <v>101</v>
      </c>
    </row>
    <row r="780" spans="1:16" s="53" customFormat="1" ht="15.75" customHeight="1" x14ac:dyDescent="0.35">
      <c r="A780" s="125" t="s">
        <v>177</v>
      </c>
      <c r="B780" s="125"/>
      <c r="C780" s="125"/>
      <c r="D780" s="125"/>
      <c r="E780" s="125"/>
      <c r="F780" s="125"/>
      <c r="G780" s="125"/>
      <c r="H780" s="125"/>
      <c r="I780" s="52"/>
      <c r="N780" s="53" t="str">
        <f t="shared" ca="1" si="210"/>
        <v>102,..,102</v>
      </c>
      <c r="O780" s="53">
        <f t="shared" ref="O780:P780" ca="1" si="211">O779+1</f>
        <v>102</v>
      </c>
      <c r="P780" s="53">
        <f t="shared" ca="1" si="211"/>
        <v>102</v>
      </c>
    </row>
    <row r="781" spans="1:16" s="53" customFormat="1" ht="15.75" customHeight="1" x14ac:dyDescent="0.35">
      <c r="A781" s="116">
        <v>1</v>
      </c>
      <c r="B781" s="116"/>
      <c r="C781" s="117" t="s">
        <v>424</v>
      </c>
      <c r="D781" s="118"/>
      <c r="E781" s="118"/>
      <c r="F781" s="119"/>
      <c r="G781" s="120" t="str">
        <f>A780</f>
        <v>1st Podium Floor for Part Residential &amp; Part Parking</v>
      </c>
      <c r="H781" s="121"/>
      <c r="I781" s="52"/>
      <c r="N781" s="53" t="str">
        <f t="shared" ca="1" si="210"/>
        <v>103,..,103</v>
      </c>
      <c r="O781" s="53">
        <f t="shared" ref="O781:P781" ca="1" si="212">O780+1</f>
        <v>103</v>
      </c>
      <c r="P781" s="53">
        <f t="shared" ca="1" si="212"/>
        <v>103</v>
      </c>
    </row>
    <row r="782" spans="1:16" s="53" customFormat="1" ht="15.75" customHeight="1" x14ac:dyDescent="0.35">
      <c r="A782" s="116">
        <f>A781+1</f>
        <v>2</v>
      </c>
      <c r="B782" s="116"/>
      <c r="C782" s="28" t="s">
        <v>133</v>
      </c>
      <c r="D782" s="28">
        <f>(3.05*5.54+2.28*3.95+2.9*3.8+3.05*(3.85+4.27)+1.37*(2.28+2.44*2)+6.5+1.58*2.52+3.05*1.23)*(10.764)</f>
        <v>922.81171319999987</v>
      </c>
      <c r="E782" s="28">
        <v>0</v>
      </c>
      <c r="F782" s="28">
        <f>D782*(($F$338)+1)+E782</f>
        <v>1384.2175697999999</v>
      </c>
      <c r="G782" s="122"/>
      <c r="H782" s="123"/>
      <c r="I782" s="52">
        <f>13000000/F782</f>
        <v>9391.5871923792438</v>
      </c>
      <c r="N782" s="53" t="str">
        <f t="shared" ca="1" si="210"/>
        <v>104,..,104</v>
      </c>
      <c r="O782" s="53">
        <f t="shared" ref="O782:P782" ca="1" si="213">O781+1</f>
        <v>104</v>
      </c>
      <c r="P782" s="53">
        <f t="shared" ca="1" si="213"/>
        <v>104</v>
      </c>
    </row>
    <row r="783" spans="1:16" s="53" customFormat="1" ht="15.75" customHeight="1" x14ac:dyDescent="0.35">
      <c r="A783" s="116">
        <f t="shared" ref="A783:A785" si="214">A782+1</f>
        <v>3</v>
      </c>
      <c r="B783" s="116"/>
      <c r="C783" s="28" t="s">
        <v>178</v>
      </c>
      <c r="D783" s="28">
        <f>(3.05*5.18+2.2*3.18+2.9*3.73+3.05*3.66+1.37*(2.44+2.28)+1.45+1.23*2.45+3.05*1.05)*(10.764)</f>
        <v>634.0792535999999</v>
      </c>
      <c r="E783" s="28">
        <v>0</v>
      </c>
      <c r="F783" s="28">
        <f>D783*(($F$338)+1)+E783</f>
        <v>951.11888039999985</v>
      </c>
      <c r="G783" s="122"/>
      <c r="H783" s="123"/>
      <c r="I783" s="52"/>
      <c r="J783" s="53">
        <f>8739000/F783</f>
        <v>9188.1258800422002</v>
      </c>
      <c r="K783" s="53">
        <f>15400000-(15400000*0.12)</f>
        <v>13552000</v>
      </c>
      <c r="N783" s="53" t="str">
        <f t="shared" ca="1" si="210"/>
        <v>105,..,105</v>
      </c>
      <c r="O783" s="53">
        <f t="shared" ref="O783:P783" ca="1" si="215">O782+1</f>
        <v>105</v>
      </c>
      <c r="P783" s="53">
        <f t="shared" ca="1" si="215"/>
        <v>105</v>
      </c>
    </row>
    <row r="784" spans="1:16" s="53" customFormat="1" x14ac:dyDescent="0.35">
      <c r="A784" s="116">
        <f t="shared" si="214"/>
        <v>4</v>
      </c>
      <c r="B784" s="116"/>
      <c r="C784" s="28" t="s">
        <v>133</v>
      </c>
      <c r="D784" s="28">
        <f>(3.05*5.54+2.28*3.95+2.9*3.8+3.05*(3.85+4.27)+1.37*(2.28+2.44*2)+6.5+1.58*2.52+3.05*1.23)*(10.764)</f>
        <v>922.81171319999987</v>
      </c>
      <c r="E784" s="28">
        <v>0</v>
      </c>
      <c r="F784" s="28">
        <f>D784*(($F$338)+1)+E784</f>
        <v>1384.2175697999999</v>
      </c>
      <c r="G784" s="122"/>
      <c r="H784" s="123"/>
      <c r="I784" s="52">
        <v>1</v>
      </c>
      <c r="J784" s="69"/>
    </row>
    <row r="785" spans="1:16" s="53" customFormat="1" ht="15.75" customHeight="1" x14ac:dyDescent="0.35">
      <c r="A785" s="116">
        <f t="shared" si="214"/>
        <v>5</v>
      </c>
      <c r="B785" s="116"/>
      <c r="C785" s="117" t="s">
        <v>425</v>
      </c>
      <c r="D785" s="118"/>
      <c r="E785" s="118"/>
      <c r="F785" s="119"/>
      <c r="G785" s="122"/>
      <c r="H785" s="123"/>
      <c r="I785" s="52">
        <v>1</v>
      </c>
    </row>
    <row r="786" spans="1:16" s="53" customFormat="1" ht="15.75" customHeight="1" x14ac:dyDescent="0.35">
      <c r="A786" s="125" t="s">
        <v>407</v>
      </c>
      <c r="B786" s="125"/>
      <c r="C786" s="125"/>
      <c r="D786" s="125"/>
      <c r="E786" s="125"/>
      <c r="F786" s="125"/>
      <c r="G786" s="125"/>
      <c r="H786" s="125"/>
      <c r="I786" s="52"/>
      <c r="N786" s="53" t="str">
        <f t="shared" ref="N786:N790" ca="1" si="216">O786&amp;""&amp;",..,"&amp;""&amp;P786</f>
        <v>101,..,101</v>
      </c>
      <c r="O786" s="53">
        <f ca="1">(SUMPRODUCT(MID(0&amp;(LEFT(A787,SUM(LEN(A787)-LEN(SUBSTITUTE(A787,{"0","1","2"},""))))), LARGE(INDEX(ISNUMBER(--MID((LEFT(A787,SUM(LEN(A787)-LEN(SUBSTITUTE(A787,{"0","1","2"},""))))), ROW(INDIRECT("1:"&amp;LEN((LEFT(A787,SUM(LEN(A787)-LEN(SUBSTITUTE(A787,{"0","1","2"},"")))))))), 1)) * ROW(INDIRECT("1:"&amp;LEN((LEFT(A787,SUM(LEN(A787)-LEN(SUBSTITUTE(A787,{"0","1","2"},"")))))))), 0), ROW(INDIRECT("1:"&amp;LEN((LEFT(A787,SUM(LEN(A787)-LEN(SUBSTITUTE(A787,{"0","1","2"},"")))))))))+1, 1) * 10^ROW(INDIRECT("1:"&amp;LEN((LEFT(A787,SUM(LEN(A787)-LEN(SUBSTITUTE(A787,{"0","1","2"},""))))))))/10))*100+1</f>
        <v>101</v>
      </c>
      <c r="P786" s="53">
        <f ca="1">(SUMPRODUCT(MID(0&amp;(--TRIM(RIGHT(SUBSTITUTE(LEFT(A787,_xlfn.AGGREGATE(16,6,FIND({0,1,2,3,4,5,6,7,8,9},A787,ROW(INDIRECT("1:"&amp;LEN(A787)))),1))," ",REPT(" ",LEN(A787))),LEN(A787)))), LARGE(INDEX(ISNUMBER(--MID((--TRIM(RIGHT(SUBSTITUTE(LEFT(A787,_xlfn.AGGREGATE(16,6,FIND({0,1,2,3,4,5,6,7,8,9},A787,ROW(INDIRECT("1:"&amp;LEN(A787)))),1))," ",REPT(" ",LEN(A787))),LEN(A787)))), ROW(INDIRECT("1:"&amp;LEN((--TRIM(RIGHT(SUBSTITUTE(LEFT(A787,_xlfn.AGGREGATE(16,6,FIND({0,1,2,3,4,5,6,7,8,9},A787,ROW(INDIRECT("1:"&amp;LEN(A787)))),1))," ",REPT(" ",LEN(A787))),LEN(A787))))))), 1)) * ROW(INDIRECT("1:"&amp;LEN((--TRIM(RIGHT(SUBSTITUTE(LEFT(A787,_xlfn.AGGREGATE(16,6,FIND({0,1,2,3,4,5,6,7,8,9},A787,ROW(INDIRECT("1:"&amp;LEN(A787)))),1))," ",REPT(" ",LEN(A787))),LEN(A787))))))), 0), ROW(INDIRECT("1:"&amp;LEN((--TRIM(RIGHT(SUBSTITUTE(LEFT(A787,_xlfn.AGGREGATE(16,6,FIND({0,1,2,3,4,5,6,7,8,9},A787,ROW(INDIRECT("1:"&amp;LEN(A787)))),1))," ",REPT(" ",LEN(A787))),LEN(A787))))))))+1, 1) * 10^ROW(INDIRECT("1:"&amp;LEN((--TRIM(RIGHT(SUBSTITUTE(LEFT(A787,_xlfn.AGGREGATE(16,6,FIND({0,1,2,3,4,5,6,7,8,9},A787,ROW(INDIRECT("1:"&amp;LEN(A787)))),1))," ",REPT(" ",LEN(A787))),LEN(A787)))))))/10))*100+1</f>
        <v>101</v>
      </c>
    </row>
    <row r="787" spans="1:16" s="53" customFormat="1" ht="15.75" customHeight="1" x14ac:dyDescent="0.35">
      <c r="A787" s="127" t="s">
        <v>267</v>
      </c>
      <c r="B787" s="128"/>
      <c r="C787" s="128"/>
      <c r="D787" s="128"/>
      <c r="E787" s="128"/>
      <c r="F787" s="128"/>
      <c r="G787" s="128"/>
      <c r="H787" s="129"/>
      <c r="I787" s="52"/>
      <c r="J787" s="53">
        <v>1400</v>
      </c>
      <c r="N787" s="53" t="str">
        <f t="shared" ca="1" si="216"/>
        <v>102,..,102</v>
      </c>
      <c r="O787" s="53">
        <f t="shared" ref="O787:P787" ca="1" si="217">O786+1</f>
        <v>102</v>
      </c>
      <c r="P787" s="53">
        <f t="shared" ca="1" si="217"/>
        <v>102</v>
      </c>
    </row>
    <row r="788" spans="1:16" s="53" customFormat="1" ht="15.75" customHeight="1" x14ac:dyDescent="0.35">
      <c r="A788" s="116">
        <v>1</v>
      </c>
      <c r="B788" s="116"/>
      <c r="C788" s="28" t="s">
        <v>178</v>
      </c>
      <c r="D788" s="28">
        <f>(3.05*4.98+2.28*3.43+2.9*3.66+3.05*3.66+1.37*(2.41+2.28)+1.7+2.47*1.58+0.4*1.35+3.05*1.05)*(10.764)</f>
        <v>651.83339520000004</v>
      </c>
      <c r="E788" s="28">
        <v>0</v>
      </c>
      <c r="F788" s="28">
        <f t="shared" ref="F788:F794" si="218">D788*(($F$338)+1)+E788</f>
        <v>977.75009280000006</v>
      </c>
      <c r="G788" s="120" t="str">
        <f>A787</f>
        <v>1st Floor for Residential</v>
      </c>
      <c r="H788" s="121"/>
      <c r="I788" s="52"/>
      <c r="J788" s="53">
        <f>D788*J787</f>
        <v>912566.75328000006</v>
      </c>
      <c r="N788" s="53" t="str">
        <f t="shared" ca="1" si="216"/>
        <v>103,..,103</v>
      </c>
      <c r="O788" s="53">
        <f t="shared" ref="O788:P788" ca="1" si="219">O787+1</f>
        <v>103</v>
      </c>
      <c r="P788" s="53">
        <f t="shared" ca="1" si="219"/>
        <v>103</v>
      </c>
    </row>
    <row r="789" spans="1:16" s="53" customFormat="1" ht="15.75" customHeight="1" x14ac:dyDescent="0.35">
      <c r="A789" s="116">
        <f>A788+1</f>
        <v>2</v>
      </c>
      <c r="B789" s="116"/>
      <c r="C789" s="28" t="s">
        <v>133</v>
      </c>
      <c r="D789" s="28">
        <f>(3.05*5.54+2.28*3.95+2.9*3.8+3.05*(3.85+4.27)+1.37*(2.28+2.44*2)+6.5+1.58*2.52+3.05*1.23)*(10.764)</f>
        <v>922.81171319999987</v>
      </c>
      <c r="E789" s="28">
        <v>0</v>
      </c>
      <c r="F789" s="28">
        <f t="shared" si="218"/>
        <v>1384.2175697999999</v>
      </c>
      <c r="G789" s="122"/>
      <c r="H789" s="123"/>
      <c r="I789" s="52"/>
      <c r="N789" s="53" t="str">
        <f t="shared" ca="1" si="216"/>
        <v>104,..,104</v>
      </c>
      <c r="O789" s="53">
        <f t="shared" ref="O789:P789" ca="1" si="220">O788+1</f>
        <v>104</v>
      </c>
      <c r="P789" s="53">
        <f t="shared" ca="1" si="220"/>
        <v>104</v>
      </c>
    </row>
    <row r="790" spans="1:16" s="53" customFormat="1" ht="15.75" customHeight="1" x14ac:dyDescent="0.35">
      <c r="A790" s="116">
        <f t="shared" ref="A790:A794" si="221">A789+1</f>
        <v>3</v>
      </c>
      <c r="B790" s="116"/>
      <c r="C790" s="28" t="s">
        <v>178</v>
      </c>
      <c r="D790" s="28">
        <f>(3.05*5.18+2.2*3.18+2.9*3.73+3.05*3.66+1.37*(2.44+2.28)+1.45+1.23*2.45+3.05*1.05)*(10.764)</f>
        <v>634.0792535999999</v>
      </c>
      <c r="E790" s="28">
        <v>0</v>
      </c>
      <c r="F790" s="28">
        <f t="shared" si="218"/>
        <v>951.11888039999985</v>
      </c>
      <c r="G790" s="122"/>
      <c r="H790" s="123"/>
      <c r="I790" s="52"/>
      <c r="N790" s="53" t="str">
        <f t="shared" ca="1" si="216"/>
        <v>105,..,105</v>
      </c>
      <c r="O790" s="53">
        <f t="shared" ref="O790:P790" ca="1" si="222">O789+1</f>
        <v>105</v>
      </c>
      <c r="P790" s="53">
        <f t="shared" ca="1" si="222"/>
        <v>105</v>
      </c>
    </row>
    <row r="791" spans="1:16" s="53" customFormat="1" ht="15.75" customHeight="1" x14ac:dyDescent="0.35">
      <c r="A791" s="116">
        <f t="shared" si="221"/>
        <v>4</v>
      </c>
      <c r="B791" s="116"/>
      <c r="C791" s="28" t="s">
        <v>133</v>
      </c>
      <c r="D791" s="28">
        <f>(3.05*5.54+2.28*3.95+2.9*3.8+3.05*(3.85+4.27)+1.37*(2.28+2.44*2)+6.5+1.58*2.52+3.05*1.23)*(10.764)</f>
        <v>922.81171319999987</v>
      </c>
      <c r="E791" s="28">
        <v>0</v>
      </c>
      <c r="F791" s="28">
        <f t="shared" si="218"/>
        <v>1384.2175697999999</v>
      </c>
      <c r="G791" s="122"/>
      <c r="H791" s="123"/>
      <c r="I791" s="52"/>
      <c r="N791" s="53" t="str">
        <f t="shared" ref="N791:N792" ca="1" si="223">O791&amp;""&amp;",..,"&amp;""&amp;P791</f>
        <v>106,..,106</v>
      </c>
      <c r="O791" s="53">
        <f t="shared" ref="O791:P791" ca="1" si="224">O790+1</f>
        <v>106</v>
      </c>
      <c r="P791" s="53">
        <f t="shared" ca="1" si="224"/>
        <v>106</v>
      </c>
    </row>
    <row r="792" spans="1:16" s="53" customFormat="1" ht="15.75" customHeight="1" x14ac:dyDescent="0.35">
      <c r="A792" s="116">
        <f t="shared" si="221"/>
        <v>5</v>
      </c>
      <c r="B792" s="116"/>
      <c r="C792" s="28" t="s">
        <v>178</v>
      </c>
      <c r="D792" s="28">
        <f>(3.05*4.98+2.28*3.43+2.9*3.66+3.05*3.66+1.37*(2.41+2.28)+1.7+2.47*1.58+0.4*1.35+3.05*1.05)*(10.764)</f>
        <v>651.83339520000004</v>
      </c>
      <c r="E792" s="28">
        <v>0</v>
      </c>
      <c r="F792" s="28">
        <f t="shared" si="218"/>
        <v>977.75009280000006</v>
      </c>
      <c r="G792" s="122"/>
      <c r="H792" s="123"/>
      <c r="I792" s="52"/>
      <c r="N792" s="53" t="str">
        <f t="shared" ca="1" si="223"/>
        <v>107,..,107</v>
      </c>
      <c r="O792" s="53">
        <f t="shared" ref="O792:P792" ca="1" si="225">O791+1</f>
        <v>107</v>
      </c>
      <c r="P792" s="53">
        <f t="shared" ca="1" si="225"/>
        <v>107</v>
      </c>
    </row>
    <row r="793" spans="1:16" s="53" customFormat="1" ht="15.75" customHeight="1" x14ac:dyDescent="0.35">
      <c r="A793" s="116">
        <f t="shared" si="221"/>
        <v>6</v>
      </c>
      <c r="B793" s="116"/>
      <c r="C793" s="28" t="s">
        <v>178</v>
      </c>
      <c r="D793" s="28">
        <f>(3.05*6+3.65*2.28+3.05*(3.89+3.66)+1.37*(2.44+2.31)+3.41*1.37+1.7*1.1+3.05*1.05)*(10.764)</f>
        <v>709.3605167999998</v>
      </c>
      <c r="E793" s="28">
        <v>0</v>
      </c>
      <c r="F793" s="28">
        <f t="shared" si="218"/>
        <v>1064.0407751999996</v>
      </c>
      <c r="G793" s="122"/>
      <c r="H793" s="123"/>
      <c r="I793" s="52">
        <v>24</v>
      </c>
    </row>
    <row r="794" spans="1:16" s="53" customFormat="1" ht="15.75" customHeight="1" x14ac:dyDescent="0.35">
      <c r="A794" s="116">
        <f t="shared" si="221"/>
        <v>7</v>
      </c>
      <c r="B794" s="116"/>
      <c r="C794" s="28" t="s">
        <v>178</v>
      </c>
      <c r="D794" s="28">
        <f>(3.05*6+3.65*2.28+3.05*(3.89+3.66)+1.37*(2.44+2.31)+3.41*1.37+1.7*1.1+3.05*1.05)*(10.764)</f>
        <v>709.3605167999998</v>
      </c>
      <c r="E794" s="28">
        <v>0</v>
      </c>
      <c r="F794" s="28">
        <f t="shared" si="218"/>
        <v>1064.0407751999996</v>
      </c>
      <c r="G794" s="173"/>
      <c r="H794" s="174"/>
      <c r="I794" s="52"/>
      <c r="N794" s="53" t="str">
        <f t="shared" ref="N794:N800" ca="1" si="226">O794&amp;""&amp;",..,"&amp;""&amp;P794</f>
        <v>25701,..,3001</v>
      </c>
      <c r="O794" s="53">
        <f ca="1">(SUMPRODUCT(MID(0&amp;(LEFT(A795,SUM(LEN(A795)-LEN(SUBSTITUTE(A795,{"0","1","2"},""))))), LARGE(INDEX(ISNUMBER(--MID((LEFT(A795,SUM(LEN(A795)-LEN(SUBSTITUTE(A795,{"0","1","2"},""))))), ROW(INDIRECT("1:"&amp;LEN((LEFT(A795,SUM(LEN(A795)-LEN(SUBSTITUTE(A795,{"0","1","2"},"")))))))), 1)) * ROW(INDIRECT("1:"&amp;LEN((LEFT(A795,SUM(LEN(A795)-LEN(SUBSTITUTE(A795,{"0","1","2"},"")))))))), 0), ROW(INDIRECT("1:"&amp;LEN((LEFT(A795,SUM(LEN(A795)-LEN(SUBSTITUTE(A795,{"0","1","2"},"")))))))))+1, 1) * 10^ROW(INDIRECT("1:"&amp;LEN((LEFT(A795,SUM(LEN(A795)-LEN(SUBSTITUTE(A795,{"0","1","2"},""))))))))/10))*100+1</f>
        <v>25701</v>
      </c>
      <c r="P794" s="53">
        <f ca="1">(SUMPRODUCT(MID(0&amp;(--TRIM(RIGHT(SUBSTITUTE(LEFT(A795,_xlfn.AGGREGATE(16,6,FIND({0,1,2,3,4,5,6,7,8,9},A795,ROW(INDIRECT("1:"&amp;LEN(A795)))),1))," ",REPT(" ",LEN(A795))),LEN(A795)))), LARGE(INDEX(ISNUMBER(--MID((--TRIM(RIGHT(SUBSTITUTE(LEFT(A795,_xlfn.AGGREGATE(16,6,FIND({0,1,2,3,4,5,6,7,8,9},A795,ROW(INDIRECT("1:"&amp;LEN(A795)))),1))," ",REPT(" ",LEN(A795))),LEN(A795)))), ROW(INDIRECT("1:"&amp;LEN((--TRIM(RIGHT(SUBSTITUTE(LEFT(A795,_xlfn.AGGREGATE(16,6,FIND({0,1,2,3,4,5,6,7,8,9},A795,ROW(INDIRECT("1:"&amp;LEN(A795)))),1))," ",REPT(" ",LEN(A795))),LEN(A795))))))), 1)) * ROW(INDIRECT("1:"&amp;LEN((--TRIM(RIGHT(SUBSTITUTE(LEFT(A795,_xlfn.AGGREGATE(16,6,FIND({0,1,2,3,4,5,6,7,8,9},A795,ROW(INDIRECT("1:"&amp;LEN(A795)))),1))," ",REPT(" ",LEN(A795))),LEN(A795))))))), 0), ROW(INDIRECT("1:"&amp;LEN((--TRIM(RIGHT(SUBSTITUTE(LEFT(A795,_xlfn.AGGREGATE(16,6,FIND({0,1,2,3,4,5,6,7,8,9},A795,ROW(INDIRECT("1:"&amp;LEN(A795)))),1))," ",REPT(" ",LEN(A795))),LEN(A795))))))))+1, 1) * 10^ROW(INDIRECT("1:"&amp;LEN((--TRIM(RIGHT(SUBSTITUTE(LEFT(A795,_xlfn.AGGREGATE(16,6,FIND({0,1,2,3,4,5,6,7,8,9},A795,ROW(INDIRECT("1:"&amp;LEN(A795)))),1))," ",REPT(" ",LEN(A795))),LEN(A795)))))))/10))*100+1</f>
        <v>3001</v>
      </c>
    </row>
    <row r="795" spans="1:16" s="53" customFormat="1" ht="15.75" customHeight="1" x14ac:dyDescent="0.35">
      <c r="A795" s="127" t="s">
        <v>268</v>
      </c>
      <c r="B795" s="128"/>
      <c r="C795" s="128"/>
      <c r="D795" s="128"/>
      <c r="E795" s="128"/>
      <c r="F795" s="128"/>
      <c r="G795" s="128"/>
      <c r="H795" s="129"/>
      <c r="I795" s="52"/>
      <c r="N795" s="53" t="str">
        <f t="shared" ca="1" si="226"/>
        <v>25702,..,3002</v>
      </c>
      <c r="O795" s="53">
        <f t="shared" ref="O795:P795" ca="1" si="227">O794+1</f>
        <v>25702</v>
      </c>
      <c r="P795" s="53">
        <f t="shared" ca="1" si="227"/>
        <v>3002</v>
      </c>
    </row>
    <row r="796" spans="1:16" s="53" customFormat="1" ht="15.75" customHeight="1" x14ac:dyDescent="0.35">
      <c r="A796" s="116">
        <v>1</v>
      </c>
      <c r="B796" s="116"/>
      <c r="C796" s="28" t="s">
        <v>178</v>
      </c>
      <c r="D796" s="28">
        <f>(3.05*4.98+2.28*3.43+2.9*3.66+3.05*3.66+1.37*(2.41+2.28)+1.7+2.47*1.58+0.4*1.35+3.05*1.05)*(10.764)</f>
        <v>651.83339520000004</v>
      </c>
      <c r="E796" s="28">
        <v>0</v>
      </c>
      <c r="F796" s="28">
        <f t="shared" ref="F796:F802" si="228">D796*(($F$338)+1)+E796</f>
        <v>977.75009280000006</v>
      </c>
      <c r="G796" s="120" t="str">
        <f>A795</f>
        <v>2nd to 5th, 7th to 10th, 12th to 15th, 17th to 20th, 22nd to 25th, 27th to 30th Floor</v>
      </c>
      <c r="H796" s="121"/>
      <c r="I796" s="52"/>
      <c r="N796" s="53" t="str">
        <f t="shared" ca="1" si="226"/>
        <v>25703,..,3003</v>
      </c>
      <c r="O796" s="53">
        <f t="shared" ref="O796:P796" ca="1" si="229">O795+1</f>
        <v>25703</v>
      </c>
      <c r="P796" s="53">
        <f t="shared" ca="1" si="229"/>
        <v>3003</v>
      </c>
    </row>
    <row r="797" spans="1:16" s="53" customFormat="1" ht="15.75" customHeight="1" x14ac:dyDescent="0.35">
      <c r="A797" s="116">
        <f>A796+1</f>
        <v>2</v>
      </c>
      <c r="B797" s="116"/>
      <c r="C797" s="28" t="s">
        <v>133</v>
      </c>
      <c r="D797" s="28">
        <f>(3.05*5.54+2.28*3.95+2.9*3.8+3.05*(3.85+4.27)+1.37*(2.28+2.44*2)+6.5+1.58*2.52+3.05*1.23)*(10.764)</f>
        <v>922.81171319999987</v>
      </c>
      <c r="E797" s="28">
        <v>0</v>
      </c>
      <c r="F797" s="28">
        <f t="shared" si="228"/>
        <v>1384.2175697999999</v>
      </c>
      <c r="G797" s="122"/>
      <c r="H797" s="123"/>
      <c r="I797" s="52"/>
      <c r="N797" s="53" t="str">
        <f t="shared" ca="1" si="226"/>
        <v>25704,..,3004</v>
      </c>
      <c r="O797" s="53">
        <f t="shared" ref="O797:P797" ca="1" si="230">O796+1</f>
        <v>25704</v>
      </c>
      <c r="P797" s="53">
        <f t="shared" ca="1" si="230"/>
        <v>3004</v>
      </c>
    </row>
    <row r="798" spans="1:16" s="53" customFormat="1" ht="15.75" customHeight="1" x14ac:dyDescent="0.35">
      <c r="A798" s="116">
        <f t="shared" ref="A798:A802" si="231">A797+1</f>
        <v>3</v>
      </c>
      <c r="B798" s="116"/>
      <c r="C798" s="28" t="s">
        <v>178</v>
      </c>
      <c r="D798" s="28">
        <f>(3.05*5.18+2.2*3.18+2.9*3.73+3.05*3.66+1.37*(2.44+2.28)+1.45+1.23*2.45+3.05*1.05)*(10.764)</f>
        <v>634.0792535999999</v>
      </c>
      <c r="E798" s="28">
        <v>0</v>
      </c>
      <c r="F798" s="28">
        <f t="shared" si="228"/>
        <v>951.11888039999985</v>
      </c>
      <c r="G798" s="122"/>
      <c r="H798" s="123"/>
      <c r="I798" s="52"/>
      <c r="N798" s="53" t="str">
        <f t="shared" ca="1" si="226"/>
        <v>25705,..,3005</v>
      </c>
      <c r="O798" s="53">
        <f t="shared" ref="O798:P798" ca="1" si="232">O797+1</f>
        <v>25705</v>
      </c>
      <c r="P798" s="53">
        <f t="shared" ca="1" si="232"/>
        <v>3005</v>
      </c>
    </row>
    <row r="799" spans="1:16" s="53" customFormat="1" ht="15.75" customHeight="1" x14ac:dyDescent="0.35">
      <c r="A799" s="116">
        <f t="shared" si="231"/>
        <v>4</v>
      </c>
      <c r="B799" s="116"/>
      <c r="C799" s="28" t="s">
        <v>133</v>
      </c>
      <c r="D799" s="28">
        <f>(3.05*5.54+2.28*3.95+2.9*3.8+3.05*(3.85+4.27)+1.37*(2.28+2.44*2)+6.5+1.58*2.52+3.05*1.23)*(10.764)</f>
        <v>922.81171319999987</v>
      </c>
      <c r="E799" s="28">
        <v>0</v>
      </c>
      <c r="F799" s="28">
        <f t="shared" si="228"/>
        <v>1384.2175697999999</v>
      </c>
      <c r="G799" s="122"/>
      <c r="H799" s="123"/>
      <c r="I799" s="52"/>
      <c r="N799" s="53" t="str">
        <f t="shared" ca="1" si="226"/>
        <v>25706,..,3006</v>
      </c>
      <c r="O799" s="53">
        <f t="shared" ref="O799:P799" ca="1" si="233">O798+1</f>
        <v>25706</v>
      </c>
      <c r="P799" s="53">
        <f t="shared" ca="1" si="233"/>
        <v>3006</v>
      </c>
    </row>
    <row r="800" spans="1:16" s="53" customFormat="1" ht="15.75" customHeight="1" x14ac:dyDescent="0.35">
      <c r="A800" s="116">
        <f t="shared" si="231"/>
        <v>5</v>
      </c>
      <c r="B800" s="116"/>
      <c r="C800" s="28" t="s">
        <v>178</v>
      </c>
      <c r="D800" s="28">
        <f>(3.05*4.98+2.28*3.43+2.9*3.66+3.05*3.66+1.37*(2.41+2.28)+1.7+2.47*1.58+0.4*1.35+3.05*1.05)*(10.764)</f>
        <v>651.83339520000004</v>
      </c>
      <c r="E800" s="28">
        <v>0</v>
      </c>
      <c r="F800" s="28">
        <f t="shared" si="228"/>
        <v>977.75009280000006</v>
      </c>
      <c r="G800" s="122"/>
      <c r="H800" s="123"/>
      <c r="I800" s="52"/>
      <c r="N800" s="53" t="str">
        <f t="shared" ca="1" si="226"/>
        <v>25707,..,3007</v>
      </c>
      <c r="O800" s="53">
        <f t="shared" ref="O800:P800" ca="1" si="234">O799+1</f>
        <v>25707</v>
      </c>
      <c r="P800" s="53">
        <f t="shared" ca="1" si="234"/>
        <v>3007</v>
      </c>
    </row>
    <row r="801" spans="1:16" s="53" customFormat="1" ht="15.75" customHeight="1" x14ac:dyDescent="0.35">
      <c r="A801" s="116">
        <f t="shared" si="231"/>
        <v>6</v>
      </c>
      <c r="B801" s="116"/>
      <c r="C801" s="28" t="s">
        <v>178</v>
      </c>
      <c r="D801" s="28">
        <f>(3.05*6+3.65*2.28+3.05*(3.89+3.66)+1.37*(2.44+2.31)+3.41*1.37+1.7*1.1+3.05*1.05)*(10.764)</f>
        <v>709.3605167999998</v>
      </c>
      <c r="E801" s="28">
        <v>0</v>
      </c>
      <c r="F801" s="28">
        <f t="shared" si="228"/>
        <v>1064.0407751999996</v>
      </c>
      <c r="G801" s="122"/>
      <c r="H801" s="123"/>
      <c r="I801" s="52">
        <v>5</v>
      </c>
    </row>
    <row r="802" spans="1:16" s="53" customFormat="1" ht="15.75" customHeight="1" x14ac:dyDescent="0.35">
      <c r="A802" s="116">
        <f t="shared" si="231"/>
        <v>7</v>
      </c>
      <c r="B802" s="116"/>
      <c r="C802" s="28" t="s">
        <v>178</v>
      </c>
      <c r="D802" s="28">
        <f>(3.05*6+3.65*2.28+3.05*(3.89+3.66)+1.37*(2.44+2.31)+3.41*1.37+1.7*1.1+3.05*1.05)*(10.764)</f>
        <v>709.3605167999998</v>
      </c>
      <c r="E802" s="28">
        <v>0</v>
      </c>
      <c r="F802" s="28">
        <f t="shared" si="228"/>
        <v>1064.0407751999996</v>
      </c>
      <c r="G802" s="173"/>
      <c r="H802" s="174"/>
      <c r="I802" s="52"/>
      <c r="N802" s="53" t="str">
        <f t="shared" ref="N802:N808" ca="1" si="235">O802&amp;""&amp;",..,"&amp;""&amp;P802</f>
        <v>6101,..,2601</v>
      </c>
      <c r="O802" s="53">
        <f ca="1">(SUMPRODUCT(MID(0&amp;(LEFT(A803,SUM(LEN(A803)-LEN(SUBSTITUTE(A803,{"0","1","2"},""))))), LARGE(INDEX(ISNUMBER(--MID((LEFT(A803,SUM(LEN(A803)-LEN(SUBSTITUTE(A803,{"0","1","2"},""))))), ROW(INDIRECT("1:"&amp;LEN((LEFT(A803,SUM(LEN(A803)-LEN(SUBSTITUTE(A803,{"0","1","2"},"")))))))), 1)) * ROW(INDIRECT("1:"&amp;LEN((LEFT(A803,SUM(LEN(A803)-LEN(SUBSTITUTE(A803,{"0","1","2"},"")))))))), 0), ROW(INDIRECT("1:"&amp;LEN((LEFT(A803,SUM(LEN(A803)-LEN(SUBSTITUTE(A803,{"0","1","2"},"")))))))))+1, 1) * 10^ROW(INDIRECT("1:"&amp;LEN((LEFT(A803,SUM(LEN(A803)-LEN(SUBSTITUTE(A803,{"0","1","2"},""))))))))/10))*100+1</f>
        <v>6101</v>
      </c>
      <c r="P802" s="53">
        <f ca="1">(SUMPRODUCT(MID(0&amp;(--TRIM(RIGHT(SUBSTITUTE(LEFT(A803,_xlfn.AGGREGATE(16,6,FIND({0,1,2,3,4,5,6,7,8,9},A803,ROW(INDIRECT("1:"&amp;LEN(A803)))),1))," ",REPT(" ",LEN(A803))),LEN(A803)))), LARGE(INDEX(ISNUMBER(--MID((--TRIM(RIGHT(SUBSTITUTE(LEFT(A803,_xlfn.AGGREGATE(16,6,FIND({0,1,2,3,4,5,6,7,8,9},A803,ROW(INDIRECT("1:"&amp;LEN(A803)))),1))," ",REPT(" ",LEN(A803))),LEN(A803)))), ROW(INDIRECT("1:"&amp;LEN((--TRIM(RIGHT(SUBSTITUTE(LEFT(A803,_xlfn.AGGREGATE(16,6,FIND({0,1,2,3,4,5,6,7,8,9},A803,ROW(INDIRECT("1:"&amp;LEN(A803)))),1))," ",REPT(" ",LEN(A803))),LEN(A803))))))), 1)) * ROW(INDIRECT("1:"&amp;LEN((--TRIM(RIGHT(SUBSTITUTE(LEFT(A803,_xlfn.AGGREGATE(16,6,FIND({0,1,2,3,4,5,6,7,8,9},A803,ROW(INDIRECT("1:"&amp;LEN(A803)))),1))," ",REPT(" ",LEN(A803))),LEN(A803))))))), 0), ROW(INDIRECT("1:"&amp;LEN((--TRIM(RIGHT(SUBSTITUTE(LEFT(A803,_xlfn.AGGREGATE(16,6,FIND({0,1,2,3,4,5,6,7,8,9},A803,ROW(INDIRECT("1:"&amp;LEN(A803)))),1))," ",REPT(" ",LEN(A803))),LEN(A803))))))))+1, 1) * 10^ROW(INDIRECT("1:"&amp;LEN((--TRIM(RIGHT(SUBSTITUTE(LEFT(A803,_xlfn.AGGREGATE(16,6,FIND({0,1,2,3,4,5,6,7,8,9},A803,ROW(INDIRECT("1:"&amp;LEN(A803)))),1))," ",REPT(" ",LEN(A803))),LEN(A803)))))))/10))*100+1</f>
        <v>2601</v>
      </c>
    </row>
    <row r="803" spans="1:16" s="53" customFormat="1" ht="15.75" customHeight="1" x14ac:dyDescent="0.35">
      <c r="A803" s="127" t="s">
        <v>410</v>
      </c>
      <c r="B803" s="128"/>
      <c r="C803" s="128"/>
      <c r="D803" s="128"/>
      <c r="E803" s="128"/>
      <c r="F803" s="128"/>
      <c r="G803" s="128"/>
      <c r="H803" s="129"/>
      <c r="I803" s="52"/>
      <c r="N803" s="53" t="str">
        <f t="shared" ca="1" si="235"/>
        <v>6102,..,2602</v>
      </c>
      <c r="O803" s="53">
        <f t="shared" ref="O803:P803" ca="1" si="236">O802+1</f>
        <v>6102</v>
      </c>
      <c r="P803" s="53">
        <f t="shared" ca="1" si="236"/>
        <v>2602</v>
      </c>
    </row>
    <row r="804" spans="1:16" s="53" customFormat="1" ht="15.75" customHeight="1" x14ac:dyDescent="0.35">
      <c r="A804" s="116">
        <v>1</v>
      </c>
      <c r="B804" s="116"/>
      <c r="C804" s="28" t="s">
        <v>178</v>
      </c>
      <c r="D804" s="28">
        <f>(3.05*4.98+2.28*3.43+2.9*3.66+3.05*3.66+1.37*(2.41+2.28)+1.7+2.47*1.58+0.4*1.35+3.05*1.05)*(10.764)</f>
        <v>651.83339520000004</v>
      </c>
      <c r="E804" s="28">
        <v>0</v>
      </c>
      <c r="F804" s="28">
        <f>D804*(($F$338)+1)+E804</f>
        <v>977.75009280000006</v>
      </c>
      <c r="G804" s="120" t="str">
        <f>A803</f>
        <v>6th, 11th, 16th, 21st, 26th Floor (Part Refuge Floor)</v>
      </c>
      <c r="H804" s="121"/>
      <c r="I804" s="52"/>
      <c r="N804" s="53" t="str">
        <f t="shared" ca="1" si="235"/>
        <v>6103,..,2603</v>
      </c>
      <c r="O804" s="53">
        <f t="shared" ref="O804:P804" ca="1" si="237">O803+1</f>
        <v>6103</v>
      </c>
      <c r="P804" s="53">
        <f t="shared" ca="1" si="237"/>
        <v>2603</v>
      </c>
    </row>
    <row r="805" spans="1:16" s="53" customFormat="1" ht="15.75" customHeight="1" x14ac:dyDescent="0.35">
      <c r="A805" s="116">
        <f>A804+1</f>
        <v>2</v>
      </c>
      <c r="B805" s="116"/>
      <c r="C805" s="28" t="s">
        <v>133</v>
      </c>
      <c r="D805" s="28">
        <f>(3.05*5.54+2.28*3.95+2.9*3.8+3.05*(3.85+4.27)+1.37*(2.28+2.44*2)+6.5+1.58*2.52+3.05*1.23)*(10.764)</f>
        <v>922.81171319999987</v>
      </c>
      <c r="E805" s="28">
        <v>0</v>
      </c>
      <c r="F805" s="28">
        <f>D805*(($F$338)+1)+E805</f>
        <v>1384.2175697999999</v>
      </c>
      <c r="G805" s="122"/>
      <c r="H805" s="123"/>
      <c r="I805" s="52"/>
      <c r="N805" s="53" t="str">
        <f t="shared" ca="1" si="235"/>
        <v>6104,..,2604</v>
      </c>
      <c r="O805" s="53">
        <f t="shared" ref="O805:P805" ca="1" si="238">O804+1</f>
        <v>6104</v>
      </c>
      <c r="P805" s="53">
        <f t="shared" ca="1" si="238"/>
        <v>2604</v>
      </c>
    </row>
    <row r="806" spans="1:16" s="53" customFormat="1" ht="15.75" customHeight="1" x14ac:dyDescent="0.35">
      <c r="A806" s="116">
        <f t="shared" ref="A806:A810" si="239">A805+1</f>
        <v>3</v>
      </c>
      <c r="B806" s="116"/>
      <c r="C806" s="28" t="s">
        <v>178</v>
      </c>
      <c r="D806" s="28">
        <f>(3.05*5.18+2.2*3.18+2.9*3.73+3.05*3.66+1.37*(2.44+2.28)+1.45+1.23*2.45+3.05*1.05)*(10.764)</f>
        <v>634.0792535999999</v>
      </c>
      <c r="E806" s="28">
        <v>0</v>
      </c>
      <c r="F806" s="28">
        <f>D806*(($F$338)+1)+E806</f>
        <v>951.11888039999985</v>
      </c>
      <c r="G806" s="122"/>
      <c r="H806" s="123"/>
      <c r="I806" s="52"/>
      <c r="N806" s="53" t="str">
        <f t="shared" ca="1" si="235"/>
        <v>6105,..,2605</v>
      </c>
      <c r="O806" s="53">
        <f t="shared" ref="O806:P806" ca="1" si="240">O805+1</f>
        <v>6105</v>
      </c>
      <c r="P806" s="53">
        <f t="shared" ca="1" si="240"/>
        <v>2605</v>
      </c>
    </row>
    <row r="807" spans="1:16" s="53" customFormat="1" ht="15.75" customHeight="1" x14ac:dyDescent="0.35">
      <c r="A807" s="116">
        <f t="shared" si="239"/>
        <v>4</v>
      </c>
      <c r="B807" s="116"/>
      <c r="C807" s="28" t="s">
        <v>133</v>
      </c>
      <c r="D807" s="28">
        <f>(3.05*5.54+2.28*3.95+2.9*3.8+3.05*(3.85+4.27)+1.37*(2.28+2.44*2)+6.5+1.58*2.52+3.05*1.23)*(10.764)</f>
        <v>922.81171319999987</v>
      </c>
      <c r="E807" s="28">
        <v>0</v>
      </c>
      <c r="F807" s="28">
        <f>D807*(($F$338)+1)+E807</f>
        <v>1384.2175697999999</v>
      </c>
      <c r="G807" s="122"/>
      <c r="H807" s="123"/>
      <c r="I807" s="52"/>
      <c r="N807" s="53" t="str">
        <f t="shared" ca="1" si="235"/>
        <v>6106,..,2606</v>
      </c>
      <c r="O807" s="53">
        <f t="shared" ref="O807:P807" ca="1" si="241">O806+1</f>
        <v>6106</v>
      </c>
      <c r="P807" s="53">
        <f t="shared" ca="1" si="241"/>
        <v>2606</v>
      </c>
    </row>
    <row r="808" spans="1:16" s="53" customFormat="1" ht="15.75" customHeight="1" x14ac:dyDescent="0.35">
      <c r="A808" s="116">
        <f t="shared" si="239"/>
        <v>5</v>
      </c>
      <c r="B808" s="116"/>
      <c r="C808" s="117" t="s">
        <v>201</v>
      </c>
      <c r="D808" s="118"/>
      <c r="E808" s="118"/>
      <c r="F808" s="119"/>
      <c r="G808" s="122"/>
      <c r="H808" s="123"/>
      <c r="I808" s="52"/>
      <c r="N808" s="53" t="str">
        <f t="shared" ca="1" si="235"/>
        <v>6107,..,2607</v>
      </c>
      <c r="O808" s="53">
        <f t="shared" ref="O808:P808" ca="1" si="242">O807+1</f>
        <v>6107</v>
      </c>
      <c r="P808" s="53">
        <f t="shared" ca="1" si="242"/>
        <v>2607</v>
      </c>
    </row>
    <row r="809" spans="1:16" s="53" customFormat="1" ht="15.75" customHeight="1" x14ac:dyDescent="0.35">
      <c r="A809" s="116">
        <f t="shared" si="239"/>
        <v>6</v>
      </c>
      <c r="B809" s="116"/>
      <c r="C809" s="28" t="s">
        <v>178</v>
      </c>
      <c r="D809" s="28">
        <f>(3.05*6+3.65*2.28+3.05*(3.89+3.66)+1.37*(2.44+2.31)+3.41*1.37+1.7*1.1+3.05*1.05)*(10.764)</f>
        <v>709.3605167999998</v>
      </c>
      <c r="E809" s="28">
        <v>0</v>
      </c>
      <c r="F809" s="28">
        <f>D809*(($F$338)+1)+E809</f>
        <v>1064.0407751999996</v>
      </c>
      <c r="G809" s="122"/>
      <c r="H809" s="123"/>
      <c r="I809" s="52">
        <v>1</v>
      </c>
    </row>
    <row r="810" spans="1:16" s="53" customFormat="1" ht="15.75" customHeight="1" x14ac:dyDescent="0.35">
      <c r="A810" s="116">
        <f t="shared" si="239"/>
        <v>7</v>
      </c>
      <c r="B810" s="116"/>
      <c r="C810" s="28" t="s">
        <v>178</v>
      </c>
      <c r="D810" s="28">
        <f>(3.05*6+3.65*2.28+3.05*(3.89+3.66)+1.37*(2.44+2.31)+3.41*1.37+1.7*1.1+3.05*1.05)*(10.764)</f>
        <v>709.3605167999998</v>
      </c>
      <c r="E810" s="28">
        <v>0</v>
      </c>
      <c r="F810" s="28">
        <f>D810*(($F$338)+1)+E810</f>
        <v>1064.0407751999996</v>
      </c>
      <c r="G810" s="173"/>
      <c r="H810" s="174"/>
      <c r="I810" s="52"/>
      <c r="N810" s="53" t="str">
        <f t="shared" ref="N810:N815" ca="1" si="243">O810&amp;""&amp;",..,"&amp;""&amp;P810</f>
        <v>301,..,3101</v>
      </c>
      <c r="O810" s="53">
        <f ca="1">(SUMPRODUCT(MID(0&amp;(LEFT(A811,SUM(LEN(A811)-LEN(SUBSTITUTE(A811,{"0","1","2"},""))))), LARGE(INDEX(ISNUMBER(--MID((LEFT(A811,SUM(LEN(A811)-LEN(SUBSTITUTE(A811,{"0","1","2"},""))))), ROW(INDIRECT("1:"&amp;LEN((LEFT(A811,SUM(LEN(A811)-LEN(SUBSTITUTE(A811,{"0","1","2"},"")))))))), 1)) * ROW(INDIRECT("1:"&amp;LEN((LEFT(A811,SUM(LEN(A811)-LEN(SUBSTITUTE(A811,{"0","1","2"},"")))))))), 0), ROW(INDIRECT("1:"&amp;LEN((LEFT(A811,SUM(LEN(A811)-LEN(SUBSTITUTE(A811,{"0","1","2"},"")))))))))+1, 1) * 10^ROW(INDIRECT("1:"&amp;LEN((LEFT(A811,SUM(LEN(A811)-LEN(SUBSTITUTE(A811,{"0","1","2"},""))))))))/10))*100+1</f>
        <v>301</v>
      </c>
      <c r="P810" s="53">
        <f ca="1">(SUMPRODUCT(MID(0&amp;(--TRIM(RIGHT(SUBSTITUTE(LEFT(A811,_xlfn.AGGREGATE(16,6,FIND({0,1,2,3,4,5,6,7,8,9},A811,ROW(INDIRECT("1:"&amp;LEN(A811)))),1))," ",REPT(" ",LEN(A811))),LEN(A811)))), LARGE(INDEX(ISNUMBER(--MID((--TRIM(RIGHT(SUBSTITUTE(LEFT(A811,_xlfn.AGGREGATE(16,6,FIND({0,1,2,3,4,5,6,7,8,9},A811,ROW(INDIRECT("1:"&amp;LEN(A811)))),1))," ",REPT(" ",LEN(A811))),LEN(A811)))), ROW(INDIRECT("1:"&amp;LEN((--TRIM(RIGHT(SUBSTITUTE(LEFT(A811,_xlfn.AGGREGATE(16,6,FIND({0,1,2,3,4,5,6,7,8,9},A811,ROW(INDIRECT("1:"&amp;LEN(A811)))),1))," ",REPT(" ",LEN(A811))),LEN(A811))))))), 1)) * ROW(INDIRECT("1:"&amp;LEN((--TRIM(RIGHT(SUBSTITUTE(LEFT(A811,_xlfn.AGGREGATE(16,6,FIND({0,1,2,3,4,5,6,7,8,9},A811,ROW(INDIRECT("1:"&amp;LEN(A811)))),1))," ",REPT(" ",LEN(A811))),LEN(A811))))))), 0), ROW(INDIRECT("1:"&amp;LEN((--TRIM(RIGHT(SUBSTITUTE(LEFT(A811,_xlfn.AGGREGATE(16,6,FIND({0,1,2,3,4,5,6,7,8,9},A811,ROW(INDIRECT("1:"&amp;LEN(A811)))),1))," ",REPT(" ",LEN(A811))),LEN(A811))))))))+1, 1) * 10^ROW(INDIRECT("1:"&amp;LEN((--TRIM(RIGHT(SUBSTITUTE(LEFT(A811,_xlfn.AGGREGATE(16,6,FIND({0,1,2,3,4,5,6,7,8,9},A811,ROW(INDIRECT("1:"&amp;LEN(A811)))),1))," ",REPT(" ",LEN(A811))),LEN(A811)))))))/10))*100+1</f>
        <v>3101</v>
      </c>
    </row>
    <row r="811" spans="1:16" s="53" customFormat="1" ht="15.75" customHeight="1" x14ac:dyDescent="0.35">
      <c r="A811" s="127" t="s">
        <v>306</v>
      </c>
      <c r="B811" s="128"/>
      <c r="C811" s="128"/>
      <c r="D811" s="128"/>
      <c r="E811" s="128"/>
      <c r="F811" s="128"/>
      <c r="G811" s="128"/>
      <c r="H811" s="129"/>
      <c r="I811" s="52"/>
      <c r="N811" s="53" t="str">
        <f t="shared" ca="1" si="243"/>
        <v>302,..,3102</v>
      </c>
      <c r="O811" s="53">
        <f t="shared" ref="O811:P811" ca="1" si="244">O810+1</f>
        <v>302</v>
      </c>
      <c r="P811" s="53">
        <f t="shared" ca="1" si="244"/>
        <v>3102</v>
      </c>
    </row>
    <row r="812" spans="1:16" s="53" customFormat="1" ht="15.75" customHeight="1" x14ac:dyDescent="0.35">
      <c r="A812" s="116">
        <v>1</v>
      </c>
      <c r="B812" s="116"/>
      <c r="C812" s="28" t="s">
        <v>178</v>
      </c>
      <c r="D812" s="28">
        <f>(3.05*4.98+2.28*3.43+2.9*3.66+3.05*3.66+1.37*(2.41+2.28)+1.7+2.47*1.58+0.4*1.35+3.05*1.05+5.57*1.38+1.4)*(10.764)</f>
        <v>749.64155760000006</v>
      </c>
      <c r="E812" s="28">
        <v>0</v>
      </c>
      <c r="F812" s="28">
        <f>D812*(($F$338)+1)+E812</f>
        <v>1124.4623364000001</v>
      </c>
      <c r="G812" s="120" t="str">
        <f>A811</f>
        <v>31st Floor (Part Refuge Floor)</v>
      </c>
      <c r="H812" s="121"/>
      <c r="I812" s="52"/>
      <c r="N812" s="53" t="str">
        <f t="shared" ca="1" si="243"/>
        <v>303,..,3103</v>
      </c>
      <c r="O812" s="53">
        <f t="shared" ref="O812:P812" ca="1" si="245">O811+1</f>
        <v>303</v>
      </c>
      <c r="P812" s="53">
        <f t="shared" ca="1" si="245"/>
        <v>3103</v>
      </c>
    </row>
    <row r="813" spans="1:16" s="53" customFormat="1" ht="15.75" customHeight="1" x14ac:dyDescent="0.35">
      <c r="A813" s="116">
        <f>A812+1</f>
        <v>2</v>
      </c>
      <c r="B813" s="116"/>
      <c r="C813" s="28" t="s">
        <v>133</v>
      </c>
      <c r="D813" s="28">
        <f>(3.05*5.54+2.28*3.95+2.9*3.8+3.05*(3.85+4.27)+1.37*(2.28+2.44*2)+6.5+1.58*2.52+3.05*1.23+4.12*1.38+1.4)*(10.764)</f>
        <v>999.08111159999987</v>
      </c>
      <c r="E813" s="28">
        <v>0</v>
      </c>
      <c r="F813" s="28">
        <f>D813*(($F$338)+1)+E813</f>
        <v>1498.6216673999998</v>
      </c>
      <c r="G813" s="122"/>
      <c r="H813" s="123"/>
      <c r="I813" s="52"/>
      <c r="N813" s="53" t="str">
        <f t="shared" ca="1" si="243"/>
        <v>304,..,3104</v>
      </c>
      <c r="O813" s="53">
        <f t="shared" ref="O813:P813" ca="1" si="246">O812+1</f>
        <v>304</v>
      </c>
      <c r="P813" s="53">
        <f t="shared" ca="1" si="246"/>
        <v>3104</v>
      </c>
    </row>
    <row r="814" spans="1:16" s="53" customFormat="1" ht="15.75" customHeight="1" x14ac:dyDescent="0.35">
      <c r="A814" s="116">
        <f t="shared" ref="A814:A817" si="247">A813+1</f>
        <v>3</v>
      </c>
      <c r="B814" s="116"/>
      <c r="C814" s="28" t="s">
        <v>178</v>
      </c>
      <c r="D814" s="28">
        <f>(3.05*5.18+2.2*3.18+2.9*3.73+3.05*3.66+1.37*(2.44+2.28)+1.45+1.23*2.45+3.05*1.05)*(10.764)</f>
        <v>634.0792535999999</v>
      </c>
      <c r="E814" s="28">
        <v>0</v>
      </c>
      <c r="F814" s="28">
        <f>D814*(($F$338)+1)+E814</f>
        <v>951.11888039999985</v>
      </c>
      <c r="G814" s="122"/>
      <c r="H814" s="123"/>
      <c r="I814" s="52"/>
      <c r="N814" s="53" t="str">
        <f t="shared" ca="1" si="243"/>
        <v>305,..,3105</v>
      </c>
      <c r="O814" s="53">
        <f t="shared" ref="O814:P814" ca="1" si="248">O813+1</f>
        <v>305</v>
      </c>
      <c r="P814" s="53">
        <f t="shared" ca="1" si="248"/>
        <v>3105</v>
      </c>
    </row>
    <row r="815" spans="1:16" s="53" customFormat="1" ht="15.75" customHeight="1" x14ac:dyDescent="0.35">
      <c r="A815" s="116">
        <f t="shared" si="247"/>
        <v>4</v>
      </c>
      <c r="B815" s="116"/>
      <c r="C815" s="28" t="s">
        <v>133</v>
      </c>
      <c r="D815" s="28">
        <f>(3.05*5.54+2.28*3.95+2.9*3.8+3.05*(3.85+4.27)+1.37*(2.28+2.44*2)+6.5+1.58*2.52+3.05*1.23)*(10.764)</f>
        <v>922.81171319999987</v>
      </c>
      <c r="E815" s="28">
        <v>0</v>
      </c>
      <c r="F815" s="28">
        <f>D815*(($F$338)+1)+E815</f>
        <v>1384.2175697999999</v>
      </c>
      <c r="G815" s="122"/>
      <c r="H815" s="123"/>
      <c r="I815" s="52"/>
      <c r="N815" s="53" t="str">
        <f t="shared" ca="1" si="243"/>
        <v>306,..,3106</v>
      </c>
      <c r="O815" s="53">
        <f t="shared" ref="O815:P815" ca="1" si="249">O814+1</f>
        <v>306</v>
      </c>
      <c r="P815" s="53">
        <f t="shared" ca="1" si="249"/>
        <v>3106</v>
      </c>
    </row>
    <row r="816" spans="1:16" s="53" customFormat="1" ht="15.75" customHeight="1" x14ac:dyDescent="0.35">
      <c r="A816" s="116">
        <f t="shared" si="247"/>
        <v>5</v>
      </c>
      <c r="B816" s="116"/>
      <c r="C816" s="117" t="s">
        <v>201</v>
      </c>
      <c r="D816" s="118"/>
      <c r="E816" s="118"/>
      <c r="F816" s="119"/>
      <c r="G816" s="122"/>
      <c r="H816" s="123"/>
      <c r="I816" s="52">
        <v>5</v>
      </c>
    </row>
    <row r="817" spans="1:16" s="53" customFormat="1" ht="15.75" customHeight="1" x14ac:dyDescent="0.35">
      <c r="A817" s="116">
        <f t="shared" si="247"/>
        <v>6</v>
      </c>
      <c r="B817" s="116"/>
      <c r="C817" s="28" t="s">
        <v>298</v>
      </c>
      <c r="D817" s="28">
        <f>(6.25*6+4.65*2.43+3.05*(3.66*2+3.89*2)+1.65*2+1.37*(2.31*2+2.44*2)+(1.37*3.41)*2+2.78*1.5+3.7*2.43+6.25*1.3)*(10.764)</f>
        <v>1526.3233596</v>
      </c>
      <c r="E817" s="28">
        <v>0</v>
      </c>
      <c r="F817" s="28">
        <f>D817*(($F$338)+1)+E817</f>
        <v>2289.4850394</v>
      </c>
      <c r="G817" s="173"/>
      <c r="H817" s="174"/>
      <c r="I817" s="52"/>
      <c r="N817" s="53" t="str">
        <f t="shared" ref="N817:N822" ca="1" si="250">O817&amp;""&amp;",..,"&amp;""&amp;P817</f>
        <v>301,..,3601</v>
      </c>
      <c r="O817" s="53">
        <f ca="1">(SUMPRODUCT(MID(0&amp;(LEFT(A818,SUM(LEN(A818)-LEN(SUBSTITUTE(A818,{"0","1","2"},""))))), LARGE(INDEX(ISNUMBER(--MID((LEFT(A818,SUM(LEN(A818)-LEN(SUBSTITUTE(A818,{"0","1","2"},""))))), ROW(INDIRECT("1:"&amp;LEN((LEFT(A818,SUM(LEN(A818)-LEN(SUBSTITUTE(A818,{"0","1","2"},"")))))))), 1)) * ROW(INDIRECT("1:"&amp;LEN((LEFT(A818,SUM(LEN(A818)-LEN(SUBSTITUTE(A818,{"0","1","2"},"")))))))), 0), ROW(INDIRECT("1:"&amp;LEN((LEFT(A818,SUM(LEN(A818)-LEN(SUBSTITUTE(A818,{"0","1","2"},"")))))))))+1, 1) * 10^ROW(INDIRECT("1:"&amp;LEN((LEFT(A818,SUM(LEN(A818)-LEN(SUBSTITUTE(A818,{"0","1","2"},""))))))))/10))*100+1</f>
        <v>301</v>
      </c>
      <c r="P817" s="53">
        <f ca="1">(SUMPRODUCT(MID(0&amp;(--TRIM(RIGHT(SUBSTITUTE(LEFT(A818,_xlfn.AGGREGATE(16,6,FIND({0,1,2,3,4,5,6,7,8,9},A818,ROW(INDIRECT("1:"&amp;LEN(A818)))),1))," ",REPT(" ",LEN(A818))),LEN(A818)))), LARGE(INDEX(ISNUMBER(--MID((--TRIM(RIGHT(SUBSTITUTE(LEFT(A818,_xlfn.AGGREGATE(16,6,FIND({0,1,2,3,4,5,6,7,8,9},A818,ROW(INDIRECT("1:"&amp;LEN(A818)))),1))," ",REPT(" ",LEN(A818))),LEN(A818)))), ROW(INDIRECT("1:"&amp;LEN((--TRIM(RIGHT(SUBSTITUTE(LEFT(A818,_xlfn.AGGREGATE(16,6,FIND({0,1,2,3,4,5,6,7,8,9},A818,ROW(INDIRECT("1:"&amp;LEN(A818)))),1))," ",REPT(" ",LEN(A818))),LEN(A818))))))), 1)) * ROW(INDIRECT("1:"&amp;LEN((--TRIM(RIGHT(SUBSTITUTE(LEFT(A818,_xlfn.AGGREGATE(16,6,FIND({0,1,2,3,4,5,6,7,8,9},A818,ROW(INDIRECT("1:"&amp;LEN(A818)))),1))," ",REPT(" ",LEN(A818))),LEN(A818))))))), 0), ROW(INDIRECT("1:"&amp;LEN((--TRIM(RIGHT(SUBSTITUTE(LEFT(A818,_xlfn.AGGREGATE(16,6,FIND({0,1,2,3,4,5,6,7,8,9},A818,ROW(INDIRECT("1:"&amp;LEN(A818)))),1))," ",REPT(" ",LEN(A818))),LEN(A818))))))))+1, 1) * 10^ROW(INDIRECT("1:"&amp;LEN((--TRIM(RIGHT(SUBSTITUTE(LEFT(A818,_xlfn.AGGREGATE(16,6,FIND({0,1,2,3,4,5,6,7,8,9},A818,ROW(INDIRECT("1:"&amp;LEN(A818)))),1))," ",REPT(" ",LEN(A818))),LEN(A818)))))))/10))*100+1</f>
        <v>3601</v>
      </c>
    </row>
    <row r="818" spans="1:16" s="53" customFormat="1" ht="15.75" customHeight="1" x14ac:dyDescent="0.35">
      <c r="A818" s="127" t="s">
        <v>411</v>
      </c>
      <c r="B818" s="128"/>
      <c r="C818" s="128"/>
      <c r="D818" s="128"/>
      <c r="E818" s="128"/>
      <c r="F818" s="128"/>
      <c r="G818" s="128"/>
      <c r="H818" s="129"/>
      <c r="I818" s="52"/>
      <c r="N818" s="53" t="str">
        <f t="shared" ca="1" si="250"/>
        <v>302,..,3602</v>
      </c>
      <c r="O818" s="53">
        <f t="shared" ref="O818:P818" ca="1" si="251">O817+1</f>
        <v>302</v>
      </c>
      <c r="P818" s="53">
        <f t="shared" ca="1" si="251"/>
        <v>3602</v>
      </c>
    </row>
    <row r="819" spans="1:16" s="53" customFormat="1" ht="15.75" customHeight="1" x14ac:dyDescent="0.35">
      <c r="A819" s="116">
        <v>1</v>
      </c>
      <c r="B819" s="116"/>
      <c r="C819" s="28" t="s">
        <v>178</v>
      </c>
      <c r="D819" s="28">
        <f>(3.05*4.98+2.28*3.43+2.9*3.66+3.05*3.66+1.37*(2.41+2.28)+1.7+2.47*1.58+0.4*1.35+3.05*1.05+5.57*1.38+1.4)*(10.764)</f>
        <v>749.64155760000006</v>
      </c>
      <c r="E819" s="28">
        <v>0</v>
      </c>
      <c r="F819" s="28">
        <f t="shared" ref="F819:F824" si="252">D819*(($F$338)+1)+E819</f>
        <v>1124.4623364000001</v>
      </c>
      <c r="G819" s="120" t="str">
        <f>A818</f>
        <v>32nd to 36th Floor</v>
      </c>
      <c r="H819" s="121"/>
      <c r="I819" s="52"/>
      <c r="N819" s="53" t="str">
        <f t="shared" ca="1" si="250"/>
        <v>303,..,3603</v>
      </c>
      <c r="O819" s="53">
        <f t="shared" ref="O819:P819" ca="1" si="253">O818+1</f>
        <v>303</v>
      </c>
      <c r="P819" s="53">
        <f t="shared" ca="1" si="253"/>
        <v>3603</v>
      </c>
    </row>
    <row r="820" spans="1:16" s="53" customFormat="1" ht="15.75" customHeight="1" x14ac:dyDescent="0.35">
      <c r="A820" s="116">
        <f>A819+1</f>
        <v>2</v>
      </c>
      <c r="B820" s="116"/>
      <c r="C820" s="28" t="s">
        <v>133</v>
      </c>
      <c r="D820" s="28">
        <f>(3.05*5.54+2.28*3.95+2.9*3.8+3.05*(3.85+4.27)+1.37*(2.28+2.44*2)+6.5+1.58*2.52+3.05*1.23+4.12*1.38+1.4)*(10.764)</f>
        <v>999.08111159999987</v>
      </c>
      <c r="E820" s="28">
        <v>0</v>
      </c>
      <c r="F820" s="28">
        <f t="shared" si="252"/>
        <v>1498.6216673999998</v>
      </c>
      <c r="G820" s="122"/>
      <c r="H820" s="123"/>
      <c r="I820" s="52"/>
      <c r="N820" s="53" t="str">
        <f t="shared" ca="1" si="250"/>
        <v>304,..,3604</v>
      </c>
      <c r="O820" s="53">
        <f t="shared" ref="O820:P820" ca="1" si="254">O819+1</f>
        <v>304</v>
      </c>
      <c r="P820" s="53">
        <f t="shared" ca="1" si="254"/>
        <v>3604</v>
      </c>
    </row>
    <row r="821" spans="1:16" s="53" customFormat="1" ht="15.75" customHeight="1" x14ac:dyDescent="0.35">
      <c r="A821" s="116">
        <f t="shared" ref="A821:A824" si="255">A820+1</f>
        <v>3</v>
      </c>
      <c r="B821" s="116"/>
      <c r="C821" s="28" t="s">
        <v>178</v>
      </c>
      <c r="D821" s="28">
        <f>(3.05*5.18+2.2*3.18+2.9*3.73+3.05*3.66+1.37*(2.44+2.28)+1.45+1.23*2.45+3.05*1.05)*(10.764)</f>
        <v>634.0792535999999</v>
      </c>
      <c r="E821" s="28">
        <v>0</v>
      </c>
      <c r="F821" s="28">
        <f t="shared" si="252"/>
        <v>951.11888039999985</v>
      </c>
      <c r="G821" s="122"/>
      <c r="H821" s="123"/>
      <c r="I821" s="52"/>
      <c r="N821" s="53" t="str">
        <f t="shared" ca="1" si="250"/>
        <v>305,..,3605</v>
      </c>
      <c r="O821" s="53">
        <f t="shared" ref="O821:P821" ca="1" si="256">O820+1</f>
        <v>305</v>
      </c>
      <c r="P821" s="53">
        <f t="shared" ca="1" si="256"/>
        <v>3605</v>
      </c>
    </row>
    <row r="822" spans="1:16" s="53" customFormat="1" ht="15.75" customHeight="1" x14ac:dyDescent="0.35">
      <c r="A822" s="116">
        <f t="shared" si="255"/>
        <v>4</v>
      </c>
      <c r="B822" s="116"/>
      <c r="C822" s="28" t="s">
        <v>133</v>
      </c>
      <c r="D822" s="28">
        <f>(3.05*5.54+2.28*3.95+2.9*3.8+3.05*(3.85+4.27)+1.37*(2.28+2.44*2)+6.5+1.58*2.52+3.05*1.23)*(10.764)</f>
        <v>922.81171319999987</v>
      </c>
      <c r="E822" s="28">
        <v>0</v>
      </c>
      <c r="F822" s="28">
        <f t="shared" si="252"/>
        <v>1384.2175697999999</v>
      </c>
      <c r="G822" s="122"/>
      <c r="H822" s="123"/>
      <c r="I822" s="52"/>
      <c r="N822" s="53" t="str">
        <f t="shared" ca="1" si="250"/>
        <v>306,..,3606</v>
      </c>
      <c r="O822" s="53">
        <f t="shared" ref="O822:P822" ca="1" si="257">O821+1</f>
        <v>306</v>
      </c>
      <c r="P822" s="53">
        <f t="shared" ca="1" si="257"/>
        <v>3606</v>
      </c>
    </row>
    <row r="823" spans="1:16" s="53" customFormat="1" x14ac:dyDescent="0.35">
      <c r="A823" s="116">
        <f t="shared" si="255"/>
        <v>5</v>
      </c>
      <c r="B823" s="116"/>
      <c r="C823" s="28" t="s">
        <v>178</v>
      </c>
      <c r="D823" s="28">
        <f>(3.05*4.98+2.28*3.43+2.9*3.66+3.05*3.66+1.37*(2.41+2.28)+1.7+2.47*1.58+0.4*1.35+3.05*1.05)*(10.764)</f>
        <v>651.83339520000004</v>
      </c>
      <c r="E823" s="28">
        <v>0</v>
      </c>
      <c r="F823" s="28">
        <f t="shared" si="252"/>
        <v>977.75009280000006</v>
      </c>
      <c r="G823" s="122"/>
      <c r="H823" s="123"/>
      <c r="I823" s="52"/>
    </row>
    <row r="824" spans="1:16" s="53" customFormat="1" ht="15.75" customHeight="1" x14ac:dyDescent="0.35">
      <c r="A824" s="116">
        <f t="shared" si="255"/>
        <v>6</v>
      </c>
      <c r="B824" s="116"/>
      <c r="C824" s="28" t="s">
        <v>298</v>
      </c>
      <c r="D824" s="28">
        <f>(6.25*6+4.65*2.43+3.05*(3.66*2+3.89*2)+1.65*2+1.37*(2.31*2+2.44*2)+(1.37*3.41)*2+2.78*1.5+3.7*2.43+6.25*1.3)*(10.764)</f>
        <v>1526.3233596</v>
      </c>
      <c r="E824" s="28">
        <v>0</v>
      </c>
      <c r="F824" s="28">
        <f t="shared" si="252"/>
        <v>2289.4850394</v>
      </c>
      <c r="G824" s="173"/>
      <c r="H824" s="174"/>
      <c r="I824" s="52"/>
    </row>
    <row r="825" spans="1:16" s="53" customFormat="1" x14ac:dyDescent="0.35">
      <c r="A825" s="124" t="s">
        <v>396</v>
      </c>
      <c r="B825" s="124"/>
      <c r="C825" s="124"/>
      <c r="D825" s="124"/>
      <c r="E825" s="124"/>
      <c r="F825" s="124"/>
      <c r="G825" s="124"/>
      <c r="H825" s="124"/>
      <c r="I825" s="266"/>
      <c r="J825" s="267"/>
    </row>
    <row r="826" spans="1:16" s="53" customFormat="1" x14ac:dyDescent="0.35">
      <c r="A826" s="125" t="s">
        <v>175</v>
      </c>
      <c r="B826" s="125"/>
      <c r="C826" s="125"/>
      <c r="D826" s="125"/>
      <c r="E826" s="125"/>
      <c r="F826" s="125"/>
      <c r="G826" s="125"/>
      <c r="H826" s="125"/>
      <c r="I826" s="52">
        <v>1</v>
      </c>
    </row>
    <row r="827" spans="1:16" s="53" customFormat="1" ht="15.75" customHeight="1" x14ac:dyDescent="0.35">
      <c r="A827" s="125" t="s">
        <v>426</v>
      </c>
      <c r="B827" s="125"/>
      <c r="C827" s="125"/>
      <c r="D827" s="125"/>
      <c r="E827" s="125"/>
      <c r="F827" s="125"/>
      <c r="G827" s="125"/>
      <c r="H827" s="125"/>
      <c r="I827" s="52"/>
      <c r="N827" s="53" t="str">
        <f t="shared" ref="N827:N831" ca="1" si="258">O827&amp;""&amp;",..,"&amp;""&amp;P827</f>
        <v>101,..,101</v>
      </c>
      <c r="O827" s="53">
        <f ca="1">(SUMPRODUCT(MID(0&amp;(LEFT(A828,SUM(LEN(A828)-LEN(SUBSTITUTE(A828,{"0","1","2"},""))))), LARGE(INDEX(ISNUMBER(--MID((LEFT(A828,SUM(LEN(A828)-LEN(SUBSTITUTE(A828,{"0","1","2"},""))))), ROW(INDIRECT("1:"&amp;LEN((LEFT(A828,SUM(LEN(A828)-LEN(SUBSTITUTE(A828,{"0","1","2"},"")))))))), 1)) * ROW(INDIRECT("1:"&amp;LEN((LEFT(A828,SUM(LEN(A828)-LEN(SUBSTITUTE(A828,{"0","1","2"},"")))))))), 0), ROW(INDIRECT("1:"&amp;LEN((LEFT(A828,SUM(LEN(A828)-LEN(SUBSTITUTE(A828,{"0","1","2"},"")))))))))+1, 1) * 10^ROW(INDIRECT("1:"&amp;LEN((LEFT(A828,SUM(LEN(A828)-LEN(SUBSTITUTE(A828,{"0","1","2"},""))))))))/10))*100+1</f>
        <v>101</v>
      </c>
      <c r="P827" s="53">
        <f ca="1">(SUMPRODUCT(MID(0&amp;(--TRIM(RIGHT(SUBSTITUTE(LEFT(A828,_xlfn.AGGREGATE(16,6,FIND({0,1,2,3,4,5,6,7,8,9},A828,ROW(INDIRECT("1:"&amp;LEN(A828)))),1))," ",REPT(" ",LEN(A828))),LEN(A828)))), LARGE(INDEX(ISNUMBER(--MID((--TRIM(RIGHT(SUBSTITUTE(LEFT(A828,_xlfn.AGGREGATE(16,6,FIND({0,1,2,3,4,5,6,7,8,9},A828,ROW(INDIRECT("1:"&amp;LEN(A828)))),1))," ",REPT(" ",LEN(A828))),LEN(A828)))), ROW(INDIRECT("1:"&amp;LEN((--TRIM(RIGHT(SUBSTITUTE(LEFT(A828,_xlfn.AGGREGATE(16,6,FIND({0,1,2,3,4,5,6,7,8,9},A828,ROW(INDIRECT("1:"&amp;LEN(A828)))),1))," ",REPT(" ",LEN(A828))),LEN(A828))))))), 1)) * ROW(INDIRECT("1:"&amp;LEN((--TRIM(RIGHT(SUBSTITUTE(LEFT(A828,_xlfn.AGGREGATE(16,6,FIND({0,1,2,3,4,5,6,7,8,9},A828,ROW(INDIRECT("1:"&amp;LEN(A828)))),1))," ",REPT(" ",LEN(A828))),LEN(A828))))))), 0), ROW(INDIRECT("1:"&amp;LEN((--TRIM(RIGHT(SUBSTITUTE(LEFT(A828,_xlfn.AGGREGATE(16,6,FIND({0,1,2,3,4,5,6,7,8,9},A828,ROW(INDIRECT("1:"&amp;LEN(A828)))),1))," ",REPT(" ",LEN(A828))),LEN(A828))))))))+1, 1) * 10^ROW(INDIRECT("1:"&amp;LEN((--TRIM(RIGHT(SUBSTITUTE(LEFT(A828,_xlfn.AGGREGATE(16,6,FIND({0,1,2,3,4,5,6,7,8,9},A828,ROW(INDIRECT("1:"&amp;LEN(A828)))),1))," ",REPT(" ",LEN(A828))),LEN(A828)))))))/10))*100+1</f>
        <v>101</v>
      </c>
    </row>
    <row r="828" spans="1:16" s="53" customFormat="1" ht="15.75" customHeight="1" x14ac:dyDescent="0.35">
      <c r="A828" s="125" t="s">
        <v>177</v>
      </c>
      <c r="B828" s="125"/>
      <c r="C828" s="125"/>
      <c r="D828" s="125"/>
      <c r="E828" s="125"/>
      <c r="F828" s="125"/>
      <c r="G828" s="125"/>
      <c r="H828" s="125"/>
      <c r="I828" s="52"/>
      <c r="N828" s="53" t="str">
        <f t="shared" ca="1" si="258"/>
        <v>102,..,102</v>
      </c>
      <c r="O828" s="53">
        <f t="shared" ref="O828:P828" ca="1" si="259">O827+1</f>
        <v>102</v>
      </c>
      <c r="P828" s="53">
        <f t="shared" ca="1" si="259"/>
        <v>102</v>
      </c>
    </row>
    <row r="829" spans="1:16" s="53" customFormat="1" ht="15.75" customHeight="1" x14ac:dyDescent="0.35">
      <c r="A829" s="116">
        <v>1</v>
      </c>
      <c r="B829" s="116"/>
      <c r="C829" s="117" t="s">
        <v>193</v>
      </c>
      <c r="D829" s="118"/>
      <c r="E829" s="118"/>
      <c r="F829" s="119"/>
      <c r="G829" s="120" t="str">
        <f>A828</f>
        <v>1st Podium Floor for Part Residential &amp; Part Parking</v>
      </c>
      <c r="H829" s="121"/>
      <c r="I829" s="52"/>
      <c r="N829" s="53" t="str">
        <f t="shared" ca="1" si="258"/>
        <v>103,..,103</v>
      </c>
      <c r="O829" s="53">
        <f t="shared" ref="O829:P829" ca="1" si="260">O828+1</f>
        <v>103</v>
      </c>
      <c r="P829" s="53">
        <f t="shared" ca="1" si="260"/>
        <v>103</v>
      </c>
    </row>
    <row r="830" spans="1:16" s="53" customFormat="1" ht="15.75" customHeight="1" x14ac:dyDescent="0.35">
      <c r="A830" s="116">
        <f>A829+1</f>
        <v>2</v>
      </c>
      <c r="B830" s="116"/>
      <c r="C830" s="28" t="s">
        <v>133</v>
      </c>
      <c r="D830" s="28">
        <f>(3.05*5.54+2.28*3.95+2.9*3.8+3.05*(3.85+4.27)+1.37*(2.28+2.44*2)+6.5+1.58*2.52+3.05*1.23)*(10.764)</f>
        <v>922.81171319999987</v>
      </c>
      <c r="E830" s="28">
        <v>0</v>
      </c>
      <c r="F830" s="28">
        <f>D830*(($F$338)+1)+E830</f>
        <v>1384.2175697999999</v>
      </c>
      <c r="G830" s="122"/>
      <c r="H830" s="123"/>
      <c r="I830" s="52"/>
      <c r="N830" s="53" t="str">
        <f t="shared" ca="1" si="258"/>
        <v>104,..,104</v>
      </c>
      <c r="O830" s="53">
        <f t="shared" ref="O830:P830" ca="1" si="261">O829+1</f>
        <v>104</v>
      </c>
      <c r="P830" s="53">
        <f t="shared" ca="1" si="261"/>
        <v>104</v>
      </c>
    </row>
    <row r="831" spans="1:16" s="53" customFormat="1" ht="15.75" customHeight="1" x14ac:dyDescent="0.35">
      <c r="A831" s="116">
        <f t="shared" ref="A831:A833" si="262">A830+1</f>
        <v>3</v>
      </c>
      <c r="B831" s="116"/>
      <c r="C831" s="28" t="s">
        <v>178</v>
      </c>
      <c r="D831" s="28">
        <f>(3.05*5.18+2.2*3.18+2.9*3.73+3.05*3.66+1.37*(2.44+2.28)+1.45+1.23*2.6+3.05*1.05)*(10.764)</f>
        <v>636.06521159999988</v>
      </c>
      <c r="E831" s="28">
        <v>0</v>
      </c>
      <c r="F831" s="28">
        <f>D831*(($F$338)+1)+E831</f>
        <v>954.09781739999983</v>
      </c>
      <c r="G831" s="122"/>
      <c r="H831" s="123"/>
      <c r="I831" s="52"/>
      <c r="N831" s="53" t="str">
        <f t="shared" ca="1" si="258"/>
        <v>105,..,105</v>
      </c>
      <c r="O831" s="53">
        <f t="shared" ref="O831:P831" ca="1" si="263">O830+1</f>
        <v>105</v>
      </c>
      <c r="P831" s="53">
        <f t="shared" ca="1" si="263"/>
        <v>105</v>
      </c>
    </row>
    <row r="832" spans="1:16" s="53" customFormat="1" x14ac:dyDescent="0.35">
      <c r="A832" s="116">
        <f t="shared" si="262"/>
        <v>4</v>
      </c>
      <c r="B832" s="116"/>
      <c r="C832" s="28" t="s">
        <v>133</v>
      </c>
      <c r="D832" s="28">
        <f>(3.05*5.54+2.28*3.95+2.9*3.8+3.05*(3.85+4.27)+1.37*(2.28+2.44*2)+6.5+1.58*2.52+3.05*1.23)*(10.764)</f>
        <v>922.81171319999987</v>
      </c>
      <c r="E832" s="28">
        <v>0</v>
      </c>
      <c r="F832" s="28">
        <f>D832*(($F$338)+1)+E832</f>
        <v>1384.2175697999999</v>
      </c>
      <c r="G832" s="122"/>
      <c r="H832" s="123"/>
      <c r="I832" s="52">
        <v>1</v>
      </c>
      <c r="J832" s="69"/>
    </row>
    <row r="833" spans="1:16" s="53" customFormat="1" ht="15.75" customHeight="1" x14ac:dyDescent="0.35">
      <c r="A833" s="116">
        <f t="shared" si="262"/>
        <v>5</v>
      </c>
      <c r="B833" s="116"/>
      <c r="C833" s="117" t="s">
        <v>193</v>
      </c>
      <c r="D833" s="118"/>
      <c r="E833" s="118"/>
      <c r="F833" s="119"/>
      <c r="G833" s="122"/>
      <c r="H833" s="123"/>
      <c r="I833" s="52">
        <v>1</v>
      </c>
    </row>
    <row r="834" spans="1:16" s="53" customFormat="1" ht="15.75" customHeight="1" x14ac:dyDescent="0.35">
      <c r="A834" s="125" t="s">
        <v>407</v>
      </c>
      <c r="B834" s="125"/>
      <c r="C834" s="125"/>
      <c r="D834" s="125"/>
      <c r="E834" s="125"/>
      <c r="F834" s="125"/>
      <c r="G834" s="125"/>
      <c r="H834" s="125"/>
      <c r="I834" s="52"/>
      <c r="N834" s="53" t="str">
        <f t="shared" ref="N834:N840" ca="1" si="264">O834&amp;""&amp;",..,"&amp;""&amp;P834</f>
        <v>101,..,101</v>
      </c>
      <c r="O834" s="53">
        <f ca="1">(SUMPRODUCT(MID(0&amp;(LEFT(A835,SUM(LEN(A835)-LEN(SUBSTITUTE(A835,{"0","1","2"},""))))), LARGE(INDEX(ISNUMBER(--MID((LEFT(A835,SUM(LEN(A835)-LEN(SUBSTITUTE(A835,{"0","1","2"},""))))), ROW(INDIRECT("1:"&amp;LEN((LEFT(A835,SUM(LEN(A835)-LEN(SUBSTITUTE(A835,{"0","1","2"},"")))))))), 1)) * ROW(INDIRECT("1:"&amp;LEN((LEFT(A835,SUM(LEN(A835)-LEN(SUBSTITUTE(A835,{"0","1","2"},"")))))))), 0), ROW(INDIRECT("1:"&amp;LEN((LEFT(A835,SUM(LEN(A835)-LEN(SUBSTITUTE(A835,{"0","1","2"},"")))))))))+1, 1) * 10^ROW(INDIRECT("1:"&amp;LEN((LEFT(A835,SUM(LEN(A835)-LEN(SUBSTITUTE(A835,{"0","1","2"},""))))))))/10))*100+1</f>
        <v>101</v>
      </c>
      <c r="P834" s="53">
        <f ca="1">(SUMPRODUCT(MID(0&amp;(--TRIM(RIGHT(SUBSTITUTE(LEFT(A835,_xlfn.AGGREGATE(16,6,FIND({0,1,2,3,4,5,6,7,8,9},A835,ROW(INDIRECT("1:"&amp;LEN(A835)))),1))," ",REPT(" ",LEN(A835))),LEN(A835)))), LARGE(INDEX(ISNUMBER(--MID((--TRIM(RIGHT(SUBSTITUTE(LEFT(A835,_xlfn.AGGREGATE(16,6,FIND({0,1,2,3,4,5,6,7,8,9},A835,ROW(INDIRECT("1:"&amp;LEN(A835)))),1))," ",REPT(" ",LEN(A835))),LEN(A835)))), ROW(INDIRECT("1:"&amp;LEN((--TRIM(RIGHT(SUBSTITUTE(LEFT(A835,_xlfn.AGGREGATE(16,6,FIND({0,1,2,3,4,5,6,7,8,9},A835,ROW(INDIRECT("1:"&amp;LEN(A835)))),1))," ",REPT(" ",LEN(A835))),LEN(A835))))))), 1)) * ROW(INDIRECT("1:"&amp;LEN((--TRIM(RIGHT(SUBSTITUTE(LEFT(A835,_xlfn.AGGREGATE(16,6,FIND({0,1,2,3,4,5,6,7,8,9},A835,ROW(INDIRECT("1:"&amp;LEN(A835)))),1))," ",REPT(" ",LEN(A835))),LEN(A835))))))), 0), ROW(INDIRECT("1:"&amp;LEN((--TRIM(RIGHT(SUBSTITUTE(LEFT(A835,_xlfn.AGGREGATE(16,6,FIND({0,1,2,3,4,5,6,7,8,9},A835,ROW(INDIRECT("1:"&amp;LEN(A835)))),1))," ",REPT(" ",LEN(A835))),LEN(A835))))))))+1, 1) * 10^ROW(INDIRECT("1:"&amp;LEN((--TRIM(RIGHT(SUBSTITUTE(LEFT(A835,_xlfn.AGGREGATE(16,6,FIND({0,1,2,3,4,5,6,7,8,9},A835,ROW(INDIRECT("1:"&amp;LEN(A835)))),1))," ",REPT(" ",LEN(A835))),LEN(A835)))))))/10))*100+1</f>
        <v>101</v>
      </c>
    </row>
    <row r="835" spans="1:16" s="53" customFormat="1" ht="15.75" customHeight="1" x14ac:dyDescent="0.35">
      <c r="A835" s="127" t="s">
        <v>267</v>
      </c>
      <c r="B835" s="128"/>
      <c r="C835" s="128"/>
      <c r="D835" s="128"/>
      <c r="E835" s="128"/>
      <c r="F835" s="128"/>
      <c r="G835" s="128"/>
      <c r="H835" s="129"/>
      <c r="I835" s="52"/>
      <c r="N835" s="53" t="str">
        <f t="shared" ca="1" si="264"/>
        <v>102,..,102</v>
      </c>
      <c r="O835" s="53">
        <f t="shared" ref="O835:P835" ca="1" si="265">O834+1</f>
        <v>102</v>
      </c>
      <c r="P835" s="53">
        <f t="shared" ca="1" si="265"/>
        <v>102</v>
      </c>
    </row>
    <row r="836" spans="1:16" s="53" customFormat="1" ht="15.75" customHeight="1" x14ac:dyDescent="0.35">
      <c r="A836" s="116">
        <v>1</v>
      </c>
      <c r="B836" s="116"/>
      <c r="C836" s="28" t="s">
        <v>178</v>
      </c>
      <c r="D836" s="28">
        <f>(3.05*4.98+2.28*3.43+(2.9+3.05)*3.66+1.37*(2.41+2.28)+1.7+2.47*1.58+0.4*1.35+3.05*1.05)*(10.764)</f>
        <v>651.83339520000004</v>
      </c>
      <c r="E836" s="28">
        <v>0</v>
      </c>
      <c r="F836" s="28">
        <f t="shared" ref="F836:F842" si="266">D836*(($F$338)+1)+E836</f>
        <v>977.75009280000006</v>
      </c>
      <c r="G836" s="120" t="str">
        <f>A835</f>
        <v>1st Floor for Residential</v>
      </c>
      <c r="H836" s="121"/>
      <c r="I836" s="52"/>
      <c r="N836" s="53" t="str">
        <f t="shared" ca="1" si="264"/>
        <v>103,..,103</v>
      </c>
      <c r="O836" s="53">
        <f t="shared" ref="O836:P836" ca="1" si="267">O835+1</f>
        <v>103</v>
      </c>
      <c r="P836" s="53">
        <f t="shared" ca="1" si="267"/>
        <v>103</v>
      </c>
    </row>
    <row r="837" spans="1:16" s="53" customFormat="1" ht="15.75" customHeight="1" x14ac:dyDescent="0.35">
      <c r="A837" s="116">
        <f>A836+1</f>
        <v>2</v>
      </c>
      <c r="B837" s="116"/>
      <c r="C837" s="28" t="s">
        <v>133</v>
      </c>
      <c r="D837" s="28">
        <f>(3.05*5.54+2.28*3.95+2.9*3.8+3.05*(3.85+4.27)+1.37*(2.28+2.44*2)+6.5+1.58*2.52+3.05*1.23)*(10.764)</f>
        <v>922.81171319999987</v>
      </c>
      <c r="E837" s="28">
        <v>0</v>
      </c>
      <c r="F837" s="28">
        <f t="shared" si="266"/>
        <v>1384.2175697999999</v>
      </c>
      <c r="G837" s="122"/>
      <c r="H837" s="123"/>
      <c r="I837" s="52"/>
      <c r="N837" s="53" t="str">
        <f t="shared" ca="1" si="264"/>
        <v>104,..,104</v>
      </c>
      <c r="O837" s="53">
        <f t="shared" ref="O837:P837" ca="1" si="268">O836+1</f>
        <v>104</v>
      </c>
      <c r="P837" s="53">
        <f t="shared" ca="1" si="268"/>
        <v>104</v>
      </c>
    </row>
    <row r="838" spans="1:16" s="53" customFormat="1" ht="15.75" customHeight="1" x14ac:dyDescent="0.35">
      <c r="A838" s="116">
        <f t="shared" ref="A838:A842" si="269">A837+1</f>
        <v>3</v>
      </c>
      <c r="B838" s="116"/>
      <c r="C838" s="28" t="s">
        <v>178</v>
      </c>
      <c r="D838" s="28">
        <f>(3.05*5.18+2.2*3.18+2.9*3.73+3.05*3.66+1.37*(2.44+2.28)+1.45+1.23*2.45+3.05*1.05)*(10.764)</f>
        <v>634.0792535999999</v>
      </c>
      <c r="E838" s="28">
        <v>0</v>
      </c>
      <c r="F838" s="28">
        <f t="shared" si="266"/>
        <v>951.11888039999985</v>
      </c>
      <c r="G838" s="122"/>
      <c r="H838" s="123"/>
      <c r="I838" s="52"/>
      <c r="N838" s="53" t="str">
        <f t="shared" ca="1" si="264"/>
        <v>105,..,105</v>
      </c>
      <c r="O838" s="53">
        <f t="shared" ref="O838:P838" ca="1" si="270">O837+1</f>
        <v>105</v>
      </c>
      <c r="P838" s="53">
        <f t="shared" ca="1" si="270"/>
        <v>105</v>
      </c>
    </row>
    <row r="839" spans="1:16" s="53" customFormat="1" ht="15.75" customHeight="1" x14ac:dyDescent="0.35">
      <c r="A839" s="116">
        <f t="shared" si="269"/>
        <v>4</v>
      </c>
      <c r="B839" s="116"/>
      <c r="C839" s="28" t="s">
        <v>133</v>
      </c>
      <c r="D839" s="28">
        <f>(3.05*5.54+2.28*3.95+2.9*3.8+3.05*(3.85+4.27)+1.37*(2.28+2.44*2)+6.5+1.58*2.52+3.05*1.23)*(10.764)</f>
        <v>922.81171319999987</v>
      </c>
      <c r="E839" s="28">
        <v>0</v>
      </c>
      <c r="F839" s="28">
        <f t="shared" si="266"/>
        <v>1384.2175697999999</v>
      </c>
      <c r="G839" s="122"/>
      <c r="H839" s="123"/>
      <c r="I839" s="52"/>
      <c r="N839" s="53" t="str">
        <f t="shared" ca="1" si="264"/>
        <v>106,..,106</v>
      </c>
      <c r="O839" s="53">
        <f t="shared" ref="O839:P839" ca="1" si="271">O838+1</f>
        <v>106</v>
      </c>
      <c r="P839" s="53">
        <f t="shared" ca="1" si="271"/>
        <v>106</v>
      </c>
    </row>
    <row r="840" spans="1:16" s="53" customFormat="1" ht="15.75" customHeight="1" x14ac:dyDescent="0.35">
      <c r="A840" s="116">
        <f t="shared" si="269"/>
        <v>5</v>
      </c>
      <c r="B840" s="116"/>
      <c r="C840" s="28" t="s">
        <v>178</v>
      </c>
      <c r="D840" s="28">
        <f>(3.05*4.98+2.28*3.43+(2.9+3.05)*3.66+1.37*(2.41+2.28)+1.7+2.47*1.58+0.4*1.35+3.05*1.05)*(10.764)</f>
        <v>651.83339520000004</v>
      </c>
      <c r="E840" s="28">
        <v>0</v>
      </c>
      <c r="F840" s="28">
        <f t="shared" si="266"/>
        <v>977.75009280000006</v>
      </c>
      <c r="G840" s="122"/>
      <c r="H840" s="123"/>
      <c r="I840" s="52"/>
      <c r="N840" s="53" t="str">
        <f t="shared" ca="1" si="264"/>
        <v>107,..,107</v>
      </c>
      <c r="O840" s="53">
        <f t="shared" ref="O840:P840" ca="1" si="272">O839+1</f>
        <v>107</v>
      </c>
      <c r="P840" s="53">
        <f t="shared" ca="1" si="272"/>
        <v>107</v>
      </c>
    </row>
    <row r="841" spans="1:16" s="53" customFormat="1" ht="15.75" customHeight="1" x14ac:dyDescent="0.35">
      <c r="A841" s="116">
        <f t="shared" si="269"/>
        <v>6</v>
      </c>
      <c r="B841" s="116"/>
      <c r="C841" s="28" t="s">
        <v>178</v>
      </c>
      <c r="D841" s="28">
        <f>(3.05*6+3.65*2.28+3.05*(3.89+3.66)+1.37*(2.44+2.31)+3.41*1.37+1.7*1.1+3.05*1.05)*(10.764)</f>
        <v>709.3605167999998</v>
      </c>
      <c r="E841" s="28">
        <v>0</v>
      </c>
      <c r="F841" s="28">
        <f t="shared" si="266"/>
        <v>1064.0407751999996</v>
      </c>
      <c r="G841" s="122"/>
      <c r="H841" s="123"/>
      <c r="I841" s="52">
        <v>24</v>
      </c>
    </row>
    <row r="842" spans="1:16" s="53" customFormat="1" ht="15.75" customHeight="1" x14ac:dyDescent="0.35">
      <c r="A842" s="116">
        <f t="shared" si="269"/>
        <v>7</v>
      </c>
      <c r="B842" s="116"/>
      <c r="C842" s="28" t="s">
        <v>178</v>
      </c>
      <c r="D842" s="28">
        <f>(3.05*6+3.65*2.28+3.05*(3.89+3.66)+1.37*(2.44+2.31)+3.41*1.37+1.7*1.1+3.05*1.05)*(10.764)</f>
        <v>709.3605167999998</v>
      </c>
      <c r="E842" s="28">
        <v>0</v>
      </c>
      <c r="F842" s="28">
        <f t="shared" si="266"/>
        <v>1064.0407751999996</v>
      </c>
      <c r="G842" s="173"/>
      <c r="H842" s="174"/>
      <c r="I842" s="52"/>
      <c r="N842" s="53" t="e">
        <f t="shared" ref="N842:N848" ca="1" si="273">O842&amp;""&amp;",..,"&amp;""&amp;P842</f>
        <v>#REF!</v>
      </c>
      <c r="O842" s="53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842" s="53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843" spans="1:16" s="53" customFormat="1" ht="15.75" customHeight="1" x14ac:dyDescent="0.35">
      <c r="A843" s="127" t="s">
        <v>268</v>
      </c>
      <c r="B843" s="128"/>
      <c r="C843" s="128"/>
      <c r="D843" s="128"/>
      <c r="E843" s="128"/>
      <c r="F843" s="128"/>
      <c r="G843" s="128"/>
      <c r="H843" s="129"/>
      <c r="I843" s="52"/>
      <c r="N843" s="53" t="e">
        <f t="shared" ca="1" si="273"/>
        <v>#REF!</v>
      </c>
      <c r="O843" s="53" t="e">
        <f t="shared" ref="O843:P843" ca="1" si="274">O842+1</f>
        <v>#REF!</v>
      </c>
      <c r="P843" s="53" t="e">
        <f t="shared" ca="1" si="274"/>
        <v>#REF!</v>
      </c>
    </row>
    <row r="844" spans="1:16" s="53" customFormat="1" ht="15.75" customHeight="1" x14ac:dyDescent="0.35">
      <c r="A844" s="116">
        <v>1</v>
      </c>
      <c r="B844" s="116"/>
      <c r="C844" s="28" t="s">
        <v>178</v>
      </c>
      <c r="D844" s="28">
        <f>(3.05*4.98+2.28*3.43+(2.9+3.05)*3.66+1.37*(2.41+2.28)+1.7+2.47*1.58+0.4*1.35+3.05*1.05)*(10.764)</f>
        <v>651.83339520000004</v>
      </c>
      <c r="E844" s="28">
        <v>0</v>
      </c>
      <c r="F844" s="28">
        <f t="shared" ref="F844:F850" si="275">D844*(($F$338)+1)+E844</f>
        <v>977.75009280000006</v>
      </c>
      <c r="G844" s="120" t="str">
        <f>A843</f>
        <v>2nd to 5th, 7th to 10th, 12th to 15th, 17th to 20th, 22nd to 25th, 27th to 30th Floor</v>
      </c>
      <c r="H844" s="121"/>
      <c r="I844" s="52"/>
      <c r="N844" s="53" t="e">
        <f t="shared" ca="1" si="273"/>
        <v>#REF!</v>
      </c>
      <c r="O844" s="53" t="e">
        <f t="shared" ref="O844:P844" ca="1" si="276">O843+1</f>
        <v>#REF!</v>
      </c>
      <c r="P844" s="53" t="e">
        <f t="shared" ca="1" si="276"/>
        <v>#REF!</v>
      </c>
    </row>
    <row r="845" spans="1:16" s="53" customFormat="1" ht="15.75" customHeight="1" x14ac:dyDescent="0.35">
      <c r="A845" s="116">
        <f>A844+1</f>
        <v>2</v>
      </c>
      <c r="B845" s="116"/>
      <c r="C845" s="28" t="s">
        <v>133</v>
      </c>
      <c r="D845" s="28">
        <f>(3.05*5.54+2.28*3.95+2.9*3.8+3.05*(3.85+4.27)+1.37*(2.28+2.44*2)+6.5+1.58*2.52+3.05*1.23)*(10.764)</f>
        <v>922.81171319999987</v>
      </c>
      <c r="E845" s="28">
        <v>0</v>
      </c>
      <c r="F845" s="28">
        <f t="shared" si="275"/>
        <v>1384.2175697999999</v>
      </c>
      <c r="G845" s="122"/>
      <c r="H845" s="123"/>
      <c r="I845" s="52"/>
      <c r="N845" s="53" t="e">
        <f t="shared" ca="1" si="273"/>
        <v>#REF!</v>
      </c>
      <c r="O845" s="53" t="e">
        <f t="shared" ref="O845:P845" ca="1" si="277">O844+1</f>
        <v>#REF!</v>
      </c>
      <c r="P845" s="53" t="e">
        <f t="shared" ca="1" si="277"/>
        <v>#REF!</v>
      </c>
    </row>
    <row r="846" spans="1:16" s="53" customFormat="1" ht="15.75" customHeight="1" x14ac:dyDescent="0.35">
      <c r="A846" s="116">
        <f t="shared" ref="A846:A850" si="278">A845+1</f>
        <v>3</v>
      </c>
      <c r="B846" s="116"/>
      <c r="C846" s="28" t="s">
        <v>178</v>
      </c>
      <c r="D846" s="28">
        <f>(3.05*5.18+2.2*3.18+2.9*3.73+3.05*3.66+1.37*(2.44+2.28)+1.45+1.23*2.45+3.05*1.05)*(10.764)</f>
        <v>634.0792535999999</v>
      </c>
      <c r="E846" s="28">
        <v>0</v>
      </c>
      <c r="F846" s="28">
        <f t="shared" si="275"/>
        <v>951.11888039999985</v>
      </c>
      <c r="G846" s="122"/>
      <c r="H846" s="123"/>
      <c r="I846" s="52"/>
      <c r="N846" s="53" t="e">
        <f t="shared" ca="1" si="273"/>
        <v>#REF!</v>
      </c>
      <c r="O846" s="53" t="e">
        <f t="shared" ref="O846:P846" ca="1" si="279">O845+1</f>
        <v>#REF!</v>
      </c>
      <c r="P846" s="53" t="e">
        <f t="shared" ca="1" si="279"/>
        <v>#REF!</v>
      </c>
    </row>
    <row r="847" spans="1:16" s="53" customFormat="1" ht="15.75" customHeight="1" x14ac:dyDescent="0.35">
      <c r="A847" s="116">
        <f t="shared" si="278"/>
        <v>4</v>
      </c>
      <c r="B847" s="116"/>
      <c r="C847" s="28" t="s">
        <v>133</v>
      </c>
      <c r="D847" s="28">
        <f>(3.05*5.54+2.28*3.95+2.9*3.8+3.05*(3.85+4.27)+1.37*(2.28+2.44*2)+6.5+1.58*2.52+3.05*1.23)*(10.764)</f>
        <v>922.81171319999987</v>
      </c>
      <c r="E847" s="28">
        <v>0</v>
      </c>
      <c r="F847" s="28">
        <f t="shared" si="275"/>
        <v>1384.2175697999999</v>
      </c>
      <c r="G847" s="122"/>
      <c r="H847" s="123"/>
      <c r="I847" s="52"/>
      <c r="N847" s="53" t="e">
        <f t="shared" ca="1" si="273"/>
        <v>#REF!</v>
      </c>
      <c r="O847" s="53" t="e">
        <f t="shared" ref="O847:P847" ca="1" si="280">O846+1</f>
        <v>#REF!</v>
      </c>
      <c r="P847" s="53" t="e">
        <f t="shared" ca="1" si="280"/>
        <v>#REF!</v>
      </c>
    </row>
    <row r="848" spans="1:16" s="53" customFormat="1" ht="15.75" customHeight="1" x14ac:dyDescent="0.35">
      <c r="A848" s="116">
        <f t="shared" si="278"/>
        <v>5</v>
      </c>
      <c r="B848" s="116"/>
      <c r="C848" s="28" t="s">
        <v>178</v>
      </c>
      <c r="D848" s="28">
        <f>(3.05*4.98+2.28*3.43+(2.9+3.05)*3.66+1.37*(2.41+2.28)+1.7+2.47*1.58+0.4*1.35+3.05*1.05)*(10.764)</f>
        <v>651.83339520000004</v>
      </c>
      <c r="E848" s="28">
        <v>0</v>
      </c>
      <c r="F848" s="28">
        <f t="shared" si="275"/>
        <v>977.75009280000006</v>
      </c>
      <c r="G848" s="122"/>
      <c r="H848" s="123"/>
      <c r="I848" s="52"/>
      <c r="N848" s="53" t="e">
        <f t="shared" ca="1" si="273"/>
        <v>#REF!</v>
      </c>
      <c r="O848" s="53" t="e">
        <f t="shared" ref="O848:P848" ca="1" si="281">O847+1</f>
        <v>#REF!</v>
      </c>
      <c r="P848" s="53" t="e">
        <f t="shared" ca="1" si="281"/>
        <v>#REF!</v>
      </c>
    </row>
    <row r="849" spans="1:16" s="53" customFormat="1" ht="15.75" customHeight="1" x14ac:dyDescent="0.35">
      <c r="A849" s="116">
        <f t="shared" si="278"/>
        <v>6</v>
      </c>
      <c r="B849" s="116"/>
      <c r="C849" s="28" t="s">
        <v>178</v>
      </c>
      <c r="D849" s="28">
        <f>(3.05*6+3.65*2.28+3.05*(3.89+3.66)+1.37*(2.44+2.31)+3.41*1.37+1.7*1.1+3.05*1.05)*(10.764)</f>
        <v>709.3605167999998</v>
      </c>
      <c r="E849" s="28">
        <v>0</v>
      </c>
      <c r="F849" s="28">
        <f t="shared" si="275"/>
        <v>1064.0407751999996</v>
      </c>
      <c r="G849" s="122"/>
      <c r="H849" s="123"/>
      <c r="I849" s="52">
        <v>5</v>
      </c>
    </row>
    <row r="850" spans="1:16" s="53" customFormat="1" ht="15.75" customHeight="1" x14ac:dyDescent="0.35">
      <c r="A850" s="116">
        <f t="shared" si="278"/>
        <v>7</v>
      </c>
      <c r="B850" s="116"/>
      <c r="C850" s="28" t="s">
        <v>178</v>
      </c>
      <c r="D850" s="28">
        <f>(3.05*6+3.65*2.28+3.05*(3.89+3.66)+1.37*(2.44+2.31)+3.41*1.37+1.7*1.1+3.05*1.05)*(10.764)</f>
        <v>709.3605167999998</v>
      </c>
      <c r="E850" s="28">
        <v>0</v>
      </c>
      <c r="F850" s="28">
        <f t="shared" si="275"/>
        <v>1064.0407751999996</v>
      </c>
      <c r="G850" s="173"/>
      <c r="H850" s="174"/>
      <c r="I850" s="52"/>
      <c r="N850" s="53" t="str">
        <f t="shared" ref="N850:N856" ca="1" si="282">O850&amp;""&amp;",..,"&amp;""&amp;P850</f>
        <v>6101,..,2601</v>
      </c>
      <c r="O850" s="53">
        <f ca="1">(SUMPRODUCT(MID(0&amp;(LEFT(A851,SUM(LEN(A851)-LEN(SUBSTITUTE(A851,{"0","1","2"},""))))), LARGE(INDEX(ISNUMBER(--MID((LEFT(A851,SUM(LEN(A851)-LEN(SUBSTITUTE(A851,{"0","1","2"},""))))), ROW(INDIRECT("1:"&amp;LEN((LEFT(A851,SUM(LEN(A851)-LEN(SUBSTITUTE(A851,{"0","1","2"},"")))))))), 1)) * ROW(INDIRECT("1:"&amp;LEN((LEFT(A851,SUM(LEN(A851)-LEN(SUBSTITUTE(A851,{"0","1","2"},"")))))))), 0), ROW(INDIRECT("1:"&amp;LEN((LEFT(A851,SUM(LEN(A851)-LEN(SUBSTITUTE(A851,{"0","1","2"},"")))))))))+1, 1) * 10^ROW(INDIRECT("1:"&amp;LEN((LEFT(A851,SUM(LEN(A851)-LEN(SUBSTITUTE(A851,{"0","1","2"},""))))))))/10))*100+1</f>
        <v>6101</v>
      </c>
      <c r="P850" s="53">
        <f ca="1">(SUMPRODUCT(MID(0&amp;(--TRIM(RIGHT(SUBSTITUTE(LEFT(A851,_xlfn.AGGREGATE(16,6,FIND({0,1,2,3,4,5,6,7,8,9},A851,ROW(INDIRECT("1:"&amp;LEN(A851)))),1))," ",REPT(" ",LEN(A851))),LEN(A851)))), LARGE(INDEX(ISNUMBER(--MID((--TRIM(RIGHT(SUBSTITUTE(LEFT(A851,_xlfn.AGGREGATE(16,6,FIND({0,1,2,3,4,5,6,7,8,9},A851,ROW(INDIRECT("1:"&amp;LEN(A851)))),1))," ",REPT(" ",LEN(A851))),LEN(A851)))), ROW(INDIRECT("1:"&amp;LEN((--TRIM(RIGHT(SUBSTITUTE(LEFT(A851,_xlfn.AGGREGATE(16,6,FIND({0,1,2,3,4,5,6,7,8,9},A851,ROW(INDIRECT("1:"&amp;LEN(A851)))),1))," ",REPT(" ",LEN(A851))),LEN(A851))))))), 1)) * ROW(INDIRECT("1:"&amp;LEN((--TRIM(RIGHT(SUBSTITUTE(LEFT(A851,_xlfn.AGGREGATE(16,6,FIND({0,1,2,3,4,5,6,7,8,9},A851,ROW(INDIRECT("1:"&amp;LEN(A851)))),1))," ",REPT(" ",LEN(A851))),LEN(A851))))))), 0), ROW(INDIRECT("1:"&amp;LEN((--TRIM(RIGHT(SUBSTITUTE(LEFT(A851,_xlfn.AGGREGATE(16,6,FIND({0,1,2,3,4,5,6,7,8,9},A851,ROW(INDIRECT("1:"&amp;LEN(A851)))),1))," ",REPT(" ",LEN(A851))),LEN(A851))))))))+1, 1) * 10^ROW(INDIRECT("1:"&amp;LEN((--TRIM(RIGHT(SUBSTITUTE(LEFT(A851,_xlfn.AGGREGATE(16,6,FIND({0,1,2,3,4,5,6,7,8,9},A851,ROW(INDIRECT("1:"&amp;LEN(A851)))),1))," ",REPT(" ",LEN(A851))),LEN(A851)))))))/10))*100+1</f>
        <v>2601</v>
      </c>
    </row>
    <row r="851" spans="1:16" s="53" customFormat="1" ht="15.75" customHeight="1" x14ac:dyDescent="0.35">
      <c r="A851" s="127" t="s">
        <v>410</v>
      </c>
      <c r="B851" s="128"/>
      <c r="C851" s="128"/>
      <c r="D851" s="128"/>
      <c r="E851" s="128"/>
      <c r="F851" s="128"/>
      <c r="G851" s="128"/>
      <c r="H851" s="129"/>
      <c r="I851" s="52"/>
      <c r="N851" s="53" t="str">
        <f t="shared" ca="1" si="282"/>
        <v>6102,..,2602</v>
      </c>
      <c r="O851" s="53">
        <f t="shared" ref="O851:P851" ca="1" si="283">O850+1</f>
        <v>6102</v>
      </c>
      <c r="P851" s="53">
        <f t="shared" ca="1" si="283"/>
        <v>2602</v>
      </c>
    </row>
    <row r="852" spans="1:16" s="53" customFormat="1" ht="15.75" customHeight="1" x14ac:dyDescent="0.35">
      <c r="A852" s="116">
        <v>1</v>
      </c>
      <c r="B852" s="116"/>
      <c r="C852" s="28" t="s">
        <v>178</v>
      </c>
      <c r="D852" s="28">
        <f>(3.05*4.98+2.28*3.43+2.9*3.66+3.05*3.66+1.37*(2.41+2.28)+1.7+2.47*1.58+0.4*1.35+3.05*1.05)*(10.764)</f>
        <v>651.83339520000004</v>
      </c>
      <c r="E852" s="28">
        <v>0</v>
      </c>
      <c r="F852" s="28">
        <f>D852*(($F$338)+1)+E852</f>
        <v>977.75009280000006</v>
      </c>
      <c r="G852" s="120" t="str">
        <f>A851</f>
        <v>6th, 11th, 16th, 21st, 26th Floor (Part Refuge Floor)</v>
      </c>
      <c r="H852" s="121"/>
      <c r="I852" s="52"/>
      <c r="N852" s="53" t="str">
        <f t="shared" ca="1" si="282"/>
        <v>6103,..,2603</v>
      </c>
      <c r="O852" s="53">
        <f t="shared" ref="O852:P852" ca="1" si="284">O851+1</f>
        <v>6103</v>
      </c>
      <c r="P852" s="53">
        <f t="shared" ca="1" si="284"/>
        <v>2603</v>
      </c>
    </row>
    <row r="853" spans="1:16" s="53" customFormat="1" ht="15.75" customHeight="1" x14ac:dyDescent="0.35">
      <c r="A853" s="116">
        <f>A852+1</f>
        <v>2</v>
      </c>
      <c r="B853" s="116"/>
      <c r="C853" s="28" t="s">
        <v>133</v>
      </c>
      <c r="D853" s="28">
        <f>(3.05*5.54+2.28*3.95+2.9*3.8+3.05*(3.85+4.27)+1.37*(2.28+2.44*2)+6.5+1.58*2.52+3.05*1.23)*(10.764)</f>
        <v>922.81171319999987</v>
      </c>
      <c r="E853" s="28">
        <v>0</v>
      </c>
      <c r="F853" s="28">
        <f>D853*(($F$338)+1)+E853</f>
        <v>1384.2175697999999</v>
      </c>
      <c r="G853" s="122"/>
      <c r="H853" s="123"/>
      <c r="I853" s="52"/>
      <c r="N853" s="53" t="str">
        <f t="shared" ca="1" si="282"/>
        <v>6104,..,2604</v>
      </c>
      <c r="O853" s="53">
        <f t="shared" ref="O853:P853" ca="1" si="285">O852+1</f>
        <v>6104</v>
      </c>
      <c r="P853" s="53">
        <f t="shared" ca="1" si="285"/>
        <v>2604</v>
      </c>
    </row>
    <row r="854" spans="1:16" s="53" customFormat="1" ht="15.75" customHeight="1" x14ac:dyDescent="0.35">
      <c r="A854" s="116">
        <f t="shared" ref="A854:A858" si="286">A853+1</f>
        <v>3</v>
      </c>
      <c r="B854" s="116"/>
      <c r="C854" s="28" t="s">
        <v>178</v>
      </c>
      <c r="D854" s="28">
        <f>(3.05*5.18+2.2*3.18+2.9*3.73+3.05*3.66+1.37*(2.44+2.28)+1.45+1.23*2.45+3.05*1.05)*(10.764)</f>
        <v>634.0792535999999</v>
      </c>
      <c r="E854" s="28">
        <v>0</v>
      </c>
      <c r="F854" s="28">
        <f>D854*(($F$338)+1)+E854</f>
        <v>951.11888039999985</v>
      </c>
      <c r="G854" s="122"/>
      <c r="H854" s="123"/>
      <c r="I854" s="52"/>
      <c r="N854" s="53" t="str">
        <f t="shared" ca="1" si="282"/>
        <v>6105,..,2605</v>
      </c>
      <c r="O854" s="53">
        <f t="shared" ref="O854:P854" ca="1" si="287">O853+1</f>
        <v>6105</v>
      </c>
      <c r="P854" s="53">
        <f t="shared" ca="1" si="287"/>
        <v>2605</v>
      </c>
    </row>
    <row r="855" spans="1:16" s="53" customFormat="1" ht="15.75" customHeight="1" x14ac:dyDescent="0.35">
      <c r="A855" s="116">
        <f t="shared" si="286"/>
        <v>4</v>
      </c>
      <c r="B855" s="116"/>
      <c r="C855" s="28" t="s">
        <v>133</v>
      </c>
      <c r="D855" s="28">
        <f>(3.05*5.54+2.28*3.95+2.9*3.8+3.05*(3.85+4.27)+1.37*(2.28+2.44*2)+6.5+1.58*2.52+3.05*1.23)*(10.764)</f>
        <v>922.81171319999987</v>
      </c>
      <c r="E855" s="28">
        <v>0</v>
      </c>
      <c r="F855" s="28">
        <f>D855*(($F$338)+1)+E855</f>
        <v>1384.2175697999999</v>
      </c>
      <c r="G855" s="122"/>
      <c r="H855" s="123"/>
      <c r="I855" s="52"/>
      <c r="N855" s="53" t="str">
        <f t="shared" ca="1" si="282"/>
        <v>6106,..,2606</v>
      </c>
      <c r="O855" s="53">
        <f t="shared" ref="O855:P855" ca="1" si="288">O854+1</f>
        <v>6106</v>
      </c>
      <c r="P855" s="53">
        <f t="shared" ca="1" si="288"/>
        <v>2606</v>
      </c>
    </row>
    <row r="856" spans="1:16" s="53" customFormat="1" ht="15.75" customHeight="1" x14ac:dyDescent="0.35">
      <c r="A856" s="116">
        <f t="shared" si="286"/>
        <v>5</v>
      </c>
      <c r="B856" s="116"/>
      <c r="C856" s="117" t="s">
        <v>201</v>
      </c>
      <c r="D856" s="118"/>
      <c r="E856" s="118"/>
      <c r="F856" s="119"/>
      <c r="G856" s="122"/>
      <c r="H856" s="123"/>
      <c r="I856" s="52"/>
      <c r="N856" s="53" t="str">
        <f t="shared" ca="1" si="282"/>
        <v>6107,..,2607</v>
      </c>
      <c r="O856" s="53">
        <f t="shared" ref="O856:P856" ca="1" si="289">O855+1</f>
        <v>6107</v>
      </c>
      <c r="P856" s="53">
        <f t="shared" ca="1" si="289"/>
        <v>2607</v>
      </c>
    </row>
    <row r="857" spans="1:16" s="53" customFormat="1" ht="15.75" customHeight="1" x14ac:dyDescent="0.35">
      <c r="A857" s="116">
        <f t="shared" si="286"/>
        <v>6</v>
      </c>
      <c r="B857" s="116"/>
      <c r="C857" s="28" t="s">
        <v>178</v>
      </c>
      <c r="D857" s="28">
        <f>(3.05*6+3.65*2.28+3.05*(3.89+3.66)+1.37*(2.44+2.31)+3.41*1.37+1.7*1.1+3.05*1.05)*(10.764)</f>
        <v>709.3605167999998</v>
      </c>
      <c r="E857" s="28">
        <v>0</v>
      </c>
      <c r="F857" s="28">
        <f>D857*(($F$338)+1)+E857</f>
        <v>1064.0407751999996</v>
      </c>
      <c r="G857" s="122"/>
      <c r="H857" s="123"/>
      <c r="I857" s="52">
        <v>1</v>
      </c>
    </row>
    <row r="858" spans="1:16" s="53" customFormat="1" ht="15.75" customHeight="1" x14ac:dyDescent="0.35">
      <c r="A858" s="116">
        <f t="shared" si="286"/>
        <v>7</v>
      </c>
      <c r="B858" s="116"/>
      <c r="C858" s="28" t="s">
        <v>178</v>
      </c>
      <c r="D858" s="28">
        <f>(3.05*6+3.65*2.28+3.05*(3.89+3.66)+1.37*(2.44+2.31)+3.41*1.37+1.7*1.1+3.05*1.05)*(10.764)</f>
        <v>709.3605167999998</v>
      </c>
      <c r="E858" s="28">
        <v>0</v>
      </c>
      <c r="F858" s="28">
        <f>D858*(($F$338)+1)+E858</f>
        <v>1064.0407751999996</v>
      </c>
      <c r="G858" s="173"/>
      <c r="H858" s="174"/>
      <c r="I858" s="52"/>
      <c r="N858" s="53" t="str">
        <f t="shared" ref="N858:N863" ca="1" si="290">O858&amp;""&amp;",..,"&amp;""&amp;P858</f>
        <v>301,..,3101</v>
      </c>
      <c r="O858" s="53">
        <f ca="1">(SUMPRODUCT(MID(0&amp;(LEFT(A859,SUM(LEN(A859)-LEN(SUBSTITUTE(A859,{"0","1","2"},""))))), LARGE(INDEX(ISNUMBER(--MID((LEFT(A859,SUM(LEN(A859)-LEN(SUBSTITUTE(A859,{"0","1","2"},""))))), ROW(INDIRECT("1:"&amp;LEN((LEFT(A859,SUM(LEN(A859)-LEN(SUBSTITUTE(A859,{"0","1","2"},"")))))))), 1)) * ROW(INDIRECT("1:"&amp;LEN((LEFT(A859,SUM(LEN(A859)-LEN(SUBSTITUTE(A859,{"0","1","2"},"")))))))), 0), ROW(INDIRECT("1:"&amp;LEN((LEFT(A859,SUM(LEN(A859)-LEN(SUBSTITUTE(A859,{"0","1","2"},"")))))))))+1, 1) * 10^ROW(INDIRECT("1:"&amp;LEN((LEFT(A859,SUM(LEN(A859)-LEN(SUBSTITUTE(A859,{"0","1","2"},""))))))))/10))*100+1</f>
        <v>301</v>
      </c>
      <c r="P858" s="53">
        <f ca="1">(SUMPRODUCT(MID(0&amp;(--TRIM(RIGHT(SUBSTITUTE(LEFT(A859,_xlfn.AGGREGATE(16,6,FIND({0,1,2,3,4,5,6,7,8,9},A859,ROW(INDIRECT("1:"&amp;LEN(A859)))),1))," ",REPT(" ",LEN(A859))),LEN(A859)))), LARGE(INDEX(ISNUMBER(--MID((--TRIM(RIGHT(SUBSTITUTE(LEFT(A859,_xlfn.AGGREGATE(16,6,FIND({0,1,2,3,4,5,6,7,8,9},A859,ROW(INDIRECT("1:"&amp;LEN(A859)))),1))," ",REPT(" ",LEN(A859))),LEN(A859)))), ROW(INDIRECT("1:"&amp;LEN((--TRIM(RIGHT(SUBSTITUTE(LEFT(A859,_xlfn.AGGREGATE(16,6,FIND({0,1,2,3,4,5,6,7,8,9},A859,ROW(INDIRECT("1:"&amp;LEN(A859)))),1))," ",REPT(" ",LEN(A859))),LEN(A859))))))), 1)) * ROW(INDIRECT("1:"&amp;LEN((--TRIM(RIGHT(SUBSTITUTE(LEFT(A859,_xlfn.AGGREGATE(16,6,FIND({0,1,2,3,4,5,6,7,8,9},A859,ROW(INDIRECT("1:"&amp;LEN(A859)))),1))," ",REPT(" ",LEN(A859))),LEN(A859))))))), 0), ROW(INDIRECT("1:"&amp;LEN((--TRIM(RIGHT(SUBSTITUTE(LEFT(A859,_xlfn.AGGREGATE(16,6,FIND({0,1,2,3,4,5,6,7,8,9},A859,ROW(INDIRECT("1:"&amp;LEN(A859)))),1))," ",REPT(" ",LEN(A859))),LEN(A859))))))))+1, 1) * 10^ROW(INDIRECT("1:"&amp;LEN((--TRIM(RIGHT(SUBSTITUTE(LEFT(A859,_xlfn.AGGREGATE(16,6,FIND({0,1,2,3,4,5,6,7,8,9},A859,ROW(INDIRECT("1:"&amp;LEN(A859)))),1))," ",REPT(" ",LEN(A859))),LEN(A859)))))))/10))*100+1</f>
        <v>3101</v>
      </c>
    </row>
    <row r="859" spans="1:16" s="53" customFormat="1" ht="15.75" customHeight="1" x14ac:dyDescent="0.35">
      <c r="A859" s="127" t="s">
        <v>306</v>
      </c>
      <c r="B859" s="128"/>
      <c r="C859" s="128"/>
      <c r="D859" s="128"/>
      <c r="E859" s="128"/>
      <c r="F859" s="128"/>
      <c r="G859" s="128"/>
      <c r="H859" s="129"/>
      <c r="I859" s="52"/>
      <c r="N859" s="53" t="str">
        <f t="shared" ca="1" si="290"/>
        <v>302,..,3102</v>
      </c>
      <c r="O859" s="53">
        <f t="shared" ref="O859:P859" ca="1" si="291">O858+1</f>
        <v>302</v>
      </c>
      <c r="P859" s="53">
        <f t="shared" ca="1" si="291"/>
        <v>3102</v>
      </c>
    </row>
    <row r="860" spans="1:16" s="53" customFormat="1" ht="15.75" customHeight="1" x14ac:dyDescent="0.35">
      <c r="A860" s="116">
        <v>1</v>
      </c>
      <c r="B860" s="116"/>
      <c r="C860" s="28" t="s">
        <v>178</v>
      </c>
      <c r="D860" s="28">
        <f>(3.05*4.98+2.28*3.43+2.9*3.66+3.05*3.66+1.37*(2.41+2.28)+1.7+2.47*1.58+0.4*1.35+3.05*1.05)*(10.764)</f>
        <v>651.83339520000004</v>
      </c>
      <c r="E860" s="28">
        <v>0</v>
      </c>
      <c r="F860" s="28">
        <f>D860*(($F$338)+1)+E860</f>
        <v>977.75009280000006</v>
      </c>
      <c r="G860" s="120" t="str">
        <f>A859</f>
        <v>31st Floor (Part Refuge Floor)</v>
      </c>
      <c r="H860" s="121"/>
      <c r="I860" s="52"/>
      <c r="N860" s="53" t="str">
        <f t="shared" ca="1" si="290"/>
        <v>303,..,3103</v>
      </c>
      <c r="O860" s="53">
        <f t="shared" ref="O860:P860" ca="1" si="292">O859+1</f>
        <v>303</v>
      </c>
      <c r="P860" s="53">
        <f t="shared" ca="1" si="292"/>
        <v>3103</v>
      </c>
    </row>
    <row r="861" spans="1:16" s="53" customFormat="1" ht="15.75" customHeight="1" x14ac:dyDescent="0.35">
      <c r="A861" s="116">
        <f>A860+1</f>
        <v>2</v>
      </c>
      <c r="B861" s="116"/>
      <c r="C861" s="28" t="s">
        <v>133</v>
      </c>
      <c r="D861" s="28">
        <f>(3.05*5.54+2.28*3.95+2.9*3.8+3.05*(3.85+4.27)+1.37*(2.28+2.44*2)+6.5+1.58*2.52+3.05*1.23)*(10.764)</f>
        <v>922.81171319999987</v>
      </c>
      <c r="E861" s="28">
        <v>0</v>
      </c>
      <c r="F861" s="28">
        <f>D861*(($F$338)+1)+E861</f>
        <v>1384.2175697999999</v>
      </c>
      <c r="G861" s="122"/>
      <c r="H861" s="123"/>
      <c r="I861" s="52"/>
      <c r="N861" s="53" t="str">
        <f t="shared" ca="1" si="290"/>
        <v>304,..,3104</v>
      </c>
      <c r="O861" s="53">
        <f t="shared" ref="O861:P861" ca="1" si="293">O860+1</f>
        <v>304</v>
      </c>
      <c r="P861" s="53">
        <f t="shared" ca="1" si="293"/>
        <v>3104</v>
      </c>
    </row>
    <row r="862" spans="1:16" s="53" customFormat="1" ht="15.75" customHeight="1" x14ac:dyDescent="0.35">
      <c r="A862" s="116">
        <f t="shared" ref="A862:A865" si="294">A861+1</f>
        <v>3</v>
      </c>
      <c r="B862" s="116"/>
      <c r="C862" s="28" t="s">
        <v>178</v>
      </c>
      <c r="D862" s="28">
        <f>(3.05*5.18+2.2*3.18+2.9*3.73+3.05*3.66+1.37*(2.44+2.28)+1.45+1.23*2.45+3.05*1.05)*(10.764)</f>
        <v>634.0792535999999</v>
      </c>
      <c r="E862" s="28">
        <v>0</v>
      </c>
      <c r="F862" s="28">
        <f>D862*(($F$338)+1)+E862</f>
        <v>951.11888039999985</v>
      </c>
      <c r="G862" s="122"/>
      <c r="H862" s="123"/>
      <c r="I862" s="52"/>
      <c r="N862" s="53" t="str">
        <f t="shared" ca="1" si="290"/>
        <v>305,..,3105</v>
      </c>
      <c r="O862" s="53">
        <f t="shared" ref="O862:P862" ca="1" si="295">O861+1</f>
        <v>305</v>
      </c>
      <c r="P862" s="53">
        <f t="shared" ca="1" si="295"/>
        <v>3105</v>
      </c>
    </row>
    <row r="863" spans="1:16" s="53" customFormat="1" ht="15.75" customHeight="1" x14ac:dyDescent="0.35">
      <c r="A863" s="116">
        <f t="shared" si="294"/>
        <v>4</v>
      </c>
      <c r="B863" s="116"/>
      <c r="C863" s="28" t="s">
        <v>133</v>
      </c>
      <c r="D863" s="28">
        <f>(3.05*5.54+2.28*3.95+2.9*3.8+3.05*(3.85+4.27)+1.37*(2.28+2.44*2)+6.5+1.58*2.52+3.05*1.23)*(10.764)</f>
        <v>922.81171319999987</v>
      </c>
      <c r="E863" s="28">
        <v>0</v>
      </c>
      <c r="F863" s="28">
        <f>D863*(($F$338)+1)+E863</f>
        <v>1384.2175697999999</v>
      </c>
      <c r="G863" s="122"/>
      <c r="H863" s="123"/>
      <c r="I863" s="52"/>
      <c r="N863" s="53" t="str">
        <f t="shared" ca="1" si="290"/>
        <v>306,..,3106</v>
      </c>
      <c r="O863" s="53">
        <f t="shared" ref="O863:P863" ca="1" si="296">O862+1</f>
        <v>306</v>
      </c>
      <c r="P863" s="53">
        <f t="shared" ca="1" si="296"/>
        <v>3106</v>
      </c>
    </row>
    <row r="864" spans="1:16" s="53" customFormat="1" ht="15.75" customHeight="1" x14ac:dyDescent="0.35">
      <c r="A864" s="116">
        <f t="shared" si="294"/>
        <v>5</v>
      </c>
      <c r="B864" s="116"/>
      <c r="C864" s="117" t="s">
        <v>201</v>
      </c>
      <c r="D864" s="118"/>
      <c r="E864" s="118"/>
      <c r="F864" s="119"/>
      <c r="G864" s="122"/>
      <c r="H864" s="123"/>
      <c r="I864" s="52">
        <v>5</v>
      </c>
    </row>
    <row r="865" spans="1:16" s="53" customFormat="1" ht="15.75" customHeight="1" x14ac:dyDescent="0.35">
      <c r="A865" s="116">
        <f t="shared" si="294"/>
        <v>6</v>
      </c>
      <c r="B865" s="116"/>
      <c r="C865" s="28" t="s">
        <v>298</v>
      </c>
      <c r="D865" s="28">
        <f>(6.25*6+4.65*2.43+3.05*(3.66*2+3.89*2)+1.65*2+1.37*(2.31*2+2.44*2)+(1.37*3.41)*2+2.78*1.5+3.7*2.43+6.25*1.3)*(10.764)</f>
        <v>1526.3233596</v>
      </c>
      <c r="E865" s="28">
        <v>0</v>
      </c>
      <c r="F865" s="28">
        <f>D865*(($F$338)+1)+E865</f>
        <v>2289.4850394</v>
      </c>
      <c r="G865" s="173"/>
      <c r="H865" s="174"/>
      <c r="I865" s="52"/>
      <c r="N865" s="53" t="str">
        <f t="shared" ref="N865:N870" ca="1" si="297">O865&amp;""&amp;",..,"&amp;""&amp;P865</f>
        <v>301,..,3601</v>
      </c>
      <c r="O865" s="53">
        <f ca="1">(SUMPRODUCT(MID(0&amp;(LEFT(A866,SUM(LEN(A866)-LEN(SUBSTITUTE(A866,{"0","1","2"},""))))), LARGE(INDEX(ISNUMBER(--MID((LEFT(A866,SUM(LEN(A866)-LEN(SUBSTITUTE(A866,{"0","1","2"},""))))), ROW(INDIRECT("1:"&amp;LEN((LEFT(A866,SUM(LEN(A866)-LEN(SUBSTITUTE(A866,{"0","1","2"},"")))))))), 1)) * ROW(INDIRECT("1:"&amp;LEN((LEFT(A866,SUM(LEN(A866)-LEN(SUBSTITUTE(A866,{"0","1","2"},"")))))))), 0), ROW(INDIRECT("1:"&amp;LEN((LEFT(A866,SUM(LEN(A866)-LEN(SUBSTITUTE(A866,{"0","1","2"},"")))))))))+1, 1) * 10^ROW(INDIRECT("1:"&amp;LEN((LEFT(A866,SUM(LEN(A866)-LEN(SUBSTITUTE(A866,{"0","1","2"},""))))))))/10))*100+1</f>
        <v>301</v>
      </c>
      <c r="P865" s="53">
        <f ca="1">(SUMPRODUCT(MID(0&amp;(--TRIM(RIGHT(SUBSTITUTE(LEFT(A866,_xlfn.AGGREGATE(16,6,FIND({0,1,2,3,4,5,6,7,8,9},A866,ROW(INDIRECT("1:"&amp;LEN(A866)))),1))," ",REPT(" ",LEN(A866))),LEN(A866)))), LARGE(INDEX(ISNUMBER(--MID((--TRIM(RIGHT(SUBSTITUTE(LEFT(A866,_xlfn.AGGREGATE(16,6,FIND({0,1,2,3,4,5,6,7,8,9},A866,ROW(INDIRECT("1:"&amp;LEN(A866)))),1))," ",REPT(" ",LEN(A866))),LEN(A866)))), ROW(INDIRECT("1:"&amp;LEN((--TRIM(RIGHT(SUBSTITUTE(LEFT(A866,_xlfn.AGGREGATE(16,6,FIND({0,1,2,3,4,5,6,7,8,9},A866,ROW(INDIRECT("1:"&amp;LEN(A866)))),1))," ",REPT(" ",LEN(A866))),LEN(A866))))))), 1)) * ROW(INDIRECT("1:"&amp;LEN((--TRIM(RIGHT(SUBSTITUTE(LEFT(A866,_xlfn.AGGREGATE(16,6,FIND({0,1,2,3,4,5,6,7,8,9},A866,ROW(INDIRECT("1:"&amp;LEN(A866)))),1))," ",REPT(" ",LEN(A866))),LEN(A866))))))), 0), ROW(INDIRECT("1:"&amp;LEN((--TRIM(RIGHT(SUBSTITUTE(LEFT(A866,_xlfn.AGGREGATE(16,6,FIND({0,1,2,3,4,5,6,7,8,9},A866,ROW(INDIRECT("1:"&amp;LEN(A866)))),1))," ",REPT(" ",LEN(A866))),LEN(A866))))))))+1, 1) * 10^ROW(INDIRECT("1:"&amp;LEN((--TRIM(RIGHT(SUBSTITUTE(LEFT(A866,_xlfn.AGGREGATE(16,6,FIND({0,1,2,3,4,5,6,7,8,9},A866,ROW(INDIRECT("1:"&amp;LEN(A866)))),1))," ",REPT(" ",LEN(A866))),LEN(A866)))))))/10))*100+1</f>
        <v>3601</v>
      </c>
    </row>
    <row r="866" spans="1:16" s="53" customFormat="1" ht="15.75" customHeight="1" x14ac:dyDescent="0.35">
      <c r="A866" s="125" t="s">
        <v>411</v>
      </c>
      <c r="B866" s="125"/>
      <c r="C866" s="125"/>
      <c r="D866" s="125"/>
      <c r="E866" s="125"/>
      <c r="F866" s="125"/>
      <c r="G866" s="125"/>
      <c r="H866" s="125"/>
      <c r="I866" s="52"/>
      <c r="N866" s="53" t="str">
        <f t="shared" ca="1" si="297"/>
        <v>302,..,3602</v>
      </c>
      <c r="O866" s="53">
        <f t="shared" ref="O866:P866" ca="1" si="298">O865+1</f>
        <v>302</v>
      </c>
      <c r="P866" s="53">
        <f t="shared" ca="1" si="298"/>
        <v>3602</v>
      </c>
    </row>
    <row r="867" spans="1:16" s="53" customFormat="1" ht="15.75" customHeight="1" x14ac:dyDescent="0.35">
      <c r="A867" s="116">
        <v>1</v>
      </c>
      <c r="B867" s="116"/>
      <c r="C867" s="28" t="s">
        <v>178</v>
      </c>
      <c r="D867" s="28">
        <f>(3.05*4.98+2.28*3.43+2.9*3.66+3.05*3.66+1.37*(2.41+2.28)+1.7+2.47*1.58+0.4*1.35+3.05*1.05)*(10.764)</f>
        <v>651.83339520000004</v>
      </c>
      <c r="E867" s="28">
        <v>0</v>
      </c>
      <c r="F867" s="28">
        <f t="shared" ref="F867:F872" si="299">D867*(($F$338)+1)+E867</f>
        <v>977.75009280000006</v>
      </c>
      <c r="G867" s="116" t="str">
        <f>A866</f>
        <v>32nd to 36th Floor</v>
      </c>
      <c r="H867" s="116"/>
      <c r="I867" s="52"/>
      <c r="N867" s="53" t="str">
        <f t="shared" ca="1" si="297"/>
        <v>303,..,3603</v>
      </c>
      <c r="O867" s="53">
        <f t="shared" ref="O867:P867" ca="1" si="300">O866+1</f>
        <v>303</v>
      </c>
      <c r="P867" s="53">
        <f t="shared" ca="1" si="300"/>
        <v>3603</v>
      </c>
    </row>
    <row r="868" spans="1:16" s="53" customFormat="1" ht="15.75" customHeight="1" x14ac:dyDescent="0.35">
      <c r="A868" s="116">
        <f>A867+1</f>
        <v>2</v>
      </c>
      <c r="B868" s="116"/>
      <c r="C868" s="28" t="s">
        <v>133</v>
      </c>
      <c r="D868" s="28">
        <f>(3.05*5.54+2.28*3.95+2.9*3.8+3.05*(3.85+4.27)+1.37*(2.28+2.44*2)+6.5+1.58*2.52+3.05*1.23)*(10.764)</f>
        <v>922.81171319999987</v>
      </c>
      <c r="E868" s="28">
        <v>0</v>
      </c>
      <c r="F868" s="28">
        <f t="shared" si="299"/>
        <v>1384.2175697999999</v>
      </c>
      <c r="G868" s="116"/>
      <c r="H868" s="116"/>
      <c r="I868" s="52"/>
      <c r="N868" s="53" t="str">
        <f t="shared" ca="1" si="297"/>
        <v>304,..,3604</v>
      </c>
      <c r="O868" s="53">
        <f t="shared" ref="O868:P868" ca="1" si="301">O867+1</f>
        <v>304</v>
      </c>
      <c r="P868" s="53">
        <f t="shared" ca="1" si="301"/>
        <v>3604</v>
      </c>
    </row>
    <row r="869" spans="1:16" s="53" customFormat="1" ht="15.75" customHeight="1" x14ac:dyDescent="0.35">
      <c r="A869" s="116">
        <f t="shared" ref="A869:A872" si="302">A868+1</f>
        <v>3</v>
      </c>
      <c r="B869" s="116"/>
      <c r="C869" s="28" t="s">
        <v>178</v>
      </c>
      <c r="D869" s="28">
        <f>(3.05*5.18+2.2*3.18+2.9*3.73+3.05*3.66+1.37*(2.44+2.28)+1.45+1.23*2.45+3.05*1.05)*(10.764)</f>
        <v>634.0792535999999</v>
      </c>
      <c r="E869" s="28">
        <v>0</v>
      </c>
      <c r="F869" s="28">
        <f t="shared" si="299"/>
        <v>951.11888039999985</v>
      </c>
      <c r="G869" s="116"/>
      <c r="H869" s="116"/>
      <c r="I869" s="52"/>
      <c r="N869" s="53" t="str">
        <f t="shared" ca="1" si="297"/>
        <v>305,..,3605</v>
      </c>
      <c r="O869" s="53">
        <f t="shared" ref="O869:P869" ca="1" si="303">O868+1</f>
        <v>305</v>
      </c>
      <c r="P869" s="53">
        <f t="shared" ca="1" si="303"/>
        <v>3605</v>
      </c>
    </row>
    <row r="870" spans="1:16" s="53" customFormat="1" ht="15.75" customHeight="1" x14ac:dyDescent="0.35">
      <c r="A870" s="116">
        <f t="shared" si="302"/>
        <v>4</v>
      </c>
      <c r="B870" s="116"/>
      <c r="C870" s="28" t="s">
        <v>133</v>
      </c>
      <c r="D870" s="28">
        <f>(3.05*5.54+2.28*3.95+2.9*3.8+3.05*(3.85+4.27)+1.37*(2.28+2.44*2)+6.5+1.58*2.52+3.05*1.23)*(10.764)</f>
        <v>922.81171319999987</v>
      </c>
      <c r="E870" s="28">
        <v>0</v>
      </c>
      <c r="F870" s="28">
        <f t="shared" si="299"/>
        <v>1384.2175697999999</v>
      </c>
      <c r="G870" s="116"/>
      <c r="H870" s="116"/>
      <c r="I870" s="52"/>
      <c r="N870" s="53" t="str">
        <f t="shared" ca="1" si="297"/>
        <v>306,..,3606</v>
      </c>
      <c r="O870" s="53">
        <f t="shared" ref="O870:P870" ca="1" si="304">O869+1</f>
        <v>306</v>
      </c>
      <c r="P870" s="53">
        <f t="shared" ca="1" si="304"/>
        <v>3606</v>
      </c>
    </row>
    <row r="871" spans="1:16" s="53" customFormat="1" x14ac:dyDescent="0.35">
      <c r="A871" s="116">
        <f t="shared" si="302"/>
        <v>5</v>
      </c>
      <c r="B871" s="116"/>
      <c r="C871" s="28" t="s">
        <v>178</v>
      </c>
      <c r="D871" s="28">
        <f>(3.05*4.98+2.28*3.43+2.9*3.66+3.05*3.66+1.37*(2.41+2.28)+1.7+2.47*1.58+0.4*1.35+3.05*1.05)*(10.764)</f>
        <v>651.83339520000004</v>
      </c>
      <c r="E871" s="28">
        <v>0</v>
      </c>
      <c r="F871" s="28">
        <f t="shared" si="299"/>
        <v>977.75009280000006</v>
      </c>
      <c r="G871" s="116"/>
      <c r="H871" s="116"/>
      <c r="I871" s="52"/>
      <c r="N871" s="53" t="e">
        <f t="shared" ref="N871" si="305">O871&amp;""&amp;" &amp; "&amp;""&amp;P871</f>
        <v>#REF!</v>
      </c>
      <c r="O871" s="53" t="e">
        <f>#REF!+1</f>
        <v>#REF!</v>
      </c>
      <c r="P871" s="53" t="e">
        <f>#REF!+1</f>
        <v>#REF!</v>
      </c>
    </row>
    <row r="872" spans="1:16" s="27" customFormat="1" x14ac:dyDescent="0.35">
      <c r="A872" s="116">
        <f t="shared" si="302"/>
        <v>6</v>
      </c>
      <c r="B872" s="116"/>
      <c r="C872" s="28" t="s">
        <v>298</v>
      </c>
      <c r="D872" s="28">
        <f>(6.25*6+4.65*2.43+3.05*(3.66*2+3.89*2)+1.65*2+1.37*(2.31*2+2.44*2)+(1.37*3.41)*2+2.78*1.5+3.7*2.43+6.25*1.3)*(10.764)</f>
        <v>1526.3233596</v>
      </c>
      <c r="E872" s="28">
        <v>0</v>
      </c>
      <c r="F872" s="28">
        <f t="shared" si="299"/>
        <v>2289.4850394</v>
      </c>
      <c r="G872" s="116"/>
      <c r="H872" s="116"/>
    </row>
    <row r="873" spans="1:16" s="27" customFormat="1" x14ac:dyDescent="0.35">
      <c r="A873" s="210" t="s">
        <v>69</v>
      </c>
      <c r="B873" s="210"/>
      <c r="C873" s="210"/>
      <c r="D873" s="210"/>
      <c r="E873" s="210"/>
      <c r="F873" s="210"/>
      <c r="G873" s="210"/>
      <c r="H873" s="210"/>
    </row>
    <row r="874" spans="1:16" s="27" customFormat="1" ht="48.5" customHeight="1" x14ac:dyDescent="0.35">
      <c r="A874" s="71">
        <v>1</v>
      </c>
      <c r="B874" s="262" t="s">
        <v>449</v>
      </c>
      <c r="C874" s="262"/>
      <c r="D874" s="262"/>
      <c r="E874" s="262"/>
      <c r="F874" s="262"/>
      <c r="G874" s="262"/>
      <c r="H874" s="262"/>
    </row>
    <row r="875" spans="1:16" s="27" customFormat="1" x14ac:dyDescent="0.35">
      <c r="A875" s="71">
        <f>A874+1</f>
        <v>2</v>
      </c>
      <c r="B875" s="170" t="s">
        <v>279</v>
      </c>
      <c r="C875" s="171"/>
      <c r="D875" s="171"/>
      <c r="E875" s="171"/>
      <c r="F875" s="171"/>
      <c r="G875" s="171"/>
      <c r="H875" s="172"/>
    </row>
    <row r="876" spans="1:16" s="27" customFormat="1" x14ac:dyDescent="0.35">
      <c r="A876" s="71">
        <f>A875+1</f>
        <v>3</v>
      </c>
      <c r="B876" s="170" t="s">
        <v>280</v>
      </c>
      <c r="C876" s="171"/>
      <c r="D876" s="171"/>
      <c r="E876" s="171"/>
      <c r="F876" s="171"/>
      <c r="G876" s="171"/>
      <c r="H876" s="172"/>
    </row>
    <row r="877" spans="1:16" s="27" customFormat="1" x14ac:dyDescent="0.35">
      <c r="A877" s="71">
        <f t="shared" ref="A877:A889" si="306">A876+1</f>
        <v>4</v>
      </c>
      <c r="B877" s="263" t="s">
        <v>145</v>
      </c>
      <c r="C877" s="264"/>
      <c r="D877" s="264"/>
      <c r="E877" s="264"/>
      <c r="F877" s="264"/>
      <c r="G877" s="264"/>
      <c r="H877" s="265"/>
    </row>
    <row r="878" spans="1:16" s="27" customFormat="1" x14ac:dyDescent="0.35">
      <c r="A878" s="71">
        <f t="shared" si="306"/>
        <v>5</v>
      </c>
      <c r="B878" s="263" t="s">
        <v>276</v>
      </c>
      <c r="C878" s="264"/>
      <c r="D878" s="264"/>
      <c r="E878" s="264"/>
      <c r="F878" s="264"/>
      <c r="G878" s="264"/>
      <c r="H878" s="265"/>
    </row>
    <row r="879" spans="1:16" s="27" customFormat="1" x14ac:dyDescent="0.35">
      <c r="A879" s="71">
        <f t="shared" si="306"/>
        <v>6</v>
      </c>
      <c r="B879" s="263" t="s">
        <v>277</v>
      </c>
      <c r="C879" s="264"/>
      <c r="D879" s="264"/>
      <c r="E879" s="264"/>
      <c r="F879" s="264"/>
      <c r="G879" s="264"/>
      <c r="H879" s="265"/>
    </row>
    <row r="880" spans="1:16" s="27" customFormat="1" x14ac:dyDescent="0.35">
      <c r="A880" s="71">
        <f t="shared" si="306"/>
        <v>7</v>
      </c>
      <c r="B880" s="263" t="s">
        <v>146</v>
      </c>
      <c r="C880" s="264"/>
      <c r="D880" s="264"/>
      <c r="E880" s="264"/>
      <c r="F880" s="264"/>
      <c r="G880" s="264"/>
      <c r="H880" s="265"/>
    </row>
    <row r="881" spans="1:8" s="27" customFormat="1" ht="33.75" customHeight="1" x14ac:dyDescent="0.35">
      <c r="A881" s="71">
        <f t="shared" si="306"/>
        <v>8</v>
      </c>
      <c r="B881" s="263" t="s">
        <v>278</v>
      </c>
      <c r="C881" s="264"/>
      <c r="D881" s="264"/>
      <c r="E881" s="264"/>
      <c r="F881" s="264"/>
      <c r="G881" s="264"/>
      <c r="H881" s="265"/>
    </row>
    <row r="882" spans="1:8" s="27" customFormat="1" x14ac:dyDescent="0.35">
      <c r="A882" s="71">
        <f t="shared" si="306"/>
        <v>9</v>
      </c>
      <c r="B882" s="170" t="s">
        <v>147</v>
      </c>
      <c r="C882" s="171"/>
      <c r="D882" s="171"/>
      <c r="E882" s="171"/>
      <c r="F882" s="171"/>
      <c r="G882" s="171"/>
      <c r="H882" s="172"/>
    </row>
    <row r="883" spans="1:8" s="27" customFormat="1" x14ac:dyDescent="0.35">
      <c r="A883" s="71">
        <f t="shared" si="306"/>
        <v>10</v>
      </c>
      <c r="B883" s="170" t="s">
        <v>301</v>
      </c>
      <c r="C883" s="171"/>
      <c r="D883" s="171"/>
      <c r="E883" s="171"/>
      <c r="F883" s="171"/>
      <c r="G883" s="171"/>
      <c r="H883" s="172"/>
    </row>
    <row r="884" spans="1:8" s="27" customFormat="1" x14ac:dyDescent="0.35">
      <c r="A884" s="71">
        <f t="shared" si="306"/>
        <v>11</v>
      </c>
      <c r="B884" s="170" t="s">
        <v>357</v>
      </c>
      <c r="C884" s="171"/>
      <c r="D884" s="171"/>
      <c r="E884" s="171"/>
      <c r="F884" s="171"/>
      <c r="G884" s="171"/>
      <c r="H884" s="172"/>
    </row>
    <row r="885" spans="1:8" s="27" customFormat="1" x14ac:dyDescent="0.35">
      <c r="A885" s="71">
        <f t="shared" si="306"/>
        <v>12</v>
      </c>
      <c r="B885" s="170" t="s">
        <v>369</v>
      </c>
      <c r="C885" s="171"/>
      <c r="D885" s="171"/>
      <c r="E885" s="171"/>
      <c r="F885" s="171"/>
      <c r="G885" s="171"/>
      <c r="H885" s="172"/>
    </row>
    <row r="886" spans="1:8" s="27" customFormat="1" x14ac:dyDescent="0.35">
      <c r="A886" s="81">
        <v>13</v>
      </c>
      <c r="B886" s="170" t="s">
        <v>385</v>
      </c>
      <c r="C886" s="171"/>
      <c r="D886" s="171"/>
      <c r="E886" s="171"/>
      <c r="F886" s="171"/>
      <c r="G886" s="171"/>
      <c r="H886" s="172"/>
    </row>
    <row r="887" spans="1:8" s="27" customFormat="1" x14ac:dyDescent="0.35">
      <c r="A887" s="71">
        <v>14</v>
      </c>
      <c r="B887" s="170" t="s">
        <v>439</v>
      </c>
      <c r="C887" s="171"/>
      <c r="D887" s="171"/>
      <c r="E887" s="171"/>
      <c r="F887" s="171"/>
      <c r="G887" s="171"/>
      <c r="H887" s="172"/>
    </row>
    <row r="888" spans="1:8" s="27" customFormat="1" ht="31.5" customHeight="1" x14ac:dyDescent="0.35">
      <c r="A888" s="71">
        <f t="shared" si="306"/>
        <v>15</v>
      </c>
      <c r="B888" s="170" t="s">
        <v>435</v>
      </c>
      <c r="C888" s="171"/>
      <c r="D888" s="171"/>
      <c r="E888" s="171"/>
      <c r="F888" s="171"/>
      <c r="G888" s="171"/>
      <c r="H888" s="172"/>
    </row>
    <row r="889" spans="1:8" x14ac:dyDescent="0.35">
      <c r="A889" s="71">
        <f t="shared" si="306"/>
        <v>16</v>
      </c>
      <c r="B889" s="170" t="s">
        <v>423</v>
      </c>
      <c r="C889" s="171"/>
      <c r="D889" s="171"/>
      <c r="E889" s="171"/>
      <c r="F889" s="171"/>
      <c r="G889" s="171"/>
      <c r="H889" s="172"/>
    </row>
    <row r="890" spans="1:8" x14ac:dyDescent="0.35">
      <c r="A890" s="71">
        <f t="shared" ref="A890:A891" si="307">A889+1</f>
        <v>17</v>
      </c>
      <c r="B890" s="170" t="s">
        <v>437</v>
      </c>
      <c r="C890" s="171"/>
      <c r="D890" s="171"/>
      <c r="E890" s="171"/>
      <c r="F890" s="171"/>
      <c r="G890" s="171"/>
      <c r="H890" s="172"/>
    </row>
    <row r="891" spans="1:8" x14ac:dyDescent="0.35">
      <c r="A891" s="102">
        <f t="shared" si="307"/>
        <v>18</v>
      </c>
      <c r="B891" s="268" t="s">
        <v>447</v>
      </c>
      <c r="C891" s="269"/>
      <c r="D891" s="269"/>
      <c r="E891" s="269"/>
      <c r="F891" s="269"/>
      <c r="G891" s="269"/>
      <c r="H891" s="270"/>
    </row>
    <row r="892" spans="1:8" x14ac:dyDescent="0.35">
      <c r="A892" s="211" t="s">
        <v>62</v>
      </c>
      <c r="B892" s="211"/>
      <c r="C892" s="211"/>
      <c r="D892" s="211"/>
      <c r="E892" s="211"/>
      <c r="F892" s="211"/>
      <c r="G892" s="211"/>
      <c r="H892" s="211"/>
    </row>
    <row r="893" spans="1:8" ht="15.75" customHeight="1" x14ac:dyDescent="0.35">
      <c r="A893" s="136" t="s">
        <v>63</v>
      </c>
      <c r="B893" s="136"/>
      <c r="C893" s="136"/>
      <c r="D893" s="136"/>
      <c r="E893" s="136"/>
      <c r="F893" s="136"/>
      <c r="G893" s="136"/>
      <c r="H893" s="136"/>
    </row>
    <row r="894" spans="1:8" x14ac:dyDescent="0.35">
      <c r="A894" s="215" t="s">
        <v>64</v>
      </c>
      <c r="B894" s="215"/>
      <c r="C894" s="215"/>
      <c r="D894" s="215"/>
      <c r="E894" s="215"/>
      <c r="F894" s="215"/>
      <c r="G894" s="215"/>
      <c r="H894" s="215"/>
    </row>
    <row r="895" spans="1:8" hidden="1" x14ac:dyDescent="0.35">
      <c r="A895" s="136" t="s">
        <v>65</v>
      </c>
      <c r="B895" s="136"/>
      <c r="C895" s="136"/>
      <c r="D895" s="136"/>
      <c r="E895" s="136"/>
      <c r="F895" s="136"/>
      <c r="G895" s="136"/>
      <c r="H895" s="136"/>
    </row>
    <row r="896" spans="1:8" hidden="1" x14ac:dyDescent="0.35">
      <c r="A896" s="136" t="s">
        <v>66</v>
      </c>
      <c r="B896" s="136"/>
      <c r="C896" s="136"/>
      <c r="D896" s="136"/>
      <c r="E896" s="136"/>
      <c r="F896" s="136"/>
      <c r="G896" s="136"/>
      <c r="H896" s="136"/>
    </row>
    <row r="897" spans="1:8" x14ac:dyDescent="0.35">
      <c r="A897" s="136" t="s">
        <v>148</v>
      </c>
      <c r="B897" s="136"/>
      <c r="C897" s="136"/>
      <c r="D897" s="136"/>
      <c r="E897" s="136"/>
      <c r="F897" s="136"/>
      <c r="G897" s="136"/>
      <c r="H897" s="136"/>
    </row>
    <row r="898" spans="1:8" x14ac:dyDescent="0.35">
      <c r="A898" s="209" t="s">
        <v>149</v>
      </c>
      <c r="B898" s="209"/>
      <c r="C898" s="209"/>
      <c r="D898" s="209"/>
      <c r="E898" s="209"/>
      <c r="F898" s="209"/>
      <c r="G898" s="209"/>
      <c r="H898" s="209"/>
    </row>
    <row r="899" spans="1:8" x14ac:dyDescent="0.35">
      <c r="A899" s="207" t="s">
        <v>99</v>
      </c>
      <c r="B899" s="207"/>
      <c r="C899" s="207" t="s">
        <v>450</v>
      </c>
      <c r="D899" s="207"/>
      <c r="E899" s="207" t="s">
        <v>126</v>
      </c>
      <c r="F899" s="207"/>
      <c r="G899" s="207" t="s">
        <v>445</v>
      </c>
      <c r="H899" s="207"/>
    </row>
    <row r="900" spans="1:8" x14ac:dyDescent="0.35">
      <c r="A900" s="206" t="s">
        <v>100</v>
      </c>
      <c r="B900" s="206"/>
      <c r="C900" s="206"/>
      <c r="D900" s="206"/>
      <c r="E900" s="206"/>
      <c r="F900" s="206"/>
      <c r="G900" s="206"/>
      <c r="H900" s="206"/>
    </row>
    <row r="901" spans="1:8" x14ac:dyDescent="0.35">
      <c r="A901" s="206"/>
      <c r="B901" s="206"/>
      <c r="C901" s="206"/>
      <c r="D901" s="206"/>
      <c r="E901" s="206"/>
      <c r="F901" s="206"/>
      <c r="G901" s="206"/>
      <c r="H901" s="206"/>
    </row>
    <row r="902" spans="1:8" x14ac:dyDescent="0.35">
      <c r="A902" s="206"/>
      <c r="B902" s="206"/>
      <c r="C902" s="206"/>
      <c r="D902" s="206"/>
      <c r="E902" s="206"/>
      <c r="F902" s="206"/>
      <c r="G902" s="206"/>
      <c r="H902" s="206"/>
    </row>
    <row r="903" spans="1:8" x14ac:dyDescent="0.35">
      <c r="A903" s="206"/>
      <c r="B903" s="206"/>
      <c r="C903" s="206"/>
      <c r="D903" s="206"/>
      <c r="E903" s="206"/>
      <c r="F903" s="206"/>
      <c r="G903" s="206"/>
      <c r="H903" s="206"/>
    </row>
    <row r="904" spans="1:8" x14ac:dyDescent="0.35">
      <c r="A904" s="56" t="s">
        <v>67</v>
      </c>
      <c r="B904" s="57"/>
      <c r="C904" s="57"/>
      <c r="D904" s="56" t="str">
        <f>E8</f>
        <v>Sector 2A</v>
      </c>
      <c r="F904" s="57"/>
      <c r="G904" s="57"/>
      <c r="H904" s="57"/>
    </row>
    <row r="905" spans="1:8" x14ac:dyDescent="0.35">
      <c r="A905" s="57"/>
      <c r="B905" s="57"/>
      <c r="C905" s="57"/>
      <c r="D905" s="57"/>
      <c r="E905" s="57"/>
      <c r="F905" s="57"/>
      <c r="G905" s="57"/>
      <c r="H905" s="57"/>
    </row>
    <row r="906" spans="1:8" ht="15" customHeight="1" x14ac:dyDescent="0.35">
      <c r="A906" s="57"/>
      <c r="B906" s="57"/>
      <c r="C906" s="57"/>
      <c r="D906" s="57"/>
      <c r="E906" s="57"/>
      <c r="F906" s="57"/>
      <c r="G906" s="57"/>
      <c r="H906" s="57"/>
    </row>
    <row r="950" spans="1:1" x14ac:dyDescent="0.35">
      <c r="A950" s="59" t="s">
        <v>302</v>
      </c>
    </row>
    <row r="970" spans="2:2" ht="26.25" customHeight="1" x14ac:dyDescent="0.35">
      <c r="B970" s="61"/>
    </row>
    <row r="983" spans="1:1" x14ac:dyDescent="0.35">
      <c r="A983" s="59" t="s">
        <v>427</v>
      </c>
    </row>
    <row r="1003" spans="2:2" x14ac:dyDescent="0.35">
      <c r="B1003" s="61"/>
    </row>
    <row r="1021" spans="1:1" x14ac:dyDescent="0.35">
      <c r="A1021" s="59" t="s">
        <v>68</v>
      </c>
    </row>
  </sheetData>
  <mergeCells count="1254">
    <mergeCell ref="B891:H891"/>
    <mergeCell ref="A237:E237"/>
    <mergeCell ref="F237:H237"/>
    <mergeCell ref="A54:B55"/>
    <mergeCell ref="C54:E54"/>
    <mergeCell ref="G54:H54"/>
    <mergeCell ref="C55:H55"/>
    <mergeCell ref="B890:H890"/>
    <mergeCell ref="B886:H886"/>
    <mergeCell ref="B887:H887"/>
    <mergeCell ref="C252:D252"/>
    <mergeCell ref="E252:F252"/>
    <mergeCell ref="G252:H252"/>
    <mergeCell ref="C253:D253"/>
    <mergeCell ref="E253:F253"/>
    <mergeCell ref="G253:H253"/>
    <mergeCell ref="B888:H888"/>
    <mergeCell ref="A269:B269"/>
    <mergeCell ref="C269:D269"/>
    <mergeCell ref="E269:F269"/>
    <mergeCell ref="G269:H269"/>
    <mergeCell ref="A859:H859"/>
    <mergeCell ref="A860:B860"/>
    <mergeCell ref="G860:H865"/>
    <mergeCell ref="A861:B861"/>
    <mergeCell ref="A862:B862"/>
    <mergeCell ref="A863:B863"/>
    <mergeCell ref="A864:B864"/>
    <mergeCell ref="C864:F864"/>
    <mergeCell ref="A865:B865"/>
    <mergeCell ref="A866:H866"/>
    <mergeCell ref="A867:B867"/>
    <mergeCell ref="G867:H872"/>
    <mergeCell ref="A868:B868"/>
    <mergeCell ref="A869:B869"/>
    <mergeCell ref="A870:B870"/>
    <mergeCell ref="A871:B871"/>
    <mergeCell ref="A872:B872"/>
    <mergeCell ref="A844:B844"/>
    <mergeCell ref="G844:H850"/>
    <mergeCell ref="A845:B845"/>
    <mergeCell ref="A846:B846"/>
    <mergeCell ref="A847:B847"/>
    <mergeCell ref="A848:B848"/>
    <mergeCell ref="A849:B849"/>
    <mergeCell ref="A850:B850"/>
    <mergeCell ref="A843:H843"/>
    <mergeCell ref="A851:H851"/>
    <mergeCell ref="A852:B852"/>
    <mergeCell ref="G852:H858"/>
    <mergeCell ref="A853:B853"/>
    <mergeCell ref="A854:B854"/>
    <mergeCell ref="A855:B855"/>
    <mergeCell ref="A856:B856"/>
    <mergeCell ref="C856:F856"/>
    <mergeCell ref="A857:B857"/>
    <mergeCell ref="A858:B858"/>
    <mergeCell ref="A828:H828"/>
    <mergeCell ref="A829:B829"/>
    <mergeCell ref="C829:F829"/>
    <mergeCell ref="G829:H833"/>
    <mergeCell ref="A830:B830"/>
    <mergeCell ref="A831:B831"/>
    <mergeCell ref="A832:B832"/>
    <mergeCell ref="A833:B833"/>
    <mergeCell ref="C833:F833"/>
    <mergeCell ref="A834:H834"/>
    <mergeCell ref="A835:H835"/>
    <mergeCell ref="A836:B836"/>
    <mergeCell ref="G836:H842"/>
    <mergeCell ref="A837:B837"/>
    <mergeCell ref="A838:B838"/>
    <mergeCell ref="A839:B839"/>
    <mergeCell ref="A840:B840"/>
    <mergeCell ref="A841:B841"/>
    <mergeCell ref="A842:B842"/>
    <mergeCell ref="A818:H818"/>
    <mergeCell ref="A819:B819"/>
    <mergeCell ref="G819:H824"/>
    <mergeCell ref="A820:B820"/>
    <mergeCell ref="A821:B821"/>
    <mergeCell ref="A822:B822"/>
    <mergeCell ref="A823:B823"/>
    <mergeCell ref="A824:B824"/>
    <mergeCell ref="A825:H825"/>
    <mergeCell ref="A827:H827"/>
    <mergeCell ref="I825:J825"/>
    <mergeCell ref="A800:B800"/>
    <mergeCell ref="A801:B801"/>
    <mergeCell ref="A802:B802"/>
    <mergeCell ref="A803:H803"/>
    <mergeCell ref="A804:B804"/>
    <mergeCell ref="G804:H810"/>
    <mergeCell ref="A805:B805"/>
    <mergeCell ref="A806:B806"/>
    <mergeCell ref="A807:B807"/>
    <mergeCell ref="A808:B808"/>
    <mergeCell ref="A809:B809"/>
    <mergeCell ref="A810:B810"/>
    <mergeCell ref="C808:F808"/>
    <mergeCell ref="A811:H811"/>
    <mergeCell ref="A812:B812"/>
    <mergeCell ref="A813:B813"/>
    <mergeCell ref="A826:H826"/>
    <mergeCell ref="A814:B814"/>
    <mergeCell ref="A815:B815"/>
    <mergeCell ref="I777:J777"/>
    <mergeCell ref="A781:B781"/>
    <mergeCell ref="G781:H785"/>
    <mergeCell ref="A782:B782"/>
    <mergeCell ref="A783:B783"/>
    <mergeCell ref="A784:B784"/>
    <mergeCell ref="A785:B785"/>
    <mergeCell ref="C781:F781"/>
    <mergeCell ref="C785:F785"/>
    <mergeCell ref="A786:H786"/>
    <mergeCell ref="A787:H787"/>
    <mergeCell ref="A788:B788"/>
    <mergeCell ref="A789:B789"/>
    <mergeCell ref="A790:B790"/>
    <mergeCell ref="A791:B791"/>
    <mergeCell ref="A792:B792"/>
    <mergeCell ref="G788:H794"/>
    <mergeCell ref="A780:H780"/>
    <mergeCell ref="B889:H889"/>
    <mergeCell ref="B884:H884"/>
    <mergeCell ref="A733:H733"/>
    <mergeCell ref="A734:B734"/>
    <mergeCell ref="G734:H744"/>
    <mergeCell ref="A735:B735"/>
    <mergeCell ref="A736:B736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H745"/>
    <mergeCell ref="A746:B746"/>
    <mergeCell ref="G746:H756"/>
    <mergeCell ref="A793:B793"/>
    <mergeCell ref="A794:B794"/>
    <mergeCell ref="A795:H795"/>
    <mergeCell ref="A796:B796"/>
    <mergeCell ref="G796:H802"/>
    <mergeCell ref="A797:B797"/>
    <mergeCell ref="A798:B798"/>
    <mergeCell ref="A799:B799"/>
    <mergeCell ref="A754:B754"/>
    <mergeCell ref="A755:B755"/>
    <mergeCell ref="C755:F755"/>
    <mergeCell ref="A756:B756"/>
    <mergeCell ref="A817:B817"/>
    <mergeCell ref="G812:H817"/>
    <mergeCell ref="A701:B701"/>
    <mergeCell ref="A702:B702"/>
    <mergeCell ref="A703:B703"/>
    <mergeCell ref="A704:B704"/>
    <mergeCell ref="A705:B705"/>
    <mergeCell ref="A706:B706"/>
    <mergeCell ref="A707:B707"/>
    <mergeCell ref="A708:B708"/>
    <mergeCell ref="A710:B710"/>
    <mergeCell ref="G710:H720"/>
    <mergeCell ref="A711:B711"/>
    <mergeCell ref="A712:B712"/>
    <mergeCell ref="A713:B713"/>
    <mergeCell ref="A714:B714"/>
    <mergeCell ref="A715:B715"/>
    <mergeCell ref="A722:B722"/>
    <mergeCell ref="G722:H73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C731:F731"/>
    <mergeCell ref="A732:B732"/>
    <mergeCell ref="A716:B716"/>
    <mergeCell ref="A717:B717"/>
    <mergeCell ref="A718:B718"/>
    <mergeCell ref="C494:F494"/>
    <mergeCell ref="A525:H525"/>
    <mergeCell ref="A548:B548"/>
    <mergeCell ref="A562:B562"/>
    <mergeCell ref="A643:B643"/>
    <mergeCell ref="A644:B644"/>
    <mergeCell ref="A645:B645"/>
    <mergeCell ref="A646:B646"/>
    <mergeCell ref="A647:B647"/>
    <mergeCell ref="A648:H648"/>
    <mergeCell ref="A649:B649"/>
    <mergeCell ref="G649:H656"/>
    <mergeCell ref="A650:B650"/>
    <mergeCell ref="A651:B651"/>
    <mergeCell ref="A652:B652"/>
    <mergeCell ref="A653:B653"/>
    <mergeCell ref="A654:B654"/>
    <mergeCell ref="A655:B655"/>
    <mergeCell ref="A656:B656"/>
    <mergeCell ref="C649:F649"/>
    <mergeCell ref="A522:B522"/>
    <mergeCell ref="A523:B523"/>
    <mergeCell ref="C522:F523"/>
    <mergeCell ref="G518:H523"/>
    <mergeCell ref="A612:B612"/>
    <mergeCell ref="A617:B617"/>
    <mergeCell ref="A618:B618"/>
    <mergeCell ref="A620:B620"/>
    <mergeCell ref="A609:H609"/>
    <mergeCell ref="A610:B610"/>
    <mergeCell ref="A611:B611"/>
    <mergeCell ref="A613:B613"/>
    <mergeCell ref="B879:H879"/>
    <mergeCell ref="B880:H880"/>
    <mergeCell ref="B881:H881"/>
    <mergeCell ref="B877:H877"/>
    <mergeCell ref="B878:H878"/>
    <mergeCell ref="A639:H639"/>
    <mergeCell ref="A640:B640"/>
    <mergeCell ref="G640:H647"/>
    <mergeCell ref="A760:B760"/>
    <mergeCell ref="G760:H764"/>
    <mergeCell ref="A761:B761"/>
    <mergeCell ref="A762:B762"/>
    <mergeCell ref="A763:B763"/>
    <mergeCell ref="A764:B764"/>
    <mergeCell ref="A778:H778"/>
    <mergeCell ref="A747:B747"/>
    <mergeCell ref="A748:B748"/>
    <mergeCell ref="A749:B749"/>
    <mergeCell ref="A750:B750"/>
    <mergeCell ref="A751:B751"/>
    <mergeCell ref="A752:B752"/>
    <mergeCell ref="A753:B753"/>
    <mergeCell ref="A721:H721"/>
    <mergeCell ref="A685:H685"/>
    <mergeCell ref="A666:B666"/>
    <mergeCell ref="A667:B667"/>
    <mergeCell ref="A668:B668"/>
    <mergeCell ref="A669:B669"/>
    <mergeCell ref="A665:B665"/>
    <mergeCell ref="A686:B686"/>
    <mergeCell ref="G686:H696"/>
    <mergeCell ref="A687:B687"/>
    <mergeCell ref="C604:F607"/>
    <mergeCell ref="B874:H874"/>
    <mergeCell ref="B875:H875"/>
    <mergeCell ref="B876:H876"/>
    <mergeCell ref="A614:B614"/>
    <mergeCell ref="A615:B615"/>
    <mergeCell ref="A616:B616"/>
    <mergeCell ref="G610:H618"/>
    <mergeCell ref="A619:H619"/>
    <mergeCell ref="G620:H628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H697"/>
    <mergeCell ref="A698:B698"/>
    <mergeCell ref="G698:H708"/>
    <mergeCell ref="A699:B699"/>
    <mergeCell ref="A700:B700"/>
    <mergeCell ref="A642:B642"/>
    <mergeCell ref="A498:B498"/>
    <mergeCell ref="A499:B499"/>
    <mergeCell ref="A500:B500"/>
    <mergeCell ref="B882:H882"/>
    <mergeCell ref="B883:H883"/>
    <mergeCell ref="A104:B104"/>
    <mergeCell ref="C104:H104"/>
    <mergeCell ref="A106:B106"/>
    <mergeCell ref="C106:H106"/>
    <mergeCell ref="A107:B107"/>
    <mergeCell ref="E107:F107"/>
    <mergeCell ref="G107:H107"/>
    <mergeCell ref="A108:B108"/>
    <mergeCell ref="E108:F117"/>
    <mergeCell ref="G108:H117"/>
    <mergeCell ref="A109:B109"/>
    <mergeCell ref="A110:B110"/>
    <mergeCell ref="A111:B111"/>
    <mergeCell ref="A112:B112"/>
    <mergeCell ref="A113:B113"/>
    <mergeCell ref="A114:B114"/>
    <mergeCell ref="A122:B122"/>
    <mergeCell ref="E122:F131"/>
    <mergeCell ref="A123:B123"/>
    <mergeCell ref="A125:B125"/>
    <mergeCell ref="A126:B126"/>
    <mergeCell ref="A127:B127"/>
    <mergeCell ref="A128:B128"/>
    <mergeCell ref="A129:B129"/>
    <mergeCell ref="A130:B130"/>
    <mergeCell ref="A131:B131"/>
    <mergeCell ref="A350:H350"/>
    <mergeCell ref="L348:M348"/>
    <mergeCell ref="A359:H359"/>
    <mergeCell ref="A360:B360"/>
    <mergeCell ref="A462:H462"/>
    <mergeCell ref="A454:H454"/>
    <mergeCell ref="A446:H446"/>
    <mergeCell ref="A438:H438"/>
    <mergeCell ref="A439:B439"/>
    <mergeCell ref="G439:H445"/>
    <mergeCell ref="A440:B440"/>
    <mergeCell ref="A441:B441"/>
    <mergeCell ref="A442:B442"/>
    <mergeCell ref="A443:B443"/>
    <mergeCell ref="A444:B444"/>
    <mergeCell ref="A445:B445"/>
    <mergeCell ref="C719:F719"/>
    <mergeCell ref="A682:B682"/>
    <mergeCell ref="A683:B683"/>
    <mergeCell ref="A684:B684"/>
    <mergeCell ref="A672:H672"/>
    <mergeCell ref="A673:H673"/>
    <mergeCell ref="A674:B674"/>
    <mergeCell ref="A482:H482"/>
    <mergeCell ref="A483:B483"/>
    <mergeCell ref="G483:H488"/>
    <mergeCell ref="A484:B484"/>
    <mergeCell ref="A485:B485"/>
    <mergeCell ref="A486:B486"/>
    <mergeCell ref="A487:B487"/>
    <mergeCell ref="A488:B488"/>
    <mergeCell ref="A641:B641"/>
    <mergeCell ref="A664:B664"/>
    <mergeCell ref="A458:B458"/>
    <mergeCell ref="A495:B495"/>
    <mergeCell ref="A489:H489"/>
    <mergeCell ref="I232:M232"/>
    <mergeCell ref="L384:M384"/>
    <mergeCell ref="L376:M376"/>
    <mergeCell ref="A379:B379"/>
    <mergeCell ref="C379:F379"/>
    <mergeCell ref="G379:H385"/>
    <mergeCell ref="A248:H248"/>
    <mergeCell ref="A287:B287"/>
    <mergeCell ref="G277:H287"/>
    <mergeCell ref="L274:M274"/>
    <mergeCell ref="A277:B277"/>
    <mergeCell ref="A278:B278"/>
    <mergeCell ref="C268:D268"/>
    <mergeCell ref="E268:F268"/>
    <mergeCell ref="G360:H366"/>
    <mergeCell ref="A361:B361"/>
    <mergeCell ref="A362:B362"/>
    <mergeCell ref="A249:B249"/>
    <mergeCell ref="C249:D249"/>
    <mergeCell ref="E249:F249"/>
    <mergeCell ref="G249:H249"/>
    <mergeCell ref="G264:H264"/>
    <mergeCell ref="E263:F263"/>
    <mergeCell ref="G263:H263"/>
    <mergeCell ref="L340:M340"/>
    <mergeCell ref="A344:B344"/>
    <mergeCell ref="A345:B345"/>
    <mergeCell ref="A346:B346"/>
    <mergeCell ref="A460:B460"/>
    <mergeCell ref="A461:B461"/>
    <mergeCell ref="A493:B493"/>
    <mergeCell ref="A494:B494"/>
    <mergeCell ref="L659:M659"/>
    <mergeCell ref="A670:B670"/>
    <mergeCell ref="A671:B671"/>
    <mergeCell ref="C661:F663"/>
    <mergeCell ref="C667:F671"/>
    <mergeCell ref="L452:M452"/>
    <mergeCell ref="A455:B455"/>
    <mergeCell ref="G455:H461"/>
    <mergeCell ref="A456:B456"/>
    <mergeCell ref="A457:B457"/>
    <mergeCell ref="A719:B719"/>
    <mergeCell ref="A720:B720"/>
    <mergeCell ref="A658:H658"/>
    <mergeCell ref="A660:H660"/>
    <mergeCell ref="A659:H659"/>
    <mergeCell ref="G674:H684"/>
    <mergeCell ref="A675:B675"/>
    <mergeCell ref="A676:B676"/>
    <mergeCell ref="A677:B677"/>
    <mergeCell ref="A678:B678"/>
    <mergeCell ref="A679:B679"/>
    <mergeCell ref="A680:B680"/>
    <mergeCell ref="A681:B681"/>
    <mergeCell ref="A709:H709"/>
    <mergeCell ref="A661:B661"/>
    <mergeCell ref="G661:H671"/>
    <mergeCell ref="A662:B662"/>
    <mergeCell ref="A663:B663"/>
    <mergeCell ref="C262:D262"/>
    <mergeCell ref="E262:F262"/>
    <mergeCell ref="G262:H262"/>
    <mergeCell ref="A276:H276"/>
    <mergeCell ref="L428:M428"/>
    <mergeCell ref="A431:B431"/>
    <mergeCell ref="G431:H437"/>
    <mergeCell ref="A432:B432"/>
    <mergeCell ref="A433:B433"/>
    <mergeCell ref="A434:B434"/>
    <mergeCell ref="A435:B435"/>
    <mergeCell ref="A436:B436"/>
    <mergeCell ref="L426:M426"/>
    <mergeCell ref="A602:B602"/>
    <mergeCell ref="A403:H403"/>
    <mergeCell ref="A437:B437"/>
    <mergeCell ref="L444:M444"/>
    <mergeCell ref="A463:B463"/>
    <mergeCell ref="G463:H469"/>
    <mergeCell ref="A464:B464"/>
    <mergeCell ref="A465:B465"/>
    <mergeCell ref="A466:B466"/>
    <mergeCell ref="A467:B467"/>
    <mergeCell ref="A468:B468"/>
    <mergeCell ref="A469:B469"/>
    <mergeCell ref="C468:F468"/>
    <mergeCell ref="A427:H427"/>
    <mergeCell ref="A429:H429"/>
    <mergeCell ref="A430:H430"/>
    <mergeCell ref="A472:H472"/>
    <mergeCell ref="L460:M460"/>
    <mergeCell ref="A459:B459"/>
    <mergeCell ref="A94:B94"/>
    <mergeCell ref="E94:F103"/>
    <mergeCell ref="A170:B170"/>
    <mergeCell ref="A168:B168"/>
    <mergeCell ref="A367:H367"/>
    <mergeCell ref="A356:B356"/>
    <mergeCell ref="A357:B357"/>
    <mergeCell ref="A343:B343"/>
    <mergeCell ref="A347:B347"/>
    <mergeCell ref="A348:B348"/>
    <mergeCell ref="C343:F343"/>
    <mergeCell ref="A349:B349"/>
    <mergeCell ref="A449:B449"/>
    <mergeCell ref="A447:B447"/>
    <mergeCell ref="G447:H453"/>
    <mergeCell ref="A448:B448"/>
    <mergeCell ref="C256:D256"/>
    <mergeCell ref="G256:H256"/>
    <mergeCell ref="G268:H268"/>
    <mergeCell ref="A337:A338"/>
    <mergeCell ref="C337:C338"/>
    <mergeCell ref="G258:H258"/>
    <mergeCell ref="A275:H275"/>
    <mergeCell ref="A256:B256"/>
    <mergeCell ref="B337:B338"/>
    <mergeCell ref="A336:H336"/>
    <mergeCell ref="A300:H300"/>
    <mergeCell ref="A301:H301"/>
    <mergeCell ref="A302:H302"/>
    <mergeCell ref="E261:F261"/>
    <mergeCell ref="G261:H261"/>
    <mergeCell ref="A262:B262"/>
    <mergeCell ref="A261:B261"/>
    <mergeCell ref="C261:D261"/>
    <mergeCell ref="A258:B258"/>
    <mergeCell ref="C263:D263"/>
    <mergeCell ref="C92:H92"/>
    <mergeCell ref="A93:B93"/>
    <mergeCell ref="E93:F93"/>
    <mergeCell ref="G93:H93"/>
    <mergeCell ref="A97:B97"/>
    <mergeCell ref="A230:E230"/>
    <mergeCell ref="F230:H230"/>
    <mergeCell ref="A173:B173"/>
    <mergeCell ref="C162:H162"/>
    <mergeCell ref="A163:B163"/>
    <mergeCell ref="E163:F163"/>
    <mergeCell ref="G163:H163"/>
    <mergeCell ref="A164:B164"/>
    <mergeCell ref="E164:F173"/>
    <mergeCell ref="G164:H173"/>
    <mergeCell ref="A165:B165"/>
    <mergeCell ref="A117:B117"/>
    <mergeCell ref="A174:B174"/>
    <mergeCell ref="A118:B118"/>
    <mergeCell ref="C118:H118"/>
    <mergeCell ref="A120:B120"/>
    <mergeCell ref="C120:H120"/>
    <mergeCell ref="A121:B121"/>
    <mergeCell ref="G122:H131"/>
    <mergeCell ref="E177:F177"/>
    <mergeCell ref="G94:H103"/>
    <mergeCell ref="A95:B95"/>
    <mergeCell ref="A96:B96"/>
    <mergeCell ref="F243:H243"/>
    <mergeCell ref="F238:H238"/>
    <mergeCell ref="A239:E239"/>
    <mergeCell ref="F239:H239"/>
    <mergeCell ref="G250:H250"/>
    <mergeCell ref="A259:B259"/>
    <mergeCell ref="C259:D259"/>
    <mergeCell ref="E259:F259"/>
    <mergeCell ref="G259:H259"/>
    <mergeCell ref="G260:H260"/>
    <mergeCell ref="C251:D251"/>
    <mergeCell ref="E251:F251"/>
    <mergeCell ref="G251:H251"/>
    <mergeCell ref="A254:B254"/>
    <mergeCell ref="C254:D254"/>
    <mergeCell ref="E254:F254"/>
    <mergeCell ref="G254:H254"/>
    <mergeCell ref="C258:D258"/>
    <mergeCell ref="E258:F258"/>
    <mergeCell ref="A250:A252"/>
    <mergeCell ref="E28:H28"/>
    <mergeCell ref="A29:D29"/>
    <mergeCell ref="E29:H29"/>
    <mergeCell ref="A25:D25"/>
    <mergeCell ref="E25:H25"/>
    <mergeCell ref="D60:H60"/>
    <mergeCell ref="A60:C60"/>
    <mergeCell ref="G47:H47"/>
    <mergeCell ref="A50:B51"/>
    <mergeCell ref="A39:D39"/>
    <mergeCell ref="A32:B32"/>
    <mergeCell ref="C32:E32"/>
    <mergeCell ref="A35:H35"/>
    <mergeCell ref="A34:B34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48:B48"/>
    <mergeCell ref="C48:E48"/>
    <mergeCell ref="G48:H48"/>
    <mergeCell ref="A37:B37"/>
    <mergeCell ref="C37:H3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2:H12"/>
    <mergeCell ref="A11:D11"/>
    <mergeCell ref="E11:H11"/>
    <mergeCell ref="A10:D10"/>
    <mergeCell ref="E10:H10"/>
    <mergeCell ref="A15:B15"/>
    <mergeCell ref="A12:D12"/>
    <mergeCell ref="A22:D22"/>
    <mergeCell ref="E22:H22"/>
    <mergeCell ref="A16:B16"/>
    <mergeCell ref="F30:H30"/>
    <mergeCell ref="A31:B31"/>
    <mergeCell ref="A30:B30"/>
    <mergeCell ref="C31:E31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A13:D13"/>
    <mergeCell ref="E13:H13"/>
    <mergeCell ref="A14:B14"/>
    <mergeCell ref="C14:H14"/>
    <mergeCell ref="C15:H15"/>
    <mergeCell ref="E24:H24"/>
    <mergeCell ref="A26:D26"/>
    <mergeCell ref="E26:H26"/>
    <mergeCell ref="E19:F19"/>
    <mergeCell ref="G19:H19"/>
    <mergeCell ref="A20:D21"/>
    <mergeCell ref="C56:E56"/>
    <mergeCell ref="A47:B47"/>
    <mergeCell ref="A57:H57"/>
    <mergeCell ref="A58:C58"/>
    <mergeCell ref="A59:C59"/>
    <mergeCell ref="D59:H59"/>
    <mergeCell ref="G56:H56"/>
    <mergeCell ref="C51:H51"/>
    <mergeCell ref="C36:H36"/>
    <mergeCell ref="E20:H21"/>
    <mergeCell ref="F31:H31"/>
    <mergeCell ref="F32:H32"/>
    <mergeCell ref="C30:E30"/>
    <mergeCell ref="F33:H33"/>
    <mergeCell ref="F34:H34"/>
    <mergeCell ref="A36:B36"/>
    <mergeCell ref="E39:H39"/>
    <mergeCell ref="A52:B53"/>
    <mergeCell ref="C52:E52"/>
    <mergeCell ref="G52:H52"/>
    <mergeCell ref="C53:H53"/>
    <mergeCell ref="A38:H38"/>
    <mergeCell ref="C34:E34"/>
    <mergeCell ref="A23:D23"/>
    <mergeCell ref="E23:H23"/>
    <mergeCell ref="A27:D27"/>
    <mergeCell ref="E27:H27"/>
    <mergeCell ref="A24:D24"/>
    <mergeCell ref="A33:B33"/>
    <mergeCell ref="C33:E33"/>
    <mergeCell ref="A28:D28"/>
    <mergeCell ref="E80:F89"/>
    <mergeCell ref="G80:H89"/>
    <mergeCell ref="A88:B88"/>
    <mergeCell ref="A89:B89"/>
    <mergeCell ref="D73:H73"/>
    <mergeCell ref="A87:B87"/>
    <mergeCell ref="D63:H63"/>
    <mergeCell ref="A78:B78"/>
    <mergeCell ref="A76:B76"/>
    <mergeCell ref="G79:H79"/>
    <mergeCell ref="A86:B86"/>
    <mergeCell ref="A79:B79"/>
    <mergeCell ref="A82:B82"/>
    <mergeCell ref="A74:C74"/>
    <mergeCell ref="D74:H74"/>
    <mergeCell ref="C78:H78"/>
    <mergeCell ref="A81:B81"/>
    <mergeCell ref="A83:B83"/>
    <mergeCell ref="E79:F79"/>
    <mergeCell ref="D64:H64"/>
    <mergeCell ref="C76:H76"/>
    <mergeCell ref="A84:B84"/>
    <mergeCell ref="D67:H67"/>
    <mergeCell ref="A72:C72"/>
    <mergeCell ref="A73:C73"/>
    <mergeCell ref="D70:H70"/>
    <mergeCell ref="D71:H71"/>
    <mergeCell ref="A61:C71"/>
    <mergeCell ref="D66:H66"/>
    <mergeCell ref="D69:H69"/>
    <mergeCell ref="A322:H322"/>
    <mergeCell ref="A370:B370"/>
    <mergeCell ref="A371:B371"/>
    <mergeCell ref="A372:B372"/>
    <mergeCell ref="A391:B391"/>
    <mergeCell ref="A392:B392"/>
    <mergeCell ref="A393:B393"/>
    <mergeCell ref="A474:B474"/>
    <mergeCell ref="G473:H474"/>
    <mergeCell ref="A394:B394"/>
    <mergeCell ref="A378:H378"/>
    <mergeCell ref="A386:H386"/>
    <mergeCell ref="A387:H387"/>
    <mergeCell ref="A388:B388"/>
    <mergeCell ref="G388:H394"/>
    <mergeCell ref="A419:H419"/>
    <mergeCell ref="A420:B420"/>
    <mergeCell ref="G420:H426"/>
    <mergeCell ref="A421:B421"/>
    <mergeCell ref="A422:B422"/>
    <mergeCell ref="A423:B423"/>
    <mergeCell ref="A424:B424"/>
    <mergeCell ref="A425:B425"/>
    <mergeCell ref="A426:B426"/>
    <mergeCell ref="A450:B450"/>
    <mergeCell ref="A451:B451"/>
    <mergeCell ref="A452:B452"/>
    <mergeCell ref="A453:B453"/>
    <mergeCell ref="C452:F452"/>
    <mergeCell ref="A428:H428"/>
    <mergeCell ref="A470:H470"/>
    <mergeCell ref="A471:H471"/>
    <mergeCell ref="A365:B365"/>
    <mergeCell ref="A274:H274"/>
    <mergeCell ref="A363:B363"/>
    <mergeCell ref="A270:H270"/>
    <mergeCell ref="G343:H349"/>
    <mergeCell ref="C347:F349"/>
    <mergeCell ref="A351:H351"/>
    <mergeCell ref="A352:B352"/>
    <mergeCell ref="G352:H358"/>
    <mergeCell ref="A353:B353"/>
    <mergeCell ref="A354:B354"/>
    <mergeCell ref="A355:B355"/>
    <mergeCell ref="A358:B358"/>
    <mergeCell ref="A284:B284"/>
    <mergeCell ref="A285:B285"/>
    <mergeCell ref="A286:B286"/>
    <mergeCell ref="A294:B294"/>
    <mergeCell ref="A295:B295"/>
    <mergeCell ref="A296:B296"/>
    <mergeCell ref="A299:B299"/>
    <mergeCell ref="A311:H311"/>
    <mergeCell ref="A280:B280"/>
    <mergeCell ref="A281:B281"/>
    <mergeCell ref="A282:B282"/>
    <mergeCell ref="A283:B283"/>
    <mergeCell ref="D337:D338"/>
    <mergeCell ref="E337:E338"/>
    <mergeCell ref="G337:H338"/>
    <mergeCell ref="A329:H329"/>
    <mergeCell ref="A279:B279"/>
    <mergeCell ref="A320:H320"/>
    <mergeCell ref="A321:H321"/>
    <mergeCell ref="A115:B115"/>
    <mergeCell ref="A900:H903"/>
    <mergeCell ref="A899:B899"/>
    <mergeCell ref="E899:F899"/>
    <mergeCell ref="C899:D899"/>
    <mergeCell ref="G899:H899"/>
    <mergeCell ref="A246:E246"/>
    <mergeCell ref="F246:H246"/>
    <mergeCell ref="A247:E247"/>
    <mergeCell ref="F247:H247"/>
    <mergeCell ref="A268:B268"/>
    <mergeCell ref="A257:B257"/>
    <mergeCell ref="A895:H895"/>
    <mergeCell ref="A255:H255"/>
    <mergeCell ref="A898:H898"/>
    <mergeCell ref="A896:H896"/>
    <mergeCell ref="A873:H873"/>
    <mergeCell ref="A892:H892"/>
    <mergeCell ref="A893:H893"/>
    <mergeCell ref="A271:H271"/>
    <mergeCell ref="C257:D257"/>
    <mergeCell ref="E257:F257"/>
    <mergeCell ref="E256:F256"/>
    <mergeCell ref="A377:H377"/>
    <mergeCell ref="A597:H597"/>
    <mergeCell ref="A897:H897"/>
    <mergeCell ref="A894:H894"/>
    <mergeCell ref="A375:H375"/>
    <mergeCell ref="A376:H376"/>
    <mergeCell ref="A595:H595"/>
    <mergeCell ref="A596:H596"/>
    <mergeCell ref="A657:H657"/>
    <mergeCell ref="A142:B142"/>
    <mergeCell ref="A124:B124"/>
    <mergeCell ref="A236:E236"/>
    <mergeCell ref="F236:H236"/>
    <mergeCell ref="C174:H174"/>
    <mergeCell ref="A235:E235"/>
    <mergeCell ref="F235:H235"/>
    <mergeCell ref="F234:H234"/>
    <mergeCell ref="A231:H231"/>
    <mergeCell ref="A232:B232"/>
    <mergeCell ref="A234:E234"/>
    <mergeCell ref="C232:H232"/>
    <mergeCell ref="A188:B188"/>
    <mergeCell ref="C188:H188"/>
    <mergeCell ref="A190:B190"/>
    <mergeCell ref="C190:H190"/>
    <mergeCell ref="A191:B191"/>
    <mergeCell ref="E191:F191"/>
    <mergeCell ref="G191:H191"/>
    <mergeCell ref="E205:F205"/>
    <mergeCell ref="G205:H205"/>
    <mergeCell ref="A192:B192"/>
    <mergeCell ref="A193:B193"/>
    <mergeCell ref="A194:B194"/>
    <mergeCell ref="A195:B195"/>
    <mergeCell ref="A196:B196"/>
    <mergeCell ref="A197:B197"/>
    <mergeCell ref="A198:B198"/>
    <mergeCell ref="A200:B200"/>
    <mergeCell ref="A233:H233"/>
    <mergeCell ref="G177:H177"/>
    <mergeCell ref="A178:B178"/>
    <mergeCell ref="A103:B103"/>
    <mergeCell ref="A162:B162"/>
    <mergeCell ref="A116:B116"/>
    <mergeCell ref="G121:H121"/>
    <mergeCell ref="A166:B166"/>
    <mergeCell ref="A167:B167"/>
    <mergeCell ref="A101:B101"/>
    <mergeCell ref="E136:F145"/>
    <mergeCell ref="G136:H145"/>
    <mergeCell ref="A137:B137"/>
    <mergeCell ref="A138:B138"/>
    <mergeCell ref="I233:L233"/>
    <mergeCell ref="E40:H40"/>
    <mergeCell ref="A40:D40"/>
    <mergeCell ref="A90:B90"/>
    <mergeCell ref="C90:H90"/>
    <mergeCell ref="A85:B85"/>
    <mergeCell ref="A46:B46"/>
    <mergeCell ref="C46:E46"/>
    <mergeCell ref="G46:H46"/>
    <mergeCell ref="G50:H50"/>
    <mergeCell ref="D58:H58"/>
    <mergeCell ref="C50:E50"/>
    <mergeCell ref="D61:H61"/>
    <mergeCell ref="D62:H62"/>
    <mergeCell ref="C47:E47"/>
    <mergeCell ref="A56:B56"/>
    <mergeCell ref="A75:C75"/>
    <mergeCell ref="D75:H75"/>
    <mergeCell ref="A80:B80"/>
    <mergeCell ref="D72:H72"/>
    <mergeCell ref="D68:H68"/>
    <mergeCell ref="E178:F187"/>
    <mergeCell ref="G178:H187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02:B102"/>
    <mergeCell ref="A98:B98"/>
    <mergeCell ref="A99:B99"/>
    <mergeCell ref="A160:B160"/>
    <mergeCell ref="A136:B136"/>
    <mergeCell ref="A92:B92"/>
    <mergeCell ref="A171:B171"/>
    <mergeCell ref="A143:B143"/>
    <mergeCell ref="A144:B144"/>
    <mergeCell ref="A145:B145"/>
    <mergeCell ref="E121:F121"/>
    <mergeCell ref="A139:B139"/>
    <mergeCell ref="A140:B140"/>
    <mergeCell ref="A141:B141"/>
    <mergeCell ref="A159:B159"/>
    <mergeCell ref="C160:H160"/>
    <mergeCell ref="A146:B146"/>
    <mergeCell ref="C146:H146"/>
    <mergeCell ref="A148:B148"/>
    <mergeCell ref="C148:H148"/>
    <mergeCell ref="A149:B149"/>
    <mergeCell ref="L469:M469"/>
    <mergeCell ref="L327:M327"/>
    <mergeCell ref="A330:B330"/>
    <mergeCell ref="G330:H335"/>
    <mergeCell ref="A331:B331"/>
    <mergeCell ref="A332:B332"/>
    <mergeCell ref="A333:B333"/>
    <mergeCell ref="A334:B334"/>
    <mergeCell ref="A335:B335"/>
    <mergeCell ref="A389:B389"/>
    <mergeCell ref="A390:B390"/>
    <mergeCell ref="A342:H342"/>
    <mergeCell ref="A368:B368"/>
    <mergeCell ref="G368:H374"/>
    <mergeCell ref="A369:B369"/>
    <mergeCell ref="A374:B374"/>
    <mergeCell ref="A364:B364"/>
    <mergeCell ref="A341:H341"/>
    <mergeCell ref="A339:H339"/>
    <mergeCell ref="A340:H340"/>
    <mergeCell ref="A366:B366"/>
    <mergeCell ref="A373:B373"/>
    <mergeCell ref="C373:F373"/>
    <mergeCell ref="A380:B380"/>
    <mergeCell ref="A381:B381"/>
    <mergeCell ref="A382:B382"/>
    <mergeCell ref="A383:B383"/>
    <mergeCell ref="A384:B384"/>
    <mergeCell ref="A406:B406"/>
    <mergeCell ref="A407:B407"/>
    <mergeCell ref="A408:B408"/>
    <mergeCell ref="A409:B409"/>
    <mergeCell ref="L506:M506"/>
    <mergeCell ref="A510:B510"/>
    <mergeCell ref="A511:B511"/>
    <mergeCell ref="A512:B512"/>
    <mergeCell ref="A513:B513"/>
    <mergeCell ref="A502:H502"/>
    <mergeCell ref="L500:M500"/>
    <mergeCell ref="A503:B503"/>
    <mergeCell ref="G503:H507"/>
    <mergeCell ref="A504:B504"/>
    <mergeCell ref="A505:B505"/>
    <mergeCell ref="A506:B506"/>
    <mergeCell ref="A507:B507"/>
    <mergeCell ref="L470:M470"/>
    <mergeCell ref="A475:H475"/>
    <mergeCell ref="L473:M473"/>
    <mergeCell ref="A476:B476"/>
    <mergeCell ref="G476:H481"/>
    <mergeCell ref="A477:B477"/>
    <mergeCell ref="A478:B478"/>
    <mergeCell ref="A479:B479"/>
    <mergeCell ref="A480:B480"/>
    <mergeCell ref="A481:B481"/>
    <mergeCell ref="A473:B473"/>
    <mergeCell ref="L487:M487"/>
    <mergeCell ref="A490:B490"/>
    <mergeCell ref="G490:H495"/>
    <mergeCell ref="A491:B491"/>
    <mergeCell ref="A492:B492"/>
    <mergeCell ref="A496:H496"/>
    <mergeCell ref="A497:B497"/>
    <mergeCell ref="G497:H501"/>
    <mergeCell ref="A501:B501"/>
    <mergeCell ref="A509:B509"/>
    <mergeCell ref="C509:F509"/>
    <mergeCell ref="G509:H513"/>
    <mergeCell ref="A508:H508"/>
    <mergeCell ref="C599:F600"/>
    <mergeCell ref="A598:H598"/>
    <mergeCell ref="A629:H629"/>
    <mergeCell ref="A630:B630"/>
    <mergeCell ref="G630:H638"/>
    <mergeCell ref="A631:B631"/>
    <mergeCell ref="A632:B632"/>
    <mergeCell ref="A633:B633"/>
    <mergeCell ref="A634:B634"/>
    <mergeCell ref="A635:B635"/>
    <mergeCell ref="A636:B636"/>
    <mergeCell ref="A637:B637"/>
    <mergeCell ref="A638:B638"/>
    <mergeCell ref="C638:F638"/>
    <mergeCell ref="G557:H562"/>
    <mergeCell ref="A554:B554"/>
    <mergeCell ref="A563:H563"/>
    <mergeCell ref="A564:H564"/>
    <mergeCell ref="A555:B555"/>
    <mergeCell ref="A556:H556"/>
    <mergeCell ref="A572:B572"/>
    <mergeCell ref="G572:H578"/>
    <mergeCell ref="A573:B573"/>
    <mergeCell ref="A574:B574"/>
    <mergeCell ref="A575:B575"/>
    <mergeCell ref="A576:B576"/>
    <mergeCell ref="A577:B577"/>
    <mergeCell ref="A395:H395"/>
    <mergeCell ref="A288:H288"/>
    <mergeCell ref="A385:B385"/>
    <mergeCell ref="C382:F385"/>
    <mergeCell ref="A49:B49"/>
    <mergeCell ref="C49:E49"/>
    <mergeCell ref="G49:H49"/>
    <mergeCell ref="A272:A273"/>
    <mergeCell ref="B272:B273"/>
    <mergeCell ref="C272:C273"/>
    <mergeCell ref="D272:D273"/>
    <mergeCell ref="E272:E273"/>
    <mergeCell ref="G272:H273"/>
    <mergeCell ref="A260:B260"/>
    <mergeCell ref="C260:D260"/>
    <mergeCell ref="E260:F260"/>
    <mergeCell ref="A132:B132"/>
    <mergeCell ref="C132:H132"/>
    <mergeCell ref="A134:B134"/>
    <mergeCell ref="C134:H134"/>
    <mergeCell ref="A135:B135"/>
    <mergeCell ref="E135:F135"/>
    <mergeCell ref="G135:H135"/>
    <mergeCell ref="A263:B263"/>
    <mergeCell ref="A172:B172"/>
    <mergeCell ref="A176:B176"/>
    <mergeCell ref="C176:H176"/>
    <mergeCell ref="A177:B177"/>
    <mergeCell ref="A206:B206"/>
    <mergeCell ref="A169:B169"/>
    <mergeCell ref="E206:F215"/>
    <mergeCell ref="A303:B303"/>
    <mergeCell ref="A412:B412"/>
    <mergeCell ref="G412:H418"/>
    <mergeCell ref="A413:B413"/>
    <mergeCell ref="A414:B414"/>
    <mergeCell ref="A415:B415"/>
    <mergeCell ref="A416:B416"/>
    <mergeCell ref="A417:B417"/>
    <mergeCell ref="C417:F417"/>
    <mergeCell ref="A418:B418"/>
    <mergeCell ref="A396:B396"/>
    <mergeCell ref="G396:H402"/>
    <mergeCell ref="A397:B397"/>
    <mergeCell ref="A398:B398"/>
    <mergeCell ref="A399:B399"/>
    <mergeCell ref="A400:B400"/>
    <mergeCell ref="A401:B401"/>
    <mergeCell ref="A402:B402"/>
    <mergeCell ref="A411:H411"/>
    <mergeCell ref="A404:B404"/>
    <mergeCell ref="G404:H410"/>
    <mergeCell ref="A405:B405"/>
    <mergeCell ref="C409:F409"/>
    <mergeCell ref="A410:B410"/>
    <mergeCell ref="L523:M523"/>
    <mergeCell ref="A526:B526"/>
    <mergeCell ref="G526:H532"/>
    <mergeCell ref="A527:B527"/>
    <mergeCell ref="A528:B528"/>
    <mergeCell ref="A529:B529"/>
    <mergeCell ref="A530:B530"/>
    <mergeCell ref="A532:B532"/>
    <mergeCell ref="A531:B531"/>
    <mergeCell ref="D65:H65"/>
    <mergeCell ref="A514:H514"/>
    <mergeCell ref="A524:H524"/>
    <mergeCell ref="L522:M522"/>
    <mergeCell ref="A515:H515"/>
    <mergeCell ref="A516:H516"/>
    <mergeCell ref="A517:H517"/>
    <mergeCell ref="L515:M515"/>
    <mergeCell ref="A518:B518"/>
    <mergeCell ref="A519:B519"/>
    <mergeCell ref="A520:B520"/>
    <mergeCell ref="A521:B521"/>
    <mergeCell ref="C518:F518"/>
    <mergeCell ref="L286:M286"/>
    <mergeCell ref="A289:B289"/>
    <mergeCell ref="G289:H299"/>
    <mergeCell ref="A290:B290"/>
    <mergeCell ref="A291:B291"/>
    <mergeCell ref="A292:B292"/>
    <mergeCell ref="A293:B293"/>
    <mergeCell ref="A297:B297"/>
    <mergeCell ref="A298:B298"/>
    <mergeCell ref="A100:B100"/>
    <mergeCell ref="A553:B553"/>
    <mergeCell ref="A570:H570"/>
    <mergeCell ref="L568:M568"/>
    <mergeCell ref="A571:H571"/>
    <mergeCell ref="L569:M569"/>
    <mergeCell ref="L539:M539"/>
    <mergeCell ref="A543:B543"/>
    <mergeCell ref="A544:B544"/>
    <mergeCell ref="A545:B545"/>
    <mergeCell ref="A546:B546"/>
    <mergeCell ref="A547:B547"/>
    <mergeCell ref="A542:B542"/>
    <mergeCell ref="C542:F542"/>
    <mergeCell ref="A533:H533"/>
    <mergeCell ref="A534:B534"/>
    <mergeCell ref="A535:B535"/>
    <mergeCell ref="A536:B536"/>
    <mergeCell ref="A537:B537"/>
    <mergeCell ref="A538:B538"/>
    <mergeCell ref="A539:B539"/>
    <mergeCell ref="A541:H541"/>
    <mergeCell ref="A540:B540"/>
    <mergeCell ref="G534:H540"/>
    <mergeCell ref="G542:H548"/>
    <mergeCell ref="L554:M554"/>
    <mergeCell ref="A557:B557"/>
    <mergeCell ref="C557:F557"/>
    <mergeCell ref="A558:B558"/>
    <mergeCell ref="A559:B559"/>
    <mergeCell ref="A560:B560"/>
    <mergeCell ref="A561:B561"/>
    <mergeCell ref="A549:H549"/>
    <mergeCell ref="A578:B578"/>
    <mergeCell ref="A565:H565"/>
    <mergeCell ref="A566:H566"/>
    <mergeCell ref="L564:M564"/>
    <mergeCell ref="G567:H569"/>
    <mergeCell ref="A567:B567"/>
    <mergeCell ref="A568:B568"/>
    <mergeCell ref="A569:B569"/>
    <mergeCell ref="L585:M585"/>
    <mergeCell ref="A588:B588"/>
    <mergeCell ref="G588:H594"/>
    <mergeCell ref="A589:B589"/>
    <mergeCell ref="A590:B590"/>
    <mergeCell ref="A591:B591"/>
    <mergeCell ref="A593:B593"/>
    <mergeCell ref="A594:B594"/>
    <mergeCell ref="A592:B592"/>
    <mergeCell ref="C592:F592"/>
    <mergeCell ref="A550:B550"/>
    <mergeCell ref="G550:H555"/>
    <mergeCell ref="A551:B551"/>
    <mergeCell ref="A552:B552"/>
    <mergeCell ref="E192:F201"/>
    <mergeCell ref="G192:H201"/>
    <mergeCell ref="L606:M606"/>
    <mergeCell ref="G599:H607"/>
    <mergeCell ref="A603:B603"/>
    <mergeCell ref="A604:B604"/>
    <mergeCell ref="A605:B605"/>
    <mergeCell ref="A606:B606"/>
    <mergeCell ref="A607:B607"/>
    <mergeCell ref="A608:H608"/>
    <mergeCell ref="L596:M596"/>
    <mergeCell ref="A599:B599"/>
    <mergeCell ref="A600:B600"/>
    <mergeCell ref="A601:B601"/>
    <mergeCell ref="A266:B266"/>
    <mergeCell ref="C266:D266"/>
    <mergeCell ref="E266:F266"/>
    <mergeCell ref="G266:H266"/>
    <mergeCell ref="A267:B267"/>
    <mergeCell ref="C267:D267"/>
    <mergeCell ref="E267:F267"/>
    <mergeCell ref="G267:H267"/>
    <mergeCell ref="A238:E238"/>
    <mergeCell ref="F241:H241"/>
    <mergeCell ref="F242:H242"/>
    <mergeCell ref="A241:E241"/>
    <mergeCell ref="A240:E240"/>
    <mergeCell ref="A202:B202"/>
    <mergeCell ref="E149:F149"/>
    <mergeCell ref="G149:H149"/>
    <mergeCell ref="A150:B150"/>
    <mergeCell ref="E150:F159"/>
    <mergeCell ref="G150:H159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214:B214"/>
    <mergeCell ref="A215:B215"/>
    <mergeCell ref="B885:H885"/>
    <mergeCell ref="A587:H587"/>
    <mergeCell ref="A579:H579"/>
    <mergeCell ref="A580:B580"/>
    <mergeCell ref="A581:B581"/>
    <mergeCell ref="A582:B582"/>
    <mergeCell ref="A583:B583"/>
    <mergeCell ref="A584:B584"/>
    <mergeCell ref="A585:B585"/>
    <mergeCell ref="A586:B586"/>
    <mergeCell ref="G580:H586"/>
    <mergeCell ref="A199:B199"/>
    <mergeCell ref="A201:B201"/>
    <mergeCell ref="A265:B265"/>
    <mergeCell ref="C265:D265"/>
    <mergeCell ref="E265:F265"/>
    <mergeCell ref="G265:H265"/>
    <mergeCell ref="C202:H202"/>
    <mergeCell ref="A204:B204"/>
    <mergeCell ref="C204:H204"/>
    <mergeCell ref="A205:B205"/>
    <mergeCell ref="A220:B220"/>
    <mergeCell ref="E220:F229"/>
    <mergeCell ref="G220:H229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16:B216"/>
    <mergeCell ref="C216:H216"/>
    <mergeCell ref="A218:B218"/>
    <mergeCell ref="C218:H218"/>
    <mergeCell ref="A219:B219"/>
    <mergeCell ref="E219:F219"/>
    <mergeCell ref="G219:H219"/>
    <mergeCell ref="G206:H215"/>
    <mergeCell ref="A207:B207"/>
    <mergeCell ref="A208:B208"/>
    <mergeCell ref="A209:B209"/>
    <mergeCell ref="A210:B210"/>
    <mergeCell ref="A211:B211"/>
    <mergeCell ref="A212:B212"/>
    <mergeCell ref="A213:B213"/>
    <mergeCell ref="L309:M309"/>
    <mergeCell ref="A312:B312"/>
    <mergeCell ref="G312:H319"/>
    <mergeCell ref="A313:B313"/>
    <mergeCell ref="A314:B314"/>
    <mergeCell ref="A315:B315"/>
    <mergeCell ref="A316:B316"/>
    <mergeCell ref="A317:B317"/>
    <mergeCell ref="A318:B318"/>
    <mergeCell ref="A319:B319"/>
    <mergeCell ref="F240:H240"/>
    <mergeCell ref="G257:H257"/>
    <mergeCell ref="L300:M300"/>
    <mergeCell ref="G303:H310"/>
    <mergeCell ref="A304:B304"/>
    <mergeCell ref="A305:B305"/>
    <mergeCell ref="A306:B306"/>
    <mergeCell ref="A307:B307"/>
    <mergeCell ref="A308:B308"/>
    <mergeCell ref="A309:B309"/>
    <mergeCell ref="A310:B310"/>
    <mergeCell ref="F244:H244"/>
    <mergeCell ref="A245:E245"/>
    <mergeCell ref="C250:D250"/>
    <mergeCell ref="E250:F250"/>
    <mergeCell ref="A243:E243"/>
    <mergeCell ref="A242:E242"/>
    <mergeCell ref="A264:B264"/>
    <mergeCell ref="C264:D264"/>
    <mergeCell ref="E264:F264"/>
    <mergeCell ref="A244:E244"/>
    <mergeCell ref="F245:H245"/>
    <mergeCell ref="L320:M320"/>
    <mergeCell ref="A323:B323"/>
    <mergeCell ref="G323:H328"/>
    <mergeCell ref="A324:B324"/>
    <mergeCell ref="A325:B325"/>
    <mergeCell ref="A326:B326"/>
    <mergeCell ref="A327:B327"/>
    <mergeCell ref="A328:B328"/>
    <mergeCell ref="C323:F323"/>
    <mergeCell ref="C327:F327"/>
    <mergeCell ref="A816:B816"/>
    <mergeCell ref="C816:F816"/>
    <mergeCell ref="A772:B772"/>
    <mergeCell ref="G772:H776"/>
    <mergeCell ref="A773:B773"/>
    <mergeCell ref="A774:B774"/>
    <mergeCell ref="A775:B775"/>
    <mergeCell ref="A776:B776"/>
    <mergeCell ref="C776:F776"/>
    <mergeCell ref="A777:H777"/>
    <mergeCell ref="A779:H779"/>
    <mergeCell ref="A757:H757"/>
    <mergeCell ref="A765:H765"/>
    <mergeCell ref="A766:B766"/>
    <mergeCell ref="G766:H770"/>
    <mergeCell ref="A767:B767"/>
    <mergeCell ref="A768:B768"/>
    <mergeCell ref="A769:B769"/>
    <mergeCell ref="A770:B770"/>
    <mergeCell ref="A771:H771"/>
    <mergeCell ref="A758:H758"/>
    <mergeCell ref="A759:H759"/>
  </mergeCells>
  <hyperlinks>
    <hyperlink ref="C37" r:id="rId1"/>
    <hyperlink ref="K80" r:id="rId2" display="https://www.kalpataru.com/thane/srishtinamaah?&amp;utm_source=Google&amp;utm_medium=CPC&amp;utm_campaign=SB_Kalpataru_SrishtiNamaah_Google_Leads_Search_Brand_May24&amp;utm_term=srishti%20namaah&amp;gad_source=1&amp;gbraid=0AAAAAqZgYJnnGMtn6EUxnlHcjxEfQiPCL&amp;gclid=CjwKCAjwwqfABhBcEiwAZJjC3vf91qQesDAbJegrRjNn9iK4Q5sxZuwdfVz_CydFUUALG12666bRZhoCOp4QAvD_BwE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4" fitToHeight="0" orientation="portrait" r:id="rId3"/>
  <headerFooter>
    <oddHeader>&amp;C&amp;G</oddHeader>
    <oddFooter>&amp;L&amp;"Times New Roman,Bold"&amp;12Ref No: &amp;F&amp;C&amp;G&amp;R&amp;"Times New Roman,Bold"&amp;12                              &amp;P</oddFooter>
  </headerFooter>
  <rowBreaks count="5" manualBreakCount="5">
    <brk id="89" max="7" man="1"/>
    <brk id="903" max="7" man="1"/>
    <brk id="949" max="7" man="1"/>
    <brk id="982" max="7" man="1"/>
    <brk id="1020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70</v>
      </c>
      <c r="C2" s="271"/>
      <c r="D2" s="271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71</v>
      </c>
      <c r="B4" s="3" t="s">
        <v>72</v>
      </c>
      <c r="C4" s="272" t="s">
        <v>73</v>
      </c>
      <c r="D4" s="272"/>
      <c r="E4" s="272"/>
      <c r="F4" s="4"/>
      <c r="G4" s="272" t="s">
        <v>74</v>
      </c>
      <c r="H4" s="272"/>
      <c r="I4" s="272"/>
      <c r="J4" s="272" t="s">
        <v>75</v>
      </c>
      <c r="K4" s="272"/>
      <c r="L4" s="272"/>
    </row>
    <row r="5" spans="1:12" x14ac:dyDescent="0.35">
      <c r="A5" s="1">
        <v>202</v>
      </c>
      <c r="B5" s="3"/>
      <c r="C5" s="3" t="s">
        <v>76</v>
      </c>
      <c r="D5" s="3" t="s">
        <v>77</v>
      </c>
      <c r="E5" s="3" t="s">
        <v>55</v>
      </c>
      <c r="F5" s="3"/>
      <c r="G5" s="3" t="s">
        <v>76</v>
      </c>
      <c r="H5" s="3" t="s">
        <v>77</v>
      </c>
      <c r="I5" s="3" t="s">
        <v>55</v>
      </c>
      <c r="J5" s="3" t="s">
        <v>76</v>
      </c>
      <c r="K5" s="3" t="s">
        <v>77</v>
      </c>
      <c r="L5" s="3" t="s">
        <v>55</v>
      </c>
    </row>
    <row r="6" spans="1:12" x14ac:dyDescent="0.35">
      <c r="B6" s="5" t="s">
        <v>78</v>
      </c>
      <c r="C6" s="5"/>
      <c r="D6" s="5"/>
      <c r="E6" s="5">
        <f>C6*D6</f>
        <v>0</v>
      </c>
      <c r="F6" s="5" t="s">
        <v>79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80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81</v>
      </c>
      <c r="C9" s="5"/>
      <c r="D9" s="5"/>
      <c r="E9" s="5">
        <f t="shared" si="0"/>
        <v>0</v>
      </c>
      <c r="F9" s="5" t="s">
        <v>79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80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82</v>
      </c>
      <c r="C13" s="5"/>
      <c r="D13" s="5"/>
      <c r="E13" s="5">
        <f t="shared" si="0"/>
        <v>0</v>
      </c>
      <c r="F13" s="5" t="s">
        <v>79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80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83</v>
      </c>
      <c r="C17" s="5"/>
      <c r="D17" s="5"/>
      <c r="E17" s="5">
        <f t="shared" si="0"/>
        <v>0</v>
      </c>
      <c r="F17" s="5" t="s">
        <v>79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80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83</v>
      </c>
      <c r="C20" s="5"/>
      <c r="D20" s="5"/>
      <c r="E20" s="5">
        <f t="shared" si="0"/>
        <v>0</v>
      </c>
      <c r="F20" s="5" t="s">
        <v>79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80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84</v>
      </c>
      <c r="C23" s="5"/>
      <c r="D23" s="5"/>
      <c r="E23" s="5">
        <f t="shared" si="0"/>
        <v>0</v>
      </c>
      <c r="F23" s="5" t="s">
        <v>85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86</v>
      </c>
      <c r="C24" s="5"/>
      <c r="D24" s="5"/>
      <c r="E24" s="5">
        <f t="shared" si="0"/>
        <v>0</v>
      </c>
      <c r="F24" s="5" t="s">
        <v>85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87</v>
      </c>
      <c r="C25" s="5"/>
      <c r="D25" s="5"/>
      <c r="E25" s="5">
        <f t="shared" si="0"/>
        <v>0</v>
      </c>
      <c r="F25" s="5" t="s">
        <v>85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88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89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90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91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56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" zoomScale="115" zoomScaleNormal="115" workbookViewId="0">
      <selection activeCell="F16" sqref="F16"/>
    </sheetView>
  </sheetViews>
  <sheetFormatPr defaultColWidth="8.7265625" defaultRowHeight="14.5" x14ac:dyDescent="0.35"/>
  <cols>
    <col min="1" max="1" width="8.7265625" style="6"/>
    <col min="2" max="2" width="22.1796875" style="6" customWidth="1"/>
    <col min="3" max="3" width="37" style="6" customWidth="1"/>
    <col min="4" max="5" width="11.453125" style="6" customWidth="1"/>
    <col min="6" max="6" width="14" style="6" customWidth="1"/>
    <col min="7" max="7" width="20" style="6" customWidth="1"/>
    <col min="8" max="8" width="16.453125" style="6" customWidth="1"/>
    <col min="9" max="16384" width="8.7265625" style="6"/>
  </cols>
  <sheetData>
    <row r="1" spans="1:9" ht="15" customHeight="1" x14ac:dyDescent="0.35"/>
    <row r="2" spans="1:9" ht="15" customHeight="1" x14ac:dyDescent="0.3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5">
      <c r="A3" s="7"/>
      <c r="B3" s="273" t="s">
        <v>127</v>
      </c>
      <c r="C3" s="273"/>
      <c r="D3" s="273"/>
      <c r="E3" s="273"/>
      <c r="F3" s="273"/>
      <c r="G3" s="273"/>
      <c r="H3" s="273"/>
    </row>
    <row r="4" spans="1:9" x14ac:dyDescent="0.35">
      <c r="A4" s="7"/>
      <c r="B4" s="8" t="s">
        <v>128</v>
      </c>
      <c r="C4" s="8" t="s">
        <v>129</v>
      </c>
      <c r="D4" s="8" t="s">
        <v>71</v>
      </c>
      <c r="E4" s="8" t="s">
        <v>130</v>
      </c>
      <c r="F4" s="8" t="s">
        <v>137</v>
      </c>
      <c r="G4" s="8" t="s">
        <v>138</v>
      </c>
      <c r="H4" s="8" t="s">
        <v>131</v>
      </c>
    </row>
    <row r="5" spans="1:9" ht="15" customHeight="1" x14ac:dyDescent="0.35">
      <c r="A5" s="7"/>
      <c r="B5" s="10" t="s">
        <v>132</v>
      </c>
      <c r="C5" s="11"/>
      <c r="D5" s="10" t="s">
        <v>133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35">
      <c r="A6" s="7"/>
      <c r="B6" s="10" t="s">
        <v>132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35">
      <c r="A7" s="7"/>
      <c r="B7" s="10" t="s">
        <v>132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35">
      <c r="A8" s="7"/>
      <c r="B8" s="10" t="s">
        <v>132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35">
      <c r="A9" s="7"/>
      <c r="B9" s="10" t="s">
        <v>132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35">
      <c r="A10" s="7"/>
      <c r="B10" s="10" t="s">
        <v>134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35">
      <c r="A11" s="7"/>
      <c r="B11" s="10" t="s">
        <v>134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35">
      <c r="A12" s="7"/>
      <c r="B12" s="15" t="s">
        <v>135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35">
      <c r="B13" s="15" t="s">
        <v>136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35"/>
    <row r="15" spans="1:9" ht="15" customHeight="1" x14ac:dyDescent="0.35"/>
    <row r="16" spans="1:9" ht="15" customHeight="1" x14ac:dyDescent="0.35">
      <c r="F16" s="20">
        <f>25000/1.5</f>
        <v>16666.666666666668</v>
      </c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2025-09-04T06:36:48Z</cp:lastPrinted>
  <dcterms:created xsi:type="dcterms:W3CDTF">2019-07-16T09:29:46Z</dcterms:created>
  <dcterms:modified xsi:type="dcterms:W3CDTF">2025-09-04T06:38:09Z</dcterms:modified>
</cp:coreProperties>
</file>