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Old\19617 - Mithila Complex\"/>
    </mc:Choice>
  </mc:AlternateContent>
  <xr:revisionPtr revIDLastSave="0" documentId="13_ncr:1_{2664697E-1F1B-482E-91B6-7016972A9C2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Report!$A$1:$H$448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E3" i="1"/>
  <c r="D289" i="1"/>
  <c r="D288" i="1"/>
  <c r="D287" i="1"/>
  <c r="D286" i="1"/>
  <c r="D285" i="1"/>
  <c r="D284" i="1"/>
  <c r="D258" i="1"/>
  <c r="D257" i="1"/>
  <c r="D256" i="1"/>
  <c r="D255" i="1"/>
  <c r="D254" i="1"/>
  <c r="D253" i="1"/>
  <c r="D274" i="1"/>
  <c r="D273" i="1"/>
  <c r="D272" i="1"/>
  <c r="D271" i="1"/>
  <c r="D270" i="1"/>
  <c r="D269" i="1"/>
  <c r="D243" i="1"/>
  <c r="D242" i="1"/>
  <c r="D241" i="1"/>
  <c r="D240" i="1"/>
  <c r="D239" i="1"/>
  <c r="D238" i="1"/>
  <c r="D294" i="1" l="1"/>
  <c r="D263" i="1"/>
  <c r="D208" i="1"/>
  <c r="D203" i="1"/>
  <c r="J203" i="1" s="1"/>
  <c r="D296" i="1"/>
  <c r="D295" i="1"/>
  <c r="D277" i="1"/>
  <c r="D276" i="1"/>
  <c r="D265" i="1"/>
  <c r="D264" i="1"/>
  <c r="D246" i="1"/>
  <c r="D245" i="1"/>
  <c r="D230" i="1"/>
  <c r="D229" i="1"/>
  <c r="D224" i="1"/>
  <c r="D223" i="1"/>
  <c r="D216" i="1"/>
  <c r="D215" i="1"/>
  <c r="D209" i="1"/>
  <c r="D205" i="1"/>
  <c r="J205" i="1" s="1"/>
  <c r="D204" i="1"/>
  <c r="J204" i="1" s="1"/>
  <c r="D198" i="1"/>
  <c r="J198" i="1" s="1"/>
  <c r="D197" i="1"/>
  <c r="J197" i="1" s="1"/>
  <c r="D278" i="1"/>
  <c r="D247" i="1"/>
  <c r="D231" i="1"/>
  <c r="D225" i="1"/>
  <c r="D217" i="1"/>
  <c r="D210" i="1"/>
  <c r="D196" i="1"/>
  <c r="J196" i="1" s="1"/>
  <c r="D293" i="1"/>
  <c r="D279" i="1"/>
  <c r="D262" i="1"/>
  <c r="D248" i="1"/>
  <c r="D232" i="1"/>
  <c r="D226" i="1"/>
  <c r="D218" i="1"/>
  <c r="D202" i="1"/>
  <c r="J202" i="1" s="1"/>
  <c r="D195" i="1"/>
  <c r="J195" i="1" s="1"/>
  <c r="D292" i="1"/>
  <c r="D291" i="1"/>
  <c r="D281" i="1"/>
  <c r="D280" i="1"/>
  <c r="D261" i="1"/>
  <c r="D260" i="1"/>
  <c r="D250" i="1"/>
  <c r="D249" i="1"/>
  <c r="D234" i="1"/>
  <c r="D233" i="1"/>
  <c r="D227" i="1"/>
  <c r="D220" i="1"/>
  <c r="D219" i="1"/>
  <c r="D213" i="1"/>
  <c r="D212" i="1"/>
  <c r="D201" i="1"/>
  <c r="J201" i="1" s="1"/>
  <c r="D200" i="1"/>
  <c r="J200" i="1" s="1"/>
  <c r="D194" i="1"/>
  <c r="J194" i="1" s="1"/>
  <c r="D193" i="1"/>
  <c r="J193" i="1" s="1"/>
  <c r="G291" i="1" l="1"/>
  <c r="G284" i="1"/>
  <c r="G276" i="1"/>
  <c r="G269" i="1"/>
  <c r="G260" i="1"/>
  <c r="G253" i="1"/>
  <c r="G245" i="1"/>
  <c r="G238" i="1"/>
  <c r="G229" i="1"/>
  <c r="G223" i="1"/>
  <c r="D211" i="1"/>
  <c r="C180" i="1" s="1"/>
  <c r="K159" i="1"/>
  <c r="K158" i="1"/>
  <c r="K157" i="1"/>
  <c r="K156" i="1"/>
  <c r="K131" i="1"/>
  <c r="K130" i="1"/>
  <c r="K129" i="1"/>
  <c r="K128" i="1"/>
  <c r="K103" i="1"/>
  <c r="K102" i="1"/>
  <c r="K101" i="1"/>
  <c r="K100" i="1"/>
  <c r="K89" i="1"/>
  <c r="K88" i="1"/>
  <c r="K87" i="1"/>
  <c r="K86" i="1"/>
  <c r="H93" i="1"/>
  <c r="P229" i="1"/>
  <c r="H79" i="1"/>
  <c r="P260" i="1"/>
  <c r="O260" i="1"/>
  <c r="P245" i="1"/>
  <c r="O229" i="1"/>
  <c r="P276" i="1"/>
  <c r="P291" i="1"/>
  <c r="O276" i="1"/>
  <c r="O291" i="1"/>
  <c r="O245" i="1"/>
  <c r="G183" i="1" l="1"/>
  <c r="G185" i="1"/>
  <c r="G184" i="1"/>
  <c r="G181" i="1"/>
  <c r="G182" i="1"/>
  <c r="C184" i="1"/>
  <c r="E180" i="1"/>
  <c r="E185" i="1"/>
  <c r="C185" i="1"/>
  <c r="E181" i="1"/>
  <c r="E183" i="1"/>
  <c r="C181" i="1"/>
  <c r="C183" i="1"/>
  <c r="E182" i="1"/>
  <c r="C182" i="1"/>
  <c r="E184" i="1"/>
  <c r="P292" i="1"/>
  <c r="P293" i="1" s="1"/>
  <c r="P294" i="1" s="1"/>
  <c r="P295" i="1" s="1"/>
  <c r="P296" i="1" s="1"/>
  <c r="O292" i="1"/>
  <c r="N291" i="1"/>
  <c r="A291" i="1" s="1"/>
  <c r="O277" i="1"/>
  <c r="N276" i="1"/>
  <c r="A276" i="1" s="1"/>
  <c r="P277" i="1"/>
  <c r="P278" i="1" s="1"/>
  <c r="P279" i="1" s="1"/>
  <c r="P280" i="1" s="1"/>
  <c r="P281" i="1" s="1"/>
  <c r="P261" i="1"/>
  <c r="P262" i="1" s="1"/>
  <c r="P263" i="1" s="1"/>
  <c r="P264" i="1" s="1"/>
  <c r="P265" i="1" s="1"/>
  <c r="O261" i="1"/>
  <c r="N260" i="1"/>
  <c r="A260" i="1" s="1"/>
  <c r="P246" i="1"/>
  <c r="P247" i="1" s="1"/>
  <c r="P248" i="1" s="1"/>
  <c r="P249" i="1" s="1"/>
  <c r="P250" i="1" s="1"/>
  <c r="O246" i="1"/>
  <c r="N245" i="1"/>
  <c r="A245" i="1" s="1"/>
  <c r="O230" i="1"/>
  <c r="N229" i="1"/>
  <c r="A229" i="1" s="1"/>
  <c r="P230" i="1"/>
  <c r="P231" i="1" s="1"/>
  <c r="P232" i="1" s="1"/>
  <c r="P233" i="1" s="1"/>
  <c r="P234" i="1" s="1"/>
  <c r="K98" i="1"/>
  <c r="K99" i="1" s="1"/>
  <c r="K104" i="1" s="1"/>
  <c r="K105" i="1" s="1"/>
  <c r="D97" i="1" s="1"/>
  <c r="D104" i="1"/>
  <c r="D102" i="1"/>
  <c r="D100" i="1"/>
  <c r="D98" i="1"/>
  <c r="K96" i="1"/>
  <c r="K97" i="1"/>
  <c r="C96" i="1" s="1"/>
  <c r="K95" i="1"/>
  <c r="D105" i="1"/>
  <c r="D103" i="1"/>
  <c r="D101" i="1"/>
  <c r="D99" i="1"/>
  <c r="K84" i="1"/>
  <c r="K85" i="1" s="1"/>
  <c r="K90" i="1" s="1"/>
  <c r="K91" i="1" s="1"/>
  <c r="D90" i="1"/>
  <c r="D88" i="1"/>
  <c r="D86" i="1"/>
  <c r="D84" i="1"/>
  <c r="K82" i="1"/>
  <c r="K83" i="1"/>
  <c r="C82" i="1" s="1"/>
  <c r="K81" i="1"/>
  <c r="D91" i="1"/>
  <c r="D89" i="1"/>
  <c r="D87" i="1"/>
  <c r="D85" i="1"/>
  <c r="G215" i="1"/>
  <c r="G208" i="1"/>
  <c r="D61" i="1"/>
  <c r="O215" i="1"/>
  <c r="P215" i="1"/>
  <c r="G180" i="1" l="1"/>
  <c r="E179" i="1"/>
  <c r="E186" i="1" s="1"/>
  <c r="C179" i="1"/>
  <c r="C186" i="1" s="1"/>
  <c r="O293" i="1"/>
  <c r="N292" i="1"/>
  <c r="A292" i="1" s="1"/>
  <c r="O278" i="1"/>
  <c r="N277" i="1"/>
  <c r="A277" i="1" s="1"/>
  <c r="O262" i="1"/>
  <c r="N261" i="1"/>
  <c r="A261" i="1" s="1"/>
  <c r="O247" i="1"/>
  <c r="N246" i="1"/>
  <c r="A246" i="1" s="1"/>
  <c r="O231" i="1"/>
  <c r="N230" i="1"/>
  <c r="A230" i="1" s="1"/>
  <c r="G96" i="1"/>
  <c r="D96" i="1"/>
  <c r="I92" i="1" s="1"/>
  <c r="C94" i="1" s="1"/>
  <c r="E96" i="1" s="1"/>
  <c r="G82" i="1"/>
  <c r="D82" i="1"/>
  <c r="P216" i="1"/>
  <c r="P217" i="1" s="1"/>
  <c r="P218" i="1" s="1"/>
  <c r="P219" i="1" s="1"/>
  <c r="P220" i="1" s="1"/>
  <c r="O216" i="1"/>
  <c r="N215" i="1"/>
  <c r="A215" i="1" s="1"/>
  <c r="A302" i="1"/>
  <c r="A303" i="1" s="1"/>
  <c r="A304" i="1" s="1"/>
  <c r="A305" i="1" s="1"/>
  <c r="A306" i="1" s="1"/>
  <c r="A307" i="1" l="1"/>
  <c r="A308" i="1" s="1"/>
  <c r="A309" i="1" s="1"/>
  <c r="O294" i="1"/>
  <c r="N293" i="1"/>
  <c r="A293" i="1" s="1"/>
  <c r="O279" i="1"/>
  <c r="N278" i="1"/>
  <c r="A278" i="1" s="1"/>
  <c r="O263" i="1"/>
  <c r="N262" i="1"/>
  <c r="A262" i="1" s="1"/>
  <c r="O248" i="1"/>
  <c r="N247" i="1"/>
  <c r="A247" i="1" s="1"/>
  <c r="O232" i="1"/>
  <c r="N231" i="1"/>
  <c r="A231" i="1" s="1"/>
  <c r="D83" i="1"/>
  <c r="I78" i="1"/>
  <c r="C80" i="1" s="1"/>
  <c r="E82" i="1" s="1"/>
  <c r="O217" i="1"/>
  <c r="N216" i="1"/>
  <c r="A216" i="1" s="1"/>
  <c r="O200" i="1"/>
  <c r="P200" i="1"/>
  <c r="O295" i="1" l="1"/>
  <c r="N294" i="1"/>
  <c r="A294" i="1" s="1"/>
  <c r="O280" i="1"/>
  <c r="N279" i="1"/>
  <c r="A279" i="1" s="1"/>
  <c r="O264" i="1"/>
  <c r="N263" i="1"/>
  <c r="A263" i="1" s="1"/>
  <c r="O249" i="1"/>
  <c r="N248" i="1"/>
  <c r="A248" i="1" s="1"/>
  <c r="O233" i="1"/>
  <c r="N232" i="1"/>
  <c r="A232" i="1" s="1"/>
  <c r="O218" i="1"/>
  <c r="N217" i="1"/>
  <c r="A217" i="1" s="1"/>
  <c r="N200" i="1"/>
  <c r="C64" i="1"/>
  <c r="H135" i="1"/>
  <c r="H107" i="1"/>
  <c r="H65" i="1"/>
  <c r="O296" i="1" l="1"/>
  <c r="N296" i="1" s="1"/>
  <c r="A296" i="1" s="1"/>
  <c r="N295" i="1"/>
  <c r="A295" i="1" s="1"/>
  <c r="O281" i="1"/>
  <c r="N281" i="1" s="1"/>
  <c r="A281" i="1" s="1"/>
  <c r="N280" i="1"/>
  <c r="A280" i="1" s="1"/>
  <c r="O265" i="1"/>
  <c r="N265" i="1" s="1"/>
  <c r="A265" i="1" s="1"/>
  <c r="N264" i="1"/>
  <c r="A264" i="1" s="1"/>
  <c r="O250" i="1"/>
  <c r="N250" i="1" s="1"/>
  <c r="A250" i="1" s="1"/>
  <c r="N249" i="1"/>
  <c r="A249" i="1" s="1"/>
  <c r="O234" i="1"/>
  <c r="N234" i="1" s="1"/>
  <c r="A234" i="1" s="1"/>
  <c r="N233" i="1"/>
  <c r="A233" i="1" s="1"/>
  <c r="O219" i="1"/>
  <c r="N218" i="1"/>
  <c r="A218" i="1" s="1"/>
  <c r="D147" i="1"/>
  <c r="D140" i="1"/>
  <c r="D146" i="1"/>
  <c r="D144" i="1"/>
  <c r="D145" i="1"/>
  <c r="D143" i="1"/>
  <c r="D142" i="1"/>
  <c r="D141" i="1"/>
  <c r="D118" i="1"/>
  <c r="D117" i="1"/>
  <c r="D116" i="1"/>
  <c r="D115" i="1"/>
  <c r="D112" i="1"/>
  <c r="D114" i="1"/>
  <c r="D113" i="1"/>
  <c r="D119" i="1"/>
  <c r="D70" i="1"/>
  <c r="K137" i="1"/>
  <c r="K139" i="1"/>
  <c r="C138" i="1" s="1"/>
  <c r="K138" i="1"/>
  <c r="K140" i="1"/>
  <c r="K141" i="1" s="1"/>
  <c r="C139" i="1" s="1"/>
  <c r="K111" i="1"/>
  <c r="C110" i="1" s="1"/>
  <c r="D110" i="1" s="1"/>
  <c r="K110" i="1"/>
  <c r="K112" i="1"/>
  <c r="K113" i="1" s="1"/>
  <c r="K114" i="1" s="1"/>
  <c r="K115" i="1" s="1"/>
  <c r="K116" i="1" s="1"/>
  <c r="K117" i="1" s="1"/>
  <c r="K109" i="1"/>
  <c r="D77" i="1"/>
  <c r="D73" i="1"/>
  <c r="K69" i="1"/>
  <c r="C68" i="1" s="1"/>
  <c r="D76" i="1"/>
  <c r="D72" i="1"/>
  <c r="K68" i="1"/>
  <c r="D75" i="1"/>
  <c r="D71" i="1"/>
  <c r="K67" i="1"/>
  <c r="K70" i="1"/>
  <c r="K71" i="1" s="1"/>
  <c r="D74" i="1"/>
  <c r="H121" i="1"/>
  <c r="H149" i="1"/>
  <c r="K154" i="1" l="1"/>
  <c r="K155" i="1" s="1"/>
  <c r="K160" i="1" s="1"/>
  <c r="K161" i="1" s="1"/>
  <c r="K152" i="1"/>
  <c r="D160" i="1"/>
  <c r="D158" i="1"/>
  <c r="D156" i="1"/>
  <c r="D154" i="1"/>
  <c r="K151" i="1"/>
  <c r="K153" i="1"/>
  <c r="C152" i="1" s="1"/>
  <c r="D152" i="1" s="1"/>
  <c r="D161" i="1"/>
  <c r="D159" i="1"/>
  <c r="D157" i="1"/>
  <c r="D155" i="1"/>
  <c r="D153" i="1"/>
  <c r="K126" i="1"/>
  <c r="K127" i="1" s="1"/>
  <c r="K132" i="1" s="1"/>
  <c r="K133" i="1" s="1"/>
  <c r="C125" i="1" s="1"/>
  <c r="D125" i="1" s="1"/>
  <c r="D132" i="1"/>
  <c r="D130" i="1"/>
  <c r="D128" i="1"/>
  <c r="D126" i="1"/>
  <c r="K124" i="1"/>
  <c r="K125" i="1"/>
  <c r="C124" i="1" s="1"/>
  <c r="K123" i="1"/>
  <c r="D133" i="1"/>
  <c r="D131" i="1"/>
  <c r="D129" i="1"/>
  <c r="D127" i="1"/>
  <c r="O220" i="1"/>
  <c r="N220" i="1" s="1"/>
  <c r="A220" i="1" s="1"/>
  <c r="N219" i="1"/>
  <c r="A219" i="1" s="1"/>
  <c r="D138" i="1"/>
  <c r="D68" i="1"/>
  <c r="K142" i="1"/>
  <c r="K143" i="1" s="1"/>
  <c r="K144" i="1" s="1"/>
  <c r="K145" i="1" s="1"/>
  <c r="K118" i="1"/>
  <c r="K119" i="1" s="1"/>
  <c r="C111" i="1" s="1"/>
  <c r="D111" i="1" s="1"/>
  <c r="K72" i="1"/>
  <c r="K73" i="1" s="1"/>
  <c r="K74" i="1" s="1"/>
  <c r="K75" i="1" s="1"/>
  <c r="I148" i="1" l="1"/>
  <c r="C150" i="1" s="1"/>
  <c r="E152" i="1" s="1"/>
  <c r="G152" i="1"/>
  <c r="G124" i="1"/>
  <c r="D124" i="1"/>
  <c r="I120" i="1" s="1"/>
  <c r="C122" i="1" s="1"/>
  <c r="E124" i="1" s="1"/>
  <c r="G110" i="1"/>
  <c r="I106" i="1"/>
  <c r="E110" i="1" s="1"/>
  <c r="K146" i="1"/>
  <c r="K76" i="1"/>
  <c r="K147" i="1" l="1"/>
  <c r="K77" i="1"/>
  <c r="D139" i="1" l="1"/>
  <c r="G138" i="1"/>
  <c r="C69" i="1"/>
  <c r="G68" i="1" s="1"/>
  <c r="D63" i="1" l="1"/>
  <c r="F162" i="1"/>
  <c r="I134" i="1"/>
  <c r="C136" i="1" s="1"/>
  <c r="E138" i="1" s="1"/>
  <c r="D69" i="1"/>
  <c r="I64" i="1"/>
  <c r="C66" i="1" s="1"/>
  <c r="E68" i="1" s="1"/>
  <c r="C13" i="1" l="1"/>
  <c r="E39" i="1" l="1"/>
  <c r="E40" i="1" s="1"/>
  <c r="G179" i="1" l="1"/>
  <c r="G186" i="1" s="1"/>
  <c r="G200" i="1"/>
  <c r="O201" i="1" l="1"/>
  <c r="G193" i="1"/>
  <c r="E24" i="1"/>
  <c r="E22" i="1"/>
  <c r="A200" i="1" l="1"/>
  <c r="P201" i="1"/>
  <c r="P202" i="1" s="1"/>
  <c r="P203" i="1" s="1"/>
  <c r="P204" i="1" s="1"/>
  <c r="P205" i="1" s="1"/>
  <c r="O202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201" i="1" l="1"/>
  <c r="A201" i="1" s="1"/>
  <c r="N202" i="1"/>
  <c r="A202" i="1" s="1"/>
  <c r="O203" i="1"/>
  <c r="N203" i="1" s="1"/>
  <c r="G12" i="5"/>
  <c r="A203" i="1" l="1"/>
  <c r="O204" i="1"/>
  <c r="N204" i="1" s="1"/>
  <c r="A204" i="1" l="1"/>
  <c r="O205" i="1"/>
  <c r="N205" i="1" s="1"/>
  <c r="A205" i="1" l="1"/>
  <c r="D322" i="1" l="1"/>
  <c r="F176" i="1"/>
  <c r="C45" i="1"/>
  <c r="D50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<sst xmlns="http://schemas.openxmlformats.org/spreadsheetml/2006/main" count="645" uniqueCount="256">
  <si>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</si>
  <si>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</si>
  <si>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</si>
  <si>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</si>
  <si>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</si>
  <si>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</si>
  <si>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</si>
  <si>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</si>
  <si>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</si>
  <si>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</si>
  <si>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</si>
  <si>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</si>
  <si>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</si>
  <si>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</si>
  <si>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</si>
  <si>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</si>
  <si>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</si>
  <si>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</si>
  <si>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</si>
  <si>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</si>
  <si>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</si>
  <si>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</si>
  <si>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</si>
  <si>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</si>
  <si>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</si>
  <si>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</si>
  <si>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</si>
  <si>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</si>
  <si>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</si>
  <si>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</si>
  <si>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</si>
  <si>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</si>
  <si>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</si>
  <si>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</si>
  <si>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</si>
  <si>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</si>
  <si>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</si>
  <si>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</si>
  <si>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</si>
  <si>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</si>
  <si>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</si>
  <si>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</si>
  <si>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</si>
  <si>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</si>
  <si>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</si>
  <si>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</si>
  <si>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</si>
  <si>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</si>
  <si>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</si>
  <si>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</si>
  <si>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</si>
  <si>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</si>
  <si>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</si>
  <si>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</si>
  <si>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</si>
  <si>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</si>
  <si>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</si>
  <si>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</si>
  <si>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</si>
  <si>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</si>
  <si>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</si>
  <si>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</si>
  <si>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</si>
  <si>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</si>
  <si>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</si>
  <si>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</si>
  <si>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</si>
  <si>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</si>
  <si>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</si>
  <si>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</si>
  <si>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</si>
  <si>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</si>
  <si>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</si>
  <si>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</si>
  <si>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</si>
  <si>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</si>
  <si>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</si>
  <si>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</si>
  <si>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</si>
  <si>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</si>
  <si>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</si>
  <si>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</si>
  <si>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</si>
  <si>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</si>
  <si>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</si>
  <si>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</si>
  <si>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</si>
  <si>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</si>
  <si>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</si>
  <si>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</si>
  <si>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</si>
  <si>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</si>
  <si>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</si>
  <si>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</si>
  <si>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</si>
  <si>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</si>
  <si>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</si>
  <si>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</si>
  <si>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</si>
  <si>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</si>
  <si>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</si>
  <si>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</si>
  <si>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</si>
  <si>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</si>
  <si>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</si>
  <si>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</si>
  <si>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</si>
  <si>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</si>
  <si>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</si>
  <si>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</si>
  <si>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</si>
  <si>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</si>
  <si>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</si>
  <si>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</si>
  <si>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</si>
  <si>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</si>
  <si>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</si>
  <si>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</si>
  <si>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</si>
  <si>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</si>
  <si>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</si>
  <si>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</si>
  <si>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</si>
  <si>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</si>
  <si>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</si>
  <si>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</si>
  <si>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</si>
  <si>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</si>
  <si>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</si>
  <si>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</si>
  <si>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</si>
  <si>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</si>
  <si>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</si>
  <si>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</si>
  <si>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</si>
  <si>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</si>
  <si>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</si>
  <si>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</si>
  <si>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</si>
  <si>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</si>
  <si>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</si>
  <si>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</si>
  <si>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</si>
  <si>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</si>
  <si>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</si>
  <si>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</si>
  <si>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</si>
  <si>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</si>
  <si>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</si>
  <si>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</si>
  <si>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</si>
  <si>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</si>
  <si>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</si>
  <si>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</si>
  <si>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</si>
  <si>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</si>
  <si>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</si>
  <si>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</si>
  <si>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</si>
  <si>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</si>
  <si>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</si>
  <si>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</si>
  <si>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</si>
  <si>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</si>
  <si>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</si>
  <si>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</si>
  <si>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</si>
  <si>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</si>
  <si>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</si>
  <si>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</si>
  <si>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</si>
  <si>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</si>
  <si>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</si>
  <si>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</si>
  <si>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</si>
  <si>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</si>
  <si>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</si>
  <si>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</si>
  <si>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</si>
  <si>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</si>
  <si>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</si>
  <si>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</si>
  <si>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Axis Goregaon</t>
  </si>
  <si>
    <t>P99000022165</t>
  </si>
  <si>
    <t>Mithila Complex</t>
  </si>
  <si>
    <t>Survey No</t>
  </si>
  <si>
    <t>Kapase</t>
  </si>
  <si>
    <t>Palghar</t>
  </si>
  <si>
    <t>Internal road</t>
  </si>
  <si>
    <t>Saphale</t>
  </si>
  <si>
    <t xml:space="preserve"> 2.4 Km from Saphale Railway Station</t>
  </si>
  <si>
    <t>Open land</t>
  </si>
  <si>
    <t>MAHSUL/K-1/T.1/SAP/SR-306/2017</t>
  </si>
  <si>
    <t>Valid Up to: Building No.1 (Wing A - Type B2) = St + 1st to 4th Floor
Building No.1 (Wing B - Type B3) = St + 1st to 4th Floor
Building No.1 (Wing C - Type B1) = St + 1st to 4th Floor
Building No.2 (Wing A - Type B3) = St + 1st to 4th Floor
Building No.2 (Wing B - Type B2) = St + 1st to 4th Floor
Building No.3 (Wing A - Type B3) = St + 1st to 4th Floor
Building No.3 (Wing B - Type B2) = St + 1st to 4th Floor</t>
  </si>
  <si>
    <t>07 Wings</t>
  </si>
  <si>
    <t>Building No.1 - Shivam Shubham</t>
  </si>
  <si>
    <t>Building No.1 (Wing A - Type B2) = St + 1st to 4th Floor
Building No.1 (Wing B - Type B3) = St + 1st to 4th Floor
Building No.1 (Wing C - Type B1) = St + 1st to 4th Floor
Building No.2 (Wing A - Type B3) = St + 1st to 4th Floor
Building No.2 (Wing B - Type B2) = St + 1st to 4th Floor
Building No.3 (Wing A - Type B3) = St + 1st to 4th Floor
Building No.3 (Wing B - Type B2) = St + 1st to 4th Floor</t>
  </si>
  <si>
    <t>Building No.1 (Wing A - Type B2) = St + 1st to 4th Floor</t>
  </si>
  <si>
    <t>Building No.1 (Wing B - Type B3) = St + 1st to 4th Floor</t>
  </si>
  <si>
    <t>Building No.1 (Wing C - Type B1) = St + 1st to 4th Floor</t>
  </si>
  <si>
    <t>Wing A - Type B2</t>
  </si>
  <si>
    <t>1 RK</t>
  </si>
  <si>
    <t>1 BHK</t>
  </si>
  <si>
    <t>2 BHK</t>
  </si>
  <si>
    <t>1st to 4th Floor</t>
  </si>
  <si>
    <t>1RK</t>
  </si>
  <si>
    <t>Wing B - Type B3</t>
  </si>
  <si>
    <t>1BHK</t>
  </si>
  <si>
    <t>Ground Floor for Residential and Parking</t>
  </si>
  <si>
    <t>Building No.2 (Wing A - Type B3) = St + 1st to 4th Floor</t>
  </si>
  <si>
    <t>Building No.2 (Wing B - Type B2) = St + 1st to 4th Floor</t>
  </si>
  <si>
    <t>Building No.3 (Wing A - Type B3) = St + 1st to 4th Floor</t>
  </si>
  <si>
    <t>Building No.3 (Wing B - Type B2) = St + 1st to 4th Floor</t>
  </si>
  <si>
    <t xml:space="preserve">1st to 4th Floor </t>
  </si>
  <si>
    <t>Wing C - Type B1</t>
  </si>
  <si>
    <t>2BHK</t>
  </si>
  <si>
    <t>Building No.2 - Arohi</t>
  </si>
  <si>
    <t>Wing A - Type B3</t>
  </si>
  <si>
    <t>Wing B - Type B2</t>
  </si>
  <si>
    <t>Building No.3 - Vibha</t>
  </si>
  <si>
    <t>We considered  Saleable area  as per our calculation.</t>
  </si>
  <si>
    <t>We considered Gross carpet area = Net carpet  + C.B Area + A.P Area.</t>
  </si>
  <si>
    <t>Approved Plans,Sale Plans, Builder Saleable Area, Cost Sheet</t>
  </si>
  <si>
    <t>Residential</t>
  </si>
  <si>
    <t>M/s.Mithila 1 Construction</t>
  </si>
  <si>
    <t>Flats - 209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</si>
  <si>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</si>
  <si>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</si>
  <si>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</si>
  <si>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Mr.Naval Rambahadur Singh</t>
  </si>
  <si>
    <t>Name of the builder</t>
  </si>
  <si>
    <t>Building No.1 - Shivam Shubham (A, B, C Wings)
Building No.2 - Arohi (A &amp; B Wing)
Building No.3 - Vibha (A &amp; B Wing)</t>
  </si>
  <si>
    <t>Nine Star Residency-Imperia</t>
  </si>
  <si>
    <t>66 Hissa no.2</t>
  </si>
  <si>
    <t>MAHSUL/K-1/MJ1/BSP/SR/CR/306/17</t>
  </si>
  <si>
    <t>Builder Saleable area</t>
  </si>
  <si>
    <t>Other Charges</t>
  </si>
  <si>
    <t>1,00,000/-</t>
  </si>
  <si>
    <t>Building No.2 (Wing A &amp; B - Type B3) = St + 1st to 4th Floor</t>
  </si>
  <si>
    <t>50,000/-</t>
  </si>
  <si>
    <t>Building No.3 (Wing A &amp; B - Type B3) = St + 1st to 4th Floor</t>
  </si>
  <si>
    <t xml:space="preserve">Building No.3 - Vibha (A &amp; B Wing)
</t>
  </si>
  <si>
    <t>Building No.2 - Arohi (A &amp; B Wing)</t>
  </si>
  <si>
    <t>Construction work is same as last visit. (08/03/2022)</t>
  </si>
  <si>
    <t>On Site, we meet Ms.Priyanka Jadhav (Site Incharge) - 9834936712.</t>
  </si>
  <si>
    <t>Building No.1 - Shivam Shubham (Wing A &amp; B)</t>
  </si>
  <si>
    <t>Building No.1 - Shivam Shubham 
(Wing C)</t>
  </si>
  <si>
    <t>As per RERA -  20/08/2025</t>
  </si>
  <si>
    <t>Construction work is in process at the time of Visit.</t>
  </si>
  <si>
    <t>As per RERA, completion period of project is expired on 20/08/2025 but still project is under construction.</t>
  </si>
  <si>
    <t>The project has received first CC on 15/11/2018, But construction work is not yet completed.</t>
  </si>
  <si>
    <t>Kunal Kadam</t>
  </si>
  <si>
    <t>Yadnesh Patil</t>
  </si>
  <si>
    <t xml:space="preserve">PHOTOGRAPHS OF PROPERTY : </t>
  </si>
  <si>
    <t xml:space="preserve">Lift &amp; Finishing work pending. 
Few Tenants has occupied the flats.
</t>
  </si>
  <si>
    <t>Office No. 1031, Wing J, Akshar Business Park, Plot No. 03 Sector 25, Near APMC Market, Vashi, Navi Mumbai, Maharashtra 400703 TEL: 022-46090378/79/80  
E mail : vsjcapf@gmail.com. Web site : www.vsjadon.com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</si>
</sst>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7" fillId="0" borderId="0"/>
  </cellStyleXfs>
  <cellXfs count="188">
    <xf numFmtId="0" fontId="0" fillId="0" borderId="0" xfId="0"/>
    <xf numFmtId="0" fontId="0" fillId="3" borderId="1" xfId="0" applyFill="1" applyBorder="1"/>
    <xf numFmtId="0" fontId="0" fillId="0" borderId="2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" applyFont="1"/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0" xfId="1" applyFont="1" applyProtection="1">
      <protection hidden="1"/>
    </xf>
    <xf numFmtId="0" fontId="6" fillId="0" borderId="11" xfId="1" applyFont="1" applyBorder="1" applyProtection="1">
      <protection hidden="1"/>
    </xf>
    <xf numFmtId="0" fontId="6" fillId="0" borderId="12" xfId="1" applyFont="1" applyBorder="1" applyProtection="1">
      <protection hidden="1"/>
    </xf>
    <xf numFmtId="0" fontId="6" fillId="0" borderId="13" xfId="1" applyFont="1" applyBorder="1" applyProtection="1">
      <protection hidden="1"/>
    </xf>
    <xf numFmtId="0" fontId="6" fillId="0" borderId="13" xfId="1" applyFont="1" applyBorder="1"/>
    <xf numFmtId="9" fontId="14" fillId="0" borderId="0" xfId="0" applyNumberFormat="1" applyFont="1" applyProtection="1">
      <protection hidden="1"/>
    </xf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6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5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4" fillId="0" borderId="0" xfId="0" applyFont="1" applyProtection="1">
      <protection hidden="1"/>
    </xf>
    <xf numFmtId="0" fontId="14" fillId="0" borderId="13" xfId="0" applyFont="1" applyBorder="1" applyProtection="1">
      <protection hidden="1"/>
    </xf>
    <xf numFmtId="0" fontId="11" fillId="0" borderId="1" xfId="1" applyFont="1" applyBorder="1" applyAlignment="1" applyProtection="1">
      <alignment horizontal="center" vertical="top"/>
      <protection locked="0"/>
    </xf>
    <xf numFmtId="0" fontId="14" fillId="0" borderId="14" xfId="0" applyFont="1" applyBorder="1" applyProtection="1">
      <protection hidden="1"/>
    </xf>
    <xf numFmtId="9" fontId="14" fillId="0" borderId="14" xfId="0" applyNumberFormat="1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3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11" fillId="0" borderId="5" xfId="1" applyFont="1" applyBorder="1" applyAlignment="1" applyProtection="1">
      <alignment horizontal="center" vertical="top"/>
      <protection locked="0"/>
    </xf>
    <xf numFmtId="1" fontId="14" fillId="0" borderId="13" xfId="0" applyNumberFormat="1" applyFont="1" applyBorder="1"/>
    <xf numFmtId="1" fontId="14" fillId="0" borderId="0" xfId="0" applyNumberFormat="1" applyFont="1"/>
    <xf numFmtId="164" fontId="14" fillId="0" borderId="0" xfId="0" applyNumberFormat="1" applyFont="1"/>
    <xf numFmtId="1" fontId="14" fillId="0" borderId="13" xfId="0" applyNumberFormat="1" applyFont="1" applyBorder="1" applyAlignment="1">
      <alignment horizontal="right"/>
    </xf>
    <xf numFmtId="0" fontId="14" fillId="0" borderId="0" xfId="0" applyFont="1"/>
    <xf numFmtId="0" fontId="14" fillId="0" borderId="13" xfId="0" applyFont="1" applyBorder="1"/>
    <xf numFmtId="1" fontId="14" fillId="0" borderId="15" xfId="0" applyNumberFormat="1" applyFont="1" applyBorder="1"/>
    <xf numFmtId="0" fontId="18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5" fillId="0" borderId="1" xfId="0" applyNumberFormat="1" applyFont="1" applyBorder="1" applyAlignment="1" applyProtection="1">
      <alignment vertical="center" wrapText="1"/>
      <protection locked="0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7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2" fontId="6" fillId="0" borderId="0" xfId="1" applyNumberFormat="1" applyFont="1" applyAlignment="1">
      <alignment horizontal="center" vertical="center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20" fillId="0" borderId="3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7" xfId="1" applyFont="1" applyBorder="1" applyAlignment="1" applyProtection="1">
      <alignment horizontal="center" wrapText="1"/>
      <protection locked="0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29" xfId="0" applyNumberFormat="1" applyFont="1" applyBorder="1" applyAlignment="1" applyProtection="1">
      <alignment horizontal="center" vertical="top" wrapText="1"/>
      <protection locked="0"/>
    </xf>
    <xf numFmtId="1" fontId="7" fillId="0" borderId="28" xfId="0" applyNumberFormat="1" applyFont="1" applyBorder="1" applyAlignment="1" applyProtection="1">
      <alignment horizontal="center" vertical="top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10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1" fontId="5" fillId="0" borderId="27" xfId="1" applyNumberFormat="1" applyFont="1" applyBorder="1" applyAlignment="1" applyProtection="1">
      <alignment horizontal="center" vertical="center" wrapText="1"/>
      <protection locked="0"/>
    </xf>
    <xf numFmtId="1" fontId="5" fillId="0" borderId="30" xfId="1" applyNumberFormat="1" applyFont="1" applyBorder="1" applyAlignment="1" applyProtection="1">
      <alignment horizontal="center" vertical="center" wrapText="1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5" fillId="0" borderId="22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9" xfId="0" applyNumberFormat="1" applyFont="1" applyBorder="1" applyAlignment="1" applyProtection="1">
      <alignment horizontal="center" vertical="center" wrapText="1"/>
      <protection locked="0"/>
    </xf>
    <xf numFmtId="1" fontId="5" fillId="0" borderId="27" xfId="0" applyNumberFormat="1" applyFont="1" applyBorder="1" applyAlignment="1" applyProtection="1">
      <alignment horizontal="center" vertical="center" wrapText="1"/>
      <protection locked="0"/>
    </xf>
    <xf numFmtId="1" fontId="5" fillId="0" borderId="2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3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7" fillId="0" borderId="23" xfId="0" applyNumberFormat="1" applyFont="1" applyBorder="1" applyAlignment="1" applyProtection="1">
      <alignment vertical="top" wrapText="1"/>
      <protection locked="0"/>
    </xf>
    <xf numFmtId="1" fontId="7" fillId="0" borderId="10" xfId="0" applyNumberFormat="1" applyFont="1" applyBorder="1" applyAlignment="1" applyProtection="1">
      <alignment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9" fontId="12" fillId="0" borderId="16" xfId="1" applyNumberFormat="1" applyFont="1" applyBorder="1" applyAlignment="1" applyProtection="1">
      <alignment horizontal="left" vertical="top" wrapText="1"/>
      <protection locked="0"/>
    </xf>
    <xf numFmtId="164" fontId="11" fillId="0" borderId="1" xfId="1" applyNumberFormat="1" applyFont="1" applyBorder="1" applyAlignment="1" applyProtection="1">
      <alignment horizontal="left" vertical="top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23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5" fillId="2" borderId="1" xfId="1" applyFont="1" applyFill="1" applyBorder="1" applyAlignment="1" applyProtection="1">
      <alignment horizontal="left" vertical="top" wrapText="1"/>
      <protection locked="0"/>
    </xf>
    <xf numFmtId="167" fontId="5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7" xfId="1" applyFont="1" applyBorder="1" applyAlignment="1" applyProtection="1">
      <alignment horizontal="left" vertical="top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  <xf numFmtId="0" fontId="5" fillId="0" borderId="21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5" fillId="0" borderId="22" xfId="1" applyFont="1" applyBorder="1" applyAlignment="1" applyProtection="1">
      <alignment horizontal="left" vertical="top" wrapText="1"/>
      <protection locked="0"/>
    </xf>
    <xf numFmtId="1" fontId="5" fillId="0" borderId="9" xfId="1" applyNumberFormat="1" applyFont="1" applyBorder="1" applyAlignment="1" applyProtection="1">
      <alignment horizontal="left" vertical="top" wrapText="1"/>
      <protection locked="0"/>
    </xf>
    <xf numFmtId="1" fontId="5" fillId="0" borderId="23" xfId="1" applyNumberFormat="1" applyFont="1" applyBorder="1" applyAlignment="1" applyProtection="1">
      <alignment horizontal="left" vertical="top" wrapText="1"/>
      <protection locked="0"/>
    </xf>
    <xf numFmtId="1" fontId="5" fillId="0" borderId="10" xfId="1" applyNumberFormat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21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5" applyFont="1" applyBorder="1" applyAlignment="1">
      <alignment horizontal="left"/>
    </xf>
    <xf numFmtId="1" fontId="22" fillId="0" borderId="9" xfId="0" applyNumberFormat="1" applyFont="1" applyBorder="1" applyAlignment="1" applyProtection="1">
      <alignment vertical="top" wrapText="1"/>
      <protection locked="0"/>
    </xf>
    <xf numFmtId="1" fontId="22" fillId="0" borderId="23" xfId="0" applyNumberFormat="1" applyFont="1" applyBorder="1" applyAlignment="1" applyProtection="1">
      <alignment vertical="top" wrapText="1"/>
      <protection locked="0"/>
    </xf>
    <xf numFmtId="1" fontId="22" fillId="0" borderId="10" xfId="0" applyNumberFormat="1" applyFont="1" applyBorder="1" applyAlignment="1" applyProtection="1">
      <alignment vertical="top" wrapText="1"/>
      <protection locked="0"/>
    </xf>
  </cellXfs>
  <cellStyles count="8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Normal" xfId="0" builtinId="0"/>
    <cellStyle name="Normal 2" xfId="3" xr:uid="{00000000-0005-0000-0000-000004000000}"/>
    <cellStyle name="Normal 3" xfId="1" xr:uid="{00000000-0005-0000-0000-000005000000}"/>
    <cellStyle name="Normal 3 3" xfId="7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311592</xdr:colOff>
      <xdr:row>406</xdr:row>
      <xdr:rowOff>161127</xdr:rowOff>
    </xdr:from>
    <xdr:to>
      <xdr:col>6</xdr:col>
      <xdr:colOff>606236</xdr:colOff>
      <xdr:row>424</xdr:row>
      <xdr:rowOff>176263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452" y="83219127"/>
          <a:ext cx="4554224" cy="35812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311593</xdr:colOff>
      <xdr:row>425</xdr:row>
      <xdr:rowOff>99679</xdr:rowOff>
    </xdr:from>
    <xdr:to>
      <xdr:col>6</xdr:col>
      <xdr:colOff>596099</xdr:colOff>
      <xdr:row>443</xdr:row>
      <xdr:rowOff>114816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453" y="86921959"/>
          <a:ext cx="4544086" cy="35812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533400</xdr:colOff>
      <xdr:row>322</xdr:row>
      <xdr:rowOff>137161</xdr:rowOff>
    </xdr:from>
    <xdr:to>
      <xdr:col>19</xdr:col>
      <xdr:colOff>151159</xdr:colOff>
      <xdr:row>357</xdr:row>
      <xdr:rowOff>99060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6A25AF1-D3FE-EFFC-C0D0-A7B72E129AEB}"/>
            </a:ext>
          </a:extLst>
        </xdr:cNvPr>
        <xdr:cNvGrpSpPr/>
      </xdr:nvGrpSpPr>
      <xdr:grpSpPr>
        <a:xfrm>
          <a:off x="7231380" y="66568321"/>
          <a:ext cx="5614699" cy="6888479"/>
          <a:chOff x="95250" y="66469260"/>
          <a:chExt cx="7851169" cy="845639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EC51B25-703D-3F08-C296-30CFC6DA26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80644" y="73311372"/>
            <a:ext cx="2216883" cy="160476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28C2A77-ED70-8EC1-75EA-592C468FBE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66484407"/>
            <a:ext cx="3178033" cy="2320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E6359A7-65A6-AC9F-BACB-4C811CDC9C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5181" y="66484407"/>
            <a:ext cx="3193273" cy="2320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B6918AC1-EA24-034E-1DA2-5E8401F3B3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73654" y="73320897"/>
            <a:ext cx="2201814" cy="160476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79565F70-4777-9FEC-1C7A-2B17191D08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5179" y="68880062"/>
            <a:ext cx="2953938" cy="21390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4D52074-0C41-B56F-3227-A0A0E61704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584" y="71095717"/>
            <a:ext cx="2938698" cy="21390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3402A08-00EC-126E-D57B-532A477DBD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5179" y="71095717"/>
            <a:ext cx="2953938" cy="21390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D959EF6-1940-3B4E-F043-50F478F0A0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585" y="68855301"/>
            <a:ext cx="2938698" cy="2140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Box 7">
            <a:extLst>
              <a:ext uri="{FF2B5EF4-FFF2-40B4-BE49-F238E27FC236}">
                <a16:creationId xmlns:a16="http://schemas.microsoft.com/office/drawing/2014/main" id="{ACAA665D-0C3F-A670-021D-68C416245A8B}"/>
              </a:ext>
            </a:extLst>
          </xdr:cNvPr>
          <xdr:cNvSpPr txBox="1"/>
        </xdr:nvSpPr>
        <xdr:spPr>
          <a:xfrm>
            <a:off x="95250" y="66469260"/>
            <a:ext cx="3520440" cy="367427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Bldg No.1 Wing A</a:t>
            </a:r>
          </a:p>
        </xdr:txBody>
      </xdr:sp>
      <xdr:sp macro="" textlink="">
        <xdr:nvSpPr>
          <xdr:cNvPr id="14" name="TextBox 9">
            <a:extLst>
              <a:ext uri="{FF2B5EF4-FFF2-40B4-BE49-F238E27FC236}">
                <a16:creationId xmlns:a16="http://schemas.microsoft.com/office/drawing/2014/main" id="{4F286061-CC8D-C506-B51E-E1018EFF78A0}"/>
              </a:ext>
            </a:extLst>
          </xdr:cNvPr>
          <xdr:cNvSpPr txBox="1"/>
        </xdr:nvSpPr>
        <xdr:spPr>
          <a:xfrm>
            <a:off x="4073280" y="66469260"/>
            <a:ext cx="3510915" cy="367427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Bldg No.1 Wing B</a:t>
            </a:r>
          </a:p>
        </xdr:txBody>
      </xdr:sp>
      <xdr:sp macro="" textlink="">
        <xdr:nvSpPr>
          <xdr:cNvPr id="15" name="TextBox 11">
            <a:extLst>
              <a:ext uri="{FF2B5EF4-FFF2-40B4-BE49-F238E27FC236}">
                <a16:creationId xmlns:a16="http://schemas.microsoft.com/office/drawing/2014/main" id="{0A32D835-9E44-32F6-6C00-2F86ADA5A523}"/>
              </a:ext>
            </a:extLst>
          </xdr:cNvPr>
          <xdr:cNvSpPr txBox="1"/>
        </xdr:nvSpPr>
        <xdr:spPr>
          <a:xfrm>
            <a:off x="1329301" y="68855301"/>
            <a:ext cx="3897630" cy="367427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Bldg No.1 Wing C</a:t>
            </a:r>
          </a:p>
        </xdr:txBody>
      </xdr:sp>
      <xdr:sp macro="" textlink="">
        <xdr:nvSpPr>
          <xdr:cNvPr id="16" name="TextBox 13">
            <a:extLst>
              <a:ext uri="{FF2B5EF4-FFF2-40B4-BE49-F238E27FC236}">
                <a16:creationId xmlns:a16="http://schemas.microsoft.com/office/drawing/2014/main" id="{6CAF2E0A-4874-89E8-44BE-5820687624CB}"/>
              </a:ext>
            </a:extLst>
          </xdr:cNvPr>
          <xdr:cNvSpPr txBox="1"/>
        </xdr:nvSpPr>
        <xdr:spPr>
          <a:xfrm>
            <a:off x="4046884" y="70691890"/>
            <a:ext cx="3899535" cy="36552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Bldg No.2 Wing A</a:t>
            </a:r>
          </a:p>
        </xdr:txBody>
      </xdr:sp>
      <xdr:sp macro="" textlink="">
        <xdr:nvSpPr>
          <xdr:cNvPr id="17" name="TextBox 15">
            <a:extLst>
              <a:ext uri="{FF2B5EF4-FFF2-40B4-BE49-F238E27FC236}">
                <a16:creationId xmlns:a16="http://schemas.microsoft.com/office/drawing/2014/main" id="{57602ED0-9E46-2DBE-3B26-50ED09041083}"/>
              </a:ext>
            </a:extLst>
          </xdr:cNvPr>
          <xdr:cNvSpPr txBox="1"/>
        </xdr:nvSpPr>
        <xdr:spPr>
          <a:xfrm>
            <a:off x="804975" y="72830199"/>
            <a:ext cx="4050030" cy="367427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Bldg No.2 Wing B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B0FA7AB2-27D4-CEEF-447E-0E78B692CA91}"/>
              </a:ext>
            </a:extLst>
          </xdr:cNvPr>
          <xdr:cNvSpPr txBox="1"/>
        </xdr:nvSpPr>
        <xdr:spPr>
          <a:xfrm>
            <a:off x="3495194" y="72886256"/>
            <a:ext cx="4044315" cy="36552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Bldg No.3 </a:t>
            </a:r>
            <a:endParaRPr lang="en-VC"/>
          </a:p>
        </xdr:txBody>
      </xdr:sp>
    </xdr:grpSp>
    <xdr:clientData/>
  </xdr:twoCellAnchor>
  <xdr:twoCellAnchor>
    <xdr:from>
      <xdr:col>0</xdr:col>
      <xdr:colOff>144780</xdr:colOff>
      <xdr:row>323</xdr:row>
      <xdr:rowOff>30480</xdr:rowOff>
    </xdr:from>
    <xdr:to>
      <xdr:col>7</xdr:col>
      <xdr:colOff>657629</xdr:colOff>
      <xdr:row>357</xdr:row>
      <xdr:rowOff>111429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C6603807-E683-000E-7647-4FBFDAEA8D90}"/>
            </a:ext>
          </a:extLst>
        </xdr:cNvPr>
        <xdr:cNvGrpSpPr/>
      </xdr:nvGrpSpPr>
      <xdr:grpSpPr>
        <a:xfrm>
          <a:off x="144780" y="66659760"/>
          <a:ext cx="6357389" cy="6809409"/>
          <a:chOff x="231151" y="246684"/>
          <a:chExt cx="6357389" cy="6809409"/>
        </a:xfrm>
      </xdr:grpSpPr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3FF4D65A-A34A-123A-DEE5-60EE95E18C54}"/>
              </a:ext>
            </a:extLst>
          </xdr:cNvPr>
          <xdr:cNvGrpSpPr/>
        </xdr:nvGrpSpPr>
        <xdr:grpSpPr>
          <a:xfrm>
            <a:off x="256913" y="2571389"/>
            <a:ext cx="6305864" cy="2160000"/>
            <a:chOff x="276068" y="2571389"/>
            <a:chExt cx="6305864" cy="2160000"/>
          </a:xfrm>
        </xdr:grpSpPr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CB2C3A59-9989-D6CC-9670-3B1F8BD7CF14}"/>
                </a:ext>
              </a:extLst>
            </xdr:cNvPr>
            <xdr:cNvGrpSpPr/>
          </xdr:nvGrpSpPr>
          <xdr:grpSpPr>
            <a:xfrm>
              <a:off x="276068" y="2571389"/>
              <a:ext cx="6305864" cy="2160000"/>
              <a:chOff x="282676" y="2636988"/>
              <a:chExt cx="6305864" cy="2160000"/>
            </a:xfrm>
          </xdr:grpSpPr>
          <xdr:pic>
            <xdr:nvPicPr>
              <xdr:cNvPr id="36" name="Picture 35">
                <a:extLst>
                  <a:ext uri="{FF2B5EF4-FFF2-40B4-BE49-F238E27FC236}">
                    <a16:creationId xmlns:a16="http://schemas.microsoft.com/office/drawing/2014/main" id="{90C95ADC-10E9-E2F6-C8C2-7311B752035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968540" y="2636988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7" name="Picture 36">
                <a:extLst>
                  <a:ext uri="{FF2B5EF4-FFF2-40B4-BE49-F238E27FC236}">
                    <a16:creationId xmlns:a16="http://schemas.microsoft.com/office/drawing/2014/main" id="{3C335952-6383-39B9-8A29-836AAE34572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995608" y="2636988"/>
                <a:ext cx="288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8" name="Picture 37">
                <a:extLst>
                  <a:ext uri="{FF2B5EF4-FFF2-40B4-BE49-F238E27FC236}">
                    <a16:creationId xmlns:a16="http://schemas.microsoft.com/office/drawing/2014/main" id="{B62D097E-F9C3-6587-C536-B1934BFAFC7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676" y="2636988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35" name="TextBox 32">
              <a:extLst>
                <a:ext uri="{FF2B5EF4-FFF2-40B4-BE49-F238E27FC236}">
                  <a16:creationId xmlns:a16="http://schemas.microsoft.com/office/drawing/2014/main" id="{EEE87774-BAED-EE7F-124F-4AEDBE91671A}"/>
                </a:ext>
              </a:extLst>
            </xdr:cNvPr>
            <xdr:cNvSpPr txBox="1"/>
          </xdr:nvSpPr>
          <xdr:spPr>
            <a:xfrm>
              <a:off x="1120305" y="2571389"/>
              <a:ext cx="848309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0000"/>
                  </a:solidFill>
                </a:rPr>
                <a:t>B1 Wing A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81879B6A-6A58-E03D-9CDE-38D69645B1E0}"/>
              </a:ext>
            </a:extLst>
          </xdr:cNvPr>
          <xdr:cNvGrpSpPr/>
        </xdr:nvGrpSpPr>
        <xdr:grpSpPr>
          <a:xfrm>
            <a:off x="456108" y="246684"/>
            <a:ext cx="5907474" cy="2160001"/>
            <a:chOff x="501066" y="246684"/>
            <a:chExt cx="5907474" cy="2160001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4C09D27F-84B5-9C26-953B-73EE063755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01066" y="246684"/>
              <a:ext cx="288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7D5C039-A16D-DF4C-559D-1DB8F63480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28540" y="246685"/>
              <a:ext cx="288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2" name="TextBox 33">
              <a:extLst>
                <a:ext uri="{FF2B5EF4-FFF2-40B4-BE49-F238E27FC236}">
                  <a16:creationId xmlns:a16="http://schemas.microsoft.com/office/drawing/2014/main" id="{6679F388-DDBA-2A38-D1EC-C2A60F6EA85C}"/>
                </a:ext>
              </a:extLst>
            </xdr:cNvPr>
            <xdr:cNvSpPr txBox="1"/>
          </xdr:nvSpPr>
          <xdr:spPr>
            <a:xfrm>
              <a:off x="2356935" y="2129684"/>
              <a:ext cx="848309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0000"/>
                  </a:solidFill>
                </a:rPr>
                <a:t>B1 Wing A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3" name="TextBox 34">
              <a:extLst>
                <a:ext uri="{FF2B5EF4-FFF2-40B4-BE49-F238E27FC236}">
                  <a16:creationId xmlns:a16="http://schemas.microsoft.com/office/drawing/2014/main" id="{14FE1C48-16A4-4C23-55D4-5F85EA375DCE}"/>
                </a:ext>
              </a:extLst>
            </xdr:cNvPr>
            <xdr:cNvSpPr txBox="1"/>
          </xdr:nvSpPr>
          <xdr:spPr>
            <a:xfrm>
              <a:off x="4189746" y="246685"/>
              <a:ext cx="848309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0000"/>
                  </a:solidFill>
                </a:rPr>
                <a:t>B1 Wing B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31033EFF-CED5-CB44-C63E-27A3582AC36E}"/>
              </a:ext>
            </a:extLst>
          </xdr:cNvPr>
          <xdr:cNvGrpSpPr/>
        </xdr:nvGrpSpPr>
        <xdr:grpSpPr>
          <a:xfrm>
            <a:off x="231151" y="4872398"/>
            <a:ext cx="6357389" cy="2183695"/>
            <a:chOff x="231151" y="4872398"/>
            <a:chExt cx="6357389" cy="2183695"/>
          </a:xfrm>
        </xdr:grpSpPr>
        <xdr:grpSp>
          <xdr:nvGrpSpPr>
            <xdr:cNvPr id="25" name="Group 24">
              <a:extLst>
                <a:ext uri="{FF2B5EF4-FFF2-40B4-BE49-F238E27FC236}">
                  <a16:creationId xmlns:a16="http://schemas.microsoft.com/office/drawing/2014/main" id="{9B7C1659-1F76-77B6-63EB-2D7A3D6A0B17}"/>
                </a:ext>
              </a:extLst>
            </xdr:cNvPr>
            <xdr:cNvGrpSpPr/>
          </xdr:nvGrpSpPr>
          <xdr:grpSpPr>
            <a:xfrm>
              <a:off x="269460" y="4896093"/>
              <a:ext cx="6319080" cy="2160000"/>
              <a:chOff x="269460" y="4896093"/>
              <a:chExt cx="6319080" cy="2160000"/>
            </a:xfrm>
          </xdr:grpSpPr>
          <xdr:pic>
            <xdr:nvPicPr>
              <xdr:cNvPr id="27" name="Picture 26">
                <a:extLst>
                  <a:ext uri="{FF2B5EF4-FFF2-40B4-BE49-F238E27FC236}">
                    <a16:creationId xmlns:a16="http://schemas.microsoft.com/office/drawing/2014/main" id="{6DF64560-4560-B5CD-5F1B-732813C3A2A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69460" y="4896093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28" name="Picture 27">
                <a:extLst>
                  <a:ext uri="{FF2B5EF4-FFF2-40B4-BE49-F238E27FC236}">
                    <a16:creationId xmlns:a16="http://schemas.microsoft.com/office/drawing/2014/main" id="{98DD77D2-F833-5A41-6170-78EAD02BA82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968540" y="4896093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29" name="Picture 28">
                <a:extLst>
                  <a:ext uri="{FF2B5EF4-FFF2-40B4-BE49-F238E27FC236}">
                    <a16:creationId xmlns:a16="http://schemas.microsoft.com/office/drawing/2014/main" id="{0D90D89B-66F4-B17C-7E2A-0D841BAE4C9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989000" y="4896093"/>
                <a:ext cx="288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26" name="TextBox 31">
              <a:extLst>
                <a:ext uri="{FF2B5EF4-FFF2-40B4-BE49-F238E27FC236}">
                  <a16:creationId xmlns:a16="http://schemas.microsoft.com/office/drawing/2014/main" id="{9DBCC037-024D-6D82-DDE8-B1120B317AA7}"/>
                </a:ext>
              </a:extLst>
            </xdr:cNvPr>
            <xdr:cNvSpPr txBox="1"/>
          </xdr:nvSpPr>
          <xdr:spPr>
            <a:xfrm>
              <a:off x="231151" y="4872398"/>
              <a:ext cx="848309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0000"/>
                  </a:solidFill>
                </a:rPr>
                <a:t>B1 Wing C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243840</xdr:colOff>
      <xdr:row>364</xdr:row>
      <xdr:rowOff>38101</xdr:rowOff>
    </xdr:from>
    <xdr:to>
      <xdr:col>7</xdr:col>
      <xdr:colOff>640080</xdr:colOff>
      <xdr:row>394</xdr:row>
      <xdr:rowOff>184192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1C1F4FFC-E122-183E-4DF9-AA437A7EAE09}"/>
            </a:ext>
          </a:extLst>
        </xdr:cNvPr>
        <xdr:cNvGrpSpPr/>
      </xdr:nvGrpSpPr>
      <xdr:grpSpPr>
        <a:xfrm>
          <a:off x="243840" y="74775061"/>
          <a:ext cx="6240780" cy="6089691"/>
          <a:chOff x="148625" y="171450"/>
          <a:chExt cx="6433792" cy="6813024"/>
        </a:xfrm>
      </xdr:grpSpPr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8BD572EC-A069-DB18-3250-C9E9ACED1A9D}"/>
              </a:ext>
            </a:extLst>
          </xdr:cNvPr>
          <xdr:cNvGrpSpPr/>
        </xdr:nvGrpSpPr>
        <xdr:grpSpPr>
          <a:xfrm>
            <a:off x="148625" y="171450"/>
            <a:ext cx="6433792" cy="6813024"/>
            <a:chOff x="148625" y="171450"/>
            <a:chExt cx="6433792" cy="6813024"/>
          </a:xfrm>
        </xdr:grpSpPr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B7ACC3BC-C8AC-252E-04C9-BADC8C0B922B}"/>
                </a:ext>
              </a:extLst>
            </xdr:cNvPr>
            <xdr:cNvGrpSpPr/>
          </xdr:nvGrpSpPr>
          <xdr:grpSpPr>
            <a:xfrm>
              <a:off x="1045845" y="171450"/>
              <a:ext cx="4639352" cy="2160000"/>
              <a:chOff x="148625" y="171450"/>
              <a:chExt cx="4639352" cy="2160000"/>
            </a:xfrm>
          </xdr:grpSpPr>
          <xdr:pic>
            <xdr:nvPicPr>
              <xdr:cNvPr id="55" name="Picture 54">
                <a:extLst>
                  <a:ext uri="{FF2B5EF4-FFF2-40B4-BE49-F238E27FC236}">
                    <a16:creationId xmlns:a16="http://schemas.microsoft.com/office/drawing/2014/main" id="{7FE90D0E-B029-E930-2184-A84D2BE009C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907977" y="171450"/>
                <a:ext cx="288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6" name="Picture 55">
                <a:extLst>
                  <a:ext uri="{FF2B5EF4-FFF2-40B4-BE49-F238E27FC236}">
                    <a16:creationId xmlns:a16="http://schemas.microsoft.com/office/drawing/2014/main" id="{8BAD641C-E8E6-EF7C-CF2F-178EA282842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48625" y="171450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75331A71-876D-9C36-D0B4-316E727F9573}"/>
                </a:ext>
              </a:extLst>
            </xdr:cNvPr>
            <xdr:cNvGrpSpPr/>
          </xdr:nvGrpSpPr>
          <xdr:grpSpPr>
            <a:xfrm>
              <a:off x="148625" y="2497962"/>
              <a:ext cx="6433792" cy="2160000"/>
              <a:chOff x="148625" y="2497962"/>
              <a:chExt cx="6433792" cy="2160000"/>
            </a:xfrm>
          </xdr:grpSpPr>
          <xdr:pic>
            <xdr:nvPicPr>
              <xdr:cNvPr id="52" name="Picture 51">
                <a:extLst>
                  <a:ext uri="{FF2B5EF4-FFF2-40B4-BE49-F238E27FC236}">
                    <a16:creationId xmlns:a16="http://schemas.microsoft.com/office/drawing/2014/main" id="{11F17C8C-1E6D-B5F7-9199-B2F71DAF1F6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48625" y="2497962"/>
                <a:ext cx="288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3" name="Picture 52">
                <a:extLst>
                  <a:ext uri="{FF2B5EF4-FFF2-40B4-BE49-F238E27FC236}">
                    <a16:creationId xmlns:a16="http://schemas.microsoft.com/office/drawing/2014/main" id="{E95FDCBB-A43A-26C7-407D-7E3A762C16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185521" y="2497962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4" name="Picture 53">
                <a:extLst>
                  <a:ext uri="{FF2B5EF4-FFF2-40B4-BE49-F238E27FC236}">
                    <a16:creationId xmlns:a16="http://schemas.microsoft.com/office/drawing/2014/main" id="{E7165315-270D-47AB-F0B2-4E835A7E370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962417" y="2497962"/>
                <a:ext cx="162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grpSp>
          <xdr:nvGrpSpPr>
            <xdr:cNvPr id="49" name="Group 48">
              <a:extLst>
                <a:ext uri="{FF2B5EF4-FFF2-40B4-BE49-F238E27FC236}">
                  <a16:creationId xmlns:a16="http://schemas.microsoft.com/office/drawing/2014/main" id="{F33229EE-C544-C799-082E-6E23FF837751}"/>
                </a:ext>
              </a:extLst>
            </xdr:cNvPr>
            <xdr:cNvGrpSpPr/>
          </xdr:nvGrpSpPr>
          <xdr:grpSpPr>
            <a:xfrm>
              <a:off x="407073" y="4824474"/>
              <a:ext cx="5916896" cy="2160000"/>
              <a:chOff x="148625" y="4824474"/>
              <a:chExt cx="5916896" cy="2160000"/>
            </a:xfrm>
          </xdr:grpSpPr>
          <xdr:pic>
            <xdr:nvPicPr>
              <xdr:cNvPr id="50" name="Picture 49">
                <a:extLst>
                  <a:ext uri="{FF2B5EF4-FFF2-40B4-BE49-F238E27FC236}">
                    <a16:creationId xmlns:a16="http://schemas.microsoft.com/office/drawing/2014/main" id="{B04B14E7-9DC1-42E4-9117-3F11E730A4D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48625" y="4824474"/>
                <a:ext cx="288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1" name="Picture 50">
                <a:extLst>
                  <a:ext uri="{FF2B5EF4-FFF2-40B4-BE49-F238E27FC236}">
                    <a16:creationId xmlns:a16="http://schemas.microsoft.com/office/drawing/2014/main" id="{6A545FCC-4D01-143A-904A-6575ADE36BD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185521" y="4824474"/>
                <a:ext cx="2880000" cy="216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</xdr:grpSp>
      <xdr:sp macro="" textlink="">
        <xdr:nvSpPr>
          <xdr:cNvPr id="41" name="TextBox 35">
            <a:extLst>
              <a:ext uri="{FF2B5EF4-FFF2-40B4-BE49-F238E27FC236}">
                <a16:creationId xmlns:a16="http://schemas.microsoft.com/office/drawing/2014/main" id="{F730F7A3-145B-B5AE-73E3-A9AAA6DC2A94}"/>
              </a:ext>
            </a:extLst>
          </xdr:cNvPr>
          <xdr:cNvSpPr txBox="1"/>
        </xdr:nvSpPr>
        <xdr:spPr>
          <a:xfrm>
            <a:off x="4663253" y="289616"/>
            <a:ext cx="84830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B2 Wing A</a:t>
            </a:r>
            <a:endParaRPr lang="en-IN" sz="1200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24">
            <a:extLst>
              <a:ext uri="{FF2B5EF4-FFF2-40B4-BE49-F238E27FC236}">
                <a16:creationId xmlns:a16="http://schemas.microsoft.com/office/drawing/2014/main" id="{728886D2-8F7B-FCAD-6EB4-3A55C78D18FF}"/>
              </a:ext>
            </a:extLst>
          </xdr:cNvPr>
          <xdr:cNvSpPr txBox="1"/>
        </xdr:nvSpPr>
        <xdr:spPr>
          <a:xfrm>
            <a:off x="3185521" y="1901113"/>
            <a:ext cx="84830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B2 Wing B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19A7768F-62FC-1898-F606-7D6E329B335E}"/>
              </a:ext>
            </a:extLst>
          </xdr:cNvPr>
          <xdr:cNvCxnSpPr/>
        </xdr:nvCxnSpPr>
        <xdr:spPr>
          <a:xfrm flipH="1" flipV="1">
            <a:off x="3287073" y="1134319"/>
            <a:ext cx="156896" cy="751297"/>
          </a:xfrm>
          <a:prstGeom prst="straightConnector1">
            <a:avLst/>
          </a:prstGeom>
          <a:ln w="285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TextBox 27">
            <a:extLst>
              <a:ext uri="{FF2B5EF4-FFF2-40B4-BE49-F238E27FC236}">
                <a16:creationId xmlns:a16="http://schemas.microsoft.com/office/drawing/2014/main" id="{3928FBFF-16C3-FD8F-AE8F-83B946D70D5A}"/>
              </a:ext>
            </a:extLst>
          </xdr:cNvPr>
          <xdr:cNvSpPr txBox="1"/>
        </xdr:nvSpPr>
        <xdr:spPr>
          <a:xfrm>
            <a:off x="474895" y="6220399"/>
            <a:ext cx="1237008" cy="31348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B3 Wing A &amp; B</a:t>
            </a:r>
            <a:endParaRPr lang="en-IN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45" name="TextBox 28">
            <a:extLst>
              <a:ext uri="{FF2B5EF4-FFF2-40B4-BE49-F238E27FC236}">
                <a16:creationId xmlns:a16="http://schemas.microsoft.com/office/drawing/2014/main" id="{2FF60C59-1DFE-A874-A9C6-D61380FF378F}"/>
              </a:ext>
            </a:extLst>
          </xdr:cNvPr>
          <xdr:cNvSpPr txBox="1"/>
        </xdr:nvSpPr>
        <xdr:spPr>
          <a:xfrm>
            <a:off x="3428999" y="6220399"/>
            <a:ext cx="1158077" cy="31348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B3 Wing A &amp; B</a:t>
            </a:r>
            <a:endParaRPr lang="en-IN" sz="1200" b="1">
              <a:solidFill>
                <a:srgbClr val="FFFF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06"/>
  <sheetViews>
    <sheetView tabSelected="1" showWhiteSpace="0" view="pageBreakPreview" topLeftCell="A389" zoomScaleNormal="100" zoomScaleSheetLayoutView="100" zoomScalePageLayoutView="85" workbookViewId="0">
      <selection activeCell="J398" sqref="J398:K398"/>
    </sheetView>
  </sheetViews>
  <sheetFormatPr defaultColWidth="9.109375" defaultRowHeight="15.6" x14ac:dyDescent="0.3"/>
  <cols>
    <col min="1" max="1" width="11.44140625" style="7" customWidth="1"/>
    <col min="2" max="2" width="12" style="7" customWidth="1"/>
    <col min="3" max="3" width="12.6640625" style="7" customWidth="1"/>
    <col min="4" max="4" width="14.109375" style="7" customWidth="1"/>
    <col min="5" max="7" width="11.6640625" style="7" customWidth="1"/>
    <col min="8" max="8" width="12.44140625" style="7" customWidth="1"/>
    <col min="9" max="9" width="15.6640625" style="6" customWidth="1"/>
    <col min="10" max="10" width="11.44140625" style="6" customWidth="1"/>
    <col min="11" max="11" width="10.5546875" style="6" bestFit="1" customWidth="1"/>
    <col min="12" max="12" width="10.5546875" style="6" customWidth="1"/>
    <col min="13" max="13" width="11.88671875" style="6" customWidth="1"/>
    <col min="14" max="14" width="12.5546875" style="6" hidden="1" customWidth="1"/>
    <col min="15" max="15" width="9.88671875" style="6" hidden="1" customWidth="1"/>
    <col min="16" max="16" width="10.44140625" style="6" hidden="1" customWidth="1"/>
    <col min="17" max="247" width="9.109375" style="6"/>
    <col min="248" max="248" width="8.6640625" style="6" customWidth="1"/>
    <col min="249" max="249" width="9.88671875" style="6" customWidth="1"/>
    <col min="250" max="250" width="14.44140625" style="6" customWidth="1"/>
    <col min="251" max="251" width="7.33203125" style="6" customWidth="1"/>
    <col min="252" max="252" width="5.5546875" style="6" customWidth="1"/>
    <col min="253" max="253" width="9" style="6" customWidth="1"/>
    <col min="254" max="255" width="9.88671875" style="6" customWidth="1"/>
    <col min="256" max="256" width="11.109375" style="6" customWidth="1"/>
    <col min="257" max="257" width="2.88671875" style="6" customWidth="1"/>
    <col min="258" max="258" width="3.5546875" style="6" customWidth="1"/>
    <col min="259" max="503" width="9.109375" style="6"/>
    <col min="504" max="504" width="8.6640625" style="6" customWidth="1"/>
    <col min="505" max="505" width="9.88671875" style="6" customWidth="1"/>
    <col min="506" max="506" width="14.44140625" style="6" customWidth="1"/>
    <col min="507" max="507" width="7.33203125" style="6" customWidth="1"/>
    <col min="508" max="508" width="5.5546875" style="6" customWidth="1"/>
    <col min="509" max="509" width="9" style="6" customWidth="1"/>
    <col min="510" max="511" width="9.88671875" style="6" customWidth="1"/>
    <col min="512" max="512" width="11.109375" style="6" customWidth="1"/>
    <col min="513" max="513" width="2.88671875" style="6" customWidth="1"/>
    <col min="514" max="514" width="3.5546875" style="6" customWidth="1"/>
    <col min="515" max="759" width="9.109375" style="6"/>
    <col min="760" max="760" width="8.6640625" style="6" customWidth="1"/>
    <col min="761" max="761" width="9.88671875" style="6" customWidth="1"/>
    <col min="762" max="762" width="14.44140625" style="6" customWidth="1"/>
    <col min="763" max="763" width="7.33203125" style="6" customWidth="1"/>
    <col min="764" max="764" width="5.5546875" style="6" customWidth="1"/>
    <col min="765" max="765" width="9" style="6" customWidth="1"/>
    <col min="766" max="767" width="9.88671875" style="6" customWidth="1"/>
    <col min="768" max="768" width="11.109375" style="6" customWidth="1"/>
    <col min="769" max="769" width="2.88671875" style="6" customWidth="1"/>
    <col min="770" max="770" width="3.5546875" style="6" customWidth="1"/>
    <col min="771" max="1015" width="9.109375" style="6"/>
    <col min="1016" max="1016" width="8.6640625" style="6" customWidth="1"/>
    <col min="1017" max="1017" width="9.88671875" style="6" customWidth="1"/>
    <col min="1018" max="1018" width="14.44140625" style="6" customWidth="1"/>
    <col min="1019" max="1019" width="7.33203125" style="6" customWidth="1"/>
    <col min="1020" max="1020" width="5.5546875" style="6" customWidth="1"/>
    <col min="1021" max="1021" width="9" style="6" customWidth="1"/>
    <col min="1022" max="1023" width="9.88671875" style="6" customWidth="1"/>
    <col min="1024" max="1024" width="11.109375" style="6" customWidth="1"/>
    <col min="1025" max="1025" width="2.88671875" style="6" customWidth="1"/>
    <col min="1026" max="1026" width="3.5546875" style="6" customWidth="1"/>
    <col min="1027" max="1271" width="9.109375" style="6"/>
    <col min="1272" max="1272" width="8.6640625" style="6" customWidth="1"/>
    <col min="1273" max="1273" width="9.88671875" style="6" customWidth="1"/>
    <col min="1274" max="1274" width="14.44140625" style="6" customWidth="1"/>
    <col min="1275" max="1275" width="7.33203125" style="6" customWidth="1"/>
    <col min="1276" max="1276" width="5.5546875" style="6" customWidth="1"/>
    <col min="1277" max="1277" width="9" style="6" customWidth="1"/>
    <col min="1278" max="1279" width="9.88671875" style="6" customWidth="1"/>
    <col min="1280" max="1280" width="11.109375" style="6" customWidth="1"/>
    <col min="1281" max="1281" width="2.88671875" style="6" customWidth="1"/>
    <col min="1282" max="1282" width="3.5546875" style="6" customWidth="1"/>
    <col min="1283" max="1527" width="9.109375" style="6"/>
    <col min="1528" max="1528" width="8.6640625" style="6" customWidth="1"/>
    <col min="1529" max="1529" width="9.88671875" style="6" customWidth="1"/>
    <col min="1530" max="1530" width="14.44140625" style="6" customWidth="1"/>
    <col min="1531" max="1531" width="7.33203125" style="6" customWidth="1"/>
    <col min="1532" max="1532" width="5.5546875" style="6" customWidth="1"/>
    <col min="1533" max="1533" width="9" style="6" customWidth="1"/>
    <col min="1534" max="1535" width="9.88671875" style="6" customWidth="1"/>
    <col min="1536" max="1536" width="11.109375" style="6" customWidth="1"/>
    <col min="1537" max="1537" width="2.88671875" style="6" customWidth="1"/>
    <col min="1538" max="1538" width="3.5546875" style="6" customWidth="1"/>
    <col min="1539" max="1783" width="9.109375" style="6"/>
    <col min="1784" max="1784" width="8.6640625" style="6" customWidth="1"/>
    <col min="1785" max="1785" width="9.88671875" style="6" customWidth="1"/>
    <col min="1786" max="1786" width="14.44140625" style="6" customWidth="1"/>
    <col min="1787" max="1787" width="7.33203125" style="6" customWidth="1"/>
    <col min="1788" max="1788" width="5.5546875" style="6" customWidth="1"/>
    <col min="1789" max="1789" width="9" style="6" customWidth="1"/>
    <col min="1790" max="1791" width="9.88671875" style="6" customWidth="1"/>
    <col min="1792" max="1792" width="11.109375" style="6" customWidth="1"/>
    <col min="1793" max="1793" width="2.88671875" style="6" customWidth="1"/>
    <col min="1794" max="1794" width="3.5546875" style="6" customWidth="1"/>
    <col min="1795" max="2039" width="9.109375" style="6"/>
    <col min="2040" max="2040" width="8.6640625" style="6" customWidth="1"/>
    <col min="2041" max="2041" width="9.88671875" style="6" customWidth="1"/>
    <col min="2042" max="2042" width="14.44140625" style="6" customWidth="1"/>
    <col min="2043" max="2043" width="7.33203125" style="6" customWidth="1"/>
    <col min="2044" max="2044" width="5.5546875" style="6" customWidth="1"/>
    <col min="2045" max="2045" width="9" style="6" customWidth="1"/>
    <col min="2046" max="2047" width="9.88671875" style="6" customWidth="1"/>
    <col min="2048" max="2048" width="11.109375" style="6" customWidth="1"/>
    <col min="2049" max="2049" width="2.88671875" style="6" customWidth="1"/>
    <col min="2050" max="2050" width="3.5546875" style="6" customWidth="1"/>
    <col min="2051" max="2295" width="9.109375" style="6"/>
    <col min="2296" max="2296" width="8.6640625" style="6" customWidth="1"/>
    <col min="2297" max="2297" width="9.88671875" style="6" customWidth="1"/>
    <col min="2298" max="2298" width="14.44140625" style="6" customWidth="1"/>
    <col min="2299" max="2299" width="7.33203125" style="6" customWidth="1"/>
    <col min="2300" max="2300" width="5.5546875" style="6" customWidth="1"/>
    <col min="2301" max="2301" width="9" style="6" customWidth="1"/>
    <col min="2302" max="2303" width="9.88671875" style="6" customWidth="1"/>
    <col min="2304" max="2304" width="11.109375" style="6" customWidth="1"/>
    <col min="2305" max="2305" width="2.88671875" style="6" customWidth="1"/>
    <col min="2306" max="2306" width="3.5546875" style="6" customWidth="1"/>
    <col min="2307" max="2551" width="9.109375" style="6"/>
    <col min="2552" max="2552" width="8.6640625" style="6" customWidth="1"/>
    <col min="2553" max="2553" width="9.88671875" style="6" customWidth="1"/>
    <col min="2554" max="2554" width="14.44140625" style="6" customWidth="1"/>
    <col min="2555" max="2555" width="7.33203125" style="6" customWidth="1"/>
    <col min="2556" max="2556" width="5.5546875" style="6" customWidth="1"/>
    <col min="2557" max="2557" width="9" style="6" customWidth="1"/>
    <col min="2558" max="2559" width="9.88671875" style="6" customWidth="1"/>
    <col min="2560" max="2560" width="11.109375" style="6" customWidth="1"/>
    <col min="2561" max="2561" width="2.88671875" style="6" customWidth="1"/>
    <col min="2562" max="2562" width="3.5546875" style="6" customWidth="1"/>
    <col min="2563" max="2807" width="9.109375" style="6"/>
    <col min="2808" max="2808" width="8.6640625" style="6" customWidth="1"/>
    <col min="2809" max="2809" width="9.88671875" style="6" customWidth="1"/>
    <col min="2810" max="2810" width="14.44140625" style="6" customWidth="1"/>
    <col min="2811" max="2811" width="7.33203125" style="6" customWidth="1"/>
    <col min="2812" max="2812" width="5.5546875" style="6" customWidth="1"/>
    <col min="2813" max="2813" width="9" style="6" customWidth="1"/>
    <col min="2814" max="2815" width="9.88671875" style="6" customWidth="1"/>
    <col min="2816" max="2816" width="11.109375" style="6" customWidth="1"/>
    <col min="2817" max="2817" width="2.88671875" style="6" customWidth="1"/>
    <col min="2818" max="2818" width="3.5546875" style="6" customWidth="1"/>
    <col min="2819" max="3063" width="9.109375" style="6"/>
    <col min="3064" max="3064" width="8.6640625" style="6" customWidth="1"/>
    <col min="3065" max="3065" width="9.88671875" style="6" customWidth="1"/>
    <col min="3066" max="3066" width="14.44140625" style="6" customWidth="1"/>
    <col min="3067" max="3067" width="7.33203125" style="6" customWidth="1"/>
    <col min="3068" max="3068" width="5.5546875" style="6" customWidth="1"/>
    <col min="3069" max="3069" width="9" style="6" customWidth="1"/>
    <col min="3070" max="3071" width="9.88671875" style="6" customWidth="1"/>
    <col min="3072" max="3072" width="11.109375" style="6" customWidth="1"/>
    <col min="3073" max="3073" width="2.88671875" style="6" customWidth="1"/>
    <col min="3074" max="3074" width="3.5546875" style="6" customWidth="1"/>
    <col min="3075" max="3319" width="9.109375" style="6"/>
    <col min="3320" max="3320" width="8.6640625" style="6" customWidth="1"/>
    <col min="3321" max="3321" width="9.88671875" style="6" customWidth="1"/>
    <col min="3322" max="3322" width="14.44140625" style="6" customWidth="1"/>
    <col min="3323" max="3323" width="7.33203125" style="6" customWidth="1"/>
    <col min="3324" max="3324" width="5.5546875" style="6" customWidth="1"/>
    <col min="3325" max="3325" width="9" style="6" customWidth="1"/>
    <col min="3326" max="3327" width="9.88671875" style="6" customWidth="1"/>
    <col min="3328" max="3328" width="11.109375" style="6" customWidth="1"/>
    <col min="3329" max="3329" width="2.88671875" style="6" customWidth="1"/>
    <col min="3330" max="3330" width="3.5546875" style="6" customWidth="1"/>
    <col min="3331" max="3575" width="9.109375" style="6"/>
    <col min="3576" max="3576" width="8.6640625" style="6" customWidth="1"/>
    <col min="3577" max="3577" width="9.88671875" style="6" customWidth="1"/>
    <col min="3578" max="3578" width="14.44140625" style="6" customWidth="1"/>
    <col min="3579" max="3579" width="7.33203125" style="6" customWidth="1"/>
    <col min="3580" max="3580" width="5.5546875" style="6" customWidth="1"/>
    <col min="3581" max="3581" width="9" style="6" customWidth="1"/>
    <col min="3582" max="3583" width="9.88671875" style="6" customWidth="1"/>
    <col min="3584" max="3584" width="11.109375" style="6" customWidth="1"/>
    <col min="3585" max="3585" width="2.88671875" style="6" customWidth="1"/>
    <col min="3586" max="3586" width="3.5546875" style="6" customWidth="1"/>
    <col min="3587" max="3831" width="9.109375" style="6"/>
    <col min="3832" max="3832" width="8.6640625" style="6" customWidth="1"/>
    <col min="3833" max="3833" width="9.88671875" style="6" customWidth="1"/>
    <col min="3834" max="3834" width="14.44140625" style="6" customWidth="1"/>
    <col min="3835" max="3835" width="7.33203125" style="6" customWidth="1"/>
    <col min="3836" max="3836" width="5.5546875" style="6" customWidth="1"/>
    <col min="3837" max="3837" width="9" style="6" customWidth="1"/>
    <col min="3838" max="3839" width="9.88671875" style="6" customWidth="1"/>
    <col min="3840" max="3840" width="11.109375" style="6" customWidth="1"/>
    <col min="3841" max="3841" width="2.88671875" style="6" customWidth="1"/>
    <col min="3842" max="3842" width="3.5546875" style="6" customWidth="1"/>
    <col min="3843" max="4087" width="9.109375" style="6"/>
    <col min="4088" max="4088" width="8.6640625" style="6" customWidth="1"/>
    <col min="4089" max="4089" width="9.88671875" style="6" customWidth="1"/>
    <col min="4090" max="4090" width="14.44140625" style="6" customWidth="1"/>
    <col min="4091" max="4091" width="7.33203125" style="6" customWidth="1"/>
    <col min="4092" max="4092" width="5.5546875" style="6" customWidth="1"/>
    <col min="4093" max="4093" width="9" style="6" customWidth="1"/>
    <col min="4094" max="4095" width="9.88671875" style="6" customWidth="1"/>
    <col min="4096" max="4096" width="11.109375" style="6" customWidth="1"/>
    <col min="4097" max="4097" width="2.88671875" style="6" customWidth="1"/>
    <col min="4098" max="4098" width="3.5546875" style="6" customWidth="1"/>
    <col min="4099" max="4343" width="9.109375" style="6"/>
    <col min="4344" max="4344" width="8.6640625" style="6" customWidth="1"/>
    <col min="4345" max="4345" width="9.88671875" style="6" customWidth="1"/>
    <col min="4346" max="4346" width="14.44140625" style="6" customWidth="1"/>
    <col min="4347" max="4347" width="7.33203125" style="6" customWidth="1"/>
    <col min="4348" max="4348" width="5.5546875" style="6" customWidth="1"/>
    <col min="4349" max="4349" width="9" style="6" customWidth="1"/>
    <col min="4350" max="4351" width="9.88671875" style="6" customWidth="1"/>
    <col min="4352" max="4352" width="11.109375" style="6" customWidth="1"/>
    <col min="4353" max="4353" width="2.88671875" style="6" customWidth="1"/>
    <col min="4354" max="4354" width="3.5546875" style="6" customWidth="1"/>
    <col min="4355" max="4599" width="9.109375" style="6"/>
    <col min="4600" max="4600" width="8.6640625" style="6" customWidth="1"/>
    <col min="4601" max="4601" width="9.88671875" style="6" customWidth="1"/>
    <col min="4602" max="4602" width="14.44140625" style="6" customWidth="1"/>
    <col min="4603" max="4603" width="7.33203125" style="6" customWidth="1"/>
    <col min="4604" max="4604" width="5.5546875" style="6" customWidth="1"/>
    <col min="4605" max="4605" width="9" style="6" customWidth="1"/>
    <col min="4606" max="4607" width="9.88671875" style="6" customWidth="1"/>
    <col min="4608" max="4608" width="11.109375" style="6" customWidth="1"/>
    <col min="4609" max="4609" width="2.88671875" style="6" customWidth="1"/>
    <col min="4610" max="4610" width="3.5546875" style="6" customWidth="1"/>
    <col min="4611" max="4855" width="9.109375" style="6"/>
    <col min="4856" max="4856" width="8.6640625" style="6" customWidth="1"/>
    <col min="4857" max="4857" width="9.88671875" style="6" customWidth="1"/>
    <col min="4858" max="4858" width="14.44140625" style="6" customWidth="1"/>
    <col min="4859" max="4859" width="7.33203125" style="6" customWidth="1"/>
    <col min="4860" max="4860" width="5.5546875" style="6" customWidth="1"/>
    <col min="4861" max="4861" width="9" style="6" customWidth="1"/>
    <col min="4862" max="4863" width="9.88671875" style="6" customWidth="1"/>
    <col min="4864" max="4864" width="11.109375" style="6" customWidth="1"/>
    <col min="4865" max="4865" width="2.88671875" style="6" customWidth="1"/>
    <col min="4866" max="4866" width="3.5546875" style="6" customWidth="1"/>
    <col min="4867" max="5111" width="9.109375" style="6"/>
    <col min="5112" max="5112" width="8.6640625" style="6" customWidth="1"/>
    <col min="5113" max="5113" width="9.88671875" style="6" customWidth="1"/>
    <col min="5114" max="5114" width="14.44140625" style="6" customWidth="1"/>
    <col min="5115" max="5115" width="7.33203125" style="6" customWidth="1"/>
    <col min="5116" max="5116" width="5.5546875" style="6" customWidth="1"/>
    <col min="5117" max="5117" width="9" style="6" customWidth="1"/>
    <col min="5118" max="5119" width="9.88671875" style="6" customWidth="1"/>
    <col min="5120" max="5120" width="11.109375" style="6" customWidth="1"/>
    <col min="5121" max="5121" width="2.88671875" style="6" customWidth="1"/>
    <col min="5122" max="5122" width="3.5546875" style="6" customWidth="1"/>
    <col min="5123" max="5367" width="9.109375" style="6"/>
    <col min="5368" max="5368" width="8.6640625" style="6" customWidth="1"/>
    <col min="5369" max="5369" width="9.88671875" style="6" customWidth="1"/>
    <col min="5370" max="5370" width="14.44140625" style="6" customWidth="1"/>
    <col min="5371" max="5371" width="7.33203125" style="6" customWidth="1"/>
    <col min="5372" max="5372" width="5.5546875" style="6" customWidth="1"/>
    <col min="5373" max="5373" width="9" style="6" customWidth="1"/>
    <col min="5374" max="5375" width="9.88671875" style="6" customWidth="1"/>
    <col min="5376" max="5376" width="11.109375" style="6" customWidth="1"/>
    <col min="5377" max="5377" width="2.88671875" style="6" customWidth="1"/>
    <col min="5378" max="5378" width="3.5546875" style="6" customWidth="1"/>
    <col min="5379" max="5623" width="9.109375" style="6"/>
    <col min="5624" max="5624" width="8.6640625" style="6" customWidth="1"/>
    <col min="5625" max="5625" width="9.88671875" style="6" customWidth="1"/>
    <col min="5626" max="5626" width="14.44140625" style="6" customWidth="1"/>
    <col min="5627" max="5627" width="7.33203125" style="6" customWidth="1"/>
    <col min="5628" max="5628" width="5.5546875" style="6" customWidth="1"/>
    <col min="5629" max="5629" width="9" style="6" customWidth="1"/>
    <col min="5630" max="5631" width="9.88671875" style="6" customWidth="1"/>
    <col min="5632" max="5632" width="11.109375" style="6" customWidth="1"/>
    <col min="5633" max="5633" width="2.88671875" style="6" customWidth="1"/>
    <col min="5634" max="5634" width="3.5546875" style="6" customWidth="1"/>
    <col min="5635" max="5879" width="9.109375" style="6"/>
    <col min="5880" max="5880" width="8.6640625" style="6" customWidth="1"/>
    <col min="5881" max="5881" width="9.88671875" style="6" customWidth="1"/>
    <col min="5882" max="5882" width="14.44140625" style="6" customWidth="1"/>
    <col min="5883" max="5883" width="7.33203125" style="6" customWidth="1"/>
    <col min="5884" max="5884" width="5.5546875" style="6" customWidth="1"/>
    <col min="5885" max="5885" width="9" style="6" customWidth="1"/>
    <col min="5886" max="5887" width="9.88671875" style="6" customWidth="1"/>
    <col min="5888" max="5888" width="11.109375" style="6" customWidth="1"/>
    <col min="5889" max="5889" width="2.88671875" style="6" customWidth="1"/>
    <col min="5890" max="5890" width="3.5546875" style="6" customWidth="1"/>
    <col min="5891" max="6135" width="9.109375" style="6"/>
    <col min="6136" max="6136" width="8.6640625" style="6" customWidth="1"/>
    <col min="6137" max="6137" width="9.88671875" style="6" customWidth="1"/>
    <col min="6138" max="6138" width="14.44140625" style="6" customWidth="1"/>
    <col min="6139" max="6139" width="7.33203125" style="6" customWidth="1"/>
    <col min="6140" max="6140" width="5.5546875" style="6" customWidth="1"/>
    <col min="6141" max="6141" width="9" style="6" customWidth="1"/>
    <col min="6142" max="6143" width="9.88671875" style="6" customWidth="1"/>
    <col min="6144" max="6144" width="11.109375" style="6" customWidth="1"/>
    <col min="6145" max="6145" width="2.88671875" style="6" customWidth="1"/>
    <col min="6146" max="6146" width="3.5546875" style="6" customWidth="1"/>
    <col min="6147" max="6391" width="9.109375" style="6"/>
    <col min="6392" max="6392" width="8.6640625" style="6" customWidth="1"/>
    <col min="6393" max="6393" width="9.88671875" style="6" customWidth="1"/>
    <col min="6394" max="6394" width="14.44140625" style="6" customWidth="1"/>
    <col min="6395" max="6395" width="7.33203125" style="6" customWidth="1"/>
    <col min="6396" max="6396" width="5.5546875" style="6" customWidth="1"/>
    <col min="6397" max="6397" width="9" style="6" customWidth="1"/>
    <col min="6398" max="6399" width="9.88671875" style="6" customWidth="1"/>
    <col min="6400" max="6400" width="11.109375" style="6" customWidth="1"/>
    <col min="6401" max="6401" width="2.88671875" style="6" customWidth="1"/>
    <col min="6402" max="6402" width="3.5546875" style="6" customWidth="1"/>
    <col min="6403" max="6647" width="9.109375" style="6"/>
    <col min="6648" max="6648" width="8.6640625" style="6" customWidth="1"/>
    <col min="6649" max="6649" width="9.88671875" style="6" customWidth="1"/>
    <col min="6650" max="6650" width="14.44140625" style="6" customWidth="1"/>
    <col min="6651" max="6651" width="7.33203125" style="6" customWidth="1"/>
    <col min="6652" max="6652" width="5.5546875" style="6" customWidth="1"/>
    <col min="6653" max="6653" width="9" style="6" customWidth="1"/>
    <col min="6654" max="6655" width="9.88671875" style="6" customWidth="1"/>
    <col min="6656" max="6656" width="11.109375" style="6" customWidth="1"/>
    <col min="6657" max="6657" width="2.88671875" style="6" customWidth="1"/>
    <col min="6658" max="6658" width="3.5546875" style="6" customWidth="1"/>
    <col min="6659" max="6903" width="9.109375" style="6"/>
    <col min="6904" max="6904" width="8.6640625" style="6" customWidth="1"/>
    <col min="6905" max="6905" width="9.88671875" style="6" customWidth="1"/>
    <col min="6906" max="6906" width="14.44140625" style="6" customWidth="1"/>
    <col min="6907" max="6907" width="7.33203125" style="6" customWidth="1"/>
    <col min="6908" max="6908" width="5.5546875" style="6" customWidth="1"/>
    <col min="6909" max="6909" width="9" style="6" customWidth="1"/>
    <col min="6910" max="6911" width="9.88671875" style="6" customWidth="1"/>
    <col min="6912" max="6912" width="11.109375" style="6" customWidth="1"/>
    <col min="6913" max="6913" width="2.88671875" style="6" customWidth="1"/>
    <col min="6914" max="6914" width="3.5546875" style="6" customWidth="1"/>
    <col min="6915" max="7159" width="9.109375" style="6"/>
    <col min="7160" max="7160" width="8.6640625" style="6" customWidth="1"/>
    <col min="7161" max="7161" width="9.88671875" style="6" customWidth="1"/>
    <col min="7162" max="7162" width="14.44140625" style="6" customWidth="1"/>
    <col min="7163" max="7163" width="7.33203125" style="6" customWidth="1"/>
    <col min="7164" max="7164" width="5.5546875" style="6" customWidth="1"/>
    <col min="7165" max="7165" width="9" style="6" customWidth="1"/>
    <col min="7166" max="7167" width="9.88671875" style="6" customWidth="1"/>
    <col min="7168" max="7168" width="11.109375" style="6" customWidth="1"/>
    <col min="7169" max="7169" width="2.88671875" style="6" customWidth="1"/>
    <col min="7170" max="7170" width="3.5546875" style="6" customWidth="1"/>
    <col min="7171" max="7415" width="9.109375" style="6"/>
    <col min="7416" max="7416" width="8.6640625" style="6" customWidth="1"/>
    <col min="7417" max="7417" width="9.88671875" style="6" customWidth="1"/>
    <col min="7418" max="7418" width="14.44140625" style="6" customWidth="1"/>
    <col min="7419" max="7419" width="7.33203125" style="6" customWidth="1"/>
    <col min="7420" max="7420" width="5.5546875" style="6" customWidth="1"/>
    <col min="7421" max="7421" width="9" style="6" customWidth="1"/>
    <col min="7422" max="7423" width="9.88671875" style="6" customWidth="1"/>
    <col min="7424" max="7424" width="11.109375" style="6" customWidth="1"/>
    <col min="7425" max="7425" width="2.88671875" style="6" customWidth="1"/>
    <col min="7426" max="7426" width="3.5546875" style="6" customWidth="1"/>
    <col min="7427" max="7671" width="9.109375" style="6"/>
    <col min="7672" max="7672" width="8.6640625" style="6" customWidth="1"/>
    <col min="7673" max="7673" width="9.88671875" style="6" customWidth="1"/>
    <col min="7674" max="7674" width="14.44140625" style="6" customWidth="1"/>
    <col min="7675" max="7675" width="7.33203125" style="6" customWidth="1"/>
    <col min="7676" max="7676" width="5.5546875" style="6" customWidth="1"/>
    <col min="7677" max="7677" width="9" style="6" customWidth="1"/>
    <col min="7678" max="7679" width="9.88671875" style="6" customWidth="1"/>
    <col min="7680" max="7680" width="11.109375" style="6" customWidth="1"/>
    <col min="7681" max="7681" width="2.88671875" style="6" customWidth="1"/>
    <col min="7682" max="7682" width="3.5546875" style="6" customWidth="1"/>
    <col min="7683" max="7927" width="9.109375" style="6"/>
    <col min="7928" max="7928" width="8.6640625" style="6" customWidth="1"/>
    <col min="7929" max="7929" width="9.88671875" style="6" customWidth="1"/>
    <col min="7930" max="7930" width="14.44140625" style="6" customWidth="1"/>
    <col min="7931" max="7931" width="7.33203125" style="6" customWidth="1"/>
    <col min="7932" max="7932" width="5.5546875" style="6" customWidth="1"/>
    <col min="7933" max="7933" width="9" style="6" customWidth="1"/>
    <col min="7934" max="7935" width="9.88671875" style="6" customWidth="1"/>
    <col min="7936" max="7936" width="11.109375" style="6" customWidth="1"/>
    <col min="7937" max="7937" width="2.88671875" style="6" customWidth="1"/>
    <col min="7938" max="7938" width="3.5546875" style="6" customWidth="1"/>
    <col min="7939" max="8183" width="9.109375" style="6"/>
    <col min="8184" max="8184" width="8.6640625" style="6" customWidth="1"/>
    <col min="8185" max="8185" width="9.88671875" style="6" customWidth="1"/>
    <col min="8186" max="8186" width="14.44140625" style="6" customWidth="1"/>
    <col min="8187" max="8187" width="7.33203125" style="6" customWidth="1"/>
    <col min="8188" max="8188" width="5.5546875" style="6" customWidth="1"/>
    <col min="8189" max="8189" width="9" style="6" customWidth="1"/>
    <col min="8190" max="8191" width="9.88671875" style="6" customWidth="1"/>
    <col min="8192" max="8192" width="11.109375" style="6" customWidth="1"/>
    <col min="8193" max="8193" width="2.88671875" style="6" customWidth="1"/>
    <col min="8194" max="8194" width="3.5546875" style="6" customWidth="1"/>
    <col min="8195" max="8439" width="9.109375" style="6"/>
    <col min="8440" max="8440" width="8.6640625" style="6" customWidth="1"/>
    <col min="8441" max="8441" width="9.88671875" style="6" customWidth="1"/>
    <col min="8442" max="8442" width="14.44140625" style="6" customWidth="1"/>
    <col min="8443" max="8443" width="7.33203125" style="6" customWidth="1"/>
    <col min="8444" max="8444" width="5.5546875" style="6" customWidth="1"/>
    <col min="8445" max="8445" width="9" style="6" customWidth="1"/>
    <col min="8446" max="8447" width="9.88671875" style="6" customWidth="1"/>
    <col min="8448" max="8448" width="11.109375" style="6" customWidth="1"/>
    <col min="8449" max="8449" width="2.88671875" style="6" customWidth="1"/>
    <col min="8450" max="8450" width="3.5546875" style="6" customWidth="1"/>
    <col min="8451" max="8695" width="9.109375" style="6"/>
    <col min="8696" max="8696" width="8.6640625" style="6" customWidth="1"/>
    <col min="8697" max="8697" width="9.88671875" style="6" customWidth="1"/>
    <col min="8698" max="8698" width="14.44140625" style="6" customWidth="1"/>
    <col min="8699" max="8699" width="7.33203125" style="6" customWidth="1"/>
    <col min="8700" max="8700" width="5.5546875" style="6" customWidth="1"/>
    <col min="8701" max="8701" width="9" style="6" customWidth="1"/>
    <col min="8702" max="8703" width="9.88671875" style="6" customWidth="1"/>
    <col min="8704" max="8704" width="11.109375" style="6" customWidth="1"/>
    <col min="8705" max="8705" width="2.88671875" style="6" customWidth="1"/>
    <col min="8706" max="8706" width="3.5546875" style="6" customWidth="1"/>
    <col min="8707" max="8951" width="9.109375" style="6"/>
    <col min="8952" max="8952" width="8.6640625" style="6" customWidth="1"/>
    <col min="8953" max="8953" width="9.88671875" style="6" customWidth="1"/>
    <col min="8954" max="8954" width="14.44140625" style="6" customWidth="1"/>
    <col min="8955" max="8955" width="7.33203125" style="6" customWidth="1"/>
    <col min="8956" max="8956" width="5.5546875" style="6" customWidth="1"/>
    <col min="8957" max="8957" width="9" style="6" customWidth="1"/>
    <col min="8958" max="8959" width="9.88671875" style="6" customWidth="1"/>
    <col min="8960" max="8960" width="11.109375" style="6" customWidth="1"/>
    <col min="8961" max="8961" width="2.88671875" style="6" customWidth="1"/>
    <col min="8962" max="8962" width="3.5546875" style="6" customWidth="1"/>
    <col min="8963" max="9207" width="9.109375" style="6"/>
    <col min="9208" max="9208" width="8.6640625" style="6" customWidth="1"/>
    <col min="9209" max="9209" width="9.88671875" style="6" customWidth="1"/>
    <col min="9210" max="9210" width="14.44140625" style="6" customWidth="1"/>
    <col min="9211" max="9211" width="7.33203125" style="6" customWidth="1"/>
    <col min="9212" max="9212" width="5.5546875" style="6" customWidth="1"/>
    <col min="9213" max="9213" width="9" style="6" customWidth="1"/>
    <col min="9214" max="9215" width="9.88671875" style="6" customWidth="1"/>
    <col min="9216" max="9216" width="11.109375" style="6" customWidth="1"/>
    <col min="9217" max="9217" width="2.88671875" style="6" customWidth="1"/>
    <col min="9218" max="9218" width="3.5546875" style="6" customWidth="1"/>
    <col min="9219" max="9463" width="9.109375" style="6"/>
    <col min="9464" max="9464" width="8.6640625" style="6" customWidth="1"/>
    <col min="9465" max="9465" width="9.88671875" style="6" customWidth="1"/>
    <col min="9466" max="9466" width="14.44140625" style="6" customWidth="1"/>
    <col min="9467" max="9467" width="7.33203125" style="6" customWidth="1"/>
    <col min="9468" max="9468" width="5.5546875" style="6" customWidth="1"/>
    <col min="9469" max="9469" width="9" style="6" customWidth="1"/>
    <col min="9470" max="9471" width="9.88671875" style="6" customWidth="1"/>
    <col min="9472" max="9472" width="11.109375" style="6" customWidth="1"/>
    <col min="9473" max="9473" width="2.88671875" style="6" customWidth="1"/>
    <col min="9474" max="9474" width="3.5546875" style="6" customWidth="1"/>
    <col min="9475" max="9719" width="9.109375" style="6"/>
    <col min="9720" max="9720" width="8.6640625" style="6" customWidth="1"/>
    <col min="9721" max="9721" width="9.88671875" style="6" customWidth="1"/>
    <col min="9722" max="9722" width="14.44140625" style="6" customWidth="1"/>
    <col min="9723" max="9723" width="7.33203125" style="6" customWidth="1"/>
    <col min="9724" max="9724" width="5.5546875" style="6" customWidth="1"/>
    <col min="9725" max="9725" width="9" style="6" customWidth="1"/>
    <col min="9726" max="9727" width="9.88671875" style="6" customWidth="1"/>
    <col min="9728" max="9728" width="11.109375" style="6" customWidth="1"/>
    <col min="9729" max="9729" width="2.88671875" style="6" customWidth="1"/>
    <col min="9730" max="9730" width="3.5546875" style="6" customWidth="1"/>
    <col min="9731" max="9975" width="9.109375" style="6"/>
    <col min="9976" max="9976" width="8.6640625" style="6" customWidth="1"/>
    <col min="9977" max="9977" width="9.88671875" style="6" customWidth="1"/>
    <col min="9978" max="9978" width="14.44140625" style="6" customWidth="1"/>
    <col min="9979" max="9979" width="7.33203125" style="6" customWidth="1"/>
    <col min="9980" max="9980" width="5.5546875" style="6" customWidth="1"/>
    <col min="9981" max="9981" width="9" style="6" customWidth="1"/>
    <col min="9982" max="9983" width="9.88671875" style="6" customWidth="1"/>
    <col min="9984" max="9984" width="11.109375" style="6" customWidth="1"/>
    <col min="9985" max="9985" width="2.88671875" style="6" customWidth="1"/>
    <col min="9986" max="9986" width="3.5546875" style="6" customWidth="1"/>
    <col min="9987" max="10231" width="9.109375" style="6"/>
    <col min="10232" max="10232" width="8.6640625" style="6" customWidth="1"/>
    <col min="10233" max="10233" width="9.88671875" style="6" customWidth="1"/>
    <col min="10234" max="10234" width="14.44140625" style="6" customWidth="1"/>
    <col min="10235" max="10235" width="7.33203125" style="6" customWidth="1"/>
    <col min="10236" max="10236" width="5.5546875" style="6" customWidth="1"/>
    <col min="10237" max="10237" width="9" style="6" customWidth="1"/>
    <col min="10238" max="10239" width="9.88671875" style="6" customWidth="1"/>
    <col min="10240" max="10240" width="11.109375" style="6" customWidth="1"/>
    <col min="10241" max="10241" width="2.88671875" style="6" customWidth="1"/>
    <col min="10242" max="10242" width="3.5546875" style="6" customWidth="1"/>
    <col min="10243" max="10487" width="9.109375" style="6"/>
    <col min="10488" max="10488" width="8.6640625" style="6" customWidth="1"/>
    <col min="10489" max="10489" width="9.88671875" style="6" customWidth="1"/>
    <col min="10490" max="10490" width="14.44140625" style="6" customWidth="1"/>
    <col min="10491" max="10491" width="7.33203125" style="6" customWidth="1"/>
    <col min="10492" max="10492" width="5.5546875" style="6" customWidth="1"/>
    <col min="10493" max="10493" width="9" style="6" customWidth="1"/>
    <col min="10494" max="10495" width="9.88671875" style="6" customWidth="1"/>
    <col min="10496" max="10496" width="11.109375" style="6" customWidth="1"/>
    <col min="10497" max="10497" width="2.88671875" style="6" customWidth="1"/>
    <col min="10498" max="10498" width="3.5546875" style="6" customWidth="1"/>
    <col min="10499" max="10743" width="9.109375" style="6"/>
    <col min="10744" max="10744" width="8.6640625" style="6" customWidth="1"/>
    <col min="10745" max="10745" width="9.88671875" style="6" customWidth="1"/>
    <col min="10746" max="10746" width="14.44140625" style="6" customWidth="1"/>
    <col min="10747" max="10747" width="7.33203125" style="6" customWidth="1"/>
    <col min="10748" max="10748" width="5.5546875" style="6" customWidth="1"/>
    <col min="10749" max="10749" width="9" style="6" customWidth="1"/>
    <col min="10750" max="10751" width="9.88671875" style="6" customWidth="1"/>
    <col min="10752" max="10752" width="11.109375" style="6" customWidth="1"/>
    <col min="10753" max="10753" width="2.88671875" style="6" customWidth="1"/>
    <col min="10754" max="10754" width="3.5546875" style="6" customWidth="1"/>
    <col min="10755" max="10999" width="9.109375" style="6"/>
    <col min="11000" max="11000" width="8.6640625" style="6" customWidth="1"/>
    <col min="11001" max="11001" width="9.88671875" style="6" customWidth="1"/>
    <col min="11002" max="11002" width="14.44140625" style="6" customWidth="1"/>
    <col min="11003" max="11003" width="7.33203125" style="6" customWidth="1"/>
    <col min="11004" max="11004" width="5.5546875" style="6" customWidth="1"/>
    <col min="11005" max="11005" width="9" style="6" customWidth="1"/>
    <col min="11006" max="11007" width="9.88671875" style="6" customWidth="1"/>
    <col min="11008" max="11008" width="11.109375" style="6" customWidth="1"/>
    <col min="11009" max="11009" width="2.88671875" style="6" customWidth="1"/>
    <col min="11010" max="11010" width="3.5546875" style="6" customWidth="1"/>
    <col min="11011" max="11255" width="9.109375" style="6"/>
    <col min="11256" max="11256" width="8.6640625" style="6" customWidth="1"/>
    <col min="11257" max="11257" width="9.88671875" style="6" customWidth="1"/>
    <col min="11258" max="11258" width="14.44140625" style="6" customWidth="1"/>
    <col min="11259" max="11259" width="7.33203125" style="6" customWidth="1"/>
    <col min="11260" max="11260" width="5.5546875" style="6" customWidth="1"/>
    <col min="11261" max="11261" width="9" style="6" customWidth="1"/>
    <col min="11262" max="11263" width="9.88671875" style="6" customWidth="1"/>
    <col min="11264" max="11264" width="11.109375" style="6" customWidth="1"/>
    <col min="11265" max="11265" width="2.88671875" style="6" customWidth="1"/>
    <col min="11266" max="11266" width="3.5546875" style="6" customWidth="1"/>
    <col min="11267" max="11511" width="9.109375" style="6"/>
    <col min="11512" max="11512" width="8.6640625" style="6" customWidth="1"/>
    <col min="11513" max="11513" width="9.88671875" style="6" customWidth="1"/>
    <col min="11514" max="11514" width="14.44140625" style="6" customWidth="1"/>
    <col min="11515" max="11515" width="7.33203125" style="6" customWidth="1"/>
    <col min="11516" max="11516" width="5.5546875" style="6" customWidth="1"/>
    <col min="11517" max="11517" width="9" style="6" customWidth="1"/>
    <col min="11518" max="11519" width="9.88671875" style="6" customWidth="1"/>
    <col min="11520" max="11520" width="11.109375" style="6" customWidth="1"/>
    <col min="11521" max="11521" width="2.88671875" style="6" customWidth="1"/>
    <col min="11522" max="11522" width="3.5546875" style="6" customWidth="1"/>
    <col min="11523" max="11767" width="9.109375" style="6"/>
    <col min="11768" max="11768" width="8.6640625" style="6" customWidth="1"/>
    <col min="11769" max="11769" width="9.88671875" style="6" customWidth="1"/>
    <col min="11770" max="11770" width="14.44140625" style="6" customWidth="1"/>
    <col min="11771" max="11771" width="7.33203125" style="6" customWidth="1"/>
    <col min="11772" max="11772" width="5.5546875" style="6" customWidth="1"/>
    <col min="11773" max="11773" width="9" style="6" customWidth="1"/>
    <col min="11774" max="11775" width="9.88671875" style="6" customWidth="1"/>
    <col min="11776" max="11776" width="11.109375" style="6" customWidth="1"/>
    <col min="11777" max="11777" width="2.88671875" style="6" customWidth="1"/>
    <col min="11778" max="11778" width="3.5546875" style="6" customWidth="1"/>
    <col min="11779" max="12023" width="9.109375" style="6"/>
    <col min="12024" max="12024" width="8.6640625" style="6" customWidth="1"/>
    <col min="12025" max="12025" width="9.88671875" style="6" customWidth="1"/>
    <col min="12026" max="12026" width="14.44140625" style="6" customWidth="1"/>
    <col min="12027" max="12027" width="7.33203125" style="6" customWidth="1"/>
    <col min="12028" max="12028" width="5.5546875" style="6" customWidth="1"/>
    <col min="12029" max="12029" width="9" style="6" customWidth="1"/>
    <col min="12030" max="12031" width="9.88671875" style="6" customWidth="1"/>
    <col min="12032" max="12032" width="11.109375" style="6" customWidth="1"/>
    <col min="12033" max="12033" width="2.88671875" style="6" customWidth="1"/>
    <col min="12034" max="12034" width="3.5546875" style="6" customWidth="1"/>
    <col min="12035" max="12279" width="9.109375" style="6"/>
    <col min="12280" max="12280" width="8.6640625" style="6" customWidth="1"/>
    <col min="12281" max="12281" width="9.88671875" style="6" customWidth="1"/>
    <col min="12282" max="12282" width="14.44140625" style="6" customWidth="1"/>
    <col min="12283" max="12283" width="7.33203125" style="6" customWidth="1"/>
    <col min="12284" max="12284" width="5.5546875" style="6" customWidth="1"/>
    <col min="12285" max="12285" width="9" style="6" customWidth="1"/>
    <col min="12286" max="12287" width="9.88671875" style="6" customWidth="1"/>
    <col min="12288" max="12288" width="11.109375" style="6" customWidth="1"/>
    <col min="12289" max="12289" width="2.88671875" style="6" customWidth="1"/>
    <col min="12290" max="12290" width="3.5546875" style="6" customWidth="1"/>
    <col min="12291" max="12535" width="9.109375" style="6"/>
    <col min="12536" max="12536" width="8.6640625" style="6" customWidth="1"/>
    <col min="12537" max="12537" width="9.88671875" style="6" customWidth="1"/>
    <col min="12538" max="12538" width="14.44140625" style="6" customWidth="1"/>
    <col min="12539" max="12539" width="7.33203125" style="6" customWidth="1"/>
    <col min="12540" max="12540" width="5.5546875" style="6" customWidth="1"/>
    <col min="12541" max="12541" width="9" style="6" customWidth="1"/>
    <col min="12542" max="12543" width="9.88671875" style="6" customWidth="1"/>
    <col min="12544" max="12544" width="11.109375" style="6" customWidth="1"/>
    <col min="12545" max="12545" width="2.88671875" style="6" customWidth="1"/>
    <col min="12546" max="12546" width="3.5546875" style="6" customWidth="1"/>
    <col min="12547" max="12791" width="9.109375" style="6"/>
    <col min="12792" max="12792" width="8.6640625" style="6" customWidth="1"/>
    <col min="12793" max="12793" width="9.88671875" style="6" customWidth="1"/>
    <col min="12794" max="12794" width="14.44140625" style="6" customWidth="1"/>
    <col min="12795" max="12795" width="7.33203125" style="6" customWidth="1"/>
    <col min="12796" max="12796" width="5.5546875" style="6" customWidth="1"/>
    <col min="12797" max="12797" width="9" style="6" customWidth="1"/>
    <col min="12798" max="12799" width="9.88671875" style="6" customWidth="1"/>
    <col min="12800" max="12800" width="11.109375" style="6" customWidth="1"/>
    <col min="12801" max="12801" width="2.88671875" style="6" customWidth="1"/>
    <col min="12802" max="12802" width="3.5546875" style="6" customWidth="1"/>
    <col min="12803" max="13047" width="9.109375" style="6"/>
    <col min="13048" max="13048" width="8.6640625" style="6" customWidth="1"/>
    <col min="13049" max="13049" width="9.88671875" style="6" customWidth="1"/>
    <col min="13050" max="13050" width="14.44140625" style="6" customWidth="1"/>
    <col min="13051" max="13051" width="7.33203125" style="6" customWidth="1"/>
    <col min="13052" max="13052" width="5.5546875" style="6" customWidth="1"/>
    <col min="13053" max="13053" width="9" style="6" customWidth="1"/>
    <col min="13054" max="13055" width="9.88671875" style="6" customWidth="1"/>
    <col min="13056" max="13056" width="11.109375" style="6" customWidth="1"/>
    <col min="13057" max="13057" width="2.88671875" style="6" customWidth="1"/>
    <col min="13058" max="13058" width="3.5546875" style="6" customWidth="1"/>
    <col min="13059" max="13303" width="9.109375" style="6"/>
    <col min="13304" max="13304" width="8.6640625" style="6" customWidth="1"/>
    <col min="13305" max="13305" width="9.88671875" style="6" customWidth="1"/>
    <col min="13306" max="13306" width="14.44140625" style="6" customWidth="1"/>
    <col min="13307" max="13307" width="7.33203125" style="6" customWidth="1"/>
    <col min="13308" max="13308" width="5.5546875" style="6" customWidth="1"/>
    <col min="13309" max="13309" width="9" style="6" customWidth="1"/>
    <col min="13310" max="13311" width="9.88671875" style="6" customWidth="1"/>
    <col min="13312" max="13312" width="11.109375" style="6" customWidth="1"/>
    <col min="13313" max="13313" width="2.88671875" style="6" customWidth="1"/>
    <col min="13314" max="13314" width="3.5546875" style="6" customWidth="1"/>
    <col min="13315" max="13559" width="9.109375" style="6"/>
    <col min="13560" max="13560" width="8.6640625" style="6" customWidth="1"/>
    <col min="13561" max="13561" width="9.88671875" style="6" customWidth="1"/>
    <col min="13562" max="13562" width="14.44140625" style="6" customWidth="1"/>
    <col min="13563" max="13563" width="7.33203125" style="6" customWidth="1"/>
    <col min="13564" max="13564" width="5.5546875" style="6" customWidth="1"/>
    <col min="13565" max="13565" width="9" style="6" customWidth="1"/>
    <col min="13566" max="13567" width="9.88671875" style="6" customWidth="1"/>
    <col min="13568" max="13568" width="11.109375" style="6" customWidth="1"/>
    <col min="13569" max="13569" width="2.88671875" style="6" customWidth="1"/>
    <col min="13570" max="13570" width="3.5546875" style="6" customWidth="1"/>
    <col min="13571" max="13815" width="9.109375" style="6"/>
    <col min="13816" max="13816" width="8.6640625" style="6" customWidth="1"/>
    <col min="13817" max="13817" width="9.88671875" style="6" customWidth="1"/>
    <col min="13818" max="13818" width="14.44140625" style="6" customWidth="1"/>
    <col min="13819" max="13819" width="7.33203125" style="6" customWidth="1"/>
    <col min="13820" max="13820" width="5.5546875" style="6" customWidth="1"/>
    <col min="13821" max="13821" width="9" style="6" customWidth="1"/>
    <col min="13822" max="13823" width="9.88671875" style="6" customWidth="1"/>
    <col min="13824" max="13824" width="11.109375" style="6" customWidth="1"/>
    <col min="13825" max="13825" width="2.88671875" style="6" customWidth="1"/>
    <col min="13826" max="13826" width="3.5546875" style="6" customWidth="1"/>
    <col min="13827" max="14071" width="9.109375" style="6"/>
    <col min="14072" max="14072" width="8.6640625" style="6" customWidth="1"/>
    <col min="14073" max="14073" width="9.88671875" style="6" customWidth="1"/>
    <col min="14074" max="14074" width="14.44140625" style="6" customWidth="1"/>
    <col min="14075" max="14075" width="7.33203125" style="6" customWidth="1"/>
    <col min="14076" max="14076" width="5.5546875" style="6" customWidth="1"/>
    <col min="14077" max="14077" width="9" style="6" customWidth="1"/>
    <col min="14078" max="14079" width="9.88671875" style="6" customWidth="1"/>
    <col min="14080" max="14080" width="11.109375" style="6" customWidth="1"/>
    <col min="14081" max="14081" width="2.88671875" style="6" customWidth="1"/>
    <col min="14082" max="14082" width="3.5546875" style="6" customWidth="1"/>
    <col min="14083" max="14327" width="9.109375" style="6"/>
    <col min="14328" max="14328" width="8.6640625" style="6" customWidth="1"/>
    <col min="14329" max="14329" width="9.88671875" style="6" customWidth="1"/>
    <col min="14330" max="14330" width="14.44140625" style="6" customWidth="1"/>
    <col min="14331" max="14331" width="7.33203125" style="6" customWidth="1"/>
    <col min="14332" max="14332" width="5.5546875" style="6" customWidth="1"/>
    <col min="14333" max="14333" width="9" style="6" customWidth="1"/>
    <col min="14334" max="14335" width="9.88671875" style="6" customWidth="1"/>
    <col min="14336" max="14336" width="11.109375" style="6" customWidth="1"/>
    <col min="14337" max="14337" width="2.88671875" style="6" customWidth="1"/>
    <col min="14338" max="14338" width="3.5546875" style="6" customWidth="1"/>
    <col min="14339" max="14583" width="9.109375" style="6"/>
    <col min="14584" max="14584" width="8.6640625" style="6" customWidth="1"/>
    <col min="14585" max="14585" width="9.88671875" style="6" customWidth="1"/>
    <col min="14586" max="14586" width="14.44140625" style="6" customWidth="1"/>
    <col min="14587" max="14587" width="7.33203125" style="6" customWidth="1"/>
    <col min="14588" max="14588" width="5.5546875" style="6" customWidth="1"/>
    <col min="14589" max="14589" width="9" style="6" customWidth="1"/>
    <col min="14590" max="14591" width="9.88671875" style="6" customWidth="1"/>
    <col min="14592" max="14592" width="11.109375" style="6" customWidth="1"/>
    <col min="14593" max="14593" width="2.88671875" style="6" customWidth="1"/>
    <col min="14594" max="14594" width="3.5546875" style="6" customWidth="1"/>
    <col min="14595" max="14839" width="9.109375" style="6"/>
    <col min="14840" max="14840" width="8.6640625" style="6" customWidth="1"/>
    <col min="14841" max="14841" width="9.88671875" style="6" customWidth="1"/>
    <col min="14842" max="14842" width="14.44140625" style="6" customWidth="1"/>
    <col min="14843" max="14843" width="7.33203125" style="6" customWidth="1"/>
    <col min="14844" max="14844" width="5.5546875" style="6" customWidth="1"/>
    <col min="14845" max="14845" width="9" style="6" customWidth="1"/>
    <col min="14846" max="14847" width="9.88671875" style="6" customWidth="1"/>
    <col min="14848" max="14848" width="11.109375" style="6" customWidth="1"/>
    <col min="14849" max="14849" width="2.88671875" style="6" customWidth="1"/>
    <col min="14850" max="14850" width="3.5546875" style="6" customWidth="1"/>
    <col min="14851" max="15095" width="9.109375" style="6"/>
    <col min="15096" max="15096" width="8.6640625" style="6" customWidth="1"/>
    <col min="15097" max="15097" width="9.88671875" style="6" customWidth="1"/>
    <col min="15098" max="15098" width="14.44140625" style="6" customWidth="1"/>
    <col min="15099" max="15099" width="7.33203125" style="6" customWidth="1"/>
    <col min="15100" max="15100" width="5.5546875" style="6" customWidth="1"/>
    <col min="15101" max="15101" width="9" style="6" customWidth="1"/>
    <col min="15102" max="15103" width="9.88671875" style="6" customWidth="1"/>
    <col min="15104" max="15104" width="11.109375" style="6" customWidth="1"/>
    <col min="15105" max="15105" width="2.88671875" style="6" customWidth="1"/>
    <col min="15106" max="15106" width="3.5546875" style="6" customWidth="1"/>
    <col min="15107" max="15351" width="9.109375" style="6"/>
    <col min="15352" max="15352" width="8.6640625" style="6" customWidth="1"/>
    <col min="15353" max="15353" width="9.88671875" style="6" customWidth="1"/>
    <col min="15354" max="15354" width="14.44140625" style="6" customWidth="1"/>
    <col min="15355" max="15355" width="7.33203125" style="6" customWidth="1"/>
    <col min="15356" max="15356" width="5.5546875" style="6" customWidth="1"/>
    <col min="15357" max="15357" width="9" style="6" customWidth="1"/>
    <col min="15358" max="15359" width="9.88671875" style="6" customWidth="1"/>
    <col min="15360" max="15360" width="11.109375" style="6" customWidth="1"/>
    <col min="15361" max="15361" width="2.88671875" style="6" customWidth="1"/>
    <col min="15362" max="15362" width="3.5546875" style="6" customWidth="1"/>
    <col min="15363" max="15607" width="9.109375" style="6"/>
    <col min="15608" max="15608" width="8.6640625" style="6" customWidth="1"/>
    <col min="15609" max="15609" width="9.88671875" style="6" customWidth="1"/>
    <col min="15610" max="15610" width="14.44140625" style="6" customWidth="1"/>
    <col min="15611" max="15611" width="7.33203125" style="6" customWidth="1"/>
    <col min="15612" max="15612" width="5.5546875" style="6" customWidth="1"/>
    <col min="15613" max="15613" width="9" style="6" customWidth="1"/>
    <col min="15614" max="15615" width="9.88671875" style="6" customWidth="1"/>
    <col min="15616" max="15616" width="11.109375" style="6" customWidth="1"/>
    <col min="15617" max="15617" width="2.88671875" style="6" customWidth="1"/>
    <col min="15618" max="15618" width="3.5546875" style="6" customWidth="1"/>
    <col min="15619" max="15863" width="9.109375" style="6"/>
    <col min="15864" max="15864" width="8.6640625" style="6" customWidth="1"/>
    <col min="15865" max="15865" width="9.88671875" style="6" customWidth="1"/>
    <col min="15866" max="15866" width="14.44140625" style="6" customWidth="1"/>
    <col min="15867" max="15867" width="7.33203125" style="6" customWidth="1"/>
    <col min="15868" max="15868" width="5.5546875" style="6" customWidth="1"/>
    <col min="15869" max="15869" width="9" style="6" customWidth="1"/>
    <col min="15870" max="15871" width="9.88671875" style="6" customWidth="1"/>
    <col min="15872" max="15872" width="11.109375" style="6" customWidth="1"/>
    <col min="15873" max="15873" width="2.88671875" style="6" customWidth="1"/>
    <col min="15874" max="15874" width="3.5546875" style="6" customWidth="1"/>
    <col min="15875" max="16119" width="9.109375" style="6"/>
    <col min="16120" max="16120" width="8.6640625" style="6" customWidth="1"/>
    <col min="16121" max="16121" width="9.88671875" style="6" customWidth="1"/>
    <col min="16122" max="16122" width="14.44140625" style="6" customWidth="1"/>
    <col min="16123" max="16123" width="7.33203125" style="6" customWidth="1"/>
    <col min="16124" max="16124" width="5.5546875" style="6" customWidth="1"/>
    <col min="16125" max="16125" width="9" style="6" customWidth="1"/>
    <col min="16126" max="16127" width="9.88671875" style="6" customWidth="1"/>
    <col min="16128" max="16128" width="11.109375" style="6" customWidth="1"/>
    <col min="16129" max="16129" width="2.88671875" style="6" customWidth="1"/>
    <col min="16130" max="16130" width="3.5546875" style="6" customWidth="1"/>
    <col min="16131" max="16384" width="9.109375" style="6"/>
  </cols>
  <sheetData>
    <row r="1" spans="1:8" ht="46.5" customHeight="1" x14ac:dyDescent="0.3">
      <c r="A1" s="156" t="s">
        <v>255</v>
      </c>
      <c r="B1" s="156"/>
      <c r="C1" s="156"/>
      <c r="D1" s="156"/>
      <c r="E1" s="156"/>
      <c r="F1" s="156"/>
      <c r="G1" s="156"/>
      <c r="H1" s="156"/>
    </row>
    <row r="2" spans="1:8" ht="16.5" customHeight="1" x14ac:dyDescent="0.3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3">
      <c r="A3" s="118" t="s">
        <v>1</v>
      </c>
      <c r="B3" s="118"/>
      <c r="C3" s="118"/>
      <c r="D3" s="118"/>
      <c r="E3" s="155" t="str">
        <f ca="1">TEXT(TODAY(),"DD/MM/YYYY")</f>
        <v>04/09/2025</v>
      </c>
      <c r="F3" s="155"/>
      <c r="G3" s="155"/>
      <c r="H3" s="155"/>
    </row>
    <row r="4" spans="1:8" ht="15" customHeight="1" x14ac:dyDescent="0.3">
      <c r="A4" s="118" t="s">
        <v>2</v>
      </c>
      <c r="B4" s="118"/>
      <c r="C4" s="118"/>
      <c r="D4" s="118"/>
      <c r="E4" s="152" t="s">
        <v>182</v>
      </c>
      <c r="F4" s="152"/>
      <c r="G4" s="152"/>
      <c r="H4" s="152"/>
    </row>
    <row r="5" spans="1:8" x14ac:dyDescent="0.3">
      <c r="A5" s="118" t="s">
        <v>3</v>
      </c>
      <c r="B5" s="118"/>
      <c r="C5" s="118"/>
      <c r="D5" s="118"/>
      <c r="E5" s="155">
        <v>45903</v>
      </c>
      <c r="F5" s="155"/>
      <c r="G5" s="155"/>
      <c r="H5" s="155"/>
    </row>
    <row r="6" spans="1:8" ht="16.5" customHeight="1" x14ac:dyDescent="0.3">
      <c r="A6" s="118" t="s">
        <v>230</v>
      </c>
      <c r="B6" s="118"/>
      <c r="C6" s="118"/>
      <c r="D6" s="118"/>
      <c r="E6" s="151" t="s">
        <v>229</v>
      </c>
      <c r="F6" s="151"/>
      <c r="G6" s="151"/>
      <c r="H6" s="151"/>
    </row>
    <row r="7" spans="1:8" ht="15" customHeight="1" x14ac:dyDescent="0.3">
      <c r="A7" s="118" t="s">
        <v>4</v>
      </c>
      <c r="B7" s="118"/>
      <c r="C7" s="118"/>
      <c r="D7" s="118"/>
      <c r="E7" s="151" t="s">
        <v>224</v>
      </c>
      <c r="F7" s="151"/>
      <c r="G7" s="151"/>
      <c r="H7" s="151"/>
    </row>
    <row r="8" spans="1:8" x14ac:dyDescent="0.3">
      <c r="A8" s="118" t="s">
        <v>5</v>
      </c>
      <c r="B8" s="118"/>
      <c r="C8" s="118"/>
      <c r="D8" s="118"/>
      <c r="E8" s="157" t="s">
        <v>184</v>
      </c>
      <c r="F8" s="121"/>
      <c r="G8" s="121"/>
      <c r="H8" s="121"/>
    </row>
    <row r="9" spans="1:8" x14ac:dyDescent="0.3">
      <c r="A9" s="118" t="s">
        <v>156</v>
      </c>
      <c r="B9" s="118"/>
      <c r="C9" s="118"/>
      <c r="D9" s="118"/>
      <c r="E9" s="118">
        <v>9223364514</v>
      </c>
      <c r="F9" s="118"/>
      <c r="G9" s="118"/>
      <c r="H9" s="118"/>
    </row>
    <row r="10" spans="1:8" ht="48" customHeight="1" x14ac:dyDescent="0.3">
      <c r="A10" s="130" t="s">
        <v>6</v>
      </c>
      <c r="B10" s="130"/>
      <c r="C10" s="130"/>
      <c r="D10" s="130"/>
      <c r="E10" s="150" t="s">
        <v>231</v>
      </c>
      <c r="F10" s="130"/>
      <c r="G10" s="130"/>
      <c r="H10" s="130"/>
    </row>
    <row r="11" spans="1:8" ht="32.25" customHeight="1" x14ac:dyDescent="0.3">
      <c r="A11" s="118" t="s">
        <v>7</v>
      </c>
      <c r="B11" s="118"/>
      <c r="C11" s="118"/>
      <c r="D11" s="118"/>
      <c r="E11" s="150" t="s">
        <v>222</v>
      </c>
      <c r="F11" s="150"/>
      <c r="G11" s="150"/>
      <c r="H11" s="150"/>
    </row>
    <row r="12" spans="1:8" x14ac:dyDescent="0.3">
      <c r="A12" s="118" t="s">
        <v>8</v>
      </c>
      <c r="B12" s="118"/>
      <c r="C12" s="118"/>
      <c r="D12" s="118"/>
      <c r="E12" s="150" t="s">
        <v>183</v>
      </c>
      <c r="F12" s="130"/>
      <c r="G12" s="130"/>
      <c r="H12" s="130"/>
    </row>
    <row r="13" spans="1:8" ht="35.25" customHeight="1" x14ac:dyDescent="0.3">
      <c r="A13" s="151" t="s">
        <v>9</v>
      </c>
      <c r="B13" s="151"/>
      <c r="C13" s="151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Mithila Complex, Survey No.66 Hissa no.2, near Nine Star Residency-Imperia, Internal road, Kapase, Saphale, Palghar, Palghar.</v>
      </c>
      <c r="D13" s="151"/>
      <c r="E13" s="151"/>
      <c r="F13" s="151"/>
      <c r="G13" s="151"/>
      <c r="H13" s="151"/>
    </row>
    <row r="14" spans="1:8" x14ac:dyDescent="0.3">
      <c r="A14" s="151" t="s">
        <v>185</v>
      </c>
      <c r="B14" s="151"/>
      <c r="C14" s="150" t="s">
        <v>233</v>
      </c>
      <c r="D14" s="150"/>
      <c r="E14" s="150"/>
      <c r="F14" s="150"/>
      <c r="G14" s="150"/>
      <c r="H14" s="150"/>
    </row>
    <row r="15" spans="1:8" ht="15.75" customHeight="1" x14ac:dyDescent="0.3">
      <c r="A15" s="151" t="s">
        <v>10</v>
      </c>
      <c r="B15" s="151"/>
      <c r="C15" s="130" t="s">
        <v>188</v>
      </c>
      <c r="D15" s="130"/>
      <c r="E15" s="151" t="s">
        <v>103</v>
      </c>
      <c r="F15" s="151"/>
      <c r="G15" s="150" t="s">
        <v>186</v>
      </c>
      <c r="H15" s="150"/>
    </row>
    <row r="16" spans="1:8" x14ac:dyDescent="0.3">
      <c r="A16" s="118" t="s">
        <v>12</v>
      </c>
      <c r="B16" s="118"/>
      <c r="C16" s="150" t="s">
        <v>189</v>
      </c>
      <c r="D16" s="150"/>
      <c r="E16" s="151" t="s">
        <v>11</v>
      </c>
      <c r="F16" s="151"/>
      <c r="G16" s="153" t="s">
        <v>187</v>
      </c>
      <c r="H16" s="153"/>
    </row>
    <row r="17" spans="1:8" x14ac:dyDescent="0.3">
      <c r="A17" s="118" t="s">
        <v>104</v>
      </c>
      <c r="B17" s="118"/>
      <c r="C17" s="150" t="s">
        <v>187</v>
      </c>
      <c r="D17" s="150"/>
      <c r="E17" s="151" t="s">
        <v>13</v>
      </c>
      <c r="F17" s="151"/>
      <c r="G17" s="150">
        <v>401102</v>
      </c>
      <c r="H17" s="150"/>
    </row>
    <row r="18" spans="1:8" ht="32.25" customHeight="1" x14ac:dyDescent="0.3">
      <c r="A18" s="118" t="s">
        <v>157</v>
      </c>
      <c r="B18" s="118"/>
      <c r="C18" s="154" t="s">
        <v>232</v>
      </c>
      <c r="D18" s="154"/>
      <c r="E18" s="151" t="s">
        <v>14</v>
      </c>
      <c r="F18" s="151"/>
      <c r="G18" s="150" t="s">
        <v>190</v>
      </c>
      <c r="H18" s="150"/>
    </row>
    <row r="19" spans="1:8" ht="15" customHeight="1" x14ac:dyDescent="0.3">
      <c r="A19" s="151" t="s">
        <v>106</v>
      </c>
      <c r="B19" s="151"/>
      <c r="C19" s="151"/>
      <c r="D19" s="151"/>
      <c r="E19" s="130" t="s">
        <v>15</v>
      </c>
      <c r="F19" s="130"/>
      <c r="G19" s="130"/>
      <c r="H19" s="130"/>
    </row>
    <row r="20" spans="1:8" ht="18.75" customHeight="1" x14ac:dyDescent="0.3">
      <c r="A20" s="151"/>
      <c r="B20" s="151"/>
      <c r="C20" s="151"/>
      <c r="D20" s="151"/>
      <c r="E20" s="130"/>
      <c r="F20" s="130"/>
      <c r="G20" s="130"/>
      <c r="H20" s="130"/>
    </row>
    <row r="21" spans="1:8" ht="15" customHeight="1" x14ac:dyDescent="0.3">
      <c r="A21" s="151" t="s">
        <v>16</v>
      </c>
      <c r="B21" s="151"/>
      <c r="C21" s="151"/>
      <c r="D21" s="151"/>
      <c r="E21" s="150" t="s">
        <v>17</v>
      </c>
      <c r="F21" s="150"/>
      <c r="G21" s="150"/>
      <c r="H21" s="150"/>
    </row>
    <row r="22" spans="1:8" ht="15" customHeight="1" x14ac:dyDescent="0.3">
      <c r="A22" s="118" t="s">
        <v>18</v>
      </c>
      <c r="B22" s="118"/>
      <c r="C22" s="118"/>
      <c r="D22" s="118"/>
      <c r="E22" s="150" t="str">
        <f>IF(AND(G16="Mumbai"),"Upper Class","Middle Class")</f>
        <v>Middle Class</v>
      </c>
      <c r="F22" s="150"/>
      <c r="G22" s="150"/>
      <c r="H22" s="150"/>
    </row>
    <row r="23" spans="1:8" x14ac:dyDescent="0.3">
      <c r="A23" s="118" t="s">
        <v>19</v>
      </c>
      <c r="B23" s="118"/>
      <c r="C23" s="118"/>
      <c r="D23" s="118"/>
      <c r="E23" s="150" t="s">
        <v>20</v>
      </c>
      <c r="F23" s="150"/>
      <c r="G23" s="150"/>
      <c r="H23" s="150"/>
    </row>
    <row r="24" spans="1:8" ht="15.75" customHeight="1" x14ac:dyDescent="0.3">
      <c r="A24" s="118" t="s">
        <v>21</v>
      </c>
      <c r="B24" s="118"/>
      <c r="C24" s="118"/>
      <c r="D24" s="118"/>
      <c r="E24" s="150" t="str">
        <f>IF(AND(G16="Mumbai"),"Developed","Developing")</f>
        <v>Developing</v>
      </c>
      <c r="F24" s="150"/>
      <c r="G24" s="150"/>
      <c r="H24" s="150"/>
    </row>
    <row r="25" spans="1:8" x14ac:dyDescent="0.3">
      <c r="A25" s="118" t="s">
        <v>22</v>
      </c>
      <c r="B25" s="118"/>
      <c r="C25" s="118"/>
      <c r="D25" s="118"/>
      <c r="E25" s="150" t="s">
        <v>23</v>
      </c>
      <c r="F25" s="150"/>
      <c r="G25" s="150"/>
      <c r="H25" s="150"/>
    </row>
    <row r="26" spans="1:8" x14ac:dyDescent="0.3">
      <c r="A26" s="118" t="s">
        <v>111</v>
      </c>
      <c r="B26" s="118"/>
      <c r="C26" s="118"/>
      <c r="D26" s="118"/>
      <c r="E26" s="150" t="s">
        <v>112</v>
      </c>
      <c r="F26" s="150"/>
      <c r="G26" s="150"/>
      <c r="H26" s="150"/>
    </row>
    <row r="27" spans="1:8" ht="15" customHeight="1" x14ac:dyDescent="0.3">
      <c r="A27" s="151" t="s">
        <v>34</v>
      </c>
      <c r="B27" s="151"/>
      <c r="C27" s="151"/>
      <c r="D27" s="151"/>
      <c r="E27" s="152" t="s">
        <v>223</v>
      </c>
      <c r="F27" s="152"/>
      <c r="G27" s="152"/>
      <c r="H27" s="152"/>
    </row>
    <row r="28" spans="1:8" x14ac:dyDescent="0.3">
      <c r="A28" s="151" t="s">
        <v>123</v>
      </c>
      <c r="B28" s="151"/>
      <c r="C28" s="151"/>
      <c r="D28" s="151"/>
      <c r="E28" s="151" t="s">
        <v>35</v>
      </c>
      <c r="F28" s="151"/>
      <c r="G28" s="151"/>
      <c r="H28" s="151"/>
    </row>
    <row r="29" spans="1:8" s="33" customFormat="1" x14ac:dyDescent="0.3">
      <c r="A29" s="145" t="s">
        <v>124</v>
      </c>
      <c r="B29" s="145"/>
      <c r="C29" s="141" t="s">
        <v>28</v>
      </c>
      <c r="D29" s="141"/>
      <c r="E29" s="141"/>
      <c r="F29" s="141" t="s">
        <v>30</v>
      </c>
      <c r="G29" s="141"/>
      <c r="H29" s="141"/>
    </row>
    <row r="30" spans="1:8" s="33" customFormat="1" x14ac:dyDescent="0.3">
      <c r="A30" s="144" t="s">
        <v>24</v>
      </c>
      <c r="B30" s="144" t="s">
        <v>29</v>
      </c>
      <c r="C30" s="111" t="s">
        <v>29</v>
      </c>
      <c r="D30" s="111"/>
      <c r="E30" s="111"/>
      <c r="F30" s="111" t="s">
        <v>191</v>
      </c>
      <c r="G30" s="111"/>
      <c r="H30" s="111"/>
    </row>
    <row r="31" spans="1:8" x14ac:dyDescent="0.3">
      <c r="A31" s="144" t="s">
        <v>25</v>
      </c>
      <c r="B31" s="144" t="s">
        <v>29</v>
      </c>
      <c r="C31" s="111" t="s">
        <v>29</v>
      </c>
      <c r="D31" s="111"/>
      <c r="E31" s="111"/>
      <c r="F31" s="111" t="s">
        <v>191</v>
      </c>
      <c r="G31" s="111"/>
      <c r="H31" s="111"/>
    </row>
    <row r="32" spans="1:8" s="33" customFormat="1" x14ac:dyDescent="0.3">
      <c r="A32" s="144" t="s">
        <v>27</v>
      </c>
      <c r="B32" s="144" t="s">
        <v>29</v>
      </c>
      <c r="C32" s="111" t="s">
        <v>29</v>
      </c>
      <c r="D32" s="111"/>
      <c r="E32" s="111"/>
      <c r="F32" s="111" t="s">
        <v>191</v>
      </c>
      <c r="G32" s="111"/>
      <c r="H32" s="111"/>
    </row>
    <row r="33" spans="1:8" x14ac:dyDescent="0.3">
      <c r="A33" s="144" t="s">
        <v>26</v>
      </c>
      <c r="B33" s="144" t="s">
        <v>29</v>
      </c>
      <c r="C33" s="111" t="s">
        <v>29</v>
      </c>
      <c r="D33" s="111"/>
      <c r="E33" s="111"/>
      <c r="F33" s="111" t="s">
        <v>188</v>
      </c>
      <c r="G33" s="111"/>
      <c r="H33" s="111"/>
    </row>
    <row r="34" spans="1:8" x14ac:dyDescent="0.3">
      <c r="A34" s="118" t="s">
        <v>31</v>
      </c>
      <c r="B34" s="118"/>
      <c r="C34" s="118"/>
      <c r="D34" s="118"/>
      <c r="E34" s="118"/>
      <c r="F34" s="118"/>
      <c r="G34" s="118"/>
      <c r="H34" s="118"/>
    </row>
    <row r="35" spans="1:8" ht="15.75" customHeight="1" x14ac:dyDescent="0.3">
      <c r="A35" s="120" t="s">
        <v>32</v>
      </c>
      <c r="B35" s="120"/>
      <c r="C35" s="142">
        <v>19.5786084</v>
      </c>
      <c r="D35" s="142"/>
      <c r="E35" s="120" t="s">
        <v>33</v>
      </c>
      <c r="F35" s="120"/>
      <c r="G35" s="143">
        <v>72.803832200000002</v>
      </c>
      <c r="H35" s="143"/>
    </row>
    <row r="36" spans="1:8" x14ac:dyDescent="0.3">
      <c r="A36" s="121" t="s">
        <v>36</v>
      </c>
      <c r="B36" s="121"/>
      <c r="C36" s="121"/>
      <c r="D36" s="121"/>
      <c r="E36" s="121"/>
      <c r="F36" s="121"/>
      <c r="G36" s="121"/>
      <c r="H36" s="121"/>
    </row>
    <row r="37" spans="1:8" x14ac:dyDescent="0.3">
      <c r="A37" s="130" t="s">
        <v>37</v>
      </c>
      <c r="B37" s="130"/>
      <c r="C37" s="130"/>
      <c r="D37" s="130"/>
      <c r="E37" s="140">
        <v>5920.99</v>
      </c>
      <c r="F37" s="140"/>
      <c r="G37" s="140"/>
      <c r="H37" s="140"/>
    </row>
    <row r="38" spans="1:8" x14ac:dyDescent="0.3">
      <c r="A38" s="130" t="s">
        <v>38</v>
      </c>
      <c r="B38" s="130"/>
      <c r="C38" s="130"/>
      <c r="D38" s="130"/>
      <c r="E38" s="128">
        <v>1</v>
      </c>
      <c r="F38" s="128"/>
      <c r="G38" s="128"/>
      <c r="H38" s="128"/>
    </row>
    <row r="39" spans="1:8" x14ac:dyDescent="0.3">
      <c r="A39" s="130" t="s">
        <v>39</v>
      </c>
      <c r="B39" s="130"/>
      <c r="C39" s="130"/>
      <c r="D39" s="130"/>
      <c r="E39" s="128">
        <f>E41/E37-E38</f>
        <v>0.20000033778135062</v>
      </c>
      <c r="F39" s="128"/>
      <c r="G39" s="128"/>
      <c r="H39" s="128"/>
    </row>
    <row r="40" spans="1:8" x14ac:dyDescent="0.3">
      <c r="A40" s="130" t="s">
        <v>40</v>
      </c>
      <c r="B40" s="130"/>
      <c r="C40" s="130"/>
      <c r="D40" s="130"/>
      <c r="E40" s="128">
        <f>E38+E39</f>
        <v>1.2000003377813506</v>
      </c>
      <c r="F40" s="128"/>
      <c r="G40" s="128"/>
      <c r="H40" s="128"/>
    </row>
    <row r="41" spans="1:8" x14ac:dyDescent="0.3">
      <c r="A41" s="130" t="s">
        <v>122</v>
      </c>
      <c r="B41" s="130"/>
      <c r="C41" s="130"/>
      <c r="D41" s="130"/>
      <c r="E41" s="129">
        <v>7105.19</v>
      </c>
      <c r="F41" s="129"/>
      <c r="G41" s="129"/>
      <c r="H41" s="129"/>
    </row>
    <row r="42" spans="1:8" x14ac:dyDescent="0.3">
      <c r="A42" s="130" t="s">
        <v>41</v>
      </c>
      <c r="B42" s="130"/>
      <c r="C42" s="130"/>
      <c r="D42" s="130"/>
      <c r="E42" s="130" t="s">
        <v>194</v>
      </c>
      <c r="F42" s="130"/>
      <c r="G42" s="130"/>
      <c r="H42" s="130"/>
    </row>
    <row r="43" spans="1:8" x14ac:dyDescent="0.3">
      <c r="A43" s="121" t="s">
        <v>42</v>
      </c>
      <c r="B43" s="121"/>
      <c r="C43" s="121"/>
      <c r="D43" s="121"/>
      <c r="E43" s="121"/>
      <c r="F43" s="121"/>
      <c r="G43" s="121"/>
      <c r="H43" s="121"/>
    </row>
    <row r="44" spans="1:8" ht="30" customHeight="1" x14ac:dyDescent="0.3">
      <c r="A44" s="150" t="s">
        <v>43</v>
      </c>
      <c r="B44" s="150"/>
      <c r="C44" s="167" t="s">
        <v>234</v>
      </c>
      <c r="D44" s="167"/>
      <c r="E44" s="167"/>
      <c r="F44" s="57" t="s">
        <v>44</v>
      </c>
      <c r="G44" s="149">
        <v>43388</v>
      </c>
      <c r="H44" s="149"/>
    </row>
    <row r="45" spans="1:8" ht="31.5" customHeight="1" x14ac:dyDescent="0.3">
      <c r="A45" s="130" t="s">
        <v>45</v>
      </c>
      <c r="B45" s="130"/>
      <c r="C45" s="167" t="str">
        <f>C44</f>
        <v>MAHSUL/K-1/MJ1/BSP/SR/CR/306/17</v>
      </c>
      <c r="D45" s="167"/>
      <c r="E45" s="167"/>
      <c r="F45" s="57" t="s">
        <v>44</v>
      </c>
      <c r="G45" s="149">
        <v>43388</v>
      </c>
      <c r="H45" s="149"/>
    </row>
    <row r="46" spans="1:8" s="35" customFormat="1" ht="15" customHeight="1" x14ac:dyDescent="0.3">
      <c r="A46" s="150" t="s">
        <v>46</v>
      </c>
      <c r="B46" s="150"/>
      <c r="C46" s="167" t="s">
        <v>192</v>
      </c>
      <c r="D46" s="119"/>
      <c r="E46" s="119"/>
      <c r="F46" s="34" t="s">
        <v>44</v>
      </c>
      <c r="G46" s="149">
        <v>43419</v>
      </c>
      <c r="H46" s="149"/>
    </row>
    <row r="47" spans="1:8" s="35" customFormat="1" ht="114" customHeight="1" x14ac:dyDescent="0.3">
      <c r="A47" s="150"/>
      <c r="B47" s="150"/>
      <c r="C47" s="131" t="s">
        <v>193</v>
      </c>
      <c r="D47" s="132"/>
      <c r="E47" s="132"/>
      <c r="F47" s="132"/>
      <c r="G47" s="132"/>
      <c r="H47" s="133"/>
    </row>
    <row r="48" spans="1:8" x14ac:dyDescent="0.3">
      <c r="A48" s="97" t="s">
        <v>47</v>
      </c>
      <c r="B48" s="97"/>
      <c r="C48" s="181" t="s">
        <v>139</v>
      </c>
      <c r="D48" s="180"/>
      <c r="E48" s="180" t="s">
        <v>48</v>
      </c>
      <c r="F48" s="58" t="s">
        <v>44</v>
      </c>
      <c r="G48" s="176" t="s">
        <v>29</v>
      </c>
      <c r="H48" s="176"/>
    </row>
    <row r="49" spans="1:14" x14ac:dyDescent="0.3">
      <c r="A49" s="171" t="s">
        <v>50</v>
      </c>
      <c r="B49" s="171"/>
      <c r="C49" s="171"/>
      <c r="D49" s="171"/>
      <c r="E49" s="171"/>
      <c r="F49" s="171"/>
      <c r="G49" s="171"/>
      <c r="H49" s="171"/>
    </row>
    <row r="50" spans="1:14" x14ac:dyDescent="0.3">
      <c r="A50" s="151" t="s">
        <v>121</v>
      </c>
      <c r="B50" s="151"/>
      <c r="C50" s="151"/>
      <c r="D50" s="118">
        <f>E41</f>
        <v>7105.19</v>
      </c>
      <c r="E50" s="118"/>
      <c r="F50" s="118"/>
      <c r="G50" s="118"/>
      <c r="H50" s="118"/>
    </row>
    <row r="51" spans="1:14" x14ac:dyDescent="0.3">
      <c r="A51" s="150" t="s">
        <v>51</v>
      </c>
      <c r="B51" s="130"/>
      <c r="C51" s="130"/>
      <c r="D51" s="130" t="s">
        <v>225</v>
      </c>
      <c r="E51" s="130"/>
      <c r="F51" s="130"/>
      <c r="G51" s="130"/>
      <c r="H51" s="130"/>
      <c r="I51" s="36"/>
    </row>
    <row r="52" spans="1:14" ht="115.5" customHeight="1" x14ac:dyDescent="0.3">
      <c r="A52" s="134" t="s">
        <v>52</v>
      </c>
      <c r="B52" s="135"/>
      <c r="C52" s="148"/>
      <c r="D52" s="146" t="s">
        <v>196</v>
      </c>
      <c r="E52" s="147"/>
      <c r="F52" s="147"/>
      <c r="G52" s="147"/>
      <c r="H52" s="147"/>
    </row>
    <row r="53" spans="1:14" x14ac:dyDescent="0.3">
      <c r="A53" s="134" t="s">
        <v>119</v>
      </c>
      <c r="B53" s="135"/>
      <c r="C53" s="135"/>
      <c r="D53" s="130" t="s">
        <v>197</v>
      </c>
      <c r="E53" s="130"/>
      <c r="F53" s="130"/>
      <c r="G53" s="130"/>
      <c r="H53" s="130"/>
    </row>
    <row r="54" spans="1:14" x14ac:dyDescent="0.3">
      <c r="A54" s="136"/>
      <c r="B54" s="137"/>
      <c r="C54" s="137"/>
      <c r="D54" s="130" t="s">
        <v>198</v>
      </c>
      <c r="E54" s="130"/>
      <c r="F54" s="130"/>
      <c r="G54" s="130"/>
      <c r="H54" s="130"/>
    </row>
    <row r="55" spans="1:14" x14ac:dyDescent="0.3">
      <c r="A55" s="136"/>
      <c r="B55" s="137"/>
      <c r="C55" s="137"/>
      <c r="D55" s="130" t="s">
        <v>199</v>
      </c>
      <c r="E55" s="130"/>
      <c r="F55" s="130"/>
      <c r="G55" s="130"/>
      <c r="H55" s="130"/>
    </row>
    <row r="56" spans="1:14" x14ac:dyDescent="0.3">
      <c r="A56" s="136"/>
      <c r="B56" s="137"/>
      <c r="C56" s="137"/>
      <c r="D56" s="130" t="s">
        <v>209</v>
      </c>
      <c r="E56" s="130"/>
      <c r="F56" s="130"/>
      <c r="G56" s="130"/>
      <c r="H56" s="130"/>
    </row>
    <row r="57" spans="1:14" x14ac:dyDescent="0.3">
      <c r="A57" s="136"/>
      <c r="B57" s="137"/>
      <c r="C57" s="137"/>
      <c r="D57" s="130" t="s">
        <v>210</v>
      </c>
      <c r="E57" s="130"/>
      <c r="F57" s="130"/>
      <c r="G57" s="130"/>
      <c r="H57" s="130"/>
    </row>
    <row r="58" spans="1:14" x14ac:dyDescent="0.3">
      <c r="A58" s="136"/>
      <c r="B58" s="137"/>
      <c r="C58" s="137"/>
      <c r="D58" s="130" t="s">
        <v>211</v>
      </c>
      <c r="E58" s="130"/>
      <c r="F58" s="130"/>
      <c r="G58" s="130"/>
      <c r="H58" s="130"/>
    </row>
    <row r="59" spans="1:14" x14ac:dyDescent="0.3">
      <c r="A59" s="138"/>
      <c r="B59" s="139"/>
      <c r="C59" s="139"/>
      <c r="D59" s="130" t="s">
        <v>212</v>
      </c>
      <c r="E59" s="130"/>
      <c r="F59" s="130"/>
      <c r="G59" s="130"/>
      <c r="H59" s="130"/>
    </row>
    <row r="60" spans="1:14" ht="15.75" customHeight="1" x14ac:dyDescent="0.3">
      <c r="A60" s="118" t="s">
        <v>49</v>
      </c>
      <c r="B60" s="118"/>
      <c r="C60" s="118"/>
      <c r="D60" s="161" t="s">
        <v>247</v>
      </c>
      <c r="E60" s="162"/>
      <c r="F60" s="162"/>
      <c r="G60" s="162"/>
      <c r="H60" s="163"/>
      <c r="J60" s="37"/>
      <c r="K60" s="36"/>
      <c r="N60" s="36"/>
    </row>
    <row r="61" spans="1:14" ht="15.75" customHeight="1" x14ac:dyDescent="0.3">
      <c r="A61" s="118" t="s">
        <v>117</v>
      </c>
      <c r="B61" s="118"/>
      <c r="C61" s="118"/>
      <c r="D61" s="164" t="str">
        <f>(IF(G48="NA","60 Years After Completion",IF(G48&lt;&gt;"NA",""&amp;ROUNDDOWN((E3-G48)/360,0)&amp;" Years"," ")))</f>
        <v>60 Years After Completion</v>
      </c>
      <c r="E61" s="165"/>
      <c r="F61" s="165"/>
      <c r="G61" s="165"/>
      <c r="H61" s="166"/>
      <c r="N61" s="36"/>
    </row>
    <row r="62" spans="1:14" ht="15.75" customHeight="1" x14ac:dyDescent="0.3">
      <c r="A62" s="118" t="s">
        <v>118</v>
      </c>
      <c r="B62" s="118"/>
      <c r="C62" s="118"/>
      <c r="D62" s="151" t="s">
        <v>23</v>
      </c>
      <c r="E62" s="151"/>
      <c r="F62" s="151"/>
      <c r="G62" s="151"/>
      <c r="H62" s="151"/>
      <c r="J62" s="9"/>
      <c r="K62" s="9"/>
    </row>
    <row r="63" spans="1:14" ht="15.75" customHeight="1" thickBot="1" x14ac:dyDescent="0.35">
      <c r="A63" s="159" t="s">
        <v>116</v>
      </c>
      <c r="B63" s="159"/>
      <c r="C63" s="159"/>
      <c r="D63" s="160" t="str">
        <f ca="1">(IF(G68&gt;95%,"Nothing",IF(G68&gt;0%,"Cement, Aggregate, Steel, etc",IF(G68=0%,"Work not yet Started"))))</f>
        <v>Cement, Aggregate, Steel, etc</v>
      </c>
      <c r="E63" s="160"/>
      <c r="F63" s="160"/>
      <c r="G63" s="160"/>
      <c r="H63" s="160"/>
      <c r="J63" s="9"/>
      <c r="K63" s="9"/>
    </row>
    <row r="64" spans="1:14" ht="15.75" customHeight="1" x14ac:dyDescent="0.3">
      <c r="A64" s="122" t="s">
        <v>175</v>
      </c>
      <c r="B64" s="123"/>
      <c r="C64" s="124" t="str">
        <f>D53</f>
        <v>Building No.1 (Wing A - Type B2) = St + 1st to 4th Floor</v>
      </c>
      <c r="D64" s="125"/>
      <c r="E64" s="125"/>
      <c r="F64" s="125"/>
      <c r="G64" s="125"/>
      <c r="H64" s="126"/>
      <c r="I64" s="10" t="str">
        <f ca="1">(IF(C68=0,"Work not yet Started.",IF(D68=25%,"Piling work in process",IF(D68=50%,"Excavation work in process",IF(D68=100%,"Excavation work completed, ","0")))&amp;(IF(C69=0%,"",IF(C69=K70,"Footing work is process",IF(C69=K71,"Footing work Completed",IF(C69=K72,"1st Basement Completed",IF(C69=K73,"1st &amp; 2nd Basement Completed",IF(C69=K74,"1st to 3rd Basement Completed",IF(C69=K75,"1st to 4th Basement Completed",IF(C69=K76,"Plinth work is process",IF(C69=K77,"Plinth work completed","0")))))))))))&amp;(IF(C70&gt;0,", RCC upto "&amp;C70&amp;" Slab completed",""))&amp;(IF(C71&gt;0,", Brickwork upto "&amp;C71&amp;" Floor completed"," "))&amp;(IF(C72&gt;0,", Internal Plaster upto "&amp;C72&amp;" Floor completed"," "))&amp;(IF(C73&gt;0,", External Plaster upto "&amp;C73&amp;" Floor completed"," "))&amp;(IF(C74&gt;0,", Flooring upto "&amp;C74&amp;" Floor completed"," "))&amp;(IF(C75&gt;0,", Painting upto "&amp;C75&amp;" Floor completed"," "))&amp;(IF(C76&gt;0,", Finishing upto "&amp;C76&amp;"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1 Floor completed</v>
      </c>
      <c r="J64" s="10"/>
      <c r="K64" s="11"/>
    </row>
    <row r="65" spans="1:11" x14ac:dyDescent="0.3">
      <c r="A65" s="32" t="s">
        <v>177</v>
      </c>
      <c r="B65" s="29">
        <v>0</v>
      </c>
      <c r="C65" s="29" t="s">
        <v>102</v>
      </c>
      <c r="D65" s="29">
        <v>1</v>
      </c>
      <c r="E65" s="29" t="s">
        <v>101</v>
      </c>
      <c r="F65" s="29">
        <v>0</v>
      </c>
      <c r="G65" s="29" t="s">
        <v>110</v>
      </c>
      <c r="H65" s="38">
        <f ca="1">--TRIM(RIGHT(SUBSTITUTE(LEFT(C64,_xlfn.AGGREGATE(16,6,FIND({0,1,2,3,4,5,6,7,8,9},C64,ROW(INDIRECT("1:"&amp;LEN(C64)))),1))," ",REPT(" ",LEN(C64))),LEN(C64)))</f>
        <v>4</v>
      </c>
      <c r="I65" s="9" t="s">
        <v>153</v>
      </c>
      <c r="J65" s="9"/>
      <c r="K65" s="12"/>
    </row>
    <row r="66" spans="1:11" ht="65.400000000000006" customHeight="1" x14ac:dyDescent="0.3">
      <c r="A66" s="108" t="s">
        <v>120</v>
      </c>
      <c r="B66" s="109"/>
      <c r="C66" s="97" t="str">
        <f ca="1">I64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1 Floor completed</v>
      </c>
      <c r="D66" s="97"/>
      <c r="E66" s="97"/>
      <c r="F66" s="97"/>
      <c r="G66" s="97"/>
      <c r="H66" s="98"/>
      <c r="I66" s="9" t="s">
        <v>138</v>
      </c>
      <c r="J66" s="9"/>
      <c r="K66" s="12"/>
    </row>
    <row r="67" spans="1:11" x14ac:dyDescent="0.3">
      <c r="A67" s="99" t="s">
        <v>53</v>
      </c>
      <c r="B67" s="100"/>
      <c r="C67" s="62" t="s">
        <v>174</v>
      </c>
      <c r="D67" s="62" t="s">
        <v>113</v>
      </c>
      <c r="E67" s="100" t="s">
        <v>115</v>
      </c>
      <c r="F67" s="100"/>
      <c r="G67" s="100" t="s">
        <v>114</v>
      </c>
      <c r="H67" s="101"/>
      <c r="I67" s="27" t="s">
        <v>176</v>
      </c>
      <c r="K67" s="13">
        <f ca="1">H65*25%</f>
        <v>1</v>
      </c>
    </row>
    <row r="68" spans="1:11" x14ac:dyDescent="0.3">
      <c r="A68" s="99" t="s">
        <v>163</v>
      </c>
      <c r="B68" s="100"/>
      <c r="C68" s="63">
        <f ca="1">K69</f>
        <v>4</v>
      </c>
      <c r="D68" s="64">
        <f ca="1">((100/H65)*C68)/100</f>
        <v>1</v>
      </c>
      <c r="E68" s="102">
        <f ca="1">(IF(C66=I65,"100%",IF(C66=I66,"100%",(((C69/H65*10)+(40/(D65+F65+H65)*C70)+(7.5/(H65)*C71)+(7.5/(H65)*C72)+(10/H65*C73)+(10/H65*C74)+(5/H65*C75)+(5/H65*C76)+(5/H65*C77))/100))))</f>
        <v>0.9</v>
      </c>
      <c r="F68" s="102"/>
      <c r="G68" s="102">
        <f ca="1">((((C68/H65)*20)+((C69/H65)*25)+(30/(H65+F65+D65)*C70)+(5/H65*C71)+(5/H65*C72)+(5/H65*C73)+(5/H65*C74)+(0/H65*C75)+(0/H65*C76)+(5/H65*C77))/100)</f>
        <v>0.95</v>
      </c>
      <c r="H68" s="104"/>
      <c r="I68" s="27" t="s">
        <v>132</v>
      </c>
      <c r="J68" s="14"/>
      <c r="K68" s="28">
        <f ca="1">H65*50%</f>
        <v>2</v>
      </c>
    </row>
    <row r="69" spans="1:11" x14ac:dyDescent="0.3">
      <c r="A69" s="99" t="s">
        <v>54</v>
      </c>
      <c r="B69" s="100"/>
      <c r="C69" s="65">
        <f ca="1">K77</f>
        <v>4</v>
      </c>
      <c r="D69" s="64">
        <f ca="1">((100/H65)*C69)/100</f>
        <v>1</v>
      </c>
      <c r="E69" s="102"/>
      <c r="F69" s="102"/>
      <c r="G69" s="102"/>
      <c r="H69" s="104"/>
      <c r="I69" s="27" t="s">
        <v>133</v>
      </c>
      <c r="J69" s="14"/>
      <c r="K69" s="28">
        <f ca="1">H65</f>
        <v>4</v>
      </c>
    </row>
    <row r="70" spans="1:11" ht="15.75" customHeight="1" x14ac:dyDescent="0.3">
      <c r="A70" s="110" t="s">
        <v>164</v>
      </c>
      <c r="B70" s="111"/>
      <c r="C70" s="65">
        <v>5</v>
      </c>
      <c r="D70" s="64">
        <f ca="1">((100/(D65+F65+H65))*C70)/100</f>
        <v>1</v>
      </c>
      <c r="E70" s="102"/>
      <c r="F70" s="102"/>
      <c r="G70" s="102"/>
      <c r="H70" s="104"/>
      <c r="I70" s="27" t="s">
        <v>134</v>
      </c>
      <c r="J70" s="14"/>
      <c r="K70" s="39">
        <f ca="1">(IF(B65=0,H65/4,(H65/(B65+4))))</f>
        <v>1</v>
      </c>
    </row>
    <row r="71" spans="1:11" ht="15.75" customHeight="1" x14ac:dyDescent="0.3">
      <c r="A71" s="99" t="s">
        <v>171</v>
      </c>
      <c r="B71" s="100" t="s">
        <v>165</v>
      </c>
      <c r="C71" s="63">
        <v>4</v>
      </c>
      <c r="D71" s="64">
        <f ca="1">((100/H65)*C71)/100</f>
        <v>1</v>
      </c>
      <c r="E71" s="102"/>
      <c r="F71" s="102"/>
      <c r="G71" s="102"/>
      <c r="H71" s="104"/>
      <c r="I71" s="27" t="s">
        <v>135</v>
      </c>
      <c r="J71" s="14"/>
      <c r="K71" s="39">
        <f ca="1">(IF(B65=0,H65/4+K70,(H65/(B65+4)+K70)))</f>
        <v>2</v>
      </c>
    </row>
    <row r="72" spans="1:11" ht="15.75" customHeight="1" x14ac:dyDescent="0.3">
      <c r="A72" s="99" t="s">
        <v>172</v>
      </c>
      <c r="B72" s="100" t="s">
        <v>165</v>
      </c>
      <c r="C72" s="63">
        <v>4</v>
      </c>
      <c r="D72" s="64">
        <f ca="1">((100/H65)*C72)/100</f>
        <v>1</v>
      </c>
      <c r="E72" s="102"/>
      <c r="F72" s="102"/>
      <c r="G72" s="102"/>
      <c r="H72" s="104"/>
      <c r="I72" s="27" t="s">
        <v>178</v>
      </c>
      <c r="J72" s="40"/>
      <c r="K72" s="39">
        <f>(IF(B65=0,0,(H65/(B65+4)+K71)))</f>
        <v>0</v>
      </c>
    </row>
    <row r="73" spans="1:11" ht="15" customHeight="1" x14ac:dyDescent="0.3">
      <c r="A73" s="99" t="s">
        <v>170</v>
      </c>
      <c r="B73" s="100" t="s">
        <v>167</v>
      </c>
      <c r="C73" s="63">
        <v>4</v>
      </c>
      <c r="D73" s="64">
        <f ca="1">((100/(H65))*C73)/100</f>
        <v>1</v>
      </c>
      <c r="E73" s="102"/>
      <c r="F73" s="102"/>
      <c r="G73" s="102"/>
      <c r="H73" s="104"/>
      <c r="I73" s="27" t="s">
        <v>179</v>
      </c>
      <c r="J73" s="40"/>
      <c r="K73" s="39">
        <f>(IF(B65&gt;1,(H65/(B65+4)+K72),0))</f>
        <v>0</v>
      </c>
    </row>
    <row r="74" spans="1:11" ht="15.75" customHeight="1" x14ac:dyDescent="0.3">
      <c r="A74" s="99" t="s">
        <v>166</v>
      </c>
      <c r="B74" s="100" t="s">
        <v>166</v>
      </c>
      <c r="C74" s="63">
        <v>4</v>
      </c>
      <c r="D74" s="64">
        <f ca="1">((100/H65)*C74)/100</f>
        <v>1</v>
      </c>
      <c r="E74" s="102"/>
      <c r="F74" s="102"/>
      <c r="G74" s="102"/>
      <c r="H74" s="104"/>
      <c r="I74" s="27" t="s">
        <v>180</v>
      </c>
      <c r="J74" s="41"/>
      <c r="K74" s="42">
        <f>(IF(B65&gt;2,(H65/(B65+4)+K73),0))</f>
        <v>0</v>
      </c>
    </row>
    <row r="75" spans="1:11" ht="15.75" customHeight="1" x14ac:dyDescent="0.3">
      <c r="A75" s="99" t="s">
        <v>173</v>
      </c>
      <c r="B75" s="100"/>
      <c r="C75" s="63">
        <v>3</v>
      </c>
      <c r="D75" s="64">
        <f ca="1">((100/H65)*C75)/100</f>
        <v>0.75</v>
      </c>
      <c r="E75" s="102"/>
      <c r="F75" s="102"/>
      <c r="G75" s="102"/>
      <c r="H75" s="104"/>
      <c r="I75" s="27" t="s">
        <v>181</v>
      </c>
      <c r="J75" s="43"/>
      <c r="K75" s="44">
        <f>(IF(B65&gt;3,(H65/(B65+4)+K74),0))</f>
        <v>0</v>
      </c>
    </row>
    <row r="76" spans="1:11" ht="15.75" customHeight="1" x14ac:dyDescent="0.3">
      <c r="A76" s="99" t="s">
        <v>168</v>
      </c>
      <c r="B76" s="100" t="s">
        <v>168</v>
      </c>
      <c r="C76" s="63">
        <v>1</v>
      </c>
      <c r="D76" s="64">
        <f ca="1">((100/(H65))*C76)/100</f>
        <v>0.25</v>
      </c>
      <c r="E76" s="102"/>
      <c r="F76" s="102"/>
      <c r="G76" s="102"/>
      <c r="H76" s="104"/>
      <c r="I76" s="27" t="s">
        <v>136</v>
      </c>
      <c r="J76" s="14"/>
      <c r="K76" s="39">
        <f ca="1">(IF(B65=0,H65/4+K71,(H65/(B65+4)+K71+MAX(0,K72-K71)+MAX(0,K73-K72)+MAX(0,K74-K73)+MAX(0,K75-K74))))</f>
        <v>3</v>
      </c>
    </row>
    <row r="77" spans="1:11" ht="16.2" thickBot="1" x14ac:dyDescent="0.35">
      <c r="A77" s="106" t="s">
        <v>169</v>
      </c>
      <c r="B77" s="107"/>
      <c r="C77" s="66">
        <v>0</v>
      </c>
      <c r="D77" s="67">
        <f ca="1">((100/(H65))*C77)/100</f>
        <v>0</v>
      </c>
      <c r="E77" s="103"/>
      <c r="F77" s="103"/>
      <c r="G77" s="103"/>
      <c r="H77" s="105"/>
      <c r="I77" s="30" t="s">
        <v>137</v>
      </c>
      <c r="J77" s="31"/>
      <c r="K77" s="45">
        <f ca="1">(IF(B65=0,H65/4+K76,(H65/(B65+4)+K76)))</f>
        <v>4</v>
      </c>
    </row>
    <row r="78" spans="1:11" ht="15.75" customHeight="1" x14ac:dyDescent="0.3">
      <c r="A78" s="122" t="s">
        <v>175</v>
      </c>
      <c r="B78" s="123"/>
      <c r="C78" s="124" t="s">
        <v>198</v>
      </c>
      <c r="D78" s="125"/>
      <c r="E78" s="125"/>
      <c r="F78" s="125"/>
      <c r="G78" s="125"/>
      <c r="H78" s="126"/>
      <c r="I78" s="10" t="str">
        <f ca="1">(IF(C82=0,"Work not yet Started.",IF(D82=25%,"Piling work in process",IF(D82=50%,"Excavation work in process",IF(D82=100%,"Excavation work completed, ","0")))&amp;(IF(C83=0%,"",IF(C83=K84,"Footing work is process",IF(C83=K85,"Footing work Completed",IF(C83=K86,"1st Basement Completed",IF(C83=K87,"1st &amp; 2nd Basement Completed",IF(C83=K88,"1st to 3rd Basement Completed",IF(C83=K89,"1st to 4th Basement Completed",IF(C83=K90,"Plinth work is process",IF(C83=K91,"Plinth work completed","0")))))))))))&amp;(IF(C84&gt;0,", RCC upto "&amp;C84&amp;" Slab completed",""))&amp;(IF(C85&gt;0,", Brickwork upto "&amp;C85&amp;" Floor completed"," "))&amp;(IF(C86&gt;0,", Internal Plaster upto "&amp;C86&amp;" Floor completed"," "))&amp;(IF(C87&gt;0,", External Plaster upto "&amp;C87&amp;" Floor completed"," "))&amp;(IF(C88&gt;0,", Flooring upto "&amp;C88&amp;" Floor completed"," "))&amp;(IF(C89&gt;0,", Painting upto "&amp;C89&amp;" Floor completed"," "))&amp;(IF(C90&gt;0,", Finishing upto "&amp;C90&amp;"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1 Floor completed</v>
      </c>
      <c r="J78" s="10"/>
      <c r="K78" s="11"/>
    </row>
    <row r="79" spans="1:11" x14ac:dyDescent="0.3">
      <c r="A79" s="32" t="s">
        <v>177</v>
      </c>
      <c r="B79" s="29">
        <v>0</v>
      </c>
      <c r="C79" s="29" t="s">
        <v>102</v>
      </c>
      <c r="D79" s="29">
        <v>1</v>
      </c>
      <c r="E79" s="29" t="s">
        <v>101</v>
      </c>
      <c r="F79" s="29">
        <v>0</v>
      </c>
      <c r="G79" s="29" t="s">
        <v>110</v>
      </c>
      <c r="H79" s="38">
        <f ca="1">--TRIM(RIGHT(SUBSTITUTE(LEFT(C78,_xlfn.AGGREGATE(16,6,FIND({0,1,2,3,4,5,6,7,8,9},C78,ROW(INDIRECT("1:"&amp;LEN(C78)))),1))," ",REPT(" ",LEN(C78))),LEN(C78)))</f>
        <v>4</v>
      </c>
      <c r="I79" s="9" t="s">
        <v>153</v>
      </c>
      <c r="J79" s="9"/>
      <c r="K79" s="12"/>
    </row>
    <row r="80" spans="1:11" ht="66.599999999999994" customHeight="1" x14ac:dyDescent="0.3">
      <c r="A80" s="108" t="s">
        <v>120</v>
      </c>
      <c r="B80" s="109"/>
      <c r="C80" s="97" t="str">
        <f ca="1">I78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1 Floor completed</v>
      </c>
      <c r="D80" s="97"/>
      <c r="E80" s="97"/>
      <c r="F80" s="97"/>
      <c r="G80" s="97"/>
      <c r="H80" s="98"/>
      <c r="I80" s="9" t="s">
        <v>138</v>
      </c>
      <c r="J80" s="9"/>
      <c r="K80" s="12"/>
    </row>
    <row r="81" spans="1:11" x14ac:dyDescent="0.3">
      <c r="A81" s="99" t="s">
        <v>53</v>
      </c>
      <c r="B81" s="100"/>
      <c r="C81" s="62" t="s">
        <v>174</v>
      </c>
      <c r="D81" s="62" t="s">
        <v>113</v>
      </c>
      <c r="E81" s="100" t="s">
        <v>115</v>
      </c>
      <c r="F81" s="100"/>
      <c r="G81" s="100" t="s">
        <v>114</v>
      </c>
      <c r="H81" s="101"/>
      <c r="I81" s="27" t="s">
        <v>176</v>
      </c>
      <c r="K81" s="13">
        <f ca="1">H79*25%</f>
        <v>1</v>
      </c>
    </row>
    <row r="82" spans="1:11" x14ac:dyDescent="0.3">
      <c r="A82" s="99" t="s">
        <v>163</v>
      </c>
      <c r="B82" s="100"/>
      <c r="C82" s="63">
        <f ca="1">K83</f>
        <v>4</v>
      </c>
      <c r="D82" s="64">
        <f ca="1">((100/H79)*C82)/100</f>
        <v>1</v>
      </c>
      <c r="E82" s="102">
        <f ca="1">(IF(C80=I79,"100%",IF(C80=I80,"100%",(((C83/H79*10)+(40/(D79+F79+H79)*C84)+(7.5/(H79)*C85)+(7.5/(H79)*C86)+(10/H79*C87)+(10/H79*C88)+(5/H79*C89)+(5/H79*C90)+(5/H79*C91))/100))))</f>
        <v>0.9</v>
      </c>
      <c r="F82" s="102"/>
      <c r="G82" s="102">
        <f ca="1">((((C82/H79)*20)+((C83/H79)*25)+(30/(H79+F79+D79)*C84)+(5/H79*C85)+(5/H79*C86)+(5/H79*C87)+(5/H79*C88)+(0/H79*C89)+(0/H79*C90)+(5/H79*C91))/100)</f>
        <v>0.95</v>
      </c>
      <c r="H82" s="104"/>
      <c r="I82" s="27" t="s">
        <v>132</v>
      </c>
      <c r="J82" s="14"/>
      <c r="K82" s="28">
        <f ca="1">H79*50%</f>
        <v>2</v>
      </c>
    </row>
    <row r="83" spans="1:11" x14ac:dyDescent="0.3">
      <c r="A83" s="99" t="s">
        <v>54</v>
      </c>
      <c r="B83" s="100"/>
      <c r="C83" s="65">
        <v>4</v>
      </c>
      <c r="D83" s="64">
        <f ca="1">((100/H79)*C83)/100</f>
        <v>1</v>
      </c>
      <c r="E83" s="102"/>
      <c r="F83" s="102"/>
      <c r="G83" s="102"/>
      <c r="H83" s="104"/>
      <c r="I83" s="27" t="s">
        <v>133</v>
      </c>
      <c r="J83" s="14"/>
      <c r="K83" s="28">
        <f ca="1">H79</f>
        <v>4</v>
      </c>
    </row>
    <row r="84" spans="1:11" ht="15.75" customHeight="1" x14ac:dyDescent="0.3">
      <c r="A84" s="110" t="s">
        <v>164</v>
      </c>
      <c r="B84" s="111"/>
      <c r="C84" s="65">
        <v>5</v>
      </c>
      <c r="D84" s="64">
        <f ca="1">((100/(D79+F79+H79))*C84)/100</f>
        <v>1</v>
      </c>
      <c r="E84" s="102"/>
      <c r="F84" s="102"/>
      <c r="G84" s="102"/>
      <c r="H84" s="104"/>
      <c r="I84" s="27" t="s">
        <v>134</v>
      </c>
      <c r="J84" s="14"/>
      <c r="K84" s="39">
        <f ca="1">(IF(B79=0,H79/4,(H79/(B79+4))))</f>
        <v>1</v>
      </c>
    </row>
    <row r="85" spans="1:11" ht="15.75" customHeight="1" x14ac:dyDescent="0.3">
      <c r="A85" s="99" t="s">
        <v>171</v>
      </c>
      <c r="B85" s="100" t="s">
        <v>165</v>
      </c>
      <c r="C85" s="63">
        <v>4</v>
      </c>
      <c r="D85" s="64">
        <f ca="1">((100/H79)*C85)/100</f>
        <v>1</v>
      </c>
      <c r="E85" s="102"/>
      <c r="F85" s="102"/>
      <c r="G85" s="102"/>
      <c r="H85" s="104"/>
      <c r="I85" s="27" t="s">
        <v>135</v>
      </c>
      <c r="J85" s="14"/>
      <c r="K85" s="39">
        <f ca="1">(IF(B79=0,H79/4+K84,(H79/(B79+4)+K84)))</f>
        <v>2</v>
      </c>
    </row>
    <row r="86" spans="1:11" ht="15.75" customHeight="1" x14ac:dyDescent="0.3">
      <c r="A86" s="99" t="s">
        <v>172</v>
      </c>
      <c r="B86" s="100" t="s">
        <v>165</v>
      </c>
      <c r="C86" s="63">
        <v>4</v>
      </c>
      <c r="D86" s="64">
        <f ca="1">((100/H79)*C86)/100</f>
        <v>1</v>
      </c>
      <c r="E86" s="102"/>
      <c r="F86" s="102"/>
      <c r="G86" s="102"/>
      <c r="H86" s="104"/>
      <c r="I86" s="27" t="s">
        <v>178</v>
      </c>
      <c r="J86" s="40"/>
      <c r="K86" s="39">
        <f>(IF(B79=0,0,(H79/(B79+4)+K85)))</f>
        <v>0</v>
      </c>
    </row>
    <row r="87" spans="1:11" ht="15" customHeight="1" x14ac:dyDescent="0.3">
      <c r="A87" s="99" t="s">
        <v>170</v>
      </c>
      <c r="B87" s="100" t="s">
        <v>167</v>
      </c>
      <c r="C87" s="63">
        <v>4</v>
      </c>
      <c r="D87" s="64">
        <f ca="1">((100/(H79))*C87)/100</f>
        <v>1</v>
      </c>
      <c r="E87" s="102"/>
      <c r="F87" s="102"/>
      <c r="G87" s="102"/>
      <c r="H87" s="104"/>
      <c r="I87" s="27" t="s">
        <v>179</v>
      </c>
      <c r="J87" s="40"/>
      <c r="K87" s="39">
        <f>(IF(B79&gt;1,(H79/(B79+4)+K86),0))</f>
        <v>0</v>
      </c>
    </row>
    <row r="88" spans="1:11" ht="15.75" customHeight="1" x14ac:dyDescent="0.3">
      <c r="A88" s="99" t="s">
        <v>166</v>
      </c>
      <c r="B88" s="100" t="s">
        <v>166</v>
      </c>
      <c r="C88" s="63">
        <v>4</v>
      </c>
      <c r="D88" s="64">
        <f ca="1">((100/H79)*C88)/100</f>
        <v>1</v>
      </c>
      <c r="E88" s="102"/>
      <c r="F88" s="102"/>
      <c r="G88" s="102"/>
      <c r="H88" s="104"/>
      <c r="I88" s="27" t="s">
        <v>180</v>
      </c>
      <c r="J88" s="41"/>
      <c r="K88" s="42">
        <f>(IF(B79&gt;2,(H79/(B79+4)+K87),0))</f>
        <v>0</v>
      </c>
    </row>
    <row r="89" spans="1:11" ht="15.75" customHeight="1" x14ac:dyDescent="0.3">
      <c r="A89" s="99" t="s">
        <v>173</v>
      </c>
      <c r="B89" s="100"/>
      <c r="C89" s="63">
        <v>3</v>
      </c>
      <c r="D89" s="64">
        <f ca="1">((100/H79)*C89)/100</f>
        <v>0.75</v>
      </c>
      <c r="E89" s="102"/>
      <c r="F89" s="102"/>
      <c r="G89" s="102"/>
      <c r="H89" s="104"/>
      <c r="I89" s="27" t="s">
        <v>181</v>
      </c>
      <c r="J89" s="43"/>
      <c r="K89" s="44">
        <f>(IF(B79&gt;3,(H79/(B79+4)+K88),0))</f>
        <v>0</v>
      </c>
    </row>
    <row r="90" spans="1:11" ht="15.75" customHeight="1" x14ac:dyDescent="0.3">
      <c r="A90" s="99" t="s">
        <v>168</v>
      </c>
      <c r="B90" s="100" t="s">
        <v>168</v>
      </c>
      <c r="C90" s="63">
        <v>1</v>
      </c>
      <c r="D90" s="64">
        <f ca="1">((100/(H79))*C90)/100</f>
        <v>0.25</v>
      </c>
      <c r="E90" s="102"/>
      <c r="F90" s="102"/>
      <c r="G90" s="102"/>
      <c r="H90" s="104"/>
      <c r="I90" s="27" t="s">
        <v>136</v>
      </c>
      <c r="J90" s="14"/>
      <c r="K90" s="39">
        <f ca="1">(IF(B79=0,H79/4+K85,(H79/(B79+4)+K85+MAX(0,K86-K85)+MAX(0,K87-K86)+MAX(0,K88-K87)+MAX(0,K89-K88))))</f>
        <v>3</v>
      </c>
    </row>
    <row r="91" spans="1:11" ht="16.2" thickBot="1" x14ac:dyDescent="0.35">
      <c r="A91" s="106" t="s">
        <v>169</v>
      </c>
      <c r="B91" s="107"/>
      <c r="C91" s="66">
        <v>0</v>
      </c>
      <c r="D91" s="67">
        <f ca="1">((100/(H79))*C91)/100</f>
        <v>0</v>
      </c>
      <c r="E91" s="103"/>
      <c r="F91" s="103"/>
      <c r="G91" s="103"/>
      <c r="H91" s="105"/>
      <c r="I91" s="30" t="s">
        <v>137</v>
      </c>
      <c r="J91" s="31"/>
      <c r="K91" s="45">
        <f ca="1">(IF(B79=0,H79/4+K90,(H79/(B79+4)+K90)))</f>
        <v>4</v>
      </c>
    </row>
    <row r="92" spans="1:11" ht="18.75" customHeight="1" x14ac:dyDescent="0.3">
      <c r="A92" s="122" t="s">
        <v>175</v>
      </c>
      <c r="B92" s="123"/>
      <c r="C92" s="124" t="s">
        <v>199</v>
      </c>
      <c r="D92" s="125"/>
      <c r="E92" s="125"/>
      <c r="F92" s="125"/>
      <c r="G92" s="125"/>
      <c r="H92" s="126"/>
      <c r="I92" s="10" t="str">
        <f ca="1">(IF(C96=0,"Work not yet Started.",IF(D96=25%,"Piling work in process",IF(D96=50%,"Excavation work in process",IF(D96=100%,"Excavation work completed, ","0")))&amp;(IF(C97=0%,"",IF(C97=K98,"Footing work is process",IF(C97=K99,"Footing work Completed",IF(C97=K100,"1st Basement Completed",IF(C97=K101,"1st &amp; 2nd Basement Completed",IF(C97=K102,"1st to 3rd Basement Completed",IF(C97=K103,"1st to 4th Basement Completed",IF(C97=K104,"Plinth work is process",IF(C97=K105,"Plinth work completed","0")))))))))))&amp;(IF(C98&gt;0,", RCC upto "&amp;C98&amp;" Slab completed",""))&amp;(IF(C99&gt;0,", Brickwork upto "&amp;C99&amp;" Floor completed"," "))&amp;(IF(C100&gt;0,", Internal Plaster upto "&amp;C100&amp;" Floor completed"," "))&amp;(IF(C101&gt;0,", External Plaster upto "&amp;C101&amp;" Floor completed"," "))&amp;(IF(C102&gt;0,", Flooring upto "&amp;C102&amp;" Floor completed"," "))&amp;(IF(C103&gt;0,", Painting upto "&amp;C103&amp;" Floor completed"," "))&amp;(IF(C104&gt;0,", Finishing upto "&amp;C104&amp;" Floor completed"," ")))</f>
        <v xml:space="preserve">Excavation work completed, Plinth work completed, RCC upto 5 Slab completed      </v>
      </c>
      <c r="J92" s="10"/>
      <c r="K92" s="11"/>
    </row>
    <row r="93" spans="1:11" x14ac:dyDescent="0.3">
      <c r="A93" s="32" t="s">
        <v>177</v>
      </c>
      <c r="B93" s="29">
        <v>0</v>
      </c>
      <c r="C93" s="29" t="s">
        <v>102</v>
      </c>
      <c r="D93" s="29">
        <v>1</v>
      </c>
      <c r="E93" s="29" t="s">
        <v>101</v>
      </c>
      <c r="F93" s="29">
        <v>0</v>
      </c>
      <c r="G93" s="29" t="s">
        <v>110</v>
      </c>
      <c r="H93" s="38">
        <f ca="1">--TRIM(RIGHT(SUBSTITUTE(LEFT(C92,_xlfn.AGGREGATE(16,6,FIND({0,1,2,3,4,5,6,7,8,9},C92,ROW(INDIRECT("1:"&amp;LEN(C92)))),1))," ",REPT(" ",LEN(C92))),LEN(C92)))</f>
        <v>4</v>
      </c>
      <c r="I93" s="9" t="s">
        <v>153</v>
      </c>
      <c r="J93" s="9"/>
      <c r="K93" s="12"/>
    </row>
    <row r="94" spans="1:11" ht="34.200000000000003" customHeight="1" x14ac:dyDescent="0.3">
      <c r="A94" s="108" t="s">
        <v>120</v>
      </c>
      <c r="B94" s="109"/>
      <c r="C94" s="97" t="str">
        <f ca="1">I92</f>
        <v xml:space="preserve">Excavation work completed, Plinth work completed, RCC upto 5 Slab completed      </v>
      </c>
      <c r="D94" s="97"/>
      <c r="E94" s="97"/>
      <c r="F94" s="97"/>
      <c r="G94" s="97"/>
      <c r="H94" s="98"/>
      <c r="I94" s="9" t="s">
        <v>138</v>
      </c>
      <c r="J94" s="9"/>
      <c r="K94" s="12"/>
    </row>
    <row r="95" spans="1:11" x14ac:dyDescent="0.3">
      <c r="A95" s="99" t="s">
        <v>53</v>
      </c>
      <c r="B95" s="100"/>
      <c r="C95" s="62" t="s">
        <v>174</v>
      </c>
      <c r="D95" s="62" t="s">
        <v>113</v>
      </c>
      <c r="E95" s="100" t="s">
        <v>115</v>
      </c>
      <c r="F95" s="100"/>
      <c r="G95" s="100" t="s">
        <v>114</v>
      </c>
      <c r="H95" s="101"/>
      <c r="I95" s="27" t="s">
        <v>176</v>
      </c>
      <c r="K95" s="13">
        <f ca="1">H93*25%</f>
        <v>1</v>
      </c>
    </row>
    <row r="96" spans="1:11" x14ac:dyDescent="0.3">
      <c r="A96" s="99" t="s">
        <v>163</v>
      </c>
      <c r="B96" s="100"/>
      <c r="C96" s="63">
        <f ca="1">K97</f>
        <v>4</v>
      </c>
      <c r="D96" s="64">
        <f ca="1">((100/H93)*C96)/100</f>
        <v>1</v>
      </c>
      <c r="E96" s="102">
        <f ca="1">(IF(C94=I93,"100%",IF(C94=I94,"100%",(((C97/H93*10)+(40/(D93+F93+H93)*C98)+(7.5/(H93)*C99)+(7.5/(H93)*C100)+(10/H93*C101)+(10/H93*C102)+(5/H93*C103)+(5/H93*C104)+(5/H93*C105))/100))))</f>
        <v>0.5</v>
      </c>
      <c r="F96" s="102"/>
      <c r="G96" s="102">
        <f ca="1">((((C96/H93)*20)+((C97/H93)*25)+(30/(H93+F93+D93)*C98)+(5/H93*C99)+(5/H93*C100)+(5/H93*C101)+(5/H93*C102)+(0/H93*C103)+(0/H93*C104)+(5/H93*C105))/100)</f>
        <v>0.75</v>
      </c>
      <c r="H96" s="104"/>
      <c r="I96" s="27" t="s">
        <v>132</v>
      </c>
      <c r="J96" s="14"/>
      <c r="K96" s="28">
        <f ca="1">H93*50%</f>
        <v>2</v>
      </c>
    </row>
    <row r="97" spans="1:11" x14ac:dyDescent="0.3">
      <c r="A97" s="99" t="s">
        <v>54</v>
      </c>
      <c r="B97" s="100"/>
      <c r="C97" s="65">
        <v>4</v>
      </c>
      <c r="D97" s="64">
        <f ca="1">((100/H93)*C97)/100</f>
        <v>1</v>
      </c>
      <c r="E97" s="102"/>
      <c r="F97" s="102"/>
      <c r="G97" s="102"/>
      <c r="H97" s="104"/>
      <c r="I97" s="27" t="s">
        <v>133</v>
      </c>
      <c r="J97" s="14"/>
      <c r="K97" s="28">
        <f ca="1">H93</f>
        <v>4</v>
      </c>
    </row>
    <row r="98" spans="1:11" ht="15.75" customHeight="1" x14ac:dyDescent="0.3">
      <c r="A98" s="110" t="s">
        <v>164</v>
      </c>
      <c r="B98" s="111"/>
      <c r="C98" s="65">
        <v>5</v>
      </c>
      <c r="D98" s="64">
        <f ca="1">((100/(D93+F93+H93))*C98)/100</f>
        <v>1</v>
      </c>
      <c r="E98" s="102"/>
      <c r="F98" s="102"/>
      <c r="G98" s="102"/>
      <c r="H98" s="104"/>
      <c r="I98" s="27" t="s">
        <v>134</v>
      </c>
      <c r="J98" s="14"/>
      <c r="K98" s="39">
        <f ca="1">(IF(B93=0,H93/4,(H93/(B93+4))))</f>
        <v>1</v>
      </c>
    </row>
    <row r="99" spans="1:11" ht="15.75" customHeight="1" x14ac:dyDescent="0.3">
      <c r="A99" s="99" t="s">
        <v>171</v>
      </c>
      <c r="B99" s="100" t="s">
        <v>165</v>
      </c>
      <c r="C99" s="63">
        <v>0</v>
      </c>
      <c r="D99" s="64">
        <f ca="1">((100/H93)*C99)/100</f>
        <v>0</v>
      </c>
      <c r="E99" s="102"/>
      <c r="F99" s="102"/>
      <c r="G99" s="102"/>
      <c r="H99" s="104"/>
      <c r="I99" s="27" t="s">
        <v>135</v>
      </c>
      <c r="J99" s="14"/>
      <c r="K99" s="39">
        <f ca="1">(IF(B93=0,H93/4+K98,(H93/(B93+4)+K98)))</f>
        <v>2</v>
      </c>
    </row>
    <row r="100" spans="1:11" ht="15.75" customHeight="1" x14ac:dyDescent="0.3">
      <c r="A100" s="99" t="s">
        <v>172</v>
      </c>
      <c r="B100" s="100" t="s">
        <v>165</v>
      </c>
      <c r="C100" s="63">
        <v>0</v>
      </c>
      <c r="D100" s="64">
        <f ca="1">((100/H93)*C100)/100</f>
        <v>0</v>
      </c>
      <c r="E100" s="102"/>
      <c r="F100" s="102"/>
      <c r="G100" s="102"/>
      <c r="H100" s="104"/>
      <c r="I100" s="27" t="s">
        <v>178</v>
      </c>
      <c r="J100" s="40"/>
      <c r="K100" s="39">
        <f>(IF(B93=0,0,(H93/(B93+4)+K99)))</f>
        <v>0</v>
      </c>
    </row>
    <row r="101" spans="1:11" ht="15" customHeight="1" x14ac:dyDescent="0.3">
      <c r="A101" s="99" t="s">
        <v>170</v>
      </c>
      <c r="B101" s="100" t="s">
        <v>167</v>
      </c>
      <c r="C101" s="63">
        <v>0</v>
      </c>
      <c r="D101" s="64">
        <f ca="1">((100/(H93))*C101)/100</f>
        <v>0</v>
      </c>
      <c r="E101" s="102"/>
      <c r="F101" s="102"/>
      <c r="G101" s="102"/>
      <c r="H101" s="104"/>
      <c r="I101" s="27" t="s">
        <v>179</v>
      </c>
      <c r="J101" s="40"/>
      <c r="K101" s="39">
        <f>(IF(B93&gt;1,(H93/(B93+4)+K100),0))</f>
        <v>0</v>
      </c>
    </row>
    <row r="102" spans="1:11" ht="15.75" customHeight="1" x14ac:dyDescent="0.3">
      <c r="A102" s="99" t="s">
        <v>166</v>
      </c>
      <c r="B102" s="100" t="s">
        <v>166</v>
      </c>
      <c r="C102" s="63">
        <v>0</v>
      </c>
      <c r="D102" s="64">
        <f ca="1">((100/H93)*C102)/100</f>
        <v>0</v>
      </c>
      <c r="E102" s="102"/>
      <c r="F102" s="102"/>
      <c r="G102" s="102"/>
      <c r="H102" s="104"/>
      <c r="I102" s="27" t="s">
        <v>180</v>
      </c>
      <c r="J102" s="41"/>
      <c r="K102" s="42">
        <f>(IF(B93&gt;2,(H93/(B93+4)+K101),0))</f>
        <v>0</v>
      </c>
    </row>
    <row r="103" spans="1:11" ht="15.75" customHeight="1" x14ac:dyDescent="0.3">
      <c r="A103" s="99" t="s">
        <v>173</v>
      </c>
      <c r="B103" s="100"/>
      <c r="C103" s="63">
        <v>0</v>
      </c>
      <c r="D103" s="64">
        <f ca="1">((100/H93)*C103)/100</f>
        <v>0</v>
      </c>
      <c r="E103" s="102"/>
      <c r="F103" s="102"/>
      <c r="G103" s="102"/>
      <c r="H103" s="104"/>
      <c r="I103" s="27" t="s">
        <v>181</v>
      </c>
      <c r="J103" s="43"/>
      <c r="K103" s="44">
        <f>(IF(B93&gt;3,(H93/(B93+4)+K102),0))</f>
        <v>0</v>
      </c>
    </row>
    <row r="104" spans="1:11" ht="15.75" customHeight="1" x14ac:dyDescent="0.3">
      <c r="A104" s="99" t="s">
        <v>168</v>
      </c>
      <c r="B104" s="100" t="s">
        <v>168</v>
      </c>
      <c r="C104" s="63">
        <v>0</v>
      </c>
      <c r="D104" s="64">
        <f ca="1">((100/(H93))*C104)/100</f>
        <v>0</v>
      </c>
      <c r="E104" s="102"/>
      <c r="F104" s="102"/>
      <c r="G104" s="102"/>
      <c r="H104" s="104"/>
      <c r="I104" s="27" t="s">
        <v>136</v>
      </c>
      <c r="J104" s="14"/>
      <c r="K104" s="39">
        <f ca="1">(IF(B93=0,H93/4+K99,(H93/(B93+4)+K99+MAX(0,K100-K99)+MAX(0,K101-K100)+MAX(0,K102-K101)+MAX(0,K103-K102))))</f>
        <v>3</v>
      </c>
    </row>
    <row r="105" spans="1:11" ht="16.2" thickBot="1" x14ac:dyDescent="0.35">
      <c r="A105" s="106" t="s">
        <v>169</v>
      </c>
      <c r="B105" s="107"/>
      <c r="C105" s="66">
        <v>0</v>
      </c>
      <c r="D105" s="67">
        <f ca="1">((100/(H93))*C105)/100</f>
        <v>0</v>
      </c>
      <c r="E105" s="103"/>
      <c r="F105" s="103"/>
      <c r="G105" s="103"/>
      <c r="H105" s="105"/>
      <c r="I105" s="30" t="s">
        <v>137</v>
      </c>
      <c r="J105" s="31"/>
      <c r="K105" s="45">
        <f ca="1">(IF(B93=0,H93/4+K104,(H93/(B93+4)+K104)))</f>
        <v>4</v>
      </c>
    </row>
    <row r="106" spans="1:11" ht="15.75" customHeight="1" x14ac:dyDescent="0.3">
      <c r="A106" s="122" t="s">
        <v>175</v>
      </c>
      <c r="B106" s="123"/>
      <c r="C106" s="124" t="s">
        <v>238</v>
      </c>
      <c r="D106" s="125"/>
      <c r="E106" s="125"/>
      <c r="F106" s="125"/>
      <c r="G106" s="125"/>
      <c r="H106" s="126"/>
      <c r="I106" s="10" t="str">
        <f ca="1">(IF(C110=0,"Work not yet Started.",IF(D110=25%,"Piling work in process",IF(D110=50%,"Excavation work in process",IF(D110=100%,"Excavation work completed, ","0")))&amp;(IF(C111=0%,"",IF(C111=K112,"Footing work is process",IF(C111=K113,"Footing work Completed",IF(C111=K114,"1st Basement Completed",IF(C111=K115,"1st &amp; 2nd Basement Completed",IF(C111=K116,"1st to 3rd Basement Completed",IF(C111=K117,"1st to 4th Basement Completed",IF(C111=K118,"Plinth work is process",IF(C111=K119,"Plinth work completed","0")))))))))))&amp;(IF(C112&gt;0,", RCC upto "&amp;C112&amp;" Slab completed",""))&amp;(IF(C113&gt;0,", Brickwork upto "&amp;C113&amp;" Floor completed"," "))&amp;(IF(C114&gt;0,", Internal Plaster upto "&amp;C114&amp;" Floor completed"," "))&amp;(IF(C115&gt;0,", External Plaster upto "&amp;C115&amp;" Floor completed"," "))&amp;(IF(C116&gt;0,", Flooring upto "&amp;C116&amp;" Floor completed"," "))&amp;(IF(C117&gt;0,", Painting upto "&amp;C117&amp;" Floor completed"," "))&amp;(IF(C118&gt;0,", Finishing upto "&amp;C118&amp;"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4 Floor completed</v>
      </c>
      <c r="J106" s="10"/>
      <c r="K106" s="11"/>
    </row>
    <row r="107" spans="1:11" x14ac:dyDescent="0.3">
      <c r="A107" s="32" t="s">
        <v>177</v>
      </c>
      <c r="B107" s="29">
        <v>0</v>
      </c>
      <c r="C107" s="29" t="s">
        <v>102</v>
      </c>
      <c r="D107" s="29">
        <v>1</v>
      </c>
      <c r="E107" s="29" t="s">
        <v>101</v>
      </c>
      <c r="F107" s="29">
        <v>0</v>
      </c>
      <c r="G107" s="29" t="s">
        <v>110</v>
      </c>
      <c r="H107" s="38">
        <f ca="1">--TRIM(RIGHT(SUBSTITUTE(LEFT(C106,_xlfn.AGGREGATE(16,6,FIND({0,1,2,3,4,5,6,7,8,9},C106,ROW(INDIRECT("1:"&amp;LEN(C106)))),1))," ",REPT(" ",LEN(C106))),LEN(C106)))</f>
        <v>4</v>
      </c>
      <c r="I107" s="9" t="s">
        <v>153</v>
      </c>
      <c r="J107" s="9"/>
      <c r="K107" s="12"/>
    </row>
    <row r="108" spans="1:11" x14ac:dyDescent="0.3">
      <c r="A108" s="108" t="s">
        <v>120</v>
      </c>
      <c r="B108" s="109"/>
      <c r="C108" s="97" t="str">
        <f>I107</f>
        <v>All work Completed. Provide OC.</v>
      </c>
      <c r="D108" s="97"/>
      <c r="E108" s="97"/>
      <c r="F108" s="97"/>
      <c r="G108" s="97"/>
      <c r="H108" s="98"/>
      <c r="I108" s="9" t="s">
        <v>138</v>
      </c>
      <c r="J108" s="9"/>
      <c r="K108" s="12"/>
    </row>
    <row r="109" spans="1:11" x14ac:dyDescent="0.3">
      <c r="A109" s="99" t="s">
        <v>53</v>
      </c>
      <c r="B109" s="100"/>
      <c r="C109" s="62" t="s">
        <v>174</v>
      </c>
      <c r="D109" s="62" t="s">
        <v>113</v>
      </c>
      <c r="E109" s="100" t="s">
        <v>115</v>
      </c>
      <c r="F109" s="100"/>
      <c r="G109" s="100" t="s">
        <v>114</v>
      </c>
      <c r="H109" s="101"/>
      <c r="I109" s="27" t="s">
        <v>176</v>
      </c>
      <c r="K109" s="13">
        <f ca="1">H107*25%</f>
        <v>1</v>
      </c>
    </row>
    <row r="110" spans="1:11" x14ac:dyDescent="0.3">
      <c r="A110" s="99" t="s">
        <v>163</v>
      </c>
      <c r="B110" s="100"/>
      <c r="C110" s="63">
        <f ca="1">K111</f>
        <v>4</v>
      </c>
      <c r="D110" s="64">
        <f ca="1">((100/H107)*C110)/100</f>
        <v>1</v>
      </c>
      <c r="E110" s="102" t="str">
        <f>(IF(C108=I107,"100%",IF(C108=I108,"100%",(((C111/H107*10)+(40/(D107+F107+H107)*C112)+(7.5/(H107)*C113)+(7.5/(H107)*C114)+(10/H107*C115)+(10/H107*C116)+(5/H107*C117)+(5/H107*C118)+(5/H107*C119))/100))))</f>
        <v>100%</v>
      </c>
      <c r="F110" s="102"/>
      <c r="G110" s="102">
        <f ca="1">((((C110/H107)*20)+((C111/H107)*25)+(30/(H107+F107+D107)*C112)+(5/H107*C113)+(5/H107*C114)+(5/H107*C115)+(5/H107*C116)+(0/H107*C117)+(0/H107*C118)+(5/H107*C119))/100)</f>
        <v>1</v>
      </c>
      <c r="H110" s="104"/>
      <c r="I110" s="27" t="s">
        <v>132</v>
      </c>
      <c r="J110" s="14"/>
      <c r="K110" s="28">
        <f ca="1">H107*50%</f>
        <v>2</v>
      </c>
    </row>
    <row r="111" spans="1:11" x14ac:dyDescent="0.3">
      <c r="A111" s="99" t="s">
        <v>54</v>
      </c>
      <c r="B111" s="100"/>
      <c r="C111" s="65">
        <f ca="1">K119</f>
        <v>4</v>
      </c>
      <c r="D111" s="64">
        <f ca="1">((100/H107)*C111)/100</f>
        <v>1</v>
      </c>
      <c r="E111" s="102"/>
      <c r="F111" s="102"/>
      <c r="G111" s="102"/>
      <c r="H111" s="104"/>
      <c r="I111" s="27" t="s">
        <v>133</v>
      </c>
      <c r="J111" s="14"/>
      <c r="K111" s="28">
        <f ca="1">H107</f>
        <v>4</v>
      </c>
    </row>
    <row r="112" spans="1:11" ht="15.75" customHeight="1" x14ac:dyDescent="0.3">
      <c r="A112" s="110" t="s">
        <v>164</v>
      </c>
      <c r="B112" s="111"/>
      <c r="C112" s="65">
        <v>5</v>
      </c>
      <c r="D112" s="64">
        <f ca="1">((100/(D107+F107+H107))*C112)/100</f>
        <v>1</v>
      </c>
      <c r="E112" s="102"/>
      <c r="F112" s="102"/>
      <c r="G112" s="102"/>
      <c r="H112" s="104"/>
      <c r="I112" s="27" t="s">
        <v>134</v>
      </c>
      <c r="J112" s="14"/>
      <c r="K112" s="39">
        <f ca="1">(IF(B107=0,H107/4,(H107/(B107+4))))</f>
        <v>1</v>
      </c>
    </row>
    <row r="113" spans="1:11" ht="15.75" customHeight="1" x14ac:dyDescent="0.3">
      <c r="A113" s="99" t="s">
        <v>171</v>
      </c>
      <c r="B113" s="100" t="s">
        <v>165</v>
      </c>
      <c r="C113" s="63">
        <v>4</v>
      </c>
      <c r="D113" s="64">
        <f ca="1">((100/H107)*C113)/100</f>
        <v>1</v>
      </c>
      <c r="E113" s="102"/>
      <c r="F113" s="102"/>
      <c r="G113" s="102"/>
      <c r="H113" s="104"/>
      <c r="I113" s="27" t="s">
        <v>135</v>
      </c>
      <c r="J113" s="14"/>
      <c r="K113" s="39">
        <f ca="1">(IF(B107=0,H107/4+K112,(H107/(B107+4)+K112)))</f>
        <v>2</v>
      </c>
    </row>
    <row r="114" spans="1:11" ht="15.75" customHeight="1" x14ac:dyDescent="0.3">
      <c r="A114" s="99" t="s">
        <v>172</v>
      </c>
      <c r="B114" s="100" t="s">
        <v>165</v>
      </c>
      <c r="C114" s="63">
        <v>4</v>
      </c>
      <c r="D114" s="64">
        <f ca="1">((100/H107)*C114)/100</f>
        <v>1</v>
      </c>
      <c r="E114" s="102"/>
      <c r="F114" s="102"/>
      <c r="G114" s="102"/>
      <c r="H114" s="104"/>
      <c r="I114" s="27" t="s">
        <v>178</v>
      </c>
      <c r="J114" s="40"/>
      <c r="K114" s="39">
        <f>(IF(B107=0,0,(H107/(B107+4)+K113)))</f>
        <v>0</v>
      </c>
    </row>
    <row r="115" spans="1:11" ht="15" customHeight="1" x14ac:dyDescent="0.3">
      <c r="A115" s="99" t="s">
        <v>170</v>
      </c>
      <c r="B115" s="100" t="s">
        <v>167</v>
      </c>
      <c r="C115" s="63">
        <v>4</v>
      </c>
      <c r="D115" s="64">
        <f ca="1">((100/(H107))*C115)/100</f>
        <v>1</v>
      </c>
      <c r="E115" s="102"/>
      <c r="F115" s="102"/>
      <c r="G115" s="102"/>
      <c r="H115" s="104"/>
      <c r="I115" s="27" t="s">
        <v>179</v>
      </c>
      <c r="J115" s="40"/>
      <c r="K115" s="39">
        <f>(IF(B107&gt;1,(H107/(B107+4)+K114),0))</f>
        <v>0</v>
      </c>
    </row>
    <row r="116" spans="1:11" ht="15.75" customHeight="1" x14ac:dyDescent="0.3">
      <c r="A116" s="99" t="s">
        <v>166</v>
      </c>
      <c r="B116" s="100" t="s">
        <v>166</v>
      </c>
      <c r="C116" s="63">
        <v>4</v>
      </c>
      <c r="D116" s="64">
        <f ca="1">((100/H107)*C116)/100</f>
        <v>1</v>
      </c>
      <c r="E116" s="102"/>
      <c r="F116" s="102"/>
      <c r="G116" s="102"/>
      <c r="H116" s="104"/>
      <c r="I116" s="27" t="s">
        <v>180</v>
      </c>
      <c r="J116" s="41"/>
      <c r="K116" s="42">
        <f>(IF(B107&gt;2,(H107/(B107+4)+K115),0))</f>
        <v>0</v>
      </c>
    </row>
    <row r="117" spans="1:11" ht="15.75" customHeight="1" x14ac:dyDescent="0.3">
      <c r="A117" s="99" t="s">
        <v>173</v>
      </c>
      <c r="B117" s="100"/>
      <c r="C117" s="63">
        <v>4</v>
      </c>
      <c r="D117" s="64">
        <f ca="1">((100/H107)*C117)/100</f>
        <v>1</v>
      </c>
      <c r="E117" s="102"/>
      <c r="F117" s="102"/>
      <c r="G117" s="102"/>
      <c r="H117" s="104"/>
      <c r="I117" s="27" t="s">
        <v>181</v>
      </c>
      <c r="J117" s="43"/>
      <c r="K117" s="44">
        <f>(IF(B107&gt;3,(H107/(B107+4)+K116),0))</f>
        <v>0</v>
      </c>
    </row>
    <row r="118" spans="1:11" ht="15.75" customHeight="1" x14ac:dyDescent="0.3">
      <c r="A118" s="99" t="s">
        <v>168</v>
      </c>
      <c r="B118" s="100" t="s">
        <v>168</v>
      </c>
      <c r="C118" s="63">
        <v>4</v>
      </c>
      <c r="D118" s="64">
        <f ca="1">((100/(H107))*C118)/100</f>
        <v>1</v>
      </c>
      <c r="E118" s="102"/>
      <c r="F118" s="102"/>
      <c r="G118" s="102"/>
      <c r="H118" s="104"/>
      <c r="I118" s="27" t="s">
        <v>136</v>
      </c>
      <c r="J118" s="14"/>
      <c r="K118" s="39">
        <f ca="1">(IF(B107=0,H107/4+K113,(H107/(B107+4)+K113+MAX(0,K114-K113)+MAX(0,K115-K114)+MAX(0,K116-K115)+MAX(0,K117-K116))))</f>
        <v>3</v>
      </c>
    </row>
    <row r="119" spans="1:11" ht="16.2" thickBot="1" x14ac:dyDescent="0.35">
      <c r="A119" s="106" t="s">
        <v>169</v>
      </c>
      <c r="B119" s="107"/>
      <c r="C119" s="66">
        <v>4</v>
      </c>
      <c r="D119" s="67">
        <f ca="1">((100/(H107))*C119)/100</f>
        <v>1</v>
      </c>
      <c r="E119" s="103"/>
      <c r="F119" s="103"/>
      <c r="G119" s="103"/>
      <c r="H119" s="105"/>
      <c r="I119" s="30" t="s">
        <v>137</v>
      </c>
      <c r="J119" s="31"/>
      <c r="K119" s="45">
        <f ca="1">(IF(B107=0,H107/4+K118,(H107/(B107+4)+K118)))</f>
        <v>4</v>
      </c>
    </row>
    <row r="120" spans="1:11" ht="15.75" hidden="1" customHeight="1" x14ac:dyDescent="0.3">
      <c r="A120" s="122" t="s">
        <v>175</v>
      </c>
      <c r="B120" s="123"/>
      <c r="C120" s="124" t="s">
        <v>210</v>
      </c>
      <c r="D120" s="125"/>
      <c r="E120" s="125"/>
      <c r="F120" s="125"/>
      <c r="G120" s="125"/>
      <c r="H120" s="126"/>
      <c r="I120" s="10" t="str">
        <f ca="1">(IF(C124=0,"Work not yet Started.",IF(D124=25%,"Piling work in process",IF(D124=50%,"Excavation work in process",IF(D124=100%,"Excavation work completed, ","0")))&amp;(IF(C125=0%,"",IF(C125=K126,"Footing work is process",IF(C125=K127,"Footing work Completed",IF(C125=K128,"1st Basement Completed",IF(C125=K129,"1st &amp; 2nd Basement Completed",IF(C125=K130,"1st to 3rd Basement Completed",IF(C125=K131,"1st to 4th Basement Completed",IF(C125=K132,"Plinth work is process",IF(C125=K133,"Plinth work completed","0")))))))))))&amp;(IF(C126&gt;0,", RCC upto "&amp;C126&amp;" Slab completed",""))&amp;(IF(C127&gt;0,", Brickwork upto "&amp;C127&amp;" Floor completed"," "))&amp;(IF(C128&gt;0,", Internal Plaster upto "&amp;C128&amp;" Floor completed"," "))&amp;(IF(C129&gt;0,", External Plaster upto "&amp;C129&amp;" Floor completed"," "))&amp;(IF(C130&gt;0,", Flooring upto "&amp;C130&amp;" Floor completed"," "))&amp;(IF(C131&gt;0,", Painting upto "&amp;C131&amp;" Floor completed"," "))&amp;(IF(C132&gt;0,", Finishing upto "&amp;C132&amp;" Floor completed"," ")))</f>
        <v xml:space="preserve">Excavation work completed, Plinth work completed, RCC upto 5 Slab completed, Brickwork upto 4 Floor completed, Internal Plaster upto 4 Floor completed, External Plaster upto 4 Floor completed   </v>
      </c>
      <c r="J120" s="10"/>
      <c r="K120" s="11"/>
    </row>
    <row r="121" spans="1:11" hidden="1" x14ac:dyDescent="0.3">
      <c r="A121" s="32" t="s">
        <v>177</v>
      </c>
      <c r="B121" s="29">
        <v>0</v>
      </c>
      <c r="C121" s="29" t="s">
        <v>102</v>
      </c>
      <c r="D121" s="29">
        <v>1</v>
      </c>
      <c r="E121" s="29" t="s">
        <v>101</v>
      </c>
      <c r="F121" s="29">
        <v>0</v>
      </c>
      <c r="G121" s="29" t="s">
        <v>110</v>
      </c>
      <c r="H121" s="38">
        <f ca="1">--TRIM(RIGHT(SUBSTITUTE(LEFT(C120,_xlfn.AGGREGATE(16,6,FIND({0,1,2,3,4,5,6,7,8,9},C120,ROW(INDIRECT("1:"&amp;LEN(C120)))),1))," ",REPT(" ",LEN(C120))),LEN(C120)))</f>
        <v>4</v>
      </c>
      <c r="I121" s="9" t="s">
        <v>153</v>
      </c>
      <c r="J121" s="9"/>
      <c r="K121" s="12"/>
    </row>
    <row r="122" spans="1:11" ht="52.5" hidden="1" customHeight="1" x14ac:dyDescent="0.3">
      <c r="A122" s="108" t="s">
        <v>120</v>
      </c>
      <c r="B122" s="109"/>
      <c r="C122" s="97" t="str">
        <f ca="1">I120</f>
        <v xml:space="preserve">Excavation work completed, Plinth work completed, RCC upto 5 Slab completed, Brickwork upto 4 Floor completed, Internal Plaster upto 4 Floor completed, External Plaster upto 4 Floor completed   </v>
      </c>
      <c r="D122" s="97"/>
      <c r="E122" s="97"/>
      <c r="F122" s="97"/>
      <c r="G122" s="97"/>
      <c r="H122" s="98"/>
      <c r="I122" s="9" t="s">
        <v>138</v>
      </c>
      <c r="J122" s="9"/>
      <c r="K122" s="12"/>
    </row>
    <row r="123" spans="1:11" hidden="1" x14ac:dyDescent="0.3">
      <c r="A123" s="99" t="s">
        <v>53</v>
      </c>
      <c r="B123" s="100"/>
      <c r="C123" s="62" t="s">
        <v>174</v>
      </c>
      <c r="D123" s="62" t="s">
        <v>113</v>
      </c>
      <c r="E123" s="100" t="s">
        <v>115</v>
      </c>
      <c r="F123" s="100"/>
      <c r="G123" s="100" t="s">
        <v>114</v>
      </c>
      <c r="H123" s="101"/>
      <c r="I123" s="27" t="s">
        <v>176</v>
      </c>
      <c r="K123" s="13">
        <f ca="1">H121*25%</f>
        <v>1</v>
      </c>
    </row>
    <row r="124" spans="1:11" hidden="1" x14ac:dyDescent="0.3">
      <c r="A124" s="99" t="s">
        <v>163</v>
      </c>
      <c r="B124" s="100"/>
      <c r="C124" s="63">
        <f ca="1">K125</f>
        <v>4</v>
      </c>
      <c r="D124" s="64">
        <f ca="1">((100/H121)*C124)/100</f>
        <v>1</v>
      </c>
      <c r="E124" s="102">
        <f ca="1">(IF(C122=I121,"100%",IF(C122=I122,"100%",(((C125/H121*10)+(40/(D121+F121+H121)*C126)+(7.5/(H121)*C127)+(7.5/(H121)*C128)+(10/H121*C129)+(10/H121*C130)+(5/H121*C131)+(5/H121*C132)+(5/H121*C133))/100))))</f>
        <v>0.75</v>
      </c>
      <c r="F124" s="102"/>
      <c r="G124" s="102">
        <f ca="1">((((C124/H121)*20)+((C125/H121)*25)+(30/(H121+F121+D121)*C126)+(5/H121*C127)+(5/H121*C128)+(5/H121*C129)+(5/H121*C130)+(0/H121*C131)+(0/H121*C132)+(5/H121*C133))/100)</f>
        <v>0.9</v>
      </c>
      <c r="H124" s="104"/>
      <c r="I124" s="27" t="s">
        <v>132</v>
      </c>
      <c r="J124" s="14"/>
      <c r="K124" s="28">
        <f ca="1">H121*50%</f>
        <v>2</v>
      </c>
    </row>
    <row r="125" spans="1:11" hidden="1" x14ac:dyDescent="0.3">
      <c r="A125" s="99" t="s">
        <v>54</v>
      </c>
      <c r="B125" s="100"/>
      <c r="C125" s="65">
        <f ca="1">K133</f>
        <v>4</v>
      </c>
      <c r="D125" s="64">
        <f ca="1">((100/H121)*C125)/100</f>
        <v>1</v>
      </c>
      <c r="E125" s="102"/>
      <c r="F125" s="102"/>
      <c r="G125" s="102"/>
      <c r="H125" s="104"/>
      <c r="I125" s="27" t="s">
        <v>133</v>
      </c>
      <c r="J125" s="14"/>
      <c r="K125" s="28">
        <f ca="1">H121</f>
        <v>4</v>
      </c>
    </row>
    <row r="126" spans="1:11" ht="15.75" hidden="1" customHeight="1" x14ac:dyDescent="0.3">
      <c r="A126" s="99" t="s">
        <v>164</v>
      </c>
      <c r="B126" s="100"/>
      <c r="C126" s="65">
        <v>5</v>
      </c>
      <c r="D126" s="64">
        <f ca="1">((100/(D121+F121+H121))*C126)/100</f>
        <v>1</v>
      </c>
      <c r="E126" s="102"/>
      <c r="F126" s="102"/>
      <c r="G126" s="102"/>
      <c r="H126" s="104"/>
      <c r="I126" s="27" t="s">
        <v>134</v>
      </c>
      <c r="J126" s="14"/>
      <c r="K126" s="39">
        <f ca="1">(IF(B121=0,H121/4,(H121/(B121+4))))</f>
        <v>1</v>
      </c>
    </row>
    <row r="127" spans="1:11" ht="15.75" hidden="1" customHeight="1" x14ac:dyDescent="0.3">
      <c r="A127" s="99" t="s">
        <v>171</v>
      </c>
      <c r="B127" s="100" t="s">
        <v>165</v>
      </c>
      <c r="C127" s="63">
        <v>4</v>
      </c>
      <c r="D127" s="64">
        <f ca="1">((100/H121)*C127)/100</f>
        <v>1</v>
      </c>
      <c r="E127" s="102"/>
      <c r="F127" s="102"/>
      <c r="G127" s="102"/>
      <c r="H127" s="104"/>
      <c r="I127" s="27" t="s">
        <v>135</v>
      </c>
      <c r="J127" s="14"/>
      <c r="K127" s="39">
        <f ca="1">(IF(B121=0,H121/4+K126,(H121/(B121+4)+K126)))</f>
        <v>2</v>
      </c>
    </row>
    <row r="128" spans="1:11" ht="15.75" hidden="1" customHeight="1" x14ac:dyDescent="0.3">
      <c r="A128" s="99" t="s">
        <v>172</v>
      </c>
      <c r="B128" s="100" t="s">
        <v>165</v>
      </c>
      <c r="C128" s="63">
        <v>4</v>
      </c>
      <c r="D128" s="64">
        <f ca="1">((100/H121)*C128)/100</f>
        <v>1</v>
      </c>
      <c r="E128" s="102"/>
      <c r="F128" s="102"/>
      <c r="G128" s="102"/>
      <c r="H128" s="104"/>
      <c r="I128" s="27" t="s">
        <v>178</v>
      </c>
      <c r="J128" s="40"/>
      <c r="K128" s="39">
        <f>(IF(B121=0,0,(H121/(B121+4)+K127)))</f>
        <v>0</v>
      </c>
    </row>
    <row r="129" spans="1:11" ht="15" hidden="1" customHeight="1" x14ac:dyDescent="0.3">
      <c r="A129" s="99" t="s">
        <v>170</v>
      </c>
      <c r="B129" s="100" t="s">
        <v>167</v>
      </c>
      <c r="C129" s="63">
        <v>4</v>
      </c>
      <c r="D129" s="64">
        <f ca="1">((100/(H121))*C129)/100</f>
        <v>1</v>
      </c>
      <c r="E129" s="102"/>
      <c r="F129" s="102"/>
      <c r="G129" s="102"/>
      <c r="H129" s="104"/>
      <c r="I129" s="27" t="s">
        <v>179</v>
      </c>
      <c r="J129" s="40"/>
      <c r="K129" s="39">
        <f>(IF(B121&gt;1,(H121/(B121+4)+K128),0))</f>
        <v>0</v>
      </c>
    </row>
    <row r="130" spans="1:11" ht="15.75" hidden="1" customHeight="1" x14ac:dyDescent="0.3">
      <c r="A130" s="99" t="s">
        <v>166</v>
      </c>
      <c r="B130" s="100" t="s">
        <v>166</v>
      </c>
      <c r="C130" s="63">
        <v>0</v>
      </c>
      <c r="D130" s="64">
        <f ca="1">((100/H121)*C130)/100</f>
        <v>0</v>
      </c>
      <c r="E130" s="102"/>
      <c r="F130" s="102"/>
      <c r="G130" s="102"/>
      <c r="H130" s="104"/>
      <c r="I130" s="27" t="s">
        <v>180</v>
      </c>
      <c r="J130" s="41"/>
      <c r="K130" s="42">
        <f>(IF(B121&gt;2,(H121/(B121+4)+K129),0))</f>
        <v>0</v>
      </c>
    </row>
    <row r="131" spans="1:11" ht="15.75" hidden="1" customHeight="1" x14ac:dyDescent="0.3">
      <c r="A131" s="99" t="s">
        <v>173</v>
      </c>
      <c r="B131" s="100"/>
      <c r="C131" s="63">
        <v>0</v>
      </c>
      <c r="D131" s="64">
        <f ca="1">((100/H121)*C131)/100</f>
        <v>0</v>
      </c>
      <c r="E131" s="102"/>
      <c r="F131" s="102"/>
      <c r="G131" s="102"/>
      <c r="H131" s="104"/>
      <c r="I131" s="27" t="s">
        <v>181</v>
      </c>
      <c r="J131" s="43"/>
      <c r="K131" s="44">
        <f>(IF(B121&gt;3,(H121/(B121+4)+K130),0))</f>
        <v>0</v>
      </c>
    </row>
    <row r="132" spans="1:11" ht="15.75" hidden="1" customHeight="1" x14ac:dyDescent="0.3">
      <c r="A132" s="99" t="s">
        <v>168</v>
      </c>
      <c r="B132" s="100" t="s">
        <v>168</v>
      </c>
      <c r="C132" s="63">
        <v>0</v>
      </c>
      <c r="D132" s="64">
        <f ca="1">((100/(H121))*C132)/100</f>
        <v>0</v>
      </c>
      <c r="E132" s="102"/>
      <c r="F132" s="102"/>
      <c r="G132" s="102"/>
      <c r="H132" s="104"/>
      <c r="I132" s="27" t="s">
        <v>136</v>
      </c>
      <c r="J132" s="14"/>
      <c r="K132" s="39">
        <f ca="1">(IF(B121=0,H121/4+K127,(H121/(B121+4)+K127+MAX(0,K128-K127)+MAX(0,K129-K128)+MAX(0,K130-K129)+MAX(0,K131-K130))))</f>
        <v>3</v>
      </c>
    </row>
    <row r="133" spans="1:11" ht="16.2" hidden="1" thickBot="1" x14ac:dyDescent="0.35">
      <c r="A133" s="106" t="s">
        <v>169</v>
      </c>
      <c r="B133" s="107"/>
      <c r="C133" s="66">
        <v>0</v>
      </c>
      <c r="D133" s="67">
        <f ca="1">((100/(H121))*C133)/100</f>
        <v>0</v>
      </c>
      <c r="E133" s="103"/>
      <c r="F133" s="103"/>
      <c r="G133" s="103"/>
      <c r="H133" s="105"/>
      <c r="I133" s="30" t="s">
        <v>137</v>
      </c>
      <c r="J133" s="31"/>
      <c r="K133" s="45">
        <f ca="1">(IF(B121=0,H121/4+K132,(H121/(B121+4)+K132)))</f>
        <v>4</v>
      </c>
    </row>
    <row r="134" spans="1:11" ht="15.75" customHeight="1" x14ac:dyDescent="0.3">
      <c r="A134" s="122" t="s">
        <v>175</v>
      </c>
      <c r="B134" s="123"/>
      <c r="C134" s="124" t="s">
        <v>240</v>
      </c>
      <c r="D134" s="125"/>
      <c r="E134" s="125"/>
      <c r="F134" s="125"/>
      <c r="G134" s="125"/>
      <c r="H134" s="126"/>
      <c r="I134" s="10" t="str">
        <f ca="1">(IF(C138=0,"Work not yet Started.",IF(D138=25%,"Piling work in process",IF(D138=50%,"Excavation work in process",IF(D138=100%,"Excavation work completed, ","0")))&amp;(IF(C139=0%,"",IF(C139=K140,"Footing work is process",IF(C139=K141,"Footing work Completed",IF(C139=K142,"1st Basement Completed",IF(C139=K143,"1st &amp; 2nd Basement Completed",IF(C139=K144,"1st to 3rd Basement Completed",IF(C139=K145,"1st to 4th Basement Completed",IF(C139=K146,"Plinth work is process",IF(C139=K147,"Plinth work completed","0")))))))))))&amp;(IF(C140&gt;0,", RCC upto "&amp;C140&amp;" Slab completed",""))&amp;(IF(C141&gt;0,", Brickwork upto "&amp;C141&amp;" Floor completed"," "))&amp;(IF(C142&gt;0,", Internal Plaster upto "&amp;C142&amp;" Floor completed"," "))&amp;(IF(C143&gt;0,", External Plaster upto "&amp;C143&amp;" Floor completed"," "))&amp;(IF(C144&gt;0,", Flooring upto "&amp;C144&amp;" Floor completed"," "))&amp;(IF(C145&gt;0,", Painting upto "&amp;C145&amp;" Floor completed"," "))&amp;(IF(C146&gt;0,", Finishing upto "&amp;C146&amp;" Floor completed"," ")))</f>
        <v xml:space="preserve">Excavation work completed, Footing work Completed      </v>
      </c>
      <c r="J134" s="10"/>
      <c r="K134" s="11"/>
    </row>
    <row r="135" spans="1:11" x14ac:dyDescent="0.3">
      <c r="A135" s="32" t="s">
        <v>177</v>
      </c>
      <c r="B135" s="29">
        <v>0</v>
      </c>
      <c r="C135" s="29" t="s">
        <v>102</v>
      </c>
      <c r="D135" s="29">
        <v>1</v>
      </c>
      <c r="E135" s="29" t="s">
        <v>101</v>
      </c>
      <c r="F135" s="29">
        <v>0</v>
      </c>
      <c r="G135" s="29" t="s">
        <v>110</v>
      </c>
      <c r="H135" s="38">
        <f ca="1">--TRIM(RIGHT(SUBSTITUTE(LEFT(C134,_xlfn.AGGREGATE(16,6,FIND({0,1,2,3,4,5,6,7,8,9},C134,ROW(INDIRECT("1:"&amp;LEN(C134)))),1))," ",REPT(" ",LEN(C134))),LEN(C134)))</f>
        <v>4</v>
      </c>
      <c r="I135" s="9" t="s">
        <v>153</v>
      </c>
      <c r="J135" s="9"/>
      <c r="K135" s="12"/>
    </row>
    <row r="136" spans="1:11" x14ac:dyDescent="0.3">
      <c r="A136" s="108" t="s">
        <v>120</v>
      </c>
      <c r="B136" s="109"/>
      <c r="C136" s="97" t="str">
        <f ca="1">I134</f>
        <v xml:space="preserve">Excavation work completed, Footing work Completed      </v>
      </c>
      <c r="D136" s="97"/>
      <c r="E136" s="97"/>
      <c r="F136" s="97"/>
      <c r="G136" s="97"/>
      <c r="H136" s="98"/>
      <c r="I136" s="9" t="s">
        <v>138</v>
      </c>
      <c r="J136" s="9"/>
      <c r="K136" s="12"/>
    </row>
    <row r="137" spans="1:11" x14ac:dyDescent="0.3">
      <c r="A137" s="99" t="s">
        <v>53</v>
      </c>
      <c r="B137" s="100"/>
      <c r="C137" s="62" t="s">
        <v>174</v>
      </c>
      <c r="D137" s="62" t="s">
        <v>113</v>
      </c>
      <c r="E137" s="100" t="s">
        <v>115</v>
      </c>
      <c r="F137" s="100"/>
      <c r="G137" s="100" t="s">
        <v>114</v>
      </c>
      <c r="H137" s="101"/>
      <c r="I137" s="27" t="s">
        <v>176</v>
      </c>
      <c r="K137" s="13">
        <f ca="1">H135*25%</f>
        <v>1</v>
      </c>
    </row>
    <row r="138" spans="1:11" x14ac:dyDescent="0.3">
      <c r="A138" s="99" t="s">
        <v>163</v>
      </c>
      <c r="B138" s="100"/>
      <c r="C138" s="63">
        <f ca="1">K139</f>
        <v>4</v>
      </c>
      <c r="D138" s="64">
        <f ca="1">((100/H135)*C138)/100</f>
        <v>1</v>
      </c>
      <c r="E138" s="102">
        <f ca="1">(IF(C136=I135,"100%",IF(C136=I136,"100%",(((C139/H135*10)+(40/(D135+F135+H135)*C140)+(7.5/(H135)*C141)+(7.5/(H135)*C142)+(10/H135*C143)+(10/H135*C144)+(5/H135*C145)+(5/H135*C146)+(5/H135*C147))/100))))</f>
        <v>0.05</v>
      </c>
      <c r="F138" s="102"/>
      <c r="G138" s="102">
        <f ca="1">((((C138/H135)*20)+((C139/H135)*25)+(30/(H135+F135+D135)*C140)+(5/H135*C141)+(5/H135*C142)+(5/H135*C143)+(5/H135*C144)+(0/H135*C145)+(0/H135*C146)+(5/H135*C147))/100)</f>
        <v>0.32500000000000001</v>
      </c>
      <c r="H138" s="104"/>
      <c r="I138" s="27" t="s">
        <v>132</v>
      </c>
      <c r="J138" s="14"/>
      <c r="K138" s="28">
        <f ca="1">H135*50%</f>
        <v>2</v>
      </c>
    </row>
    <row r="139" spans="1:11" x14ac:dyDescent="0.3">
      <c r="A139" s="99" t="s">
        <v>54</v>
      </c>
      <c r="B139" s="100"/>
      <c r="C139" s="65">
        <f ca="1">K141</f>
        <v>2</v>
      </c>
      <c r="D139" s="64">
        <f ca="1">((100/H135)*C139)/100</f>
        <v>0.5</v>
      </c>
      <c r="E139" s="102"/>
      <c r="F139" s="102"/>
      <c r="G139" s="102"/>
      <c r="H139" s="104"/>
      <c r="I139" s="27" t="s">
        <v>133</v>
      </c>
      <c r="J139" s="14"/>
      <c r="K139" s="28">
        <f ca="1">H135</f>
        <v>4</v>
      </c>
    </row>
    <row r="140" spans="1:11" ht="15.75" customHeight="1" x14ac:dyDescent="0.3">
      <c r="A140" s="110" t="s">
        <v>164</v>
      </c>
      <c r="B140" s="111"/>
      <c r="C140" s="65">
        <v>0</v>
      </c>
      <c r="D140" s="64">
        <f ca="1">((100/(D135+F135+H135))*C140)/100</f>
        <v>0</v>
      </c>
      <c r="E140" s="102"/>
      <c r="F140" s="102"/>
      <c r="G140" s="102"/>
      <c r="H140" s="104"/>
      <c r="I140" s="27" t="s">
        <v>134</v>
      </c>
      <c r="J140" s="14"/>
      <c r="K140" s="39">
        <f ca="1">(IF(B135=0,H135/4,(H135/(B135+4))))</f>
        <v>1</v>
      </c>
    </row>
    <row r="141" spans="1:11" ht="15.75" customHeight="1" x14ac:dyDescent="0.3">
      <c r="A141" s="99" t="s">
        <v>171</v>
      </c>
      <c r="B141" s="100" t="s">
        <v>165</v>
      </c>
      <c r="C141" s="63">
        <v>0</v>
      </c>
      <c r="D141" s="64">
        <f ca="1">((100/H135)*C141)/100</f>
        <v>0</v>
      </c>
      <c r="E141" s="102"/>
      <c r="F141" s="102"/>
      <c r="G141" s="102"/>
      <c r="H141" s="104"/>
      <c r="I141" s="27" t="s">
        <v>135</v>
      </c>
      <c r="J141" s="14"/>
      <c r="K141" s="39">
        <f ca="1">(IF(B135=0,H135/4+K140,(H135/(B135+4)+K140)))</f>
        <v>2</v>
      </c>
    </row>
    <row r="142" spans="1:11" ht="15.75" customHeight="1" x14ac:dyDescent="0.3">
      <c r="A142" s="99" t="s">
        <v>172</v>
      </c>
      <c r="B142" s="100" t="s">
        <v>165</v>
      </c>
      <c r="C142" s="63">
        <v>0</v>
      </c>
      <c r="D142" s="64">
        <f ca="1">((100/H135)*C142)/100</f>
        <v>0</v>
      </c>
      <c r="E142" s="102"/>
      <c r="F142" s="102"/>
      <c r="G142" s="102"/>
      <c r="H142" s="104"/>
      <c r="I142" s="27" t="s">
        <v>178</v>
      </c>
      <c r="J142" s="40"/>
      <c r="K142" s="39">
        <f>(IF(B135=0,0,(H135/(B135+4)+K141)))</f>
        <v>0</v>
      </c>
    </row>
    <row r="143" spans="1:11" ht="15" customHeight="1" x14ac:dyDescent="0.3">
      <c r="A143" s="99" t="s">
        <v>170</v>
      </c>
      <c r="B143" s="100" t="s">
        <v>167</v>
      </c>
      <c r="C143" s="63">
        <v>0</v>
      </c>
      <c r="D143" s="64">
        <f ca="1">((100/(H135))*C143)/100</f>
        <v>0</v>
      </c>
      <c r="E143" s="102"/>
      <c r="F143" s="102"/>
      <c r="G143" s="102"/>
      <c r="H143" s="104"/>
      <c r="I143" s="27" t="s">
        <v>179</v>
      </c>
      <c r="J143" s="40"/>
      <c r="K143" s="39">
        <f>(IF(B135&gt;1,(H135/(B135+4)+K142),0))</f>
        <v>0</v>
      </c>
    </row>
    <row r="144" spans="1:11" ht="15.75" customHeight="1" x14ac:dyDescent="0.3">
      <c r="A144" s="99" t="s">
        <v>166</v>
      </c>
      <c r="B144" s="100" t="s">
        <v>166</v>
      </c>
      <c r="C144" s="63">
        <v>0</v>
      </c>
      <c r="D144" s="64">
        <f ca="1">((100/H135)*C144)/100</f>
        <v>0</v>
      </c>
      <c r="E144" s="102"/>
      <c r="F144" s="102"/>
      <c r="G144" s="102"/>
      <c r="H144" s="104"/>
      <c r="I144" s="27" t="s">
        <v>180</v>
      </c>
      <c r="J144" s="41"/>
      <c r="K144" s="42">
        <f>(IF(B135&gt;2,(H135/(B135+4)+K143),0))</f>
        <v>0</v>
      </c>
    </row>
    <row r="145" spans="1:11" ht="15.75" customHeight="1" x14ac:dyDescent="0.3">
      <c r="A145" s="99" t="s">
        <v>173</v>
      </c>
      <c r="B145" s="100"/>
      <c r="C145" s="63">
        <v>0</v>
      </c>
      <c r="D145" s="64">
        <f ca="1">((100/H135)*C145)/100</f>
        <v>0</v>
      </c>
      <c r="E145" s="102"/>
      <c r="F145" s="102"/>
      <c r="G145" s="102"/>
      <c r="H145" s="104"/>
      <c r="I145" s="27" t="s">
        <v>181</v>
      </c>
      <c r="J145" s="43"/>
      <c r="K145" s="44">
        <f>(IF(B135&gt;3,(H135/(B135+4)+K144),0))</f>
        <v>0</v>
      </c>
    </row>
    <row r="146" spans="1:11" ht="15.75" customHeight="1" x14ac:dyDescent="0.3">
      <c r="A146" s="99" t="s">
        <v>168</v>
      </c>
      <c r="B146" s="100" t="s">
        <v>168</v>
      </c>
      <c r="C146" s="63">
        <v>0</v>
      </c>
      <c r="D146" s="64">
        <f ca="1">((100/(H135))*C146)/100</f>
        <v>0</v>
      </c>
      <c r="E146" s="102"/>
      <c r="F146" s="102"/>
      <c r="G146" s="102"/>
      <c r="H146" s="104"/>
      <c r="I146" s="27" t="s">
        <v>136</v>
      </c>
      <c r="J146" s="14"/>
      <c r="K146" s="39">
        <f ca="1">(IF(B135=0,H135/4+K141,(H135/(B135+4)+K141+MAX(0,K142-K141)+MAX(0,K143-K142)+MAX(0,K144-K143)+MAX(0,K145-K144))))</f>
        <v>3</v>
      </c>
    </row>
    <row r="147" spans="1:11" ht="16.2" thickBot="1" x14ac:dyDescent="0.35">
      <c r="A147" s="106" t="s">
        <v>169</v>
      </c>
      <c r="B147" s="107"/>
      <c r="C147" s="66">
        <v>0</v>
      </c>
      <c r="D147" s="67">
        <f ca="1">((100/(H135))*C147)/100</f>
        <v>0</v>
      </c>
      <c r="E147" s="103"/>
      <c r="F147" s="103"/>
      <c r="G147" s="103"/>
      <c r="H147" s="105"/>
      <c r="I147" s="30" t="s">
        <v>137</v>
      </c>
      <c r="J147" s="31"/>
      <c r="K147" s="45">
        <f ca="1">(IF(B135=0,H135/4+K146,(H135/(B135+4)+K146)))</f>
        <v>4</v>
      </c>
    </row>
    <row r="148" spans="1:11" ht="15.75" hidden="1" customHeight="1" x14ac:dyDescent="0.3">
      <c r="A148" s="122" t="s">
        <v>175</v>
      </c>
      <c r="B148" s="123"/>
      <c r="C148" s="127" t="s">
        <v>212</v>
      </c>
      <c r="D148" s="125"/>
      <c r="E148" s="125"/>
      <c r="F148" s="125"/>
      <c r="G148" s="125"/>
      <c r="H148" s="126"/>
      <c r="I148" s="10" t="str">
        <f ca="1">(IF(C152=0,"Work not yet Started.",IF(D152=25%,"Piling work in process",IF(D152=50%,"Excavation work in process",IF(D152=100%,"Excavation work completed, ","0")))&amp;(IF(C153=0%,"",IF(C153=K154,"Footing work is process",IF(C153=K155,"Footing work Completed",IF(C153=K156,"1st Basement Completed",IF(C153=K157,"1st &amp; 2nd Basement Completed",IF(C153=K158,"1st to 3rd Basement Completed",IF(C153=K159,"1st to 4th Basement Completed",IF(C153=K160,"Plinth work is process",IF(C153=K161,"Plinth work completed","0")))))))))))&amp;(IF(C154&gt;0,", RCC upto "&amp;C154&amp;" Slab completed",""))&amp;(IF(C155&gt;0,", Brickwork upto "&amp;C155&amp;" Floor completed"," "))&amp;(IF(C156&gt;0,", Internal Plaster upto "&amp;C156&amp;" Floor completed"," "))&amp;(IF(C157&gt;0,", External Plaster upto "&amp;C157&amp;" Floor completed"," "))&amp;(IF(C158&gt;0,", Flooring upto "&amp;C158&amp;" Floor completed"," "))&amp;(IF(C159&gt;0,", Painting upto "&amp;C159&amp;" Floor completed"," "))&amp;(IF(C160&gt;0,", Finishing upto "&amp;C160&amp;" Floor completed"," ")))</f>
        <v xml:space="preserve">Excavation work completed, Footing work Completed      </v>
      </c>
      <c r="J148" s="10"/>
      <c r="K148" s="11"/>
    </row>
    <row r="149" spans="1:11" hidden="1" x14ac:dyDescent="0.3">
      <c r="A149" s="32" t="s">
        <v>177</v>
      </c>
      <c r="B149" s="29">
        <v>0</v>
      </c>
      <c r="C149" s="29" t="s">
        <v>102</v>
      </c>
      <c r="D149" s="29">
        <v>1</v>
      </c>
      <c r="E149" s="29" t="s">
        <v>101</v>
      </c>
      <c r="F149" s="29">
        <v>0</v>
      </c>
      <c r="G149" s="29" t="s">
        <v>110</v>
      </c>
      <c r="H149" s="38">
        <f ca="1">--TRIM(RIGHT(SUBSTITUTE(LEFT(C148,_xlfn.AGGREGATE(16,6,FIND({0,1,2,3,4,5,6,7,8,9},C148,ROW(INDIRECT("1:"&amp;LEN(C148)))),1))," ",REPT(" ",LEN(C148))),LEN(C148)))</f>
        <v>4</v>
      </c>
      <c r="I149" s="9" t="s">
        <v>153</v>
      </c>
      <c r="J149" s="9"/>
      <c r="K149" s="12"/>
    </row>
    <row r="150" spans="1:11" ht="15.75" hidden="1" customHeight="1" x14ac:dyDescent="0.3">
      <c r="A150" s="108" t="s">
        <v>120</v>
      </c>
      <c r="B150" s="109"/>
      <c r="C150" s="97" t="str">
        <f ca="1">I148</f>
        <v xml:space="preserve">Excavation work completed, Footing work Completed      </v>
      </c>
      <c r="D150" s="97"/>
      <c r="E150" s="97"/>
      <c r="F150" s="97"/>
      <c r="G150" s="97"/>
      <c r="H150" s="98"/>
      <c r="I150" s="9" t="s">
        <v>138</v>
      </c>
      <c r="J150" s="9"/>
      <c r="K150" s="12"/>
    </row>
    <row r="151" spans="1:11" hidden="1" x14ac:dyDescent="0.3">
      <c r="A151" s="99" t="s">
        <v>53</v>
      </c>
      <c r="B151" s="100"/>
      <c r="C151" s="62" t="s">
        <v>174</v>
      </c>
      <c r="D151" s="62" t="s">
        <v>113</v>
      </c>
      <c r="E151" s="100" t="s">
        <v>115</v>
      </c>
      <c r="F151" s="100"/>
      <c r="G151" s="100" t="s">
        <v>114</v>
      </c>
      <c r="H151" s="101"/>
      <c r="I151" s="27" t="s">
        <v>176</v>
      </c>
      <c r="K151" s="13">
        <f ca="1">H149*25%</f>
        <v>1</v>
      </c>
    </row>
    <row r="152" spans="1:11" hidden="1" x14ac:dyDescent="0.3">
      <c r="A152" s="99" t="s">
        <v>163</v>
      </c>
      <c r="B152" s="100"/>
      <c r="C152" s="63">
        <f ca="1">K153</f>
        <v>4</v>
      </c>
      <c r="D152" s="64">
        <f ca="1">((100/H149)*C152)/100</f>
        <v>1</v>
      </c>
      <c r="E152" s="102">
        <f ca="1">(IF(C150=I149,"100%",IF(C150=I150,"100%",(((C153/H149*10)+(40/(D149+F149+H149)*C154)+(7.5/(H149)*C155)+(7.5/(H149)*C156)+(10/H149*C157)+(10/H149*C158)+(5/H149*C159)+(5/H149*C160)+(5/H149*C161))/100))))</f>
        <v>0.05</v>
      </c>
      <c r="F152" s="102"/>
      <c r="G152" s="102">
        <f ca="1">((((C152/H149)*20)+((C153/H149)*25)+(30/(H149+F149+D149)*C154)+(5/H149*C155)+(5/H149*C156)+(5/H149*C157)+(5/H149*C158)+(0/H149*C159)+(0/H149*C160)+(5/H149*C161))/100)</f>
        <v>0.32500000000000001</v>
      </c>
      <c r="H152" s="104"/>
      <c r="I152" s="27" t="s">
        <v>132</v>
      </c>
      <c r="J152" s="14"/>
      <c r="K152" s="28">
        <f ca="1">H149*50%</f>
        <v>2</v>
      </c>
    </row>
    <row r="153" spans="1:11" hidden="1" x14ac:dyDescent="0.3">
      <c r="A153" s="99" t="s">
        <v>54</v>
      </c>
      <c r="B153" s="100"/>
      <c r="C153" s="65">
        <v>2</v>
      </c>
      <c r="D153" s="64">
        <f ca="1">((100/H149)*C153)/100</f>
        <v>0.5</v>
      </c>
      <c r="E153" s="102"/>
      <c r="F153" s="102"/>
      <c r="G153" s="102"/>
      <c r="H153" s="104"/>
      <c r="I153" s="27" t="s">
        <v>133</v>
      </c>
      <c r="J153" s="14"/>
      <c r="K153" s="28">
        <f ca="1">H149</f>
        <v>4</v>
      </c>
    </row>
    <row r="154" spans="1:11" ht="15.75" hidden="1" customHeight="1" x14ac:dyDescent="0.3">
      <c r="A154" s="99" t="s">
        <v>164</v>
      </c>
      <c r="B154" s="100"/>
      <c r="C154" s="65">
        <v>0</v>
      </c>
      <c r="D154" s="64">
        <f ca="1">((100/(D149+F149+H149))*C154)/100</f>
        <v>0</v>
      </c>
      <c r="E154" s="102"/>
      <c r="F154" s="102"/>
      <c r="G154" s="102"/>
      <c r="H154" s="104"/>
      <c r="I154" s="27" t="s">
        <v>134</v>
      </c>
      <c r="J154" s="14"/>
      <c r="K154" s="39">
        <f ca="1">(IF(B149=0,H149/4,(H149/(B149+4))))</f>
        <v>1</v>
      </c>
    </row>
    <row r="155" spans="1:11" ht="15.75" hidden="1" customHeight="1" x14ac:dyDescent="0.3">
      <c r="A155" s="99" t="s">
        <v>171</v>
      </c>
      <c r="B155" s="100" t="s">
        <v>165</v>
      </c>
      <c r="C155" s="63">
        <v>0</v>
      </c>
      <c r="D155" s="64">
        <f ca="1">((100/H149)*C155)/100</f>
        <v>0</v>
      </c>
      <c r="E155" s="102"/>
      <c r="F155" s="102"/>
      <c r="G155" s="102"/>
      <c r="H155" s="104"/>
      <c r="I155" s="27" t="s">
        <v>135</v>
      </c>
      <c r="J155" s="14"/>
      <c r="K155" s="39">
        <f ca="1">(IF(B149=0,H149/4+K154,(H149/(B149+4)+K154)))</f>
        <v>2</v>
      </c>
    </row>
    <row r="156" spans="1:11" ht="15.75" hidden="1" customHeight="1" x14ac:dyDescent="0.3">
      <c r="A156" s="99" t="s">
        <v>172</v>
      </c>
      <c r="B156" s="100" t="s">
        <v>165</v>
      </c>
      <c r="C156" s="63">
        <v>0</v>
      </c>
      <c r="D156" s="64">
        <f ca="1">((100/H149)*C156)/100</f>
        <v>0</v>
      </c>
      <c r="E156" s="102"/>
      <c r="F156" s="102"/>
      <c r="G156" s="102"/>
      <c r="H156" s="104"/>
      <c r="I156" s="27" t="s">
        <v>178</v>
      </c>
      <c r="J156" s="40"/>
      <c r="K156" s="39">
        <f>(IF(B149=0,0,(H149/(B149+4)+K155)))</f>
        <v>0</v>
      </c>
    </row>
    <row r="157" spans="1:11" ht="15" hidden="1" customHeight="1" x14ac:dyDescent="0.3">
      <c r="A157" s="99" t="s">
        <v>170</v>
      </c>
      <c r="B157" s="100" t="s">
        <v>167</v>
      </c>
      <c r="C157" s="63">
        <v>0</v>
      </c>
      <c r="D157" s="64">
        <f ca="1">((100/(H149))*C157)/100</f>
        <v>0</v>
      </c>
      <c r="E157" s="102"/>
      <c r="F157" s="102"/>
      <c r="G157" s="102"/>
      <c r="H157" s="104"/>
      <c r="I157" s="27" t="s">
        <v>179</v>
      </c>
      <c r="J157" s="40"/>
      <c r="K157" s="39">
        <f>(IF(B149&gt;1,(H149/(B149+4)+K156),0))</f>
        <v>0</v>
      </c>
    </row>
    <row r="158" spans="1:11" ht="15.75" hidden="1" customHeight="1" x14ac:dyDescent="0.3">
      <c r="A158" s="99" t="s">
        <v>166</v>
      </c>
      <c r="B158" s="100" t="s">
        <v>166</v>
      </c>
      <c r="C158" s="63">
        <v>0</v>
      </c>
      <c r="D158" s="64">
        <f ca="1">((100/H149)*C158)/100</f>
        <v>0</v>
      </c>
      <c r="E158" s="102"/>
      <c r="F158" s="102"/>
      <c r="G158" s="102"/>
      <c r="H158" s="104"/>
      <c r="I158" s="27" t="s">
        <v>180</v>
      </c>
      <c r="J158" s="41"/>
      <c r="K158" s="42">
        <f>(IF(B149&gt;2,(H149/(B149+4)+K157),0))</f>
        <v>0</v>
      </c>
    </row>
    <row r="159" spans="1:11" ht="15.75" hidden="1" customHeight="1" x14ac:dyDescent="0.3">
      <c r="A159" s="99" t="s">
        <v>173</v>
      </c>
      <c r="B159" s="100"/>
      <c r="C159" s="63">
        <v>0</v>
      </c>
      <c r="D159" s="64">
        <f ca="1">((100/H149)*C159)/100</f>
        <v>0</v>
      </c>
      <c r="E159" s="102"/>
      <c r="F159" s="102"/>
      <c r="G159" s="102"/>
      <c r="H159" s="104"/>
      <c r="I159" s="27" t="s">
        <v>181</v>
      </c>
      <c r="J159" s="43"/>
      <c r="K159" s="44">
        <f>(IF(B149&gt;3,(H149/(B149+4)+K158),0))</f>
        <v>0</v>
      </c>
    </row>
    <row r="160" spans="1:11" ht="15.75" hidden="1" customHeight="1" x14ac:dyDescent="0.3">
      <c r="A160" s="99" t="s">
        <v>168</v>
      </c>
      <c r="B160" s="100" t="s">
        <v>168</v>
      </c>
      <c r="C160" s="63">
        <v>0</v>
      </c>
      <c r="D160" s="64">
        <f ca="1">((100/(H149))*C160)/100</f>
        <v>0</v>
      </c>
      <c r="E160" s="102"/>
      <c r="F160" s="102"/>
      <c r="G160" s="102"/>
      <c r="H160" s="104"/>
      <c r="I160" s="27" t="s">
        <v>136</v>
      </c>
      <c r="J160" s="14"/>
      <c r="K160" s="39">
        <f ca="1">(IF(B149=0,H149/4+K155,(H149/(B149+4)+K155+MAX(0,K156-K155)+MAX(0,K157-K156)+MAX(0,K158-K157)+MAX(0,K159-K158))))</f>
        <v>3</v>
      </c>
    </row>
    <row r="161" spans="1:11" ht="16.2" hidden="1" thickBot="1" x14ac:dyDescent="0.35">
      <c r="A161" s="106" t="s">
        <v>169</v>
      </c>
      <c r="B161" s="107"/>
      <c r="C161" s="66">
        <v>0</v>
      </c>
      <c r="D161" s="67">
        <f ca="1">((100/(H149))*C161)/100</f>
        <v>0</v>
      </c>
      <c r="E161" s="103"/>
      <c r="F161" s="103"/>
      <c r="G161" s="103"/>
      <c r="H161" s="105"/>
      <c r="I161" s="30" t="s">
        <v>137</v>
      </c>
      <c r="J161" s="31"/>
      <c r="K161" s="45">
        <f ca="1">(IF(B149=0,H149/4+K160,(H149/(B149+4)+K160)))</f>
        <v>4</v>
      </c>
    </row>
    <row r="162" spans="1:11" x14ac:dyDescent="0.3">
      <c r="A162" s="177" t="s">
        <v>154</v>
      </c>
      <c r="B162" s="178"/>
      <c r="C162" s="178"/>
      <c r="D162" s="178"/>
      <c r="E162" s="179"/>
      <c r="F162" s="177" t="str">
        <f ca="1">(IF(G68="100%","Yes",IF(G68&gt;0%,"Under Construction",IF(G68=0%,"Work not yet Started"))))</f>
        <v>Under Construction</v>
      </c>
      <c r="G162" s="178"/>
      <c r="H162" s="179"/>
    </row>
    <row r="163" spans="1:11" x14ac:dyDescent="0.3">
      <c r="A163" s="118" t="s">
        <v>55</v>
      </c>
      <c r="B163" s="118"/>
      <c r="C163" s="118"/>
      <c r="D163" s="118"/>
      <c r="E163" s="118"/>
      <c r="F163" s="118"/>
      <c r="G163" s="118"/>
      <c r="H163" s="118"/>
    </row>
    <row r="164" spans="1:11" ht="15" customHeight="1" x14ac:dyDescent="0.3">
      <c r="A164" s="109" t="s">
        <v>226</v>
      </c>
      <c r="B164" s="109"/>
      <c r="C164" s="97" t="s">
        <v>227</v>
      </c>
      <c r="D164" s="97"/>
      <c r="E164" s="97"/>
      <c r="F164" s="97"/>
      <c r="G164" s="97"/>
      <c r="H164" s="97"/>
    </row>
    <row r="165" spans="1:11" x14ac:dyDescent="0.3">
      <c r="A165" s="121" t="s">
        <v>56</v>
      </c>
      <c r="B165" s="121"/>
      <c r="C165" s="121"/>
      <c r="D165" s="121"/>
      <c r="E165" s="121"/>
      <c r="F165" s="121"/>
      <c r="G165" s="121"/>
      <c r="H165" s="121"/>
    </row>
    <row r="166" spans="1:11" x14ac:dyDescent="0.3">
      <c r="A166" s="118" t="s">
        <v>105</v>
      </c>
      <c r="B166" s="118"/>
      <c r="C166" s="118"/>
      <c r="D166" s="118"/>
      <c r="E166" s="118"/>
      <c r="F166" s="180">
        <v>3000</v>
      </c>
      <c r="G166" s="180"/>
      <c r="H166" s="180"/>
    </row>
    <row r="167" spans="1:11" s="46" customFormat="1" x14ac:dyDescent="0.25">
      <c r="A167" s="118" t="s">
        <v>236</v>
      </c>
      <c r="B167" s="118"/>
      <c r="C167" s="118"/>
      <c r="D167" s="118"/>
      <c r="E167" s="118"/>
      <c r="F167" s="167" t="s">
        <v>239</v>
      </c>
      <c r="G167" s="119"/>
      <c r="H167" s="119"/>
    </row>
    <row r="168" spans="1:11" s="46" customFormat="1" hidden="1" x14ac:dyDescent="0.25">
      <c r="A168" s="118" t="s">
        <v>125</v>
      </c>
      <c r="B168" s="118"/>
      <c r="C168" s="118"/>
      <c r="D168" s="118"/>
      <c r="E168" s="118"/>
      <c r="F168" s="119" t="s">
        <v>29</v>
      </c>
      <c r="G168" s="119"/>
      <c r="H168" s="119"/>
    </row>
    <row r="169" spans="1:11" s="46" customFormat="1" hidden="1" x14ac:dyDescent="0.25">
      <c r="A169" s="118" t="s">
        <v>126</v>
      </c>
      <c r="B169" s="118"/>
      <c r="C169" s="118"/>
      <c r="D169" s="118"/>
      <c r="E169" s="118"/>
      <c r="F169" s="119" t="s">
        <v>29</v>
      </c>
      <c r="G169" s="119"/>
      <c r="H169" s="119"/>
    </row>
    <row r="170" spans="1:11" s="46" customFormat="1" hidden="1" x14ac:dyDescent="0.25">
      <c r="A170" s="118" t="s">
        <v>127</v>
      </c>
      <c r="B170" s="118"/>
      <c r="C170" s="118"/>
      <c r="D170" s="118"/>
      <c r="E170" s="118"/>
      <c r="F170" s="119" t="s">
        <v>29</v>
      </c>
      <c r="G170" s="119"/>
      <c r="H170" s="119"/>
    </row>
    <row r="171" spans="1:11" s="46" customFormat="1" hidden="1" x14ac:dyDescent="0.25">
      <c r="A171" s="118" t="s">
        <v>128</v>
      </c>
      <c r="B171" s="118"/>
      <c r="C171" s="118"/>
      <c r="D171" s="118"/>
      <c r="E171" s="118"/>
      <c r="F171" s="119" t="s">
        <v>29</v>
      </c>
      <c r="G171" s="119"/>
      <c r="H171" s="119"/>
    </row>
    <row r="172" spans="1:11" s="46" customFormat="1" hidden="1" x14ac:dyDescent="0.25">
      <c r="A172" s="118" t="s">
        <v>129</v>
      </c>
      <c r="B172" s="118"/>
      <c r="C172" s="118"/>
      <c r="D172" s="118"/>
      <c r="E172" s="118"/>
      <c r="F172" s="119" t="s">
        <v>29</v>
      </c>
      <c r="G172" s="119"/>
      <c r="H172" s="119"/>
    </row>
    <row r="173" spans="1:11" s="46" customFormat="1" hidden="1" x14ac:dyDescent="0.25">
      <c r="A173" s="118" t="s">
        <v>130</v>
      </c>
      <c r="B173" s="118"/>
      <c r="C173" s="118"/>
      <c r="D173" s="118"/>
      <c r="E173" s="118"/>
      <c r="F173" s="119" t="s">
        <v>29</v>
      </c>
      <c r="G173" s="119"/>
      <c r="H173" s="119"/>
    </row>
    <row r="174" spans="1:11" s="46" customFormat="1" hidden="1" x14ac:dyDescent="0.25">
      <c r="A174" s="118" t="s">
        <v>131</v>
      </c>
      <c r="B174" s="118"/>
      <c r="C174" s="118"/>
      <c r="D174" s="118"/>
      <c r="E174" s="118"/>
      <c r="F174" s="119" t="s">
        <v>29</v>
      </c>
      <c r="G174" s="119"/>
      <c r="H174" s="119"/>
    </row>
    <row r="175" spans="1:11" x14ac:dyDescent="0.3">
      <c r="A175" s="118" t="s">
        <v>57</v>
      </c>
      <c r="B175" s="118"/>
      <c r="C175" s="118"/>
      <c r="D175" s="118"/>
      <c r="E175" s="118"/>
      <c r="F175" s="167" t="s">
        <v>237</v>
      </c>
      <c r="G175" s="167"/>
      <c r="H175" s="167"/>
    </row>
    <row r="176" spans="1:11" s="47" customFormat="1" x14ac:dyDescent="0.3">
      <c r="A176" s="121" t="s">
        <v>58</v>
      </c>
      <c r="B176" s="121"/>
      <c r="C176" s="121"/>
      <c r="D176" s="121"/>
      <c r="E176" s="121"/>
      <c r="F176" s="119">
        <f>F166*0.8</f>
        <v>2400</v>
      </c>
      <c r="G176" s="119"/>
      <c r="H176" s="119"/>
    </row>
    <row r="177" spans="1:13" s="48" customFormat="1" x14ac:dyDescent="0.3">
      <c r="A177" s="89" t="s">
        <v>100</v>
      </c>
      <c r="B177" s="89"/>
      <c r="C177" s="89"/>
      <c r="D177" s="89"/>
      <c r="E177" s="89"/>
      <c r="F177" s="89"/>
      <c r="G177" s="89"/>
      <c r="H177" s="89"/>
    </row>
    <row r="178" spans="1:13" s="48" customFormat="1" ht="15.75" customHeight="1" x14ac:dyDescent="0.3">
      <c r="A178" s="158" t="s">
        <v>59</v>
      </c>
      <c r="B178" s="158"/>
      <c r="C178" s="90" t="s">
        <v>108</v>
      </c>
      <c r="D178" s="90"/>
      <c r="E178" s="172" t="s">
        <v>60</v>
      </c>
      <c r="F178" s="172"/>
      <c r="G178" s="158" t="s">
        <v>61</v>
      </c>
      <c r="H178" s="158"/>
    </row>
    <row r="179" spans="1:13" s="48" customFormat="1" ht="33.75" customHeight="1" x14ac:dyDescent="0.3">
      <c r="A179" s="85" t="s">
        <v>195</v>
      </c>
      <c r="B179" s="49" t="s">
        <v>200</v>
      </c>
      <c r="C179" s="93">
        <f>COUNT(D193:D198)+COUNT(D200:D205)*4</f>
        <v>30</v>
      </c>
      <c r="D179" s="93"/>
      <c r="E179" s="88">
        <f>SUM(D193:D198)+SUM(D200:D205)*4</f>
        <v>10570.67856</v>
      </c>
      <c r="F179" s="88"/>
      <c r="G179" s="88">
        <f>SUM(F193:F198)+SUM(F200:F205)*4</f>
        <v>16569.099999999999</v>
      </c>
      <c r="H179" s="88"/>
    </row>
    <row r="180" spans="1:13" s="48" customFormat="1" ht="36.75" customHeight="1" x14ac:dyDescent="0.3">
      <c r="A180" s="86"/>
      <c r="B180" s="49" t="s">
        <v>206</v>
      </c>
      <c r="C180" s="93">
        <f>COUNT(D208:D213)+COUNT(D215:D220)*4</f>
        <v>30</v>
      </c>
      <c r="D180" s="93"/>
      <c r="E180" s="88">
        <f>SUM(D208:D213)+SUM(D215:D220)*4</f>
        <v>10446.67728</v>
      </c>
      <c r="F180" s="88"/>
      <c r="G180" s="88">
        <f>SUM(F208:F213)+SUM(F215:F220)*4</f>
        <v>16442.16</v>
      </c>
      <c r="H180" s="88"/>
    </row>
    <row r="181" spans="1:13" s="48" customFormat="1" ht="33" customHeight="1" x14ac:dyDescent="0.3">
      <c r="A181" s="87"/>
      <c r="B181" s="49" t="s">
        <v>214</v>
      </c>
      <c r="C181" s="93">
        <f>COUNT(D223:D227)+COUNT(D229:D234)*4</f>
        <v>29</v>
      </c>
      <c r="D181" s="93"/>
      <c r="E181" s="88">
        <f>SUM(D223:D227)+SUM(D229:D234)*4</f>
        <v>10359.919439999998</v>
      </c>
      <c r="F181" s="88"/>
      <c r="G181" s="88">
        <f>SUM(F223:F227)+SUM(F229:F234)*4</f>
        <v>16212.669999999998</v>
      </c>
      <c r="H181" s="88"/>
    </row>
    <row r="182" spans="1:13" s="48" customFormat="1" ht="36.75" customHeight="1" x14ac:dyDescent="0.3">
      <c r="A182" s="85" t="s">
        <v>216</v>
      </c>
      <c r="B182" s="49" t="s">
        <v>217</v>
      </c>
      <c r="C182" s="93">
        <f>COUNT(D238:D243)+COUNT(D245:D250)*4</f>
        <v>30</v>
      </c>
      <c r="D182" s="93"/>
      <c r="E182" s="88">
        <f>SUM(D238:D243)+SUM(D245:D250)*4</f>
        <v>10446.67728</v>
      </c>
      <c r="F182" s="88"/>
      <c r="G182" s="88">
        <f>SUM(F238:F243)+SUM(F245:F250)*4</f>
        <v>16442.16</v>
      </c>
      <c r="H182" s="88"/>
    </row>
    <row r="183" spans="1:13" s="48" customFormat="1" ht="37.5" customHeight="1" x14ac:dyDescent="0.3">
      <c r="A183" s="87"/>
      <c r="B183" s="49" t="s">
        <v>218</v>
      </c>
      <c r="C183" s="94">
        <f>COUNT(D253:D258)+COUNT(D260:D265)*4</f>
        <v>30</v>
      </c>
      <c r="D183" s="93"/>
      <c r="E183" s="88">
        <f>SUM(D253:D258)+SUM(D260:D265)*4</f>
        <v>10570.67856</v>
      </c>
      <c r="F183" s="95"/>
      <c r="G183" s="88">
        <f>SUM(F253:F258)+SUM(F260:F265)</f>
        <v>6258.52</v>
      </c>
      <c r="H183" s="95"/>
    </row>
    <row r="184" spans="1:13" s="48" customFormat="1" ht="36" customHeight="1" x14ac:dyDescent="0.3">
      <c r="A184" s="85" t="s">
        <v>219</v>
      </c>
      <c r="B184" s="49" t="s">
        <v>217</v>
      </c>
      <c r="C184" s="93">
        <f>COUNT(D269:D274)+COUNT(D276:D281)*4</f>
        <v>30</v>
      </c>
      <c r="D184" s="93"/>
      <c r="E184" s="88">
        <f>SUM(D269:D274)+SUM(D276:D281)*4</f>
        <v>10446.67728</v>
      </c>
      <c r="F184" s="88"/>
      <c r="G184" s="88">
        <f>SUM(F269:F274)+SUM(F276:F281)*4</f>
        <v>16442.16</v>
      </c>
      <c r="H184" s="88"/>
    </row>
    <row r="185" spans="1:13" s="48" customFormat="1" ht="38.25" customHeight="1" x14ac:dyDescent="0.3">
      <c r="A185" s="87"/>
      <c r="B185" s="49" t="s">
        <v>218</v>
      </c>
      <c r="C185" s="93">
        <f>COUNT(D284:D289)+COUNT(D291:D296)*4</f>
        <v>30</v>
      </c>
      <c r="D185" s="93"/>
      <c r="E185" s="88">
        <f>SUM(D284:D289)+SUM(D291:D296)*4</f>
        <v>10570.67856</v>
      </c>
      <c r="F185" s="88"/>
      <c r="G185" s="88">
        <f>SUM(F284:F289)+SUM(F291:F296)*4</f>
        <v>16569.099999999999</v>
      </c>
      <c r="H185" s="88"/>
    </row>
    <row r="186" spans="1:13" s="48" customFormat="1" x14ac:dyDescent="0.3">
      <c r="A186" s="89" t="s">
        <v>63</v>
      </c>
      <c r="B186" s="89"/>
      <c r="C186" s="90">
        <f>SUM(C179:D185)</f>
        <v>209</v>
      </c>
      <c r="D186" s="90"/>
      <c r="E186" s="91">
        <f>SUM(E179:F185)</f>
        <v>73411.986959999995</v>
      </c>
      <c r="F186" s="92"/>
      <c r="G186" s="89">
        <f>SUM(G179:H185)</f>
        <v>104935.87</v>
      </c>
      <c r="H186" s="89"/>
    </row>
    <row r="187" spans="1:13" s="47" customFormat="1" x14ac:dyDescent="0.3">
      <c r="A187" s="120" t="s">
        <v>64</v>
      </c>
      <c r="B187" s="120"/>
      <c r="C187" s="120"/>
      <c r="D187" s="120"/>
      <c r="E187" s="120"/>
      <c r="F187" s="120"/>
      <c r="G187" s="120"/>
      <c r="H187" s="120"/>
    </row>
    <row r="188" spans="1:13" x14ac:dyDescent="0.3">
      <c r="A188" s="120" t="s">
        <v>65</v>
      </c>
      <c r="B188" s="120"/>
      <c r="C188" s="120"/>
      <c r="D188" s="120"/>
      <c r="E188" s="120"/>
      <c r="F188" s="120"/>
      <c r="G188" s="120"/>
      <c r="H188" s="120"/>
    </row>
    <row r="189" spans="1:13" ht="48.75" customHeight="1" x14ac:dyDescent="0.3">
      <c r="A189" s="60" t="s">
        <v>228</v>
      </c>
      <c r="B189" s="60" t="s">
        <v>155</v>
      </c>
      <c r="C189" s="52" t="s">
        <v>66</v>
      </c>
      <c r="D189" s="52" t="s">
        <v>67</v>
      </c>
      <c r="E189" s="61" t="s">
        <v>68</v>
      </c>
      <c r="F189" s="52" t="s">
        <v>235</v>
      </c>
      <c r="G189" s="174" t="s">
        <v>69</v>
      </c>
      <c r="H189" s="175"/>
      <c r="I189" s="50"/>
    </row>
    <row r="190" spans="1:13" s="51" customFormat="1" x14ac:dyDescent="0.3">
      <c r="A190" s="84" t="s">
        <v>195</v>
      </c>
      <c r="B190" s="84"/>
      <c r="C190" s="84"/>
      <c r="D190" s="84"/>
      <c r="E190" s="84"/>
      <c r="F190" s="84"/>
      <c r="G190" s="84"/>
      <c r="H190" s="84"/>
      <c r="I190" s="50"/>
      <c r="L190" s="96"/>
      <c r="M190" s="96"/>
    </row>
    <row r="191" spans="1:13" s="51" customFormat="1" x14ac:dyDescent="0.3">
      <c r="A191" s="84" t="s">
        <v>200</v>
      </c>
      <c r="B191" s="84"/>
      <c r="C191" s="84"/>
      <c r="D191" s="84"/>
      <c r="E191" s="84"/>
      <c r="F191" s="84"/>
      <c r="G191" s="84"/>
      <c r="H191" s="84"/>
      <c r="I191" s="50"/>
      <c r="L191" s="96"/>
      <c r="M191" s="96"/>
    </row>
    <row r="192" spans="1:13" s="51" customFormat="1" x14ac:dyDescent="0.3">
      <c r="A192" s="84" t="s">
        <v>208</v>
      </c>
      <c r="B192" s="84"/>
      <c r="C192" s="84"/>
      <c r="D192" s="84"/>
      <c r="E192" s="84"/>
      <c r="F192" s="84"/>
      <c r="G192" s="84"/>
      <c r="H192" s="84"/>
      <c r="I192" s="50"/>
      <c r="L192" s="96"/>
      <c r="M192" s="96"/>
    </row>
    <row r="193" spans="1:16" s="51" customFormat="1" ht="15.75" customHeight="1" x14ac:dyDescent="0.3">
      <c r="A193" s="80">
        <v>1</v>
      </c>
      <c r="B193" s="80"/>
      <c r="C193" s="53" t="s">
        <v>201</v>
      </c>
      <c r="D193" s="53">
        <f>(22.22*10.764)</f>
        <v>239.17607999999998</v>
      </c>
      <c r="E193" s="53">
        <v>0</v>
      </c>
      <c r="F193" s="53">
        <v>356.43</v>
      </c>
      <c r="G193" s="74" t="str">
        <f>A192</f>
        <v>Ground Floor for Residential and Parking</v>
      </c>
      <c r="H193" s="75"/>
      <c r="I193" s="50"/>
      <c r="J193" s="59">
        <f t="shared" ref="J193:J198" si="0">F193/D193</f>
        <v>1.4902409973438817</v>
      </c>
      <c r="N193" s="50"/>
    </row>
    <row r="194" spans="1:16" s="51" customFormat="1" ht="15.75" customHeight="1" x14ac:dyDescent="0.3">
      <c r="A194" s="80">
        <v>2</v>
      </c>
      <c r="B194" s="80"/>
      <c r="C194" s="53" t="s">
        <v>201</v>
      </c>
      <c r="D194" s="53">
        <f>(22.22*10.764)</f>
        <v>239.17607999999998</v>
      </c>
      <c r="E194" s="53">
        <v>0</v>
      </c>
      <c r="F194" s="53">
        <v>356.43</v>
      </c>
      <c r="G194" s="76"/>
      <c r="H194" s="77"/>
      <c r="I194" s="50"/>
      <c r="J194" s="59">
        <f t="shared" si="0"/>
        <v>1.4902409973438817</v>
      </c>
      <c r="N194" s="50"/>
    </row>
    <row r="195" spans="1:16" s="51" customFormat="1" ht="15.75" customHeight="1" x14ac:dyDescent="0.3">
      <c r="A195" s="80">
        <v>3</v>
      </c>
      <c r="B195" s="80"/>
      <c r="C195" s="53" t="s">
        <v>202</v>
      </c>
      <c r="D195" s="53">
        <f>(30.19*10.764)</f>
        <v>324.96515999999997</v>
      </c>
      <c r="E195" s="53">
        <v>0</v>
      </c>
      <c r="F195" s="53">
        <v>483.37</v>
      </c>
      <c r="G195" s="76"/>
      <c r="H195" s="77"/>
      <c r="I195" s="50"/>
      <c r="J195" s="59">
        <f t="shared" si="0"/>
        <v>1.4874517625212502</v>
      </c>
      <c r="N195" s="50"/>
    </row>
    <row r="196" spans="1:16" s="51" customFormat="1" ht="15.75" customHeight="1" x14ac:dyDescent="0.3">
      <c r="A196" s="80">
        <v>4</v>
      </c>
      <c r="B196" s="80"/>
      <c r="C196" s="53" t="s">
        <v>203</v>
      </c>
      <c r="D196" s="53">
        <f>(40.79*10.764)</f>
        <v>439.06355999999994</v>
      </c>
      <c r="E196" s="53">
        <v>0</v>
      </c>
      <c r="F196" s="53">
        <v>658.69</v>
      </c>
      <c r="G196" s="76"/>
      <c r="H196" s="77"/>
      <c r="I196" s="50"/>
      <c r="J196" s="59">
        <f t="shared" si="0"/>
        <v>1.5002155952090401</v>
      </c>
      <c r="N196" s="50"/>
    </row>
    <row r="197" spans="1:16" s="51" customFormat="1" ht="15.75" customHeight="1" x14ac:dyDescent="0.3">
      <c r="A197" s="80">
        <v>5</v>
      </c>
      <c r="B197" s="80"/>
      <c r="C197" s="53" t="s">
        <v>202</v>
      </c>
      <c r="D197" s="53">
        <f>(30.03*10.764)</f>
        <v>323.24291999999997</v>
      </c>
      <c r="E197" s="53">
        <v>0</v>
      </c>
      <c r="F197" s="53">
        <v>483.37</v>
      </c>
      <c r="G197" s="76"/>
      <c r="H197" s="77"/>
      <c r="I197" s="50"/>
      <c r="J197" s="59">
        <f t="shared" si="0"/>
        <v>1.4953769134371142</v>
      </c>
      <c r="N197" s="50"/>
    </row>
    <row r="198" spans="1:16" s="51" customFormat="1" ht="15.75" customHeight="1" x14ac:dyDescent="0.3">
      <c r="A198" s="80">
        <v>6</v>
      </c>
      <c r="B198" s="80"/>
      <c r="C198" s="53" t="s">
        <v>202</v>
      </c>
      <c r="D198" s="53">
        <f>(30.03*10.764)</f>
        <v>323.24291999999997</v>
      </c>
      <c r="E198" s="53">
        <v>0</v>
      </c>
      <c r="F198" s="53">
        <v>483.37</v>
      </c>
      <c r="G198" s="78"/>
      <c r="H198" s="79"/>
      <c r="I198" s="50"/>
      <c r="J198" s="59">
        <f t="shared" si="0"/>
        <v>1.4953769134371142</v>
      </c>
      <c r="N198" s="50"/>
    </row>
    <row r="199" spans="1:16" s="51" customFormat="1" x14ac:dyDescent="0.3">
      <c r="A199" s="81" t="s">
        <v>213</v>
      </c>
      <c r="B199" s="82"/>
      <c r="C199" s="82"/>
      <c r="D199" s="82"/>
      <c r="E199" s="82"/>
      <c r="F199" s="82"/>
      <c r="G199" s="82"/>
      <c r="H199" s="83"/>
      <c r="I199" s="50"/>
    </row>
    <row r="200" spans="1:16" s="51" customFormat="1" ht="15.75" customHeight="1" x14ac:dyDescent="0.3">
      <c r="A200" s="72" t="str">
        <f t="shared" ref="A200:A205" ca="1" si="1">N200</f>
        <v>101 to 401</v>
      </c>
      <c r="B200" s="73"/>
      <c r="C200" s="53" t="s">
        <v>201</v>
      </c>
      <c r="D200" s="53">
        <f>(22.22+0.6*(2.75+2.45))*10.764</f>
        <v>272.75975999999997</v>
      </c>
      <c r="E200" s="53">
        <v>0</v>
      </c>
      <c r="F200" s="53">
        <v>423.93</v>
      </c>
      <c r="G200" s="74" t="str">
        <f>A199</f>
        <v xml:space="preserve">1st to 4th Floor </v>
      </c>
      <c r="H200" s="75"/>
      <c r="I200" s="50"/>
      <c r="J200" s="59">
        <f>F200/D200</f>
        <v>1.5542248607345894</v>
      </c>
      <c r="N200" s="51" t="str">
        <f t="shared" ref="N200:N205" ca="1" si="2">O200&amp;""&amp;" to "&amp;""&amp;P200</f>
        <v>101 to 401</v>
      </c>
      <c r="O200" s="51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</f>
        <v>101</v>
      </c>
      <c r="P200" s="51">
        <f ca="1">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401</v>
      </c>
    </row>
    <row r="201" spans="1:16" s="51" customFormat="1" ht="15.75" customHeight="1" x14ac:dyDescent="0.3">
      <c r="A201" s="72" t="str">
        <f t="shared" ca="1" si="1"/>
        <v>102 to 402</v>
      </c>
      <c r="B201" s="73"/>
      <c r="C201" s="53" t="s">
        <v>205</v>
      </c>
      <c r="D201" s="53">
        <f>(22.22+0.6*(2.75+2.45))*10.764</f>
        <v>272.75975999999997</v>
      </c>
      <c r="E201" s="53">
        <v>0</v>
      </c>
      <c r="F201" s="53">
        <v>423.93</v>
      </c>
      <c r="G201" s="76"/>
      <c r="H201" s="77"/>
      <c r="I201" s="50"/>
      <c r="J201" s="59">
        <f t="shared" ref="J201:J205" si="3">F201/D201</f>
        <v>1.5542248607345894</v>
      </c>
      <c r="N201" s="51" t="str">
        <f t="shared" ca="1" si="2"/>
        <v>102 to 402</v>
      </c>
      <c r="O201" s="51">
        <f t="shared" ref="O201:P204" ca="1" si="4">O200+1</f>
        <v>102</v>
      </c>
      <c r="P201" s="51">
        <f t="shared" ca="1" si="4"/>
        <v>402</v>
      </c>
    </row>
    <row r="202" spans="1:16" s="51" customFormat="1" ht="15.75" customHeight="1" x14ac:dyDescent="0.3">
      <c r="A202" s="72" t="str">
        <f t="shared" ca="1" si="1"/>
        <v>103 to 403</v>
      </c>
      <c r="B202" s="73"/>
      <c r="C202" s="53" t="s">
        <v>202</v>
      </c>
      <c r="D202" s="53">
        <f>(30.19+0.6*(2.75+2.15+2.75))*10.764</f>
        <v>374.37191999999999</v>
      </c>
      <c r="E202" s="53">
        <v>0</v>
      </c>
      <c r="F202" s="53">
        <v>598.5</v>
      </c>
      <c r="G202" s="76"/>
      <c r="H202" s="77"/>
      <c r="I202" s="50"/>
      <c r="J202" s="59">
        <f t="shared" si="3"/>
        <v>1.5986775931271768</v>
      </c>
      <c r="N202" s="51" t="str">
        <f t="shared" ca="1" si="2"/>
        <v>103 to 403</v>
      </c>
      <c r="O202" s="51">
        <f t="shared" ca="1" si="4"/>
        <v>103</v>
      </c>
      <c r="P202" s="51">
        <f t="shared" ca="1" si="4"/>
        <v>403</v>
      </c>
    </row>
    <row r="203" spans="1:16" s="51" customFormat="1" ht="15.75" customHeight="1" x14ac:dyDescent="0.3">
      <c r="A203" s="72" t="str">
        <f t="shared" ca="1" si="1"/>
        <v>104 to 404</v>
      </c>
      <c r="B203" s="73"/>
      <c r="C203" s="53" t="s">
        <v>203</v>
      </c>
      <c r="D203" s="53">
        <f>(40.79+0.6*(2.75+2.15+2.75+2.6))*10.764</f>
        <v>505.26215999999994</v>
      </c>
      <c r="E203" s="53">
        <v>0</v>
      </c>
      <c r="F203" s="53">
        <v>793.5</v>
      </c>
      <c r="G203" s="76"/>
      <c r="H203" s="77"/>
      <c r="I203" s="50"/>
      <c r="J203" s="59">
        <f t="shared" si="3"/>
        <v>1.5704718516819072</v>
      </c>
      <c r="N203" s="51" t="str">
        <f t="shared" ca="1" si="2"/>
        <v>104 to 404</v>
      </c>
      <c r="O203" s="51">
        <f t="shared" ca="1" si="4"/>
        <v>104</v>
      </c>
      <c r="P203" s="51">
        <f t="shared" ca="1" si="4"/>
        <v>404</v>
      </c>
    </row>
    <row r="204" spans="1:16" s="51" customFormat="1" ht="15.75" customHeight="1" x14ac:dyDescent="0.3">
      <c r="A204" s="72" t="str">
        <f t="shared" ca="1" si="1"/>
        <v>105 to 405</v>
      </c>
      <c r="B204" s="73"/>
      <c r="C204" s="53" t="s">
        <v>202</v>
      </c>
      <c r="D204" s="53">
        <f>(30.03+0.6*(2.75+2.15+2.75))*10.764</f>
        <v>372.64968000000005</v>
      </c>
      <c r="E204" s="53">
        <v>0</v>
      </c>
      <c r="F204" s="53">
        <v>598.5</v>
      </c>
      <c r="G204" s="76"/>
      <c r="H204" s="77"/>
      <c r="I204" s="50"/>
      <c r="J204" s="59">
        <f t="shared" si="3"/>
        <v>1.6060660510965685</v>
      </c>
      <c r="N204" s="51" t="str">
        <f t="shared" ca="1" si="2"/>
        <v>105 to 405</v>
      </c>
      <c r="O204" s="51">
        <f t="shared" ca="1" si="4"/>
        <v>105</v>
      </c>
      <c r="P204" s="51">
        <f t="shared" ca="1" si="4"/>
        <v>405</v>
      </c>
    </row>
    <row r="205" spans="1:16" s="51" customFormat="1" ht="15.75" customHeight="1" x14ac:dyDescent="0.3">
      <c r="A205" s="72" t="str">
        <f t="shared" ca="1" si="1"/>
        <v>106 to 406</v>
      </c>
      <c r="B205" s="73"/>
      <c r="C205" s="53" t="s">
        <v>202</v>
      </c>
      <c r="D205" s="53">
        <f>(30.03+0.6*(2.75+2.15+2.75))*10.764</f>
        <v>372.64968000000005</v>
      </c>
      <c r="E205" s="53">
        <v>0</v>
      </c>
      <c r="F205" s="53">
        <v>598.5</v>
      </c>
      <c r="G205" s="78"/>
      <c r="H205" s="79"/>
      <c r="I205" s="50"/>
      <c r="J205" s="59">
        <f t="shared" si="3"/>
        <v>1.6060660510965685</v>
      </c>
      <c r="N205" s="51" t="str">
        <f t="shared" ca="1" si="2"/>
        <v>106 to 406</v>
      </c>
      <c r="O205" s="51">
        <f t="shared" ref="O205:P205" ca="1" si="5">O204+1</f>
        <v>106</v>
      </c>
      <c r="P205" s="51">
        <f t="shared" ca="1" si="5"/>
        <v>406</v>
      </c>
    </row>
    <row r="206" spans="1:16" s="51" customFormat="1" ht="15.75" customHeight="1" x14ac:dyDescent="0.3">
      <c r="A206" s="84" t="s">
        <v>206</v>
      </c>
      <c r="B206" s="84"/>
      <c r="C206" s="84"/>
      <c r="D206" s="84"/>
      <c r="E206" s="84"/>
      <c r="F206" s="84"/>
      <c r="G206" s="84"/>
      <c r="H206" s="84"/>
    </row>
    <row r="207" spans="1:16" s="51" customFormat="1" x14ac:dyDescent="0.3">
      <c r="A207" s="84" t="s">
        <v>208</v>
      </c>
      <c r="B207" s="84"/>
      <c r="C207" s="84"/>
      <c r="D207" s="84"/>
      <c r="E207" s="84"/>
      <c r="F207" s="84"/>
      <c r="G207" s="84"/>
      <c r="H207" s="84"/>
      <c r="I207" s="50"/>
      <c r="L207" s="96"/>
      <c r="M207" s="96"/>
    </row>
    <row r="208" spans="1:16" s="51" customFormat="1" ht="15.75" customHeight="1" x14ac:dyDescent="0.3">
      <c r="A208" s="80">
        <v>1</v>
      </c>
      <c r="B208" s="80"/>
      <c r="C208" s="53" t="s">
        <v>201</v>
      </c>
      <c r="D208" s="53">
        <f>(21.5*10.764)</f>
        <v>231.42599999999999</v>
      </c>
      <c r="E208" s="53">
        <v>0</v>
      </c>
      <c r="F208" s="53">
        <v>356.43</v>
      </c>
      <c r="G208" s="74" t="str">
        <f>A207</f>
        <v>Ground Floor for Residential and Parking</v>
      </c>
      <c r="H208" s="75"/>
      <c r="I208" s="50"/>
      <c r="N208" s="50"/>
    </row>
    <row r="209" spans="1:16" s="51" customFormat="1" ht="15.75" customHeight="1" x14ac:dyDescent="0.3">
      <c r="A209" s="80">
        <v>2</v>
      </c>
      <c r="B209" s="80"/>
      <c r="C209" s="53" t="s">
        <v>202</v>
      </c>
      <c r="D209" s="53">
        <f>(30.03*10.764)</f>
        <v>323.24291999999997</v>
      </c>
      <c r="E209" s="53">
        <v>0</v>
      </c>
      <c r="F209" s="53">
        <v>483.37</v>
      </c>
      <c r="G209" s="76"/>
      <c r="H209" s="77"/>
      <c r="I209" s="50"/>
      <c r="N209" s="50"/>
    </row>
    <row r="210" spans="1:16" s="51" customFormat="1" ht="15.75" customHeight="1" x14ac:dyDescent="0.3">
      <c r="A210" s="80">
        <v>3</v>
      </c>
      <c r="B210" s="80"/>
      <c r="C210" s="53" t="s">
        <v>203</v>
      </c>
      <c r="D210" s="53">
        <f>(40.79*10.764)</f>
        <v>439.06355999999994</v>
      </c>
      <c r="E210" s="53">
        <v>0</v>
      </c>
      <c r="F210" s="53">
        <v>658.69</v>
      </c>
      <c r="G210" s="76"/>
      <c r="H210" s="77"/>
      <c r="I210" s="50"/>
      <c r="N210" s="50"/>
    </row>
    <row r="211" spans="1:16" s="51" customFormat="1" ht="15.75" customHeight="1" x14ac:dyDescent="0.3">
      <c r="A211" s="80">
        <v>4</v>
      </c>
      <c r="B211" s="80"/>
      <c r="C211" s="53" t="s">
        <v>202</v>
      </c>
      <c r="D211" s="53">
        <f>(27.2*10.764)</f>
        <v>292.7808</v>
      </c>
      <c r="E211" s="53">
        <v>0</v>
      </c>
      <c r="F211" s="53">
        <v>483.37</v>
      </c>
      <c r="G211" s="76"/>
      <c r="H211" s="77"/>
      <c r="I211" s="50"/>
      <c r="N211" s="50"/>
    </row>
    <row r="212" spans="1:16" s="51" customFormat="1" ht="15.75" customHeight="1" x14ac:dyDescent="0.3">
      <c r="A212" s="80">
        <v>5</v>
      </c>
      <c r="B212" s="80"/>
      <c r="C212" s="53" t="s">
        <v>205</v>
      </c>
      <c r="D212" s="53">
        <f>(22.22*10.764)</f>
        <v>239.17607999999998</v>
      </c>
      <c r="E212" s="53">
        <v>0</v>
      </c>
      <c r="F212" s="53">
        <v>356.43</v>
      </c>
      <c r="G212" s="76"/>
      <c r="H212" s="77"/>
      <c r="I212" s="50"/>
      <c r="N212" s="50"/>
    </row>
    <row r="213" spans="1:16" s="51" customFormat="1" ht="15.75" customHeight="1" x14ac:dyDescent="0.3">
      <c r="A213" s="80">
        <v>6</v>
      </c>
      <c r="B213" s="80"/>
      <c r="C213" s="53" t="s">
        <v>205</v>
      </c>
      <c r="D213" s="53">
        <f>(22.22*10.764)</f>
        <v>239.17607999999998</v>
      </c>
      <c r="E213" s="53">
        <v>0</v>
      </c>
      <c r="F213" s="53">
        <v>356.43</v>
      </c>
      <c r="G213" s="78"/>
      <c r="H213" s="79"/>
      <c r="I213" s="50"/>
      <c r="N213" s="50"/>
    </row>
    <row r="214" spans="1:16" s="51" customFormat="1" x14ac:dyDescent="0.3">
      <c r="A214" s="81" t="s">
        <v>204</v>
      </c>
      <c r="B214" s="82"/>
      <c r="C214" s="82"/>
      <c r="D214" s="82"/>
      <c r="E214" s="82"/>
      <c r="F214" s="82"/>
      <c r="G214" s="82"/>
      <c r="H214" s="83"/>
      <c r="I214" s="50"/>
    </row>
    <row r="215" spans="1:16" s="51" customFormat="1" ht="15.75" customHeight="1" x14ac:dyDescent="0.3">
      <c r="A215" s="72" t="str">
        <f t="shared" ref="A215:A220" ca="1" si="6">N215</f>
        <v>101 to 401</v>
      </c>
      <c r="B215" s="73"/>
      <c r="C215" s="53" t="s">
        <v>202</v>
      </c>
      <c r="D215" s="53">
        <f>(30.03+0.6*(2.75+2.15+2.75))*10.764</f>
        <v>372.64968000000005</v>
      </c>
      <c r="E215" s="53">
        <v>0</v>
      </c>
      <c r="F215" s="53">
        <v>598.5</v>
      </c>
      <c r="G215" s="74" t="str">
        <f>A214</f>
        <v>1st to 4th Floor</v>
      </c>
      <c r="H215" s="75"/>
      <c r="I215" s="50"/>
      <c r="N215" s="51" t="str">
        <f t="shared" ref="N215:N220" ca="1" si="7">O215&amp;""&amp;" to "&amp;""&amp;P215</f>
        <v>101 to 401</v>
      </c>
      <c r="O215" s="51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10^ROW(INDIRECT("1:"&amp;LEN((LEFT(A214,SUM(LEN(A214)-LEN(SUBSTITUTE(A214,{"0","1","2"},""))))))))/10))*100+1</f>
        <v>101</v>
      </c>
      <c r="P215" s="51">
        <f ca="1">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",LEN(A214))),LEN(A214)))))))/10))*100+1</f>
        <v>401</v>
      </c>
    </row>
    <row r="216" spans="1:16" s="51" customFormat="1" ht="15.75" customHeight="1" x14ac:dyDescent="0.3">
      <c r="A216" s="72" t="str">
        <f t="shared" ca="1" si="6"/>
        <v>102 to 402</v>
      </c>
      <c r="B216" s="73"/>
      <c r="C216" s="53" t="s">
        <v>207</v>
      </c>
      <c r="D216" s="53">
        <f>(30.03+0.6*(2.75+2.15+2.75))*10.764</f>
        <v>372.64968000000005</v>
      </c>
      <c r="E216" s="53">
        <v>0</v>
      </c>
      <c r="F216" s="53">
        <v>598.5</v>
      </c>
      <c r="G216" s="76"/>
      <c r="H216" s="77"/>
      <c r="I216" s="50"/>
      <c r="N216" s="51" t="str">
        <f t="shared" ca="1" si="7"/>
        <v>102 to 402</v>
      </c>
      <c r="O216" s="51">
        <f t="shared" ref="O216:P216" ca="1" si="8">O215+1</f>
        <v>102</v>
      </c>
      <c r="P216" s="51">
        <f t="shared" ca="1" si="8"/>
        <v>402</v>
      </c>
    </row>
    <row r="217" spans="1:16" s="51" customFormat="1" ht="15.75" customHeight="1" x14ac:dyDescent="0.3">
      <c r="A217" s="72" t="str">
        <f t="shared" ca="1" si="6"/>
        <v>103 to 403</v>
      </c>
      <c r="B217" s="73"/>
      <c r="C217" s="53" t="s">
        <v>203</v>
      </c>
      <c r="D217" s="53">
        <f>(40.79+0.6*(2.6+2.75+2.15+2.75))*10.764</f>
        <v>505.26215999999994</v>
      </c>
      <c r="E217" s="53">
        <v>0</v>
      </c>
      <c r="F217" s="53">
        <v>793.5</v>
      </c>
      <c r="G217" s="76"/>
      <c r="H217" s="77"/>
      <c r="I217" s="50"/>
      <c r="N217" s="51" t="str">
        <f t="shared" ca="1" si="7"/>
        <v>103 to 403</v>
      </c>
      <c r="O217" s="51">
        <f t="shared" ref="O217:P217" ca="1" si="9">O216+1</f>
        <v>103</v>
      </c>
      <c r="P217" s="51">
        <f t="shared" ca="1" si="9"/>
        <v>403</v>
      </c>
    </row>
    <row r="218" spans="1:16" s="51" customFormat="1" ht="15.75" customHeight="1" x14ac:dyDescent="0.3">
      <c r="A218" s="72" t="str">
        <f t="shared" ca="1" si="6"/>
        <v>104 to 404</v>
      </c>
      <c r="B218" s="73"/>
      <c r="C218" s="53" t="s">
        <v>202</v>
      </c>
      <c r="D218" s="53">
        <f>(30.19+0.6*(2.75+2.15+2.75))*10.764</f>
        <v>374.37191999999999</v>
      </c>
      <c r="E218" s="53">
        <v>0</v>
      </c>
      <c r="F218" s="53">
        <v>598.5</v>
      </c>
      <c r="G218" s="76"/>
      <c r="H218" s="77"/>
      <c r="I218" s="50"/>
      <c r="N218" s="51" t="str">
        <f t="shared" ca="1" si="7"/>
        <v>104 to 404</v>
      </c>
      <c r="O218" s="51">
        <f t="shared" ref="O218:P218" ca="1" si="10">O217+1</f>
        <v>104</v>
      </c>
      <c r="P218" s="51">
        <f t="shared" ca="1" si="10"/>
        <v>404</v>
      </c>
    </row>
    <row r="219" spans="1:16" s="51" customFormat="1" ht="15.75" customHeight="1" x14ac:dyDescent="0.3">
      <c r="A219" s="72" t="str">
        <f t="shared" ca="1" si="6"/>
        <v>105 to 405</v>
      </c>
      <c r="B219" s="73"/>
      <c r="C219" s="53" t="s">
        <v>205</v>
      </c>
      <c r="D219" s="53">
        <f>(22.22+0.6*(2.75+2.45))*10.764</f>
        <v>272.75975999999997</v>
      </c>
      <c r="E219" s="53">
        <v>0</v>
      </c>
      <c r="F219" s="53">
        <v>423.93</v>
      </c>
      <c r="G219" s="76"/>
      <c r="H219" s="77"/>
      <c r="I219" s="50"/>
      <c r="N219" s="51" t="str">
        <f t="shared" ca="1" si="7"/>
        <v>105 to 405</v>
      </c>
      <c r="O219" s="51">
        <f t="shared" ref="O219:P219" ca="1" si="11">O218+1</f>
        <v>105</v>
      </c>
      <c r="P219" s="51">
        <f t="shared" ca="1" si="11"/>
        <v>405</v>
      </c>
    </row>
    <row r="220" spans="1:16" s="51" customFormat="1" ht="15.75" customHeight="1" x14ac:dyDescent="0.3">
      <c r="A220" s="72" t="str">
        <f t="shared" ca="1" si="6"/>
        <v>106 to 406</v>
      </c>
      <c r="B220" s="73"/>
      <c r="C220" s="53" t="s">
        <v>205</v>
      </c>
      <c r="D220" s="53">
        <f>(22.22+0.6*(2.75+2.45))*10.764</f>
        <v>272.75975999999997</v>
      </c>
      <c r="E220" s="53">
        <v>0</v>
      </c>
      <c r="F220" s="53">
        <v>423.93</v>
      </c>
      <c r="G220" s="78"/>
      <c r="H220" s="79"/>
      <c r="I220" s="50"/>
      <c r="N220" s="51" t="str">
        <f t="shared" ca="1" si="7"/>
        <v>106 to 406</v>
      </c>
      <c r="O220" s="51">
        <f t="shared" ref="O220:P220" ca="1" si="12">O219+1</f>
        <v>106</v>
      </c>
      <c r="P220" s="51">
        <f t="shared" ca="1" si="12"/>
        <v>406</v>
      </c>
    </row>
    <row r="221" spans="1:16" s="51" customFormat="1" ht="15.75" customHeight="1" x14ac:dyDescent="0.3">
      <c r="A221" s="84" t="s">
        <v>214</v>
      </c>
      <c r="B221" s="84"/>
      <c r="C221" s="84"/>
      <c r="D221" s="84"/>
      <c r="E221" s="84"/>
      <c r="F221" s="84"/>
      <c r="G221" s="84"/>
      <c r="H221" s="84"/>
    </row>
    <row r="222" spans="1:16" s="51" customFormat="1" x14ac:dyDescent="0.3">
      <c r="A222" s="84" t="s">
        <v>208</v>
      </c>
      <c r="B222" s="84"/>
      <c r="C222" s="84"/>
      <c r="D222" s="84"/>
      <c r="E222" s="84"/>
      <c r="F222" s="84"/>
      <c r="G222" s="84"/>
      <c r="H222" s="84"/>
      <c r="I222" s="50"/>
      <c r="L222" s="96"/>
      <c r="M222" s="96"/>
    </row>
    <row r="223" spans="1:16" s="51" customFormat="1" ht="15.75" customHeight="1" x14ac:dyDescent="0.3">
      <c r="A223" s="80">
        <v>1</v>
      </c>
      <c r="B223" s="80"/>
      <c r="C223" s="53" t="s">
        <v>207</v>
      </c>
      <c r="D223" s="53">
        <f>(30.03*10.764)</f>
        <v>323.24291999999997</v>
      </c>
      <c r="E223" s="53">
        <v>0</v>
      </c>
      <c r="F223" s="53">
        <v>483.37</v>
      </c>
      <c r="G223" s="74" t="str">
        <f>A222</f>
        <v>Ground Floor for Residential and Parking</v>
      </c>
      <c r="H223" s="75"/>
      <c r="I223" s="50"/>
      <c r="N223" s="50"/>
    </row>
    <row r="224" spans="1:16" s="51" customFormat="1" ht="15.75" customHeight="1" x14ac:dyDescent="0.3">
      <c r="A224" s="80">
        <v>2</v>
      </c>
      <c r="B224" s="80"/>
      <c r="C224" s="53" t="s">
        <v>207</v>
      </c>
      <c r="D224" s="53">
        <f>(30.03*10.764)</f>
        <v>323.24291999999997</v>
      </c>
      <c r="E224" s="53">
        <v>0</v>
      </c>
      <c r="F224" s="53">
        <v>483.37</v>
      </c>
      <c r="G224" s="76"/>
      <c r="H224" s="77"/>
      <c r="I224" s="50"/>
      <c r="N224" s="50"/>
    </row>
    <row r="225" spans="1:16" s="51" customFormat="1" ht="15.75" customHeight="1" x14ac:dyDescent="0.3">
      <c r="A225" s="80">
        <v>3</v>
      </c>
      <c r="B225" s="80"/>
      <c r="C225" s="53" t="s">
        <v>215</v>
      </c>
      <c r="D225" s="53">
        <f>(40.79*10.764)</f>
        <v>439.06355999999994</v>
      </c>
      <c r="E225" s="53">
        <v>0</v>
      </c>
      <c r="F225" s="53">
        <v>658.69</v>
      </c>
      <c r="G225" s="76"/>
      <c r="H225" s="77"/>
      <c r="I225" s="50"/>
      <c r="N225" s="50"/>
    </row>
    <row r="226" spans="1:16" s="51" customFormat="1" ht="15.75" customHeight="1" x14ac:dyDescent="0.3">
      <c r="A226" s="80">
        <v>4</v>
      </c>
      <c r="B226" s="80"/>
      <c r="C226" s="53" t="s">
        <v>202</v>
      </c>
      <c r="D226" s="53">
        <f>(30.19*10.764)</f>
        <v>324.96515999999997</v>
      </c>
      <c r="E226" s="53">
        <v>0</v>
      </c>
      <c r="F226" s="53">
        <v>483.37</v>
      </c>
      <c r="G226" s="76"/>
      <c r="H226" s="77"/>
      <c r="I226" s="50"/>
      <c r="N226" s="50"/>
    </row>
    <row r="227" spans="1:16" s="51" customFormat="1" ht="15.75" customHeight="1" x14ac:dyDescent="0.3">
      <c r="A227" s="80">
        <v>5</v>
      </c>
      <c r="B227" s="80"/>
      <c r="C227" s="53" t="s">
        <v>205</v>
      </c>
      <c r="D227" s="53">
        <f>(22.22*10.764)</f>
        <v>239.17607999999998</v>
      </c>
      <c r="E227" s="53">
        <v>0</v>
      </c>
      <c r="F227" s="53">
        <v>356.43</v>
      </c>
      <c r="G227" s="78"/>
      <c r="H227" s="79"/>
      <c r="I227" s="50"/>
      <c r="N227" s="50"/>
    </row>
    <row r="228" spans="1:16" s="51" customFormat="1" x14ac:dyDescent="0.3">
      <c r="A228" s="81" t="s">
        <v>204</v>
      </c>
      <c r="B228" s="82"/>
      <c r="C228" s="82"/>
      <c r="D228" s="82"/>
      <c r="E228" s="82"/>
      <c r="F228" s="82"/>
      <c r="G228" s="82"/>
      <c r="H228" s="83"/>
      <c r="I228" s="50"/>
    </row>
    <row r="229" spans="1:16" s="51" customFormat="1" ht="15.75" customHeight="1" x14ac:dyDescent="0.3">
      <c r="A229" s="72" t="str">
        <f t="shared" ref="A229:A234" ca="1" si="13">N229</f>
        <v>101 to 401</v>
      </c>
      <c r="B229" s="73"/>
      <c r="C229" s="53" t="s">
        <v>202</v>
      </c>
      <c r="D229" s="53">
        <f>(30.03+0.6*(2.75+2.15+2.75))*10.764</f>
        <v>372.64968000000005</v>
      </c>
      <c r="E229" s="53">
        <v>0</v>
      </c>
      <c r="F229" s="53">
        <v>598.5</v>
      </c>
      <c r="G229" s="74" t="str">
        <f>A228</f>
        <v>1st to 4th Floor</v>
      </c>
      <c r="H229" s="75"/>
      <c r="I229" s="50"/>
      <c r="N229" s="51" t="str">
        <f t="shared" ref="N229:N234" ca="1" si="14">O229&amp;""&amp;" to "&amp;""&amp;P229</f>
        <v>101 to 401</v>
      </c>
      <c r="O229" s="51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</f>
        <v>101</v>
      </c>
      <c r="P229" s="51">
        <f ca="1">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401</v>
      </c>
    </row>
    <row r="230" spans="1:16" s="51" customFormat="1" ht="15.75" customHeight="1" x14ac:dyDescent="0.3">
      <c r="A230" s="72" t="str">
        <f t="shared" ca="1" si="13"/>
        <v>102 to 402</v>
      </c>
      <c r="B230" s="73"/>
      <c r="C230" s="53" t="s">
        <v>202</v>
      </c>
      <c r="D230" s="53">
        <f>(30.03+0.6*(2.75+2.15+2.75))*10.764</f>
        <v>372.64968000000005</v>
      </c>
      <c r="E230" s="53">
        <v>0</v>
      </c>
      <c r="F230" s="53">
        <v>598.5</v>
      </c>
      <c r="G230" s="76"/>
      <c r="H230" s="77"/>
      <c r="I230" s="50"/>
      <c r="N230" s="51" t="str">
        <f t="shared" ca="1" si="14"/>
        <v>102 to 402</v>
      </c>
      <c r="O230" s="51">
        <f t="shared" ref="O230:P230" ca="1" si="15">O229+1</f>
        <v>102</v>
      </c>
      <c r="P230" s="51">
        <f t="shared" ca="1" si="15"/>
        <v>402</v>
      </c>
    </row>
    <row r="231" spans="1:16" s="51" customFormat="1" ht="15.75" customHeight="1" x14ac:dyDescent="0.3">
      <c r="A231" s="72" t="str">
        <f t="shared" ca="1" si="13"/>
        <v>103 to 403</v>
      </c>
      <c r="B231" s="73"/>
      <c r="C231" s="53" t="s">
        <v>203</v>
      </c>
      <c r="D231" s="53">
        <f>(40.79+0.6*(2.6+2.75+2.15+2.75))*10.764</f>
        <v>505.26215999999994</v>
      </c>
      <c r="E231" s="53">
        <v>0</v>
      </c>
      <c r="F231" s="53">
        <v>793.5</v>
      </c>
      <c r="G231" s="76"/>
      <c r="H231" s="77"/>
      <c r="I231" s="50"/>
      <c r="N231" s="51" t="str">
        <f t="shared" ca="1" si="14"/>
        <v>103 to 403</v>
      </c>
      <c r="O231" s="51">
        <f t="shared" ref="O231:P231" ca="1" si="16">O230+1</f>
        <v>103</v>
      </c>
      <c r="P231" s="51">
        <f t="shared" ca="1" si="16"/>
        <v>403</v>
      </c>
    </row>
    <row r="232" spans="1:16" s="51" customFormat="1" ht="15.75" customHeight="1" x14ac:dyDescent="0.3">
      <c r="A232" s="72" t="str">
        <f t="shared" ca="1" si="13"/>
        <v>104 to 404</v>
      </c>
      <c r="B232" s="73"/>
      <c r="C232" s="53" t="s">
        <v>202</v>
      </c>
      <c r="D232" s="53">
        <f>(30.19+0.6*(3.85+2.15+2.75))*10.764</f>
        <v>381.47615999999994</v>
      </c>
      <c r="E232" s="53">
        <v>0</v>
      </c>
      <c r="F232" s="53">
        <v>598.5</v>
      </c>
      <c r="G232" s="76"/>
      <c r="H232" s="77"/>
      <c r="I232" s="50"/>
      <c r="N232" s="51" t="str">
        <f t="shared" ca="1" si="14"/>
        <v>104 to 404</v>
      </c>
      <c r="O232" s="51">
        <f t="shared" ref="O232:P232" ca="1" si="17">O231+1</f>
        <v>104</v>
      </c>
      <c r="P232" s="51">
        <f t="shared" ca="1" si="17"/>
        <v>404</v>
      </c>
    </row>
    <row r="233" spans="1:16" s="51" customFormat="1" ht="15.75" customHeight="1" x14ac:dyDescent="0.3">
      <c r="A233" s="72" t="str">
        <f t="shared" ca="1" si="13"/>
        <v>105 to 405</v>
      </c>
      <c r="B233" s="73"/>
      <c r="C233" s="53" t="s">
        <v>201</v>
      </c>
      <c r="D233" s="53">
        <f>(22.22+0.6*(2.75+2.45))*10.764</f>
        <v>272.75975999999997</v>
      </c>
      <c r="E233" s="53">
        <v>0</v>
      </c>
      <c r="F233" s="53">
        <v>423.93</v>
      </c>
      <c r="G233" s="76"/>
      <c r="H233" s="77"/>
      <c r="I233" s="50"/>
      <c r="N233" s="51" t="str">
        <f t="shared" ca="1" si="14"/>
        <v>105 to 405</v>
      </c>
      <c r="O233" s="51">
        <f t="shared" ref="O233:P233" ca="1" si="18">O232+1</f>
        <v>105</v>
      </c>
      <c r="P233" s="51">
        <f t="shared" ca="1" si="18"/>
        <v>405</v>
      </c>
    </row>
    <row r="234" spans="1:16" s="51" customFormat="1" ht="15.75" customHeight="1" x14ac:dyDescent="0.3">
      <c r="A234" s="72" t="str">
        <f t="shared" ca="1" si="13"/>
        <v>106 to 406</v>
      </c>
      <c r="B234" s="73"/>
      <c r="C234" s="53" t="s">
        <v>205</v>
      </c>
      <c r="D234" s="53">
        <f>(22.22+0.6*(2.75+2.45))*10.764</f>
        <v>272.75975999999997</v>
      </c>
      <c r="E234" s="53">
        <v>0</v>
      </c>
      <c r="F234" s="53">
        <v>423.93</v>
      </c>
      <c r="G234" s="78"/>
      <c r="H234" s="79"/>
      <c r="I234" s="50"/>
      <c r="N234" s="51" t="str">
        <f t="shared" ca="1" si="14"/>
        <v>106 to 406</v>
      </c>
      <c r="O234" s="51">
        <f t="shared" ref="O234:P234" ca="1" si="19">O233+1</f>
        <v>106</v>
      </c>
      <c r="P234" s="51">
        <f t="shared" ca="1" si="19"/>
        <v>406</v>
      </c>
    </row>
    <row r="235" spans="1:16" s="51" customFormat="1" x14ac:dyDescent="0.3">
      <c r="A235" s="84" t="s">
        <v>216</v>
      </c>
      <c r="B235" s="84"/>
      <c r="C235" s="84"/>
      <c r="D235" s="84"/>
      <c r="E235" s="84"/>
      <c r="F235" s="84"/>
      <c r="G235" s="84"/>
      <c r="H235" s="84"/>
      <c r="I235" s="50"/>
      <c r="L235" s="96"/>
      <c r="M235" s="96"/>
    </row>
    <row r="236" spans="1:16" s="51" customFormat="1" x14ac:dyDescent="0.3">
      <c r="A236" s="84" t="s">
        <v>217</v>
      </c>
      <c r="B236" s="84"/>
      <c r="C236" s="84"/>
      <c r="D236" s="84"/>
      <c r="E236" s="84"/>
      <c r="F236" s="84"/>
      <c r="G236" s="84"/>
      <c r="H236" s="84"/>
      <c r="I236" s="50"/>
      <c r="L236" s="96"/>
      <c r="M236" s="96"/>
    </row>
    <row r="237" spans="1:16" s="51" customFormat="1" x14ac:dyDescent="0.3">
      <c r="A237" s="84" t="s">
        <v>208</v>
      </c>
      <c r="B237" s="84"/>
      <c r="C237" s="84"/>
      <c r="D237" s="84"/>
      <c r="E237" s="84"/>
      <c r="F237" s="84"/>
      <c r="G237" s="84"/>
      <c r="H237" s="84"/>
      <c r="I237" s="50"/>
      <c r="L237" s="96"/>
      <c r="M237" s="96"/>
    </row>
    <row r="238" spans="1:16" s="51" customFormat="1" ht="15.75" customHeight="1" x14ac:dyDescent="0.3">
      <c r="A238" s="80">
        <v>1</v>
      </c>
      <c r="B238" s="80"/>
      <c r="C238" s="53" t="s">
        <v>201</v>
      </c>
      <c r="D238" s="53">
        <f>(21.5*10.764)</f>
        <v>231.42599999999999</v>
      </c>
      <c r="E238" s="53">
        <v>0</v>
      </c>
      <c r="F238" s="53">
        <v>356.43</v>
      </c>
      <c r="G238" s="74" t="str">
        <f>A237</f>
        <v>Ground Floor for Residential and Parking</v>
      </c>
      <c r="H238" s="75"/>
      <c r="I238" s="50"/>
      <c r="N238" s="50"/>
    </row>
    <row r="239" spans="1:16" s="51" customFormat="1" ht="15.75" customHeight="1" x14ac:dyDescent="0.3">
      <c r="A239" s="80">
        <v>2</v>
      </c>
      <c r="B239" s="80"/>
      <c r="C239" s="53" t="s">
        <v>202</v>
      </c>
      <c r="D239" s="53">
        <f>(30.03*10.764)</f>
        <v>323.24291999999997</v>
      </c>
      <c r="E239" s="53">
        <v>0</v>
      </c>
      <c r="F239" s="53">
        <v>483.37</v>
      </c>
      <c r="G239" s="76"/>
      <c r="H239" s="77"/>
      <c r="I239" s="50"/>
      <c r="N239" s="50"/>
    </row>
    <row r="240" spans="1:16" s="51" customFormat="1" ht="15.75" customHeight="1" x14ac:dyDescent="0.3">
      <c r="A240" s="80">
        <v>3</v>
      </c>
      <c r="B240" s="80"/>
      <c r="C240" s="53" t="s">
        <v>203</v>
      </c>
      <c r="D240" s="53">
        <f>(40.79*10.764)</f>
        <v>439.06355999999994</v>
      </c>
      <c r="E240" s="53">
        <v>0</v>
      </c>
      <c r="F240" s="53">
        <v>658.69</v>
      </c>
      <c r="G240" s="76"/>
      <c r="H240" s="77"/>
      <c r="I240" s="50"/>
      <c r="N240" s="50"/>
    </row>
    <row r="241" spans="1:16" s="51" customFormat="1" ht="15.75" customHeight="1" x14ac:dyDescent="0.3">
      <c r="A241" s="80">
        <v>4</v>
      </c>
      <c r="B241" s="80"/>
      <c r="C241" s="53" t="s">
        <v>202</v>
      </c>
      <c r="D241" s="53">
        <f>(27.2*10.764)</f>
        <v>292.7808</v>
      </c>
      <c r="E241" s="53">
        <v>0</v>
      </c>
      <c r="F241" s="53">
        <v>483.37</v>
      </c>
      <c r="G241" s="76"/>
      <c r="H241" s="77"/>
      <c r="I241" s="50"/>
      <c r="N241" s="50"/>
    </row>
    <row r="242" spans="1:16" s="51" customFormat="1" ht="15.75" customHeight="1" x14ac:dyDescent="0.3">
      <c r="A242" s="80">
        <v>5</v>
      </c>
      <c r="B242" s="80"/>
      <c r="C242" s="53" t="s">
        <v>205</v>
      </c>
      <c r="D242" s="53">
        <f>(22.22*10.764)</f>
        <v>239.17607999999998</v>
      </c>
      <c r="E242" s="53">
        <v>0</v>
      </c>
      <c r="F242" s="53">
        <v>356.43</v>
      </c>
      <c r="G242" s="76"/>
      <c r="H242" s="77"/>
      <c r="I242" s="50"/>
      <c r="N242" s="50"/>
    </row>
    <row r="243" spans="1:16" s="51" customFormat="1" ht="15.75" customHeight="1" x14ac:dyDescent="0.3">
      <c r="A243" s="80">
        <v>6</v>
      </c>
      <c r="B243" s="80"/>
      <c r="C243" s="53" t="s">
        <v>205</v>
      </c>
      <c r="D243" s="53">
        <f>(22.22*10.764)</f>
        <v>239.17607999999998</v>
      </c>
      <c r="E243" s="53">
        <v>0</v>
      </c>
      <c r="F243" s="53">
        <v>356.43</v>
      </c>
      <c r="G243" s="78"/>
      <c r="H243" s="79"/>
      <c r="I243" s="50"/>
      <c r="N243" s="50"/>
    </row>
    <row r="244" spans="1:16" s="51" customFormat="1" x14ac:dyDescent="0.3">
      <c r="A244" s="81" t="s">
        <v>204</v>
      </c>
      <c r="B244" s="82"/>
      <c r="C244" s="82"/>
      <c r="D244" s="82"/>
      <c r="E244" s="82"/>
      <c r="F244" s="82"/>
      <c r="G244" s="82"/>
      <c r="H244" s="83"/>
      <c r="I244" s="50"/>
    </row>
    <row r="245" spans="1:16" s="51" customFormat="1" ht="15.75" customHeight="1" x14ac:dyDescent="0.3">
      <c r="A245" s="72" t="str">
        <f t="shared" ref="A245:A250" ca="1" si="20">N245</f>
        <v>101 to 401</v>
      </c>
      <c r="B245" s="73"/>
      <c r="C245" s="53" t="s">
        <v>202</v>
      </c>
      <c r="D245" s="53">
        <f>(30.03+0.6*(2.75+2.15+2.75))*10.764</f>
        <v>372.64968000000005</v>
      </c>
      <c r="E245" s="53">
        <v>0</v>
      </c>
      <c r="F245" s="53">
        <v>598.5</v>
      </c>
      <c r="G245" s="74" t="str">
        <f>A244</f>
        <v>1st to 4th Floor</v>
      </c>
      <c r="H245" s="75"/>
      <c r="I245" s="50"/>
      <c r="N245" s="51" t="str">
        <f t="shared" ref="N245:N250" ca="1" si="21">O245&amp;""&amp;" to "&amp;""&amp;P245</f>
        <v>101 to 401</v>
      </c>
      <c r="O245" s="51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10^ROW(INDIRECT("1:"&amp;LEN((LEFT(A244,SUM(LEN(A244)-LEN(SUBSTITUTE(A244,{"0","1","2"},""))))))))/10))*100+1</f>
        <v>101</v>
      </c>
      <c r="P245" s="51">
        <f ca="1">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",LEN(A244))),LEN(A244)))))))/10))*100+1</f>
        <v>401</v>
      </c>
    </row>
    <row r="246" spans="1:16" s="51" customFormat="1" ht="15.75" customHeight="1" x14ac:dyDescent="0.3">
      <c r="A246" s="72" t="str">
        <f t="shared" ca="1" si="20"/>
        <v>102 to 402</v>
      </c>
      <c r="B246" s="73"/>
      <c r="C246" s="53" t="s">
        <v>207</v>
      </c>
      <c r="D246" s="53">
        <f>(30.03+0.6*(2.75+2.15+2.75))*10.764</f>
        <v>372.64968000000005</v>
      </c>
      <c r="E246" s="53">
        <v>0</v>
      </c>
      <c r="F246" s="53">
        <v>598.5</v>
      </c>
      <c r="G246" s="76"/>
      <c r="H246" s="77"/>
      <c r="I246" s="50"/>
      <c r="N246" s="51" t="str">
        <f t="shared" ca="1" si="21"/>
        <v>102 to 402</v>
      </c>
      <c r="O246" s="51">
        <f t="shared" ref="O246:P246" ca="1" si="22">O245+1</f>
        <v>102</v>
      </c>
      <c r="P246" s="51">
        <f t="shared" ca="1" si="22"/>
        <v>402</v>
      </c>
    </row>
    <row r="247" spans="1:16" s="51" customFormat="1" ht="15.75" customHeight="1" x14ac:dyDescent="0.3">
      <c r="A247" s="72" t="str">
        <f t="shared" ca="1" si="20"/>
        <v>103 to 403</v>
      </c>
      <c r="B247" s="73"/>
      <c r="C247" s="53" t="s">
        <v>203</v>
      </c>
      <c r="D247" s="53">
        <f>(40.79+0.6*(2.6+2.75+2.15+2.75))*10.764</f>
        <v>505.26215999999994</v>
      </c>
      <c r="E247" s="53">
        <v>0</v>
      </c>
      <c r="F247" s="53">
        <v>793.5</v>
      </c>
      <c r="G247" s="76"/>
      <c r="H247" s="77"/>
      <c r="I247" s="50"/>
      <c r="N247" s="51" t="str">
        <f t="shared" ca="1" si="21"/>
        <v>103 to 403</v>
      </c>
      <c r="O247" s="51">
        <f t="shared" ref="O247:P247" ca="1" si="23">O246+1</f>
        <v>103</v>
      </c>
      <c r="P247" s="51">
        <f t="shared" ca="1" si="23"/>
        <v>403</v>
      </c>
    </row>
    <row r="248" spans="1:16" s="51" customFormat="1" ht="15.75" customHeight="1" x14ac:dyDescent="0.3">
      <c r="A248" s="72" t="str">
        <f t="shared" ca="1" si="20"/>
        <v>104 to 404</v>
      </c>
      <c r="B248" s="73"/>
      <c r="C248" s="53" t="s">
        <v>202</v>
      </c>
      <c r="D248" s="53">
        <f>(30.19+0.6*(2.75+2.15+2.75))*10.764</f>
        <v>374.37191999999999</v>
      </c>
      <c r="E248" s="53">
        <v>0</v>
      </c>
      <c r="F248" s="53">
        <v>598.5</v>
      </c>
      <c r="G248" s="76"/>
      <c r="H248" s="77"/>
      <c r="I248" s="50"/>
      <c r="N248" s="51" t="str">
        <f t="shared" ca="1" si="21"/>
        <v>104 to 404</v>
      </c>
      <c r="O248" s="51">
        <f t="shared" ref="O248:P248" ca="1" si="24">O247+1</f>
        <v>104</v>
      </c>
      <c r="P248" s="51">
        <f t="shared" ca="1" si="24"/>
        <v>404</v>
      </c>
    </row>
    <row r="249" spans="1:16" s="51" customFormat="1" ht="15.75" customHeight="1" x14ac:dyDescent="0.3">
      <c r="A249" s="72" t="str">
        <f t="shared" ca="1" si="20"/>
        <v>105 to 405</v>
      </c>
      <c r="B249" s="73"/>
      <c r="C249" s="53" t="s">
        <v>205</v>
      </c>
      <c r="D249" s="53">
        <f>(22.22+0.6*(2.75+2.45))*10.764</f>
        <v>272.75975999999997</v>
      </c>
      <c r="E249" s="53">
        <v>0</v>
      </c>
      <c r="F249" s="53">
        <v>423.93</v>
      </c>
      <c r="G249" s="76"/>
      <c r="H249" s="77"/>
      <c r="I249" s="50"/>
      <c r="N249" s="51" t="str">
        <f t="shared" ca="1" si="21"/>
        <v>105 to 405</v>
      </c>
      <c r="O249" s="51">
        <f t="shared" ref="O249:P249" ca="1" si="25">O248+1</f>
        <v>105</v>
      </c>
      <c r="P249" s="51">
        <f t="shared" ca="1" si="25"/>
        <v>405</v>
      </c>
    </row>
    <row r="250" spans="1:16" s="51" customFormat="1" ht="15.75" customHeight="1" x14ac:dyDescent="0.3">
      <c r="A250" s="72" t="str">
        <f t="shared" ca="1" si="20"/>
        <v>106 to 406</v>
      </c>
      <c r="B250" s="73"/>
      <c r="C250" s="53" t="s">
        <v>205</v>
      </c>
      <c r="D250" s="53">
        <f>(22.22+0.6*(2.75+2.45))*10.764</f>
        <v>272.75975999999997</v>
      </c>
      <c r="E250" s="53">
        <v>0</v>
      </c>
      <c r="F250" s="53">
        <v>423.93</v>
      </c>
      <c r="G250" s="78"/>
      <c r="H250" s="79"/>
      <c r="I250" s="50"/>
      <c r="N250" s="51" t="str">
        <f t="shared" ca="1" si="21"/>
        <v>106 to 406</v>
      </c>
      <c r="O250" s="51">
        <f t="shared" ref="O250:P250" ca="1" si="26">O249+1</f>
        <v>106</v>
      </c>
      <c r="P250" s="51">
        <f t="shared" ca="1" si="26"/>
        <v>406</v>
      </c>
    </row>
    <row r="251" spans="1:16" s="51" customFormat="1" x14ac:dyDescent="0.3">
      <c r="A251" s="84" t="s">
        <v>218</v>
      </c>
      <c r="B251" s="84"/>
      <c r="C251" s="84"/>
      <c r="D251" s="84"/>
      <c r="E251" s="84"/>
      <c r="F251" s="84"/>
      <c r="G251" s="84"/>
      <c r="H251" s="84"/>
      <c r="I251" s="50"/>
      <c r="L251" s="96"/>
      <c r="M251" s="96"/>
    </row>
    <row r="252" spans="1:16" s="51" customFormat="1" x14ac:dyDescent="0.3">
      <c r="A252" s="84" t="s">
        <v>208</v>
      </c>
      <c r="B252" s="84"/>
      <c r="C252" s="84"/>
      <c r="D252" s="84"/>
      <c r="E252" s="84"/>
      <c r="F252" s="84"/>
      <c r="G252" s="84"/>
      <c r="H252" s="84"/>
      <c r="I252" s="50"/>
      <c r="L252" s="96"/>
      <c r="M252" s="96"/>
    </row>
    <row r="253" spans="1:16" s="51" customFormat="1" ht="15.75" customHeight="1" x14ac:dyDescent="0.3">
      <c r="A253" s="80">
        <v>1</v>
      </c>
      <c r="B253" s="80"/>
      <c r="C253" s="53" t="s">
        <v>201</v>
      </c>
      <c r="D253" s="53">
        <f>(22.22*10.764)</f>
        <v>239.17607999999998</v>
      </c>
      <c r="E253" s="53">
        <v>0</v>
      </c>
      <c r="F253" s="53">
        <v>356.43</v>
      </c>
      <c r="G253" s="74" t="str">
        <f>A252</f>
        <v>Ground Floor for Residential and Parking</v>
      </c>
      <c r="H253" s="75"/>
      <c r="I253" s="50"/>
      <c r="N253" s="50"/>
    </row>
    <row r="254" spans="1:16" s="51" customFormat="1" ht="15.75" customHeight="1" x14ac:dyDescent="0.3">
      <c r="A254" s="80">
        <v>2</v>
      </c>
      <c r="B254" s="80"/>
      <c r="C254" s="53" t="s">
        <v>201</v>
      </c>
      <c r="D254" s="53">
        <f>(22.22*10.764)</f>
        <v>239.17607999999998</v>
      </c>
      <c r="E254" s="53">
        <v>0</v>
      </c>
      <c r="F254" s="53">
        <v>356.43</v>
      </c>
      <c r="G254" s="76"/>
      <c r="H254" s="77"/>
      <c r="I254" s="50"/>
      <c r="N254" s="50"/>
    </row>
    <row r="255" spans="1:16" s="51" customFormat="1" ht="15.75" customHeight="1" x14ac:dyDescent="0.3">
      <c r="A255" s="80">
        <v>3</v>
      </c>
      <c r="B255" s="80"/>
      <c r="C255" s="53" t="s">
        <v>202</v>
      </c>
      <c r="D255" s="53">
        <f>(30.19*10.764)</f>
        <v>324.96515999999997</v>
      </c>
      <c r="E255" s="53">
        <v>0</v>
      </c>
      <c r="F255" s="53">
        <v>483.37</v>
      </c>
      <c r="G255" s="76"/>
      <c r="H255" s="77"/>
      <c r="I255" s="50"/>
      <c r="N255" s="50"/>
    </row>
    <row r="256" spans="1:16" s="51" customFormat="1" ht="15.75" customHeight="1" x14ac:dyDescent="0.3">
      <c r="A256" s="80">
        <v>4</v>
      </c>
      <c r="B256" s="80"/>
      <c r="C256" s="53" t="s">
        <v>203</v>
      </c>
      <c r="D256" s="53">
        <f>(40.79*10.764)</f>
        <v>439.06355999999994</v>
      </c>
      <c r="E256" s="53">
        <v>0</v>
      </c>
      <c r="F256" s="53">
        <v>658.69</v>
      </c>
      <c r="G256" s="76"/>
      <c r="H256" s="77"/>
      <c r="I256" s="50"/>
      <c r="N256" s="50"/>
    </row>
    <row r="257" spans="1:16" s="51" customFormat="1" ht="15.75" customHeight="1" x14ac:dyDescent="0.3">
      <c r="A257" s="80">
        <v>5</v>
      </c>
      <c r="B257" s="80"/>
      <c r="C257" s="53" t="s">
        <v>202</v>
      </c>
      <c r="D257" s="53">
        <f>(30.03*10.764)</f>
        <v>323.24291999999997</v>
      </c>
      <c r="E257" s="53">
        <v>0</v>
      </c>
      <c r="F257" s="53">
        <v>483.37</v>
      </c>
      <c r="G257" s="76"/>
      <c r="H257" s="77"/>
      <c r="I257" s="50"/>
      <c r="N257" s="50"/>
    </row>
    <row r="258" spans="1:16" s="51" customFormat="1" ht="15.75" customHeight="1" x14ac:dyDescent="0.3">
      <c r="A258" s="80">
        <v>6</v>
      </c>
      <c r="B258" s="80"/>
      <c r="C258" s="53" t="s">
        <v>202</v>
      </c>
      <c r="D258" s="53">
        <f>(30.03*10.764)</f>
        <v>323.24291999999997</v>
      </c>
      <c r="E258" s="53">
        <v>0</v>
      </c>
      <c r="F258" s="53">
        <v>483.37</v>
      </c>
      <c r="G258" s="78"/>
      <c r="H258" s="79"/>
      <c r="I258" s="50"/>
      <c r="N258" s="50"/>
    </row>
    <row r="259" spans="1:16" s="51" customFormat="1" x14ac:dyDescent="0.3">
      <c r="A259" s="81" t="s">
        <v>213</v>
      </c>
      <c r="B259" s="82"/>
      <c r="C259" s="82"/>
      <c r="D259" s="82"/>
      <c r="E259" s="82"/>
      <c r="F259" s="82"/>
      <c r="G259" s="82"/>
      <c r="H259" s="83"/>
      <c r="I259" s="50"/>
    </row>
    <row r="260" spans="1:16" s="51" customFormat="1" ht="15.75" customHeight="1" x14ac:dyDescent="0.3">
      <c r="A260" s="72" t="str">
        <f t="shared" ref="A260:A265" ca="1" si="27">N260</f>
        <v>101 to 401</v>
      </c>
      <c r="B260" s="73"/>
      <c r="C260" s="53" t="s">
        <v>201</v>
      </c>
      <c r="D260" s="53">
        <f>(22.22+0.6*(2.75+2.45))*10.764</f>
        <v>272.75975999999997</v>
      </c>
      <c r="E260" s="53">
        <v>0</v>
      </c>
      <c r="F260" s="53">
        <v>423.93</v>
      </c>
      <c r="G260" s="74" t="str">
        <f>A259</f>
        <v xml:space="preserve">1st to 4th Floor </v>
      </c>
      <c r="H260" s="75"/>
      <c r="I260" s="50"/>
      <c r="N260" s="51" t="str">
        <f t="shared" ref="N260:N265" ca="1" si="28">O260&amp;""&amp;" to "&amp;""&amp;P260</f>
        <v>101 to 401</v>
      </c>
      <c r="O260" s="51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10^ROW(INDIRECT("1:"&amp;LEN((LEFT(A259,SUM(LEN(A259)-LEN(SUBSTITUTE(A259,{"0","1","2"},""))))))))/10))*100+1</f>
        <v>101</v>
      </c>
      <c r="P260" s="51">
        <f ca="1">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",LEN(A259))),LEN(A259)))))))/10))*100+1</f>
        <v>401</v>
      </c>
    </row>
    <row r="261" spans="1:16" s="51" customFormat="1" ht="15.75" customHeight="1" x14ac:dyDescent="0.3">
      <c r="A261" s="72" t="str">
        <f t="shared" ca="1" si="27"/>
        <v>102 to 402</v>
      </c>
      <c r="B261" s="73"/>
      <c r="C261" s="53" t="s">
        <v>205</v>
      </c>
      <c r="D261" s="53">
        <f>(22.22+0.6*(2.75+2.45))*10.764</f>
        <v>272.75975999999997</v>
      </c>
      <c r="E261" s="53">
        <v>0</v>
      </c>
      <c r="F261" s="53">
        <v>423.93</v>
      </c>
      <c r="G261" s="76"/>
      <c r="H261" s="77"/>
      <c r="I261" s="50"/>
      <c r="N261" s="51" t="str">
        <f t="shared" ca="1" si="28"/>
        <v>102 to 402</v>
      </c>
      <c r="O261" s="51">
        <f t="shared" ref="O261:P261" ca="1" si="29">O260+1</f>
        <v>102</v>
      </c>
      <c r="P261" s="51">
        <f t="shared" ca="1" si="29"/>
        <v>402</v>
      </c>
    </row>
    <row r="262" spans="1:16" s="51" customFormat="1" ht="15.75" customHeight="1" x14ac:dyDescent="0.3">
      <c r="A262" s="72" t="str">
        <f t="shared" ca="1" si="27"/>
        <v>103 to 403</v>
      </c>
      <c r="B262" s="73"/>
      <c r="C262" s="53" t="s">
        <v>202</v>
      </c>
      <c r="D262" s="53">
        <f>(30.19+0.6*(2.75+2.15+2.75))*10.764</f>
        <v>374.37191999999999</v>
      </c>
      <c r="E262" s="53">
        <v>0</v>
      </c>
      <c r="F262" s="53">
        <v>598.5</v>
      </c>
      <c r="G262" s="76"/>
      <c r="H262" s="77"/>
      <c r="I262" s="50"/>
      <c r="N262" s="51" t="str">
        <f t="shared" ca="1" si="28"/>
        <v>103 to 403</v>
      </c>
      <c r="O262" s="51">
        <f t="shared" ref="O262:P262" ca="1" si="30">O261+1</f>
        <v>103</v>
      </c>
      <c r="P262" s="51">
        <f t="shared" ca="1" si="30"/>
        <v>403</v>
      </c>
    </row>
    <row r="263" spans="1:16" s="51" customFormat="1" ht="15.75" customHeight="1" x14ac:dyDescent="0.3">
      <c r="A263" s="72" t="str">
        <f t="shared" ca="1" si="27"/>
        <v>104 to 404</v>
      </c>
      <c r="B263" s="73"/>
      <c r="C263" s="53" t="s">
        <v>203</v>
      </c>
      <c r="D263" s="53">
        <f>(40.79+0.6*(2.6+2.75+2.15+2.75))*10.764</f>
        <v>505.26215999999994</v>
      </c>
      <c r="E263" s="53">
        <v>0</v>
      </c>
      <c r="F263" s="53">
        <v>793.5</v>
      </c>
      <c r="G263" s="76"/>
      <c r="H263" s="77"/>
      <c r="I263" s="50"/>
      <c r="N263" s="51" t="str">
        <f t="shared" ca="1" si="28"/>
        <v>104 to 404</v>
      </c>
      <c r="O263" s="51">
        <f t="shared" ref="O263:P263" ca="1" si="31">O262+1</f>
        <v>104</v>
      </c>
      <c r="P263" s="51">
        <f t="shared" ca="1" si="31"/>
        <v>404</v>
      </c>
    </row>
    <row r="264" spans="1:16" s="51" customFormat="1" ht="15.75" customHeight="1" x14ac:dyDescent="0.3">
      <c r="A264" s="72" t="str">
        <f t="shared" ca="1" si="27"/>
        <v>105 to 405</v>
      </c>
      <c r="B264" s="73"/>
      <c r="C264" s="53" t="s">
        <v>202</v>
      </c>
      <c r="D264" s="53">
        <f>(30.03+0.6*(2.75+2.15+2.75))*10.764</f>
        <v>372.64968000000005</v>
      </c>
      <c r="E264" s="53">
        <v>0</v>
      </c>
      <c r="F264" s="53">
        <v>598.5</v>
      </c>
      <c r="G264" s="76"/>
      <c r="H264" s="77"/>
      <c r="I264" s="50"/>
      <c r="N264" s="51" t="str">
        <f t="shared" ca="1" si="28"/>
        <v>105 to 405</v>
      </c>
      <c r="O264" s="51">
        <f t="shared" ref="O264:P264" ca="1" si="32">O263+1</f>
        <v>105</v>
      </c>
      <c r="P264" s="51">
        <f t="shared" ca="1" si="32"/>
        <v>405</v>
      </c>
    </row>
    <row r="265" spans="1:16" s="51" customFormat="1" ht="15.75" customHeight="1" x14ac:dyDescent="0.3">
      <c r="A265" s="72" t="str">
        <f t="shared" ca="1" si="27"/>
        <v>106 to 406</v>
      </c>
      <c r="B265" s="73"/>
      <c r="C265" s="53" t="s">
        <v>202</v>
      </c>
      <c r="D265" s="53">
        <f>(30.03+0.6*(2.75+2.15+2.75))*10.764</f>
        <v>372.64968000000005</v>
      </c>
      <c r="E265" s="53">
        <v>0</v>
      </c>
      <c r="F265" s="53">
        <v>598.5</v>
      </c>
      <c r="G265" s="78"/>
      <c r="H265" s="79"/>
      <c r="I265" s="50"/>
      <c r="N265" s="51" t="str">
        <f t="shared" ca="1" si="28"/>
        <v>106 to 406</v>
      </c>
      <c r="O265" s="51">
        <f t="shared" ref="O265:P265" ca="1" si="33">O264+1</f>
        <v>106</v>
      </c>
      <c r="P265" s="51">
        <f t="shared" ca="1" si="33"/>
        <v>406</v>
      </c>
    </row>
    <row r="266" spans="1:16" s="51" customFormat="1" ht="20.25" customHeight="1" x14ac:dyDescent="0.3">
      <c r="A266" s="84" t="s">
        <v>219</v>
      </c>
      <c r="B266" s="84"/>
      <c r="C266" s="84"/>
      <c r="D266" s="84"/>
      <c r="E266" s="84"/>
      <c r="F266" s="84"/>
      <c r="G266" s="84"/>
      <c r="H266" s="84"/>
      <c r="I266" s="50"/>
      <c r="L266" s="96"/>
      <c r="M266" s="96"/>
    </row>
    <row r="267" spans="1:16" s="51" customFormat="1" x14ac:dyDescent="0.3">
      <c r="A267" s="84" t="s">
        <v>217</v>
      </c>
      <c r="B267" s="84"/>
      <c r="C267" s="84"/>
      <c r="D267" s="84"/>
      <c r="E267" s="84"/>
      <c r="F267" s="84"/>
      <c r="G267" s="84"/>
      <c r="H267" s="84"/>
      <c r="I267" s="50"/>
      <c r="L267" s="96"/>
      <c r="M267" s="96"/>
    </row>
    <row r="268" spans="1:16" s="51" customFormat="1" x14ac:dyDescent="0.3">
      <c r="A268" s="84" t="s">
        <v>208</v>
      </c>
      <c r="B268" s="84"/>
      <c r="C268" s="84"/>
      <c r="D268" s="84"/>
      <c r="E268" s="84"/>
      <c r="F268" s="84"/>
      <c r="G268" s="84"/>
      <c r="H268" s="84"/>
      <c r="I268" s="50"/>
      <c r="L268" s="96"/>
      <c r="M268" s="96"/>
    </row>
    <row r="269" spans="1:16" s="51" customFormat="1" ht="15.75" customHeight="1" x14ac:dyDescent="0.3">
      <c r="A269" s="80">
        <v>1</v>
      </c>
      <c r="B269" s="80"/>
      <c r="C269" s="53" t="s">
        <v>201</v>
      </c>
      <c r="D269" s="53">
        <f>(21.5*10.764)</f>
        <v>231.42599999999999</v>
      </c>
      <c r="E269" s="53">
        <v>0</v>
      </c>
      <c r="F269" s="53">
        <v>356.43</v>
      </c>
      <c r="G269" s="74" t="str">
        <f>A268</f>
        <v>Ground Floor for Residential and Parking</v>
      </c>
      <c r="H269" s="75"/>
      <c r="I269" s="50"/>
      <c r="N269" s="50"/>
    </row>
    <row r="270" spans="1:16" s="51" customFormat="1" ht="15.75" customHeight="1" x14ac:dyDescent="0.3">
      <c r="A270" s="80">
        <v>2</v>
      </c>
      <c r="B270" s="80"/>
      <c r="C270" s="53" t="s">
        <v>202</v>
      </c>
      <c r="D270" s="53">
        <f>(30.03*10.764)</f>
        <v>323.24291999999997</v>
      </c>
      <c r="E270" s="53">
        <v>0</v>
      </c>
      <c r="F270" s="53">
        <v>483.37</v>
      </c>
      <c r="G270" s="76"/>
      <c r="H270" s="77"/>
      <c r="I270" s="50"/>
      <c r="N270" s="50"/>
    </row>
    <row r="271" spans="1:16" s="51" customFormat="1" ht="15.75" customHeight="1" x14ac:dyDescent="0.3">
      <c r="A271" s="80">
        <v>3</v>
      </c>
      <c r="B271" s="80"/>
      <c r="C271" s="53" t="s">
        <v>203</v>
      </c>
      <c r="D271" s="53">
        <f>(40.79*10.764)</f>
        <v>439.06355999999994</v>
      </c>
      <c r="E271" s="53">
        <v>0</v>
      </c>
      <c r="F271" s="53">
        <v>658.69</v>
      </c>
      <c r="G271" s="76"/>
      <c r="H271" s="77"/>
      <c r="I271" s="50"/>
      <c r="N271" s="50"/>
    </row>
    <row r="272" spans="1:16" s="51" customFormat="1" ht="15.75" customHeight="1" x14ac:dyDescent="0.3">
      <c r="A272" s="80">
        <v>4</v>
      </c>
      <c r="B272" s="80"/>
      <c r="C272" s="53" t="s">
        <v>202</v>
      </c>
      <c r="D272" s="53">
        <f>(27.2*10.764)</f>
        <v>292.7808</v>
      </c>
      <c r="E272" s="53">
        <v>0</v>
      </c>
      <c r="F272" s="53">
        <v>483.37</v>
      </c>
      <c r="G272" s="76"/>
      <c r="H272" s="77"/>
      <c r="I272" s="50"/>
      <c r="N272" s="50"/>
    </row>
    <row r="273" spans="1:16" s="51" customFormat="1" ht="15.75" customHeight="1" x14ac:dyDescent="0.3">
      <c r="A273" s="80">
        <v>5</v>
      </c>
      <c r="B273" s="80"/>
      <c r="C273" s="53" t="s">
        <v>205</v>
      </c>
      <c r="D273" s="53">
        <f>(22.22*10.764)</f>
        <v>239.17607999999998</v>
      </c>
      <c r="E273" s="53">
        <v>0</v>
      </c>
      <c r="F273" s="53">
        <v>356.43</v>
      </c>
      <c r="G273" s="76"/>
      <c r="H273" s="77"/>
      <c r="I273" s="50"/>
      <c r="N273" s="50"/>
    </row>
    <row r="274" spans="1:16" s="51" customFormat="1" ht="15.75" customHeight="1" x14ac:dyDescent="0.3">
      <c r="A274" s="80">
        <v>6</v>
      </c>
      <c r="B274" s="80"/>
      <c r="C274" s="53" t="s">
        <v>205</v>
      </c>
      <c r="D274" s="53">
        <f>(22.22*10.764)</f>
        <v>239.17607999999998</v>
      </c>
      <c r="E274" s="53">
        <v>0</v>
      </c>
      <c r="F274" s="53">
        <v>356.43</v>
      </c>
      <c r="G274" s="78"/>
      <c r="H274" s="79"/>
      <c r="I274" s="50"/>
      <c r="N274" s="50"/>
    </row>
    <row r="275" spans="1:16" s="51" customFormat="1" x14ac:dyDescent="0.3">
      <c r="A275" s="81" t="s">
        <v>204</v>
      </c>
      <c r="B275" s="82"/>
      <c r="C275" s="82"/>
      <c r="D275" s="82"/>
      <c r="E275" s="82"/>
      <c r="F275" s="82"/>
      <c r="G275" s="82"/>
      <c r="H275" s="83"/>
      <c r="I275" s="50"/>
    </row>
    <row r="276" spans="1:16" s="51" customFormat="1" ht="15.75" customHeight="1" x14ac:dyDescent="0.3">
      <c r="A276" s="72" t="str">
        <f t="shared" ref="A276:A281" ca="1" si="34">N276</f>
        <v>101 to 401</v>
      </c>
      <c r="B276" s="73"/>
      <c r="C276" s="53" t="s">
        <v>202</v>
      </c>
      <c r="D276" s="53">
        <f>(30.03+0.6*(2.75+2.15+2.75))*10.764</f>
        <v>372.64968000000005</v>
      </c>
      <c r="E276" s="53">
        <v>0</v>
      </c>
      <c r="F276" s="53">
        <v>598.5</v>
      </c>
      <c r="G276" s="74" t="str">
        <f>A275</f>
        <v>1st to 4th Floor</v>
      </c>
      <c r="H276" s="75"/>
      <c r="I276" s="50"/>
      <c r="N276" s="51" t="str">
        <f t="shared" ref="N276:N281" ca="1" si="35">O276&amp;""&amp;" to "&amp;""&amp;P276</f>
        <v>101 to 401</v>
      </c>
      <c r="O276" s="51">
        <f ca="1">(SUMPRODUCT(MID(0&amp;(LEFT(A275,SUM(LEN(A275)-LEN(SUBSTITUTE(A275,{"0","1","2"},""))))), LARGE(INDEX(ISNUMBER(--MID((LEFT(A275,SUM(LEN(A275)-LEN(SUBSTITUTE(A275,{"0","1","2"},""))))), ROW(INDIRECT("1:"&amp;LEN((LEFT(A275,SUM(LEN(A275)-LEN(SUBSTITUTE(A275,{"0","1","2"},"")))))))), 1)) * ROW(INDIRECT("1:"&amp;LEN((LEFT(A275,SUM(LEN(A275)-LEN(SUBSTITUTE(A275,{"0","1","2"},"")))))))), 0), ROW(INDIRECT("1:"&amp;LEN((LEFT(A275,SUM(LEN(A275)-LEN(SUBSTITUTE(A275,{"0","1","2"},"")))))))))+1, 1) * 10^ROW(INDIRECT("1:"&amp;LEN((LEFT(A275,SUM(LEN(A275)-LEN(SUBSTITUTE(A275,{"0","1","2"},""))))))))/10))*100+1</f>
        <v>101</v>
      </c>
      <c r="P276" s="51">
        <f ca="1">(SUMPRODUCT(MID(0&amp;(--TRIM(RIGHT(SUBSTITUTE(LEFT(A275,_xlfn.AGGREGATE(16,6,FIND({0,1,2,3,4,5,6,7,8,9},A275,ROW(INDIRECT("1:"&amp;LEN(A275)))),1))," ",REPT(" ",LEN(A275))),LEN(A275)))), LARGE(INDEX(ISNUMBER(--MID((--TRIM(RIGHT(SUBSTITUTE(LEFT(A275,_xlfn.AGGREGATE(16,6,FIND({0,1,2,3,4,5,6,7,8,9},A275,ROW(INDIRECT("1:"&amp;LEN(A275)))),1))," ",REPT(" ",LEN(A275))),LEN(A275)))), ROW(INDIRECT("1:"&amp;LEN((--TRIM(RIGHT(SUBSTITUTE(LEFT(A275,_xlfn.AGGREGATE(16,6,FIND({0,1,2,3,4,5,6,7,8,9},A275,ROW(INDIRECT("1:"&amp;LEN(A275)))),1))," ",REPT(" ",LEN(A275))),LEN(A275))))))), 1)) * ROW(INDIRECT("1:"&amp;LEN((--TRIM(RIGHT(SUBSTITUTE(LEFT(A275,_xlfn.AGGREGATE(16,6,FIND({0,1,2,3,4,5,6,7,8,9},A275,ROW(INDIRECT("1:"&amp;LEN(A275)))),1))," ",REPT(" ",LEN(A275))),LEN(A275))))))), 0), ROW(INDIRECT("1:"&amp;LEN((--TRIM(RIGHT(SUBSTITUTE(LEFT(A275,_xlfn.AGGREGATE(16,6,FIND({0,1,2,3,4,5,6,7,8,9},A275,ROW(INDIRECT("1:"&amp;LEN(A275)))),1))," ",REPT(" ",LEN(A275))),LEN(A275))))))))+1, 1) * 10^ROW(INDIRECT("1:"&amp;LEN((--TRIM(RIGHT(SUBSTITUTE(LEFT(A275,_xlfn.AGGREGATE(16,6,FIND({0,1,2,3,4,5,6,7,8,9},A275,ROW(INDIRECT("1:"&amp;LEN(A275)))),1))," ",REPT(" ",LEN(A275))),LEN(A275)))))))/10))*100+1</f>
        <v>401</v>
      </c>
    </row>
    <row r="277" spans="1:16" s="51" customFormat="1" ht="15.75" customHeight="1" x14ac:dyDescent="0.3">
      <c r="A277" s="72" t="str">
        <f t="shared" ca="1" si="34"/>
        <v>102 to 402</v>
      </c>
      <c r="B277" s="73"/>
      <c r="C277" s="53" t="s">
        <v>207</v>
      </c>
      <c r="D277" s="53">
        <f>(30.03+0.6*(2.75+2.15+2.75))*10.764</f>
        <v>372.64968000000005</v>
      </c>
      <c r="E277" s="53">
        <v>0</v>
      </c>
      <c r="F277" s="53">
        <v>598.5</v>
      </c>
      <c r="G277" s="76"/>
      <c r="H277" s="77"/>
      <c r="I277" s="50"/>
      <c r="N277" s="51" t="str">
        <f t="shared" ca="1" si="35"/>
        <v>102 to 402</v>
      </c>
      <c r="O277" s="51">
        <f t="shared" ref="O277:P277" ca="1" si="36">O276+1</f>
        <v>102</v>
      </c>
      <c r="P277" s="51">
        <f t="shared" ca="1" si="36"/>
        <v>402</v>
      </c>
    </row>
    <row r="278" spans="1:16" s="51" customFormat="1" ht="15.75" customHeight="1" x14ac:dyDescent="0.3">
      <c r="A278" s="72" t="str">
        <f t="shared" ca="1" si="34"/>
        <v>103 to 403</v>
      </c>
      <c r="B278" s="73"/>
      <c r="C278" s="53" t="s">
        <v>203</v>
      </c>
      <c r="D278" s="53">
        <f>(40.79+0.6*(2.6+2.75+2.15+2.75))*10.764</f>
        <v>505.26215999999994</v>
      </c>
      <c r="E278" s="53">
        <v>0</v>
      </c>
      <c r="F278" s="53">
        <v>793.5</v>
      </c>
      <c r="G278" s="76"/>
      <c r="H278" s="77"/>
      <c r="I278" s="50"/>
      <c r="N278" s="51" t="str">
        <f t="shared" ca="1" si="35"/>
        <v>103 to 403</v>
      </c>
      <c r="O278" s="51">
        <f t="shared" ref="O278:P278" ca="1" si="37">O277+1</f>
        <v>103</v>
      </c>
      <c r="P278" s="51">
        <f t="shared" ca="1" si="37"/>
        <v>403</v>
      </c>
    </row>
    <row r="279" spans="1:16" s="51" customFormat="1" ht="15.75" customHeight="1" x14ac:dyDescent="0.3">
      <c r="A279" s="72" t="str">
        <f t="shared" ca="1" si="34"/>
        <v>104 to 404</v>
      </c>
      <c r="B279" s="73"/>
      <c r="C279" s="53" t="s">
        <v>202</v>
      </c>
      <c r="D279" s="53">
        <f>(30.19+0.6*(2.75+2.15+2.75))*10.764</f>
        <v>374.37191999999999</v>
      </c>
      <c r="E279" s="53">
        <v>0</v>
      </c>
      <c r="F279" s="53">
        <v>598.5</v>
      </c>
      <c r="G279" s="76"/>
      <c r="H279" s="77"/>
      <c r="I279" s="50"/>
      <c r="N279" s="51" t="str">
        <f t="shared" ca="1" si="35"/>
        <v>104 to 404</v>
      </c>
      <c r="O279" s="51">
        <f t="shared" ref="O279:P279" ca="1" si="38">O278+1</f>
        <v>104</v>
      </c>
      <c r="P279" s="51">
        <f t="shared" ca="1" si="38"/>
        <v>404</v>
      </c>
    </row>
    <row r="280" spans="1:16" s="51" customFormat="1" ht="15.75" customHeight="1" x14ac:dyDescent="0.3">
      <c r="A280" s="72" t="str">
        <f t="shared" ca="1" si="34"/>
        <v>105 to 405</v>
      </c>
      <c r="B280" s="73"/>
      <c r="C280" s="53" t="s">
        <v>205</v>
      </c>
      <c r="D280" s="53">
        <f>(22.22+0.6*(2.75+2.45))*10.764</f>
        <v>272.75975999999997</v>
      </c>
      <c r="E280" s="53">
        <v>0</v>
      </c>
      <c r="F280" s="53">
        <v>423.93</v>
      </c>
      <c r="G280" s="76"/>
      <c r="H280" s="77"/>
      <c r="I280" s="50"/>
      <c r="N280" s="51" t="str">
        <f t="shared" ca="1" si="35"/>
        <v>105 to 405</v>
      </c>
      <c r="O280" s="51">
        <f t="shared" ref="O280:P280" ca="1" si="39">O279+1</f>
        <v>105</v>
      </c>
      <c r="P280" s="51">
        <f t="shared" ca="1" si="39"/>
        <v>405</v>
      </c>
    </row>
    <row r="281" spans="1:16" s="51" customFormat="1" ht="15.75" customHeight="1" x14ac:dyDescent="0.3">
      <c r="A281" s="72" t="str">
        <f t="shared" ca="1" si="34"/>
        <v>106 to 406</v>
      </c>
      <c r="B281" s="73"/>
      <c r="C281" s="53" t="s">
        <v>205</v>
      </c>
      <c r="D281" s="53">
        <f>(22.22+0.6*(2.75+2.45))*10.764</f>
        <v>272.75975999999997</v>
      </c>
      <c r="E281" s="53">
        <v>0</v>
      </c>
      <c r="F281" s="53">
        <v>423.93</v>
      </c>
      <c r="G281" s="78"/>
      <c r="H281" s="79"/>
      <c r="I281" s="50"/>
      <c r="N281" s="51" t="str">
        <f t="shared" ca="1" si="35"/>
        <v>106 to 406</v>
      </c>
      <c r="O281" s="51">
        <f t="shared" ref="O281:P281" ca="1" si="40">O280+1</f>
        <v>106</v>
      </c>
      <c r="P281" s="51">
        <f t="shared" ca="1" si="40"/>
        <v>406</v>
      </c>
    </row>
    <row r="282" spans="1:16" s="51" customFormat="1" x14ac:dyDescent="0.3">
      <c r="A282" s="84" t="s">
        <v>218</v>
      </c>
      <c r="B282" s="84"/>
      <c r="C282" s="84"/>
      <c r="D282" s="84"/>
      <c r="E282" s="84"/>
      <c r="F282" s="84"/>
      <c r="G282" s="84"/>
      <c r="H282" s="84"/>
      <c r="I282" s="50"/>
      <c r="L282" s="96"/>
      <c r="M282" s="96"/>
    </row>
    <row r="283" spans="1:16" s="51" customFormat="1" x14ac:dyDescent="0.3">
      <c r="A283" s="84" t="s">
        <v>208</v>
      </c>
      <c r="B283" s="84"/>
      <c r="C283" s="84"/>
      <c r="D283" s="84"/>
      <c r="E283" s="84"/>
      <c r="F283" s="84"/>
      <c r="G283" s="84"/>
      <c r="H283" s="84"/>
      <c r="I283" s="50"/>
      <c r="L283" s="96"/>
      <c r="M283" s="96"/>
    </row>
    <row r="284" spans="1:16" s="51" customFormat="1" ht="15.75" customHeight="1" x14ac:dyDescent="0.3">
      <c r="A284" s="80">
        <v>1</v>
      </c>
      <c r="B284" s="80"/>
      <c r="C284" s="53" t="s">
        <v>201</v>
      </c>
      <c r="D284" s="53">
        <f>(22.22*10.764)</f>
        <v>239.17607999999998</v>
      </c>
      <c r="E284" s="53">
        <v>0</v>
      </c>
      <c r="F284" s="53">
        <v>356.43</v>
      </c>
      <c r="G284" s="74" t="str">
        <f>A283</f>
        <v>Ground Floor for Residential and Parking</v>
      </c>
      <c r="H284" s="75"/>
      <c r="I284" s="50"/>
      <c r="N284" s="50"/>
    </row>
    <row r="285" spans="1:16" s="51" customFormat="1" ht="15.75" customHeight="1" x14ac:dyDescent="0.3">
      <c r="A285" s="80">
        <v>2</v>
      </c>
      <c r="B285" s="80"/>
      <c r="C285" s="53" t="s">
        <v>201</v>
      </c>
      <c r="D285" s="53">
        <f>(22.22*10.764)</f>
        <v>239.17607999999998</v>
      </c>
      <c r="E285" s="53">
        <v>0</v>
      </c>
      <c r="F285" s="53">
        <v>356.43</v>
      </c>
      <c r="G285" s="76"/>
      <c r="H285" s="77"/>
      <c r="I285" s="50"/>
      <c r="N285" s="50"/>
    </row>
    <row r="286" spans="1:16" s="51" customFormat="1" ht="15.75" customHeight="1" x14ac:dyDescent="0.3">
      <c r="A286" s="80">
        <v>3</v>
      </c>
      <c r="B286" s="80"/>
      <c r="C286" s="53" t="s">
        <v>202</v>
      </c>
      <c r="D286" s="53">
        <f>(30.19*10.764)</f>
        <v>324.96515999999997</v>
      </c>
      <c r="E286" s="53">
        <v>0</v>
      </c>
      <c r="F286" s="53">
        <v>483.37</v>
      </c>
      <c r="G286" s="76"/>
      <c r="H286" s="77"/>
      <c r="I286" s="50"/>
      <c r="N286" s="50"/>
    </row>
    <row r="287" spans="1:16" s="51" customFormat="1" ht="15.75" customHeight="1" x14ac:dyDescent="0.3">
      <c r="A287" s="80">
        <v>4</v>
      </c>
      <c r="B287" s="80"/>
      <c r="C287" s="53" t="s">
        <v>203</v>
      </c>
      <c r="D287" s="53">
        <f>(40.79*10.764)</f>
        <v>439.06355999999994</v>
      </c>
      <c r="E287" s="53">
        <v>0</v>
      </c>
      <c r="F287" s="53">
        <v>658.69</v>
      </c>
      <c r="G287" s="76"/>
      <c r="H287" s="77"/>
      <c r="I287" s="50"/>
      <c r="N287" s="50"/>
    </row>
    <row r="288" spans="1:16" s="51" customFormat="1" ht="15.75" customHeight="1" x14ac:dyDescent="0.3">
      <c r="A288" s="80">
        <v>5</v>
      </c>
      <c r="B288" s="80"/>
      <c r="C288" s="53" t="s">
        <v>202</v>
      </c>
      <c r="D288" s="53">
        <f>(30.03*10.764)</f>
        <v>323.24291999999997</v>
      </c>
      <c r="E288" s="53">
        <v>0</v>
      </c>
      <c r="F288" s="53">
        <v>483.37</v>
      </c>
      <c r="G288" s="76"/>
      <c r="H288" s="77"/>
      <c r="I288" s="50"/>
      <c r="N288" s="50"/>
    </row>
    <row r="289" spans="1:16" s="51" customFormat="1" ht="15.75" customHeight="1" x14ac:dyDescent="0.3">
      <c r="A289" s="80">
        <v>6</v>
      </c>
      <c r="B289" s="80"/>
      <c r="C289" s="53" t="s">
        <v>202</v>
      </c>
      <c r="D289" s="53">
        <f>(30.03*10.764)</f>
        <v>323.24291999999997</v>
      </c>
      <c r="E289" s="53">
        <v>0</v>
      </c>
      <c r="F289" s="53">
        <v>483.37</v>
      </c>
      <c r="G289" s="78"/>
      <c r="H289" s="79"/>
      <c r="I289" s="50"/>
      <c r="N289" s="50"/>
    </row>
    <row r="290" spans="1:16" s="51" customFormat="1" x14ac:dyDescent="0.3">
      <c r="A290" s="81" t="s">
        <v>213</v>
      </c>
      <c r="B290" s="82"/>
      <c r="C290" s="82"/>
      <c r="D290" s="82"/>
      <c r="E290" s="82"/>
      <c r="F290" s="82"/>
      <c r="G290" s="82"/>
      <c r="H290" s="83"/>
      <c r="I290" s="50"/>
    </row>
    <row r="291" spans="1:16" s="51" customFormat="1" ht="15.75" customHeight="1" x14ac:dyDescent="0.3">
      <c r="A291" s="72" t="str">
        <f t="shared" ref="A291:A296" ca="1" si="41">N291</f>
        <v>101 to 401</v>
      </c>
      <c r="B291" s="73"/>
      <c r="C291" s="53" t="s">
        <v>201</v>
      </c>
      <c r="D291" s="53">
        <f>(22.22+0.6*(2.75+2.45))*10.764</f>
        <v>272.75975999999997</v>
      </c>
      <c r="E291" s="53">
        <v>0</v>
      </c>
      <c r="F291" s="53">
        <v>423.93</v>
      </c>
      <c r="G291" s="74" t="str">
        <f>A290</f>
        <v xml:space="preserve">1st to 4th Floor </v>
      </c>
      <c r="H291" s="75"/>
      <c r="I291" s="50"/>
      <c r="N291" s="51" t="str">
        <f t="shared" ref="N291:N296" ca="1" si="42">O291&amp;""&amp;" to "&amp;""&amp;P291</f>
        <v>101 to 401</v>
      </c>
      <c r="O291" s="51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10^ROW(INDIRECT("1:"&amp;LEN((LEFT(A290,SUM(LEN(A290)-LEN(SUBSTITUTE(A290,{"0","1","2"},""))))))))/10))*100+1</f>
        <v>101</v>
      </c>
      <c r="P291" s="51">
        <f ca="1">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",LEN(A290))),LEN(A290)))))))/10))*100+1</f>
        <v>401</v>
      </c>
    </row>
    <row r="292" spans="1:16" s="51" customFormat="1" ht="15.75" customHeight="1" x14ac:dyDescent="0.3">
      <c r="A292" s="72" t="str">
        <f t="shared" ca="1" si="41"/>
        <v>102 to 402</v>
      </c>
      <c r="B292" s="73"/>
      <c r="C292" s="53" t="s">
        <v>205</v>
      </c>
      <c r="D292" s="53">
        <f>(22.22+0.6*(2.75+2.45))*10.764</f>
        <v>272.75975999999997</v>
      </c>
      <c r="E292" s="53">
        <v>0</v>
      </c>
      <c r="F292" s="53">
        <v>423.93</v>
      </c>
      <c r="G292" s="76"/>
      <c r="H292" s="77"/>
      <c r="I292" s="50"/>
      <c r="N292" s="51" t="str">
        <f t="shared" ca="1" si="42"/>
        <v>102 to 402</v>
      </c>
      <c r="O292" s="51">
        <f t="shared" ref="O292:P292" ca="1" si="43">O291+1</f>
        <v>102</v>
      </c>
      <c r="P292" s="51">
        <f t="shared" ca="1" si="43"/>
        <v>402</v>
      </c>
    </row>
    <row r="293" spans="1:16" s="51" customFormat="1" ht="15.75" customHeight="1" x14ac:dyDescent="0.3">
      <c r="A293" s="72" t="str">
        <f t="shared" ca="1" si="41"/>
        <v>103 to 403</v>
      </c>
      <c r="B293" s="73"/>
      <c r="C293" s="53" t="s">
        <v>202</v>
      </c>
      <c r="D293" s="53">
        <f>(30.19+0.6*(2.75+2.15+2.75))*10.764</f>
        <v>374.37191999999999</v>
      </c>
      <c r="E293" s="53">
        <v>0</v>
      </c>
      <c r="F293" s="53">
        <v>598.5</v>
      </c>
      <c r="G293" s="76"/>
      <c r="H293" s="77"/>
      <c r="I293" s="50"/>
      <c r="N293" s="51" t="str">
        <f t="shared" ca="1" si="42"/>
        <v>103 to 403</v>
      </c>
      <c r="O293" s="51">
        <f t="shared" ref="O293:P293" ca="1" si="44">O292+1</f>
        <v>103</v>
      </c>
      <c r="P293" s="51">
        <f t="shared" ca="1" si="44"/>
        <v>403</v>
      </c>
    </row>
    <row r="294" spans="1:16" s="51" customFormat="1" ht="15.75" customHeight="1" x14ac:dyDescent="0.3">
      <c r="A294" s="72" t="str">
        <f t="shared" ca="1" si="41"/>
        <v>104 to 404</v>
      </c>
      <c r="B294" s="73"/>
      <c r="C294" s="53" t="s">
        <v>203</v>
      </c>
      <c r="D294" s="53">
        <f>(40.79+0.6*(2.6+2.75+2.15+2.75))*10.764</f>
        <v>505.26215999999994</v>
      </c>
      <c r="E294" s="53">
        <v>0</v>
      </c>
      <c r="F294" s="53">
        <v>793.5</v>
      </c>
      <c r="G294" s="76"/>
      <c r="H294" s="77"/>
      <c r="I294" s="50"/>
      <c r="N294" s="51" t="str">
        <f t="shared" ca="1" si="42"/>
        <v>104 to 404</v>
      </c>
      <c r="O294" s="51">
        <f t="shared" ref="O294:P294" ca="1" si="45">O293+1</f>
        <v>104</v>
      </c>
      <c r="P294" s="51">
        <f t="shared" ca="1" si="45"/>
        <v>404</v>
      </c>
    </row>
    <row r="295" spans="1:16" s="51" customFormat="1" ht="15.75" customHeight="1" x14ac:dyDescent="0.3">
      <c r="A295" s="72" t="str">
        <f t="shared" ca="1" si="41"/>
        <v>105 to 405</v>
      </c>
      <c r="B295" s="73"/>
      <c r="C295" s="53" t="s">
        <v>202</v>
      </c>
      <c r="D295" s="53">
        <f>(30.03+0.6*(2.75+2.15+2.75))*10.764</f>
        <v>372.64968000000005</v>
      </c>
      <c r="E295" s="53">
        <v>0</v>
      </c>
      <c r="F295" s="53">
        <v>598.5</v>
      </c>
      <c r="G295" s="76"/>
      <c r="H295" s="77"/>
      <c r="I295" s="50"/>
      <c r="N295" s="51" t="str">
        <f t="shared" ca="1" si="42"/>
        <v>105 to 405</v>
      </c>
      <c r="O295" s="51">
        <f t="shared" ref="O295:P295" ca="1" si="46">O294+1</f>
        <v>105</v>
      </c>
      <c r="P295" s="51">
        <f t="shared" ca="1" si="46"/>
        <v>405</v>
      </c>
    </row>
    <row r="296" spans="1:16" s="51" customFormat="1" ht="15.75" customHeight="1" x14ac:dyDescent="0.3">
      <c r="A296" s="80" t="str">
        <f t="shared" ca="1" si="41"/>
        <v>106 to 406</v>
      </c>
      <c r="B296" s="80"/>
      <c r="C296" s="53" t="s">
        <v>202</v>
      </c>
      <c r="D296" s="53">
        <f>(30.03+0.6*(2.75+2.15+2.75))*10.764</f>
        <v>372.64968000000005</v>
      </c>
      <c r="E296" s="53">
        <v>0</v>
      </c>
      <c r="F296" s="53">
        <v>598.5</v>
      </c>
      <c r="G296" s="78"/>
      <c r="H296" s="79"/>
      <c r="I296" s="50"/>
      <c r="N296" s="51" t="str">
        <f t="shared" ca="1" si="42"/>
        <v>106 to 406</v>
      </c>
      <c r="O296" s="51">
        <f t="shared" ref="O296:P296" ca="1" si="47">O295+1</f>
        <v>106</v>
      </c>
      <c r="P296" s="51">
        <f t="shared" ca="1" si="47"/>
        <v>406</v>
      </c>
    </row>
    <row r="297" spans="1:16" s="48" customFormat="1" x14ac:dyDescent="0.3">
      <c r="A297" s="170" t="s">
        <v>77</v>
      </c>
      <c r="B297" s="170"/>
      <c r="C297" s="170"/>
      <c r="D297" s="170"/>
      <c r="E297" s="170"/>
      <c r="F297" s="170"/>
      <c r="G297" s="170"/>
      <c r="H297" s="170"/>
    </row>
    <row r="298" spans="1:16" s="48" customFormat="1" ht="32.25" customHeight="1" x14ac:dyDescent="0.3">
      <c r="A298" s="69">
        <v>1</v>
      </c>
      <c r="B298" s="68" t="s">
        <v>245</v>
      </c>
      <c r="C298" s="68"/>
      <c r="D298" s="68"/>
      <c r="E298" s="68" t="s">
        <v>254</v>
      </c>
      <c r="F298" s="68"/>
      <c r="G298" s="68"/>
      <c r="H298" s="68"/>
    </row>
    <row r="299" spans="1:16" s="48" customFormat="1" ht="32.25" customHeight="1" x14ac:dyDescent="0.3">
      <c r="A299" s="70"/>
      <c r="B299" s="68" t="s">
        <v>246</v>
      </c>
      <c r="C299" s="68"/>
      <c r="D299" s="68"/>
      <c r="E299" s="68" t="s">
        <v>248</v>
      </c>
      <c r="F299" s="68"/>
      <c r="G299" s="68"/>
      <c r="H299" s="68"/>
    </row>
    <row r="300" spans="1:16" s="48" customFormat="1" ht="16.5" customHeight="1" x14ac:dyDescent="0.3">
      <c r="A300" s="70"/>
      <c r="B300" s="68" t="s">
        <v>242</v>
      </c>
      <c r="C300" s="68"/>
      <c r="D300" s="68"/>
      <c r="E300" s="68" t="s">
        <v>153</v>
      </c>
      <c r="F300" s="68"/>
      <c r="G300" s="68"/>
      <c r="H300" s="68"/>
    </row>
    <row r="301" spans="1:16" s="48" customFormat="1" ht="33.75" customHeight="1" x14ac:dyDescent="0.3">
      <c r="A301" s="71"/>
      <c r="B301" s="68" t="s">
        <v>241</v>
      </c>
      <c r="C301" s="68"/>
      <c r="D301" s="68"/>
      <c r="E301" s="68" t="s">
        <v>243</v>
      </c>
      <c r="F301" s="68"/>
      <c r="G301" s="68"/>
      <c r="H301" s="68"/>
    </row>
    <row r="302" spans="1:16" s="48" customFormat="1" x14ac:dyDescent="0.3">
      <c r="A302" s="54">
        <f>A298+1</f>
        <v>2</v>
      </c>
      <c r="B302" s="112" t="s">
        <v>220</v>
      </c>
      <c r="C302" s="113"/>
      <c r="D302" s="113"/>
      <c r="E302" s="113"/>
      <c r="F302" s="113"/>
      <c r="G302" s="113"/>
      <c r="H302" s="114"/>
    </row>
    <row r="303" spans="1:16" s="48" customFormat="1" x14ac:dyDescent="0.3">
      <c r="A303" s="54">
        <f t="shared" ref="A303:A309" si="48">A302+1</f>
        <v>3</v>
      </c>
      <c r="B303" s="115" t="s">
        <v>158</v>
      </c>
      <c r="C303" s="116"/>
      <c r="D303" s="116"/>
      <c r="E303" s="116"/>
      <c r="F303" s="116"/>
      <c r="G303" s="116"/>
      <c r="H303" s="117"/>
    </row>
    <row r="304" spans="1:16" s="48" customFormat="1" x14ac:dyDescent="0.3">
      <c r="A304" s="54">
        <f t="shared" si="48"/>
        <v>4</v>
      </c>
      <c r="B304" s="115" t="s">
        <v>221</v>
      </c>
      <c r="C304" s="116"/>
      <c r="D304" s="116"/>
      <c r="E304" s="116"/>
      <c r="F304" s="116"/>
      <c r="G304" s="116"/>
      <c r="H304" s="117"/>
    </row>
    <row r="305" spans="1:8" s="48" customFormat="1" x14ac:dyDescent="0.3">
      <c r="A305" s="54">
        <f t="shared" si="48"/>
        <v>5</v>
      </c>
      <c r="B305" s="115" t="s">
        <v>159</v>
      </c>
      <c r="C305" s="116"/>
      <c r="D305" s="116"/>
      <c r="E305" s="116"/>
      <c r="F305" s="116"/>
      <c r="G305" s="116"/>
      <c r="H305" s="117"/>
    </row>
    <row r="306" spans="1:8" s="48" customFormat="1" x14ac:dyDescent="0.3">
      <c r="A306" s="54">
        <f t="shared" si="48"/>
        <v>6</v>
      </c>
      <c r="B306" s="115" t="s">
        <v>160</v>
      </c>
      <c r="C306" s="116"/>
      <c r="D306" s="116"/>
      <c r="E306" s="116"/>
      <c r="F306" s="116"/>
      <c r="G306" s="116"/>
      <c r="H306" s="117"/>
    </row>
    <row r="307" spans="1:8" s="48" customFormat="1" x14ac:dyDescent="0.3">
      <c r="A307" s="54">
        <f t="shared" si="48"/>
        <v>7</v>
      </c>
      <c r="B307" s="112" t="s">
        <v>244</v>
      </c>
      <c r="C307" s="113"/>
      <c r="D307" s="113"/>
      <c r="E307" s="113"/>
      <c r="F307" s="113"/>
      <c r="G307" s="113"/>
      <c r="H307" s="114"/>
    </row>
    <row r="308" spans="1:8" s="48" customFormat="1" ht="37.200000000000003" customHeight="1" x14ac:dyDescent="0.3">
      <c r="A308" s="54">
        <f t="shared" si="48"/>
        <v>8</v>
      </c>
      <c r="B308" s="112" t="s">
        <v>250</v>
      </c>
      <c r="C308" s="113"/>
      <c r="D308" s="113"/>
      <c r="E308" s="113"/>
      <c r="F308" s="113"/>
      <c r="G308" s="113"/>
      <c r="H308" s="114"/>
    </row>
    <row r="309" spans="1:8" s="48" customFormat="1" ht="34.200000000000003" customHeight="1" x14ac:dyDescent="0.3">
      <c r="A309" s="54">
        <f t="shared" si="48"/>
        <v>9</v>
      </c>
      <c r="B309" s="185" t="s">
        <v>249</v>
      </c>
      <c r="C309" s="186"/>
      <c r="D309" s="186"/>
      <c r="E309" s="186"/>
      <c r="F309" s="186"/>
      <c r="G309" s="186"/>
      <c r="H309" s="187"/>
    </row>
    <row r="310" spans="1:8" x14ac:dyDescent="0.3">
      <c r="A310" s="171" t="s">
        <v>70</v>
      </c>
      <c r="B310" s="171"/>
      <c r="C310" s="171"/>
      <c r="D310" s="171"/>
      <c r="E310" s="171"/>
      <c r="F310" s="171"/>
      <c r="G310" s="171"/>
      <c r="H310" s="171"/>
    </row>
    <row r="311" spans="1:8" x14ac:dyDescent="0.3">
      <c r="A311" s="118" t="s">
        <v>71</v>
      </c>
      <c r="B311" s="118"/>
      <c r="C311" s="118"/>
      <c r="D311" s="118"/>
      <c r="E311" s="118"/>
      <c r="F311" s="118"/>
      <c r="G311" s="118"/>
      <c r="H311" s="118"/>
    </row>
    <row r="312" spans="1:8" ht="15.75" customHeight="1" x14ac:dyDescent="0.3">
      <c r="A312" s="173" t="s">
        <v>72</v>
      </c>
      <c r="B312" s="173"/>
      <c r="C312" s="173"/>
      <c r="D312" s="173"/>
      <c r="E312" s="173"/>
      <c r="F312" s="173"/>
      <c r="G312" s="173"/>
      <c r="H312" s="173"/>
    </row>
    <row r="313" spans="1:8" x14ac:dyDescent="0.3">
      <c r="A313" s="118" t="s">
        <v>73</v>
      </c>
      <c r="B313" s="118"/>
      <c r="C313" s="118"/>
      <c r="D313" s="118"/>
      <c r="E313" s="118"/>
      <c r="F313" s="118"/>
      <c r="G313" s="118"/>
      <c r="H313" s="118"/>
    </row>
    <row r="314" spans="1:8" x14ac:dyDescent="0.3">
      <c r="A314" s="118" t="s">
        <v>74</v>
      </c>
      <c r="B314" s="118"/>
      <c r="C314" s="118"/>
      <c r="D314" s="118"/>
      <c r="E314" s="118"/>
      <c r="F314" s="118"/>
      <c r="G314" s="118"/>
      <c r="H314" s="118"/>
    </row>
    <row r="315" spans="1:8" x14ac:dyDescent="0.3">
      <c r="A315" s="118" t="s">
        <v>161</v>
      </c>
      <c r="B315" s="118"/>
      <c r="C315" s="118"/>
      <c r="D315" s="118"/>
      <c r="E315" s="118"/>
      <c r="F315" s="118"/>
      <c r="G315" s="118"/>
      <c r="H315" s="118"/>
    </row>
    <row r="316" spans="1:8" ht="35.25" customHeight="1" x14ac:dyDescent="0.3">
      <c r="A316" s="151" t="s">
        <v>162</v>
      </c>
      <c r="B316" s="151"/>
      <c r="C316" s="151"/>
      <c r="D316" s="151"/>
      <c r="E316" s="151"/>
      <c r="F316" s="151"/>
      <c r="G316" s="151"/>
      <c r="H316" s="151"/>
    </row>
    <row r="317" spans="1:8" x14ac:dyDescent="0.3">
      <c r="A317" s="169" t="s">
        <v>107</v>
      </c>
      <c r="B317" s="169"/>
      <c r="C317" s="169" t="s">
        <v>252</v>
      </c>
      <c r="D317" s="169"/>
      <c r="E317" s="169" t="s">
        <v>140</v>
      </c>
      <c r="F317" s="169"/>
      <c r="G317" s="169" t="s">
        <v>251</v>
      </c>
      <c r="H317" s="169"/>
    </row>
    <row r="318" spans="1:8" x14ac:dyDescent="0.3">
      <c r="A318" s="168" t="s">
        <v>109</v>
      </c>
      <c r="B318" s="168"/>
      <c r="C318" s="168"/>
      <c r="D318" s="168"/>
      <c r="E318" s="168"/>
      <c r="F318" s="168"/>
      <c r="G318" s="168"/>
      <c r="H318" s="168"/>
    </row>
    <row r="319" spans="1:8" x14ac:dyDescent="0.3">
      <c r="A319" s="168"/>
      <c r="B319" s="168"/>
      <c r="C319" s="168"/>
      <c r="D319" s="168"/>
      <c r="E319" s="168"/>
      <c r="F319" s="168"/>
      <c r="G319" s="168"/>
      <c r="H319" s="168"/>
    </row>
    <row r="320" spans="1:8" x14ac:dyDescent="0.3">
      <c r="A320" s="168"/>
      <c r="B320" s="168"/>
      <c r="C320" s="168"/>
      <c r="D320" s="168"/>
      <c r="E320" s="168"/>
      <c r="F320" s="168"/>
      <c r="G320" s="168"/>
      <c r="H320" s="168"/>
    </row>
    <row r="321" spans="1:8" x14ac:dyDescent="0.3">
      <c r="A321" s="168"/>
      <c r="B321" s="168"/>
      <c r="C321" s="168"/>
      <c r="D321" s="168"/>
      <c r="E321" s="168"/>
      <c r="F321" s="168"/>
      <c r="G321" s="168"/>
      <c r="H321" s="168"/>
    </row>
    <row r="322" spans="1:8" x14ac:dyDescent="0.3">
      <c r="A322" s="55" t="s">
        <v>75</v>
      </c>
      <c r="B322" s="56"/>
      <c r="C322" s="56"/>
      <c r="D322" s="55" t="str">
        <f>E8</f>
        <v>Mithila Complex</v>
      </c>
      <c r="F322" s="56"/>
      <c r="G322" s="56"/>
      <c r="H322" s="56"/>
    </row>
    <row r="323" spans="1:8" x14ac:dyDescent="0.3">
      <c r="A323" s="56"/>
      <c r="B323" s="56"/>
      <c r="C323" s="56"/>
      <c r="D323" s="56"/>
      <c r="E323" s="56"/>
      <c r="F323" s="56"/>
      <c r="G323" s="56"/>
      <c r="H323" s="56"/>
    </row>
    <row r="324" spans="1:8" x14ac:dyDescent="0.3">
      <c r="A324" s="56"/>
      <c r="B324" s="56"/>
      <c r="C324" s="56"/>
      <c r="D324" s="56"/>
      <c r="E324" s="56"/>
      <c r="F324" s="56"/>
      <c r="G324" s="56"/>
      <c r="H324" s="56"/>
    </row>
    <row r="325" spans="1:8" ht="15" customHeight="1" x14ac:dyDescent="0.3"/>
    <row r="353" spans="1:10" x14ac:dyDescent="0.3">
      <c r="J353"/>
    </row>
    <row r="363" spans="1:10" ht="15" customHeight="1" x14ac:dyDescent="0.3">
      <c r="A363" s="8" t="s">
        <v>253</v>
      </c>
    </row>
    <row r="406" spans="1:1" x14ac:dyDescent="0.3">
      <c r="A406" s="8" t="s">
        <v>76</v>
      </c>
    </row>
  </sheetData>
  <mergeCells count="493">
    <mergeCell ref="E38:H38"/>
    <mergeCell ref="A38:D38"/>
    <mergeCell ref="A315:H315"/>
    <mergeCell ref="A198:B198"/>
    <mergeCell ref="A312:H312"/>
    <mergeCell ref="A193:B193"/>
    <mergeCell ref="A178:B178"/>
    <mergeCell ref="G189:H189"/>
    <mergeCell ref="A114:B114"/>
    <mergeCell ref="A115:B115"/>
    <mergeCell ref="A116:B116"/>
    <mergeCell ref="A106:B106"/>
    <mergeCell ref="C106:H106"/>
    <mergeCell ref="A144:B144"/>
    <mergeCell ref="A73:B73"/>
    <mergeCell ref="G48:H48"/>
    <mergeCell ref="A162:E162"/>
    <mergeCell ref="F162:H162"/>
    <mergeCell ref="A44:B44"/>
    <mergeCell ref="C44:E44"/>
    <mergeCell ref="G44:H44"/>
    <mergeCell ref="F166:H166"/>
    <mergeCell ref="A241:B241"/>
    <mergeCell ref="G46:H46"/>
    <mergeCell ref="A318:H321"/>
    <mergeCell ref="A317:B317"/>
    <mergeCell ref="E317:F317"/>
    <mergeCell ref="C317:D317"/>
    <mergeCell ref="G317:H317"/>
    <mergeCell ref="A175:E175"/>
    <mergeCell ref="F175:H175"/>
    <mergeCell ref="A176:E176"/>
    <mergeCell ref="F176:H176"/>
    <mergeCell ref="A192:H192"/>
    <mergeCell ref="A313:H313"/>
    <mergeCell ref="A177:H177"/>
    <mergeCell ref="A316:H316"/>
    <mergeCell ref="A314:H314"/>
    <mergeCell ref="A297:H297"/>
    <mergeCell ref="A310:H310"/>
    <mergeCell ref="A311:H311"/>
    <mergeCell ref="E178:F178"/>
    <mergeCell ref="A187:H187"/>
    <mergeCell ref="B306:H306"/>
    <mergeCell ref="B307:H307"/>
    <mergeCell ref="A240:B240"/>
    <mergeCell ref="B309:H309"/>
    <mergeCell ref="B308:H308"/>
    <mergeCell ref="G178:H178"/>
    <mergeCell ref="D58:H58"/>
    <mergeCell ref="A63:C63"/>
    <mergeCell ref="D63:H63"/>
    <mergeCell ref="A68:B68"/>
    <mergeCell ref="G67:H67"/>
    <mergeCell ref="A66:B66"/>
    <mergeCell ref="A64:B64"/>
    <mergeCell ref="C64:H64"/>
    <mergeCell ref="A72:B72"/>
    <mergeCell ref="A62:C62"/>
    <mergeCell ref="D62:H62"/>
    <mergeCell ref="C66:H66"/>
    <mergeCell ref="A60:C60"/>
    <mergeCell ref="A61:C61"/>
    <mergeCell ref="D60:H60"/>
    <mergeCell ref="E68:F77"/>
    <mergeCell ref="G68:H77"/>
    <mergeCell ref="A76:B76"/>
    <mergeCell ref="A77:B77"/>
    <mergeCell ref="D61:H61"/>
    <mergeCell ref="F171:H171"/>
    <mergeCell ref="F167:H167"/>
    <mergeCell ref="A147:B14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E11:H11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4:B14"/>
    <mergeCell ref="A11:D11"/>
    <mergeCell ref="A27:D27"/>
    <mergeCell ref="E27:H27"/>
    <mergeCell ref="A34:H34"/>
    <mergeCell ref="A33:B33"/>
    <mergeCell ref="A28:D28"/>
    <mergeCell ref="E28:H28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A36:H36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C33:E33"/>
    <mergeCell ref="A173:E173"/>
    <mergeCell ref="A37:D37"/>
    <mergeCell ref="E37:H37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D52:H52"/>
    <mergeCell ref="A52:C52"/>
    <mergeCell ref="G45:H45"/>
    <mergeCell ref="A46:B47"/>
    <mergeCell ref="A39:D39"/>
    <mergeCell ref="E39:H39"/>
    <mergeCell ref="F169:H169"/>
    <mergeCell ref="C47:H47"/>
    <mergeCell ref="D55:H55"/>
    <mergeCell ref="D57:H57"/>
    <mergeCell ref="D54:H54"/>
    <mergeCell ref="D59:H59"/>
    <mergeCell ref="A53:C59"/>
    <mergeCell ref="A92:B92"/>
    <mergeCell ref="C92:H92"/>
    <mergeCell ref="A94:B94"/>
    <mergeCell ref="C94:H94"/>
    <mergeCell ref="A95:B95"/>
    <mergeCell ref="E95:F95"/>
    <mergeCell ref="G95:H95"/>
    <mergeCell ref="A96:B96"/>
    <mergeCell ref="E96:F105"/>
    <mergeCell ref="D50:H50"/>
    <mergeCell ref="D53:H53"/>
    <mergeCell ref="D56:H56"/>
    <mergeCell ref="A48:B48"/>
    <mergeCell ref="C48:E48"/>
    <mergeCell ref="A49:H49"/>
    <mergeCell ref="A50:C50"/>
    <mergeCell ref="A51:C51"/>
    <mergeCell ref="A148:B148"/>
    <mergeCell ref="C148:H148"/>
    <mergeCell ref="A150:B150"/>
    <mergeCell ref="E40:H40"/>
    <mergeCell ref="E41:H41"/>
    <mergeCell ref="E42:H42"/>
    <mergeCell ref="A40:D40"/>
    <mergeCell ref="A41:D41"/>
    <mergeCell ref="A42:D42"/>
    <mergeCell ref="A43:H43"/>
    <mergeCell ref="D51:H51"/>
    <mergeCell ref="C46:E46"/>
    <mergeCell ref="C45:E45"/>
    <mergeCell ref="A45:B45"/>
    <mergeCell ref="C120:H120"/>
    <mergeCell ref="A122:B122"/>
    <mergeCell ref="C122:H122"/>
    <mergeCell ref="A123:B123"/>
    <mergeCell ref="E123:F123"/>
    <mergeCell ref="G123:H123"/>
    <mergeCell ref="A124:B124"/>
    <mergeCell ref="E124:F133"/>
    <mergeCell ref="G124:H133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5:B75"/>
    <mergeCell ref="F170:H170"/>
    <mergeCell ref="A166:E166"/>
    <mergeCell ref="A134:B134"/>
    <mergeCell ref="C134:H134"/>
    <mergeCell ref="C164:H164"/>
    <mergeCell ref="A219:B219"/>
    <mergeCell ref="A220:B220"/>
    <mergeCell ref="A214:H214"/>
    <mergeCell ref="A167:E167"/>
    <mergeCell ref="A206:H206"/>
    <mergeCell ref="A207:H207"/>
    <mergeCell ref="A218:B218"/>
    <mergeCell ref="A99:B99"/>
    <mergeCell ref="A100:B100"/>
    <mergeCell ref="A101:B101"/>
    <mergeCell ref="A102:B102"/>
    <mergeCell ref="A103:B103"/>
    <mergeCell ref="A104:B104"/>
    <mergeCell ref="A105:B105"/>
    <mergeCell ref="A120:B120"/>
    <mergeCell ref="A82:B82"/>
    <mergeCell ref="E82:F91"/>
    <mergeCell ref="G82:H91"/>
    <mergeCell ref="L192:M192"/>
    <mergeCell ref="A205:B205"/>
    <mergeCell ref="A197:B197"/>
    <mergeCell ref="A194:B194"/>
    <mergeCell ref="A195:B195"/>
    <mergeCell ref="A200:B200"/>
    <mergeCell ref="A201:B201"/>
    <mergeCell ref="A202:B202"/>
    <mergeCell ref="A196:B196"/>
    <mergeCell ref="A203:B203"/>
    <mergeCell ref="A204:B204"/>
    <mergeCell ref="A199:H199"/>
    <mergeCell ref="G193:H198"/>
    <mergeCell ref="G200:H205"/>
    <mergeCell ref="A67:B67"/>
    <mergeCell ref="A70:B70"/>
    <mergeCell ref="A69:B69"/>
    <mergeCell ref="A71:B71"/>
    <mergeCell ref="E67:F67"/>
    <mergeCell ref="A190:H190"/>
    <mergeCell ref="A74:B74"/>
    <mergeCell ref="A110:B110"/>
    <mergeCell ref="A112:B112"/>
    <mergeCell ref="A113:B113"/>
    <mergeCell ref="F173:H173"/>
    <mergeCell ref="A169:E169"/>
    <mergeCell ref="A78:B78"/>
    <mergeCell ref="C78:H78"/>
    <mergeCell ref="A80:B80"/>
    <mergeCell ref="C80:H80"/>
    <mergeCell ref="A81:B81"/>
    <mergeCell ref="E81:F81"/>
    <mergeCell ref="G81:H81"/>
    <mergeCell ref="A170:E170"/>
    <mergeCell ref="A172:E172"/>
    <mergeCell ref="G96:H105"/>
    <mergeCell ref="A97:B97"/>
    <mergeCell ref="A98:B98"/>
    <mergeCell ref="B302:H302"/>
    <mergeCell ref="B303:H303"/>
    <mergeCell ref="B304:H304"/>
    <mergeCell ref="B305:H305"/>
    <mergeCell ref="A108:B108"/>
    <mergeCell ref="C108:H108"/>
    <mergeCell ref="A109:B109"/>
    <mergeCell ref="E109:F109"/>
    <mergeCell ref="G109:H109"/>
    <mergeCell ref="A238:B238"/>
    <mergeCell ref="C179:D179"/>
    <mergeCell ref="E179:F179"/>
    <mergeCell ref="G179:H179"/>
    <mergeCell ref="A174:E174"/>
    <mergeCell ref="C178:D178"/>
    <mergeCell ref="F174:H174"/>
    <mergeCell ref="A188:H188"/>
    <mergeCell ref="A163:H163"/>
    <mergeCell ref="A164:B164"/>
    <mergeCell ref="A165:H165"/>
    <mergeCell ref="F172:H172"/>
    <mergeCell ref="A171:E171"/>
    <mergeCell ref="A168:E168"/>
    <mergeCell ref="F168:H168"/>
    <mergeCell ref="L190:M190"/>
    <mergeCell ref="A191:H191"/>
    <mergeCell ref="L191:M191"/>
    <mergeCell ref="A117:B117"/>
    <mergeCell ref="A118:B118"/>
    <mergeCell ref="A119:B119"/>
    <mergeCell ref="A136:B136"/>
    <mergeCell ref="C136:H136"/>
    <mergeCell ref="A137:B137"/>
    <mergeCell ref="E137:F137"/>
    <mergeCell ref="G137:H137"/>
    <mergeCell ref="A138:B138"/>
    <mergeCell ref="E138:F147"/>
    <mergeCell ref="G138:H147"/>
    <mergeCell ref="A139:B139"/>
    <mergeCell ref="A140:B140"/>
    <mergeCell ref="A141:B141"/>
    <mergeCell ref="A142:B142"/>
    <mergeCell ref="A143:B143"/>
    <mergeCell ref="A145:B145"/>
    <mergeCell ref="A146:B146"/>
    <mergeCell ref="E110:F119"/>
    <mergeCell ref="G110:H119"/>
    <mergeCell ref="A111:B111"/>
    <mergeCell ref="L207:M207"/>
    <mergeCell ref="A208:B208"/>
    <mergeCell ref="A215:B215"/>
    <mergeCell ref="A216:B216"/>
    <mergeCell ref="A217:B217"/>
    <mergeCell ref="A209:B209"/>
    <mergeCell ref="A210:B210"/>
    <mergeCell ref="A211:B211"/>
    <mergeCell ref="A212:B212"/>
    <mergeCell ref="A213:B213"/>
    <mergeCell ref="G208:H213"/>
    <mergeCell ref="G215:H220"/>
    <mergeCell ref="C150:H150"/>
    <mergeCell ref="A151:B151"/>
    <mergeCell ref="E151:F151"/>
    <mergeCell ref="G151:H151"/>
    <mergeCell ref="A152:B152"/>
    <mergeCell ref="E152:F161"/>
    <mergeCell ref="G152:H161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226:B226"/>
    <mergeCell ref="A228:H228"/>
    <mergeCell ref="A229:B229"/>
    <mergeCell ref="A230:B230"/>
    <mergeCell ref="A231:B231"/>
    <mergeCell ref="G223:H227"/>
    <mergeCell ref="A221:H221"/>
    <mergeCell ref="A222:H222"/>
    <mergeCell ref="L222:M222"/>
    <mergeCell ref="A223:B223"/>
    <mergeCell ref="A224:B224"/>
    <mergeCell ref="A225:B225"/>
    <mergeCell ref="A245:B245"/>
    <mergeCell ref="A246:B246"/>
    <mergeCell ref="A247:B247"/>
    <mergeCell ref="A232:B232"/>
    <mergeCell ref="A233:B233"/>
    <mergeCell ref="A234:B234"/>
    <mergeCell ref="L251:M251"/>
    <mergeCell ref="A252:H252"/>
    <mergeCell ref="L252:M252"/>
    <mergeCell ref="A239:B239"/>
    <mergeCell ref="A248:B248"/>
    <mergeCell ref="A249:B249"/>
    <mergeCell ref="A250:B250"/>
    <mergeCell ref="A251:H251"/>
    <mergeCell ref="G229:H234"/>
    <mergeCell ref="G238:H243"/>
    <mergeCell ref="G245:H250"/>
    <mergeCell ref="A235:H235"/>
    <mergeCell ref="L235:M235"/>
    <mergeCell ref="A236:H236"/>
    <mergeCell ref="L236:M236"/>
    <mergeCell ref="A237:H237"/>
    <mergeCell ref="L237:M237"/>
    <mergeCell ref="A242:B242"/>
    <mergeCell ref="A243:B243"/>
    <mergeCell ref="A244:H244"/>
    <mergeCell ref="L283:M283"/>
    <mergeCell ref="A284:B284"/>
    <mergeCell ref="A285:B285"/>
    <mergeCell ref="A286:B286"/>
    <mergeCell ref="A287:B287"/>
    <mergeCell ref="L282:M282"/>
    <mergeCell ref="A265:B265"/>
    <mergeCell ref="A266:H266"/>
    <mergeCell ref="L266:M266"/>
    <mergeCell ref="A267:H267"/>
    <mergeCell ref="L267:M267"/>
    <mergeCell ref="A268:H268"/>
    <mergeCell ref="L268:M268"/>
    <mergeCell ref="A269:B269"/>
    <mergeCell ref="A270:B270"/>
    <mergeCell ref="A271:B271"/>
    <mergeCell ref="A272:B272"/>
    <mergeCell ref="A273:B273"/>
    <mergeCell ref="A280:B280"/>
    <mergeCell ref="E182:F182"/>
    <mergeCell ref="G182:H182"/>
    <mergeCell ref="C183:D183"/>
    <mergeCell ref="E183:F183"/>
    <mergeCell ref="G183:H183"/>
    <mergeCell ref="C184:D184"/>
    <mergeCell ref="E184:F184"/>
    <mergeCell ref="G184:H184"/>
    <mergeCell ref="C185:D185"/>
    <mergeCell ref="A179:A181"/>
    <mergeCell ref="A182:A183"/>
    <mergeCell ref="A184:A185"/>
    <mergeCell ref="A292:B292"/>
    <mergeCell ref="A293:B293"/>
    <mergeCell ref="A294:B294"/>
    <mergeCell ref="A227:B227"/>
    <mergeCell ref="A259:H259"/>
    <mergeCell ref="A260:B260"/>
    <mergeCell ref="A261:B261"/>
    <mergeCell ref="A262:B262"/>
    <mergeCell ref="E185:F185"/>
    <mergeCell ref="G185:H185"/>
    <mergeCell ref="A186:B186"/>
    <mergeCell ref="C186:D186"/>
    <mergeCell ref="E186:F186"/>
    <mergeCell ref="G186:H186"/>
    <mergeCell ref="C180:D180"/>
    <mergeCell ref="E180:F180"/>
    <mergeCell ref="G180:H180"/>
    <mergeCell ref="C181:D181"/>
    <mergeCell ref="E181:F181"/>
    <mergeCell ref="G181:H181"/>
    <mergeCell ref="C182:D182"/>
    <mergeCell ref="A258:B258"/>
    <mergeCell ref="A288:B288"/>
    <mergeCell ref="A289:B289"/>
    <mergeCell ref="A290:H290"/>
    <mergeCell ref="A291:B291"/>
    <mergeCell ref="A274:B274"/>
    <mergeCell ref="A275:H275"/>
    <mergeCell ref="A276:B276"/>
    <mergeCell ref="A277:B277"/>
    <mergeCell ref="A278:B278"/>
    <mergeCell ref="A279:B279"/>
    <mergeCell ref="A281:B281"/>
    <mergeCell ref="A282:H282"/>
    <mergeCell ref="G253:H258"/>
    <mergeCell ref="A283:H283"/>
    <mergeCell ref="A256:B256"/>
    <mergeCell ref="A257:B257"/>
    <mergeCell ref="A253:B253"/>
    <mergeCell ref="A254:B254"/>
    <mergeCell ref="A255:B255"/>
    <mergeCell ref="B298:D298"/>
    <mergeCell ref="E298:H298"/>
    <mergeCell ref="B301:D301"/>
    <mergeCell ref="E301:H301"/>
    <mergeCell ref="A298:A301"/>
    <mergeCell ref="A295:B295"/>
    <mergeCell ref="A263:B263"/>
    <mergeCell ref="A264:B264"/>
    <mergeCell ref="B300:D300"/>
    <mergeCell ref="E300:H300"/>
    <mergeCell ref="B299:D299"/>
    <mergeCell ref="E299:H299"/>
    <mergeCell ref="G260:H265"/>
    <mergeCell ref="G269:H274"/>
    <mergeCell ref="G276:H281"/>
    <mergeCell ref="G284:H289"/>
    <mergeCell ref="G291:H296"/>
    <mergeCell ref="A296:B296"/>
  </mergeCell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1"/>
  <headerFooter>
    <oddHeader>&amp;C&amp;G</oddHeader>
    <oddFooter>&amp;L&amp;"Times New Roman,Bold"&amp;12Ref No: &amp;F&amp;C&amp;G&amp;R&amp;"Times New Roman,Bold"&amp;12                                                    &amp;P</oddFooter>
  </headerFooter>
  <rowBreaks count="6" manualBreakCount="6">
    <brk id="63" max="7" man="1"/>
    <brk id="91" max="16383" man="1"/>
    <brk id="281" max="7" man="1"/>
    <brk id="321" max="16383" man="1"/>
    <brk id="362" max="16383" man="1"/>
    <brk id="405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7" workbookViewId="0">
      <selection activeCell="C21" sqref="C21:D25"/>
    </sheetView>
  </sheetViews>
  <sheetFormatPr defaultRowHeight="14.4" x14ac:dyDescent="0.3"/>
  <cols>
    <col min="2" max="2" width="12.33203125" customWidth="1"/>
  </cols>
  <sheetData>
    <row r="2" spans="1:12" x14ac:dyDescent="0.3">
      <c r="B2" s="1" t="s">
        <v>78</v>
      </c>
      <c r="C2" s="182"/>
      <c r="D2" s="182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79</v>
      </c>
      <c r="B4" s="3" t="s">
        <v>80</v>
      </c>
      <c r="C4" s="183" t="s">
        <v>81</v>
      </c>
      <c r="D4" s="183"/>
      <c r="E4" s="183"/>
      <c r="F4" s="4"/>
      <c r="G4" s="183" t="s">
        <v>82</v>
      </c>
      <c r="H4" s="183"/>
      <c r="I4" s="183"/>
      <c r="J4" s="183" t="s">
        <v>83</v>
      </c>
      <c r="K4" s="183"/>
      <c r="L4" s="183"/>
    </row>
    <row r="5" spans="1:12" x14ac:dyDescent="0.3">
      <c r="A5" s="1">
        <v>202</v>
      </c>
      <c r="B5" s="3"/>
      <c r="C5" s="3" t="s">
        <v>84</v>
      </c>
      <c r="D5" s="3" t="s">
        <v>85</v>
      </c>
      <c r="E5" s="3" t="s">
        <v>62</v>
      </c>
      <c r="F5" s="3"/>
      <c r="G5" s="3" t="s">
        <v>84</v>
      </c>
      <c r="H5" s="3" t="s">
        <v>85</v>
      </c>
      <c r="I5" s="3" t="s">
        <v>62</v>
      </c>
      <c r="J5" s="3" t="s">
        <v>84</v>
      </c>
      <c r="K5" s="3" t="s">
        <v>85</v>
      </c>
      <c r="L5" s="3" t="s">
        <v>62</v>
      </c>
    </row>
    <row r="6" spans="1:12" x14ac:dyDescent="0.3">
      <c r="B6" s="5" t="s">
        <v>86</v>
      </c>
      <c r="C6" s="5"/>
      <c r="D6" s="5"/>
      <c r="E6" s="5">
        <f>C6*D6</f>
        <v>0</v>
      </c>
      <c r="F6" s="5" t="s">
        <v>87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88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89</v>
      </c>
      <c r="C9" s="5"/>
      <c r="D9" s="5"/>
      <c r="E9" s="5">
        <f t="shared" si="0"/>
        <v>0</v>
      </c>
      <c r="F9" s="5" t="s">
        <v>87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88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90</v>
      </c>
      <c r="C13" s="5"/>
      <c r="D13" s="5"/>
      <c r="E13" s="5">
        <f t="shared" si="0"/>
        <v>0</v>
      </c>
      <c r="F13" s="5" t="s">
        <v>87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88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91</v>
      </c>
      <c r="C17" s="5"/>
      <c r="D17" s="5"/>
      <c r="E17" s="5">
        <f t="shared" si="0"/>
        <v>0</v>
      </c>
      <c r="F17" s="5" t="s">
        <v>87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88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91</v>
      </c>
      <c r="C20" s="5"/>
      <c r="D20" s="5"/>
      <c r="E20" s="5">
        <f t="shared" si="0"/>
        <v>0</v>
      </c>
      <c r="F20" s="5" t="s">
        <v>87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88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92</v>
      </c>
      <c r="C23" s="5"/>
      <c r="D23" s="5"/>
      <c r="E23" s="5">
        <f t="shared" si="0"/>
        <v>0</v>
      </c>
      <c r="F23" s="5" t="s">
        <v>93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94</v>
      </c>
      <c r="C24" s="5"/>
      <c r="D24" s="5"/>
      <c r="E24" s="5">
        <f t="shared" si="0"/>
        <v>0</v>
      </c>
      <c r="F24" s="5" t="s">
        <v>93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95</v>
      </c>
      <c r="C25" s="5"/>
      <c r="D25" s="5"/>
      <c r="E25" s="5">
        <f t="shared" si="0"/>
        <v>0</v>
      </c>
      <c r="F25" s="5" t="s">
        <v>93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96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97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98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99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63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6640625" defaultRowHeight="14.4" x14ac:dyDescent="0.3"/>
  <cols>
    <col min="1" max="1" width="8.6640625" style="15"/>
    <col min="2" max="2" width="22.109375" style="15" customWidth="1"/>
    <col min="3" max="3" width="37" style="15" customWidth="1"/>
    <col min="4" max="5" width="11.44140625" style="15" customWidth="1"/>
    <col min="6" max="6" width="14" style="15" customWidth="1"/>
    <col min="7" max="7" width="20" style="15" customWidth="1"/>
    <col min="8" max="8" width="16.44140625" style="15" customWidth="1"/>
    <col min="9" max="16384" width="8.6640625" style="15"/>
  </cols>
  <sheetData>
    <row r="1" spans="1:9" ht="15" customHeight="1" x14ac:dyDescent="0.3"/>
    <row r="2" spans="1:9" ht="1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3">
      <c r="A3" s="16"/>
      <c r="B3" s="184" t="s">
        <v>141</v>
      </c>
      <c r="C3" s="184"/>
      <c r="D3" s="184"/>
      <c r="E3" s="184"/>
      <c r="F3" s="184"/>
      <c r="G3" s="184"/>
      <c r="H3" s="184"/>
    </row>
    <row r="4" spans="1:9" x14ac:dyDescent="0.3">
      <c r="A4" s="16"/>
      <c r="B4" s="17" t="s">
        <v>142</v>
      </c>
      <c r="C4" s="17" t="s">
        <v>143</v>
      </c>
      <c r="D4" s="17" t="s">
        <v>79</v>
      </c>
      <c r="E4" s="17" t="s">
        <v>144</v>
      </c>
      <c r="F4" s="17" t="s">
        <v>151</v>
      </c>
      <c r="G4" s="17" t="s">
        <v>152</v>
      </c>
      <c r="H4" s="17" t="s">
        <v>145</v>
      </c>
    </row>
    <row r="5" spans="1:9" ht="15" customHeight="1" x14ac:dyDescent="0.3">
      <c r="A5" s="16"/>
      <c r="B5" s="19" t="s">
        <v>146</v>
      </c>
      <c r="C5" s="20"/>
      <c r="D5" s="19" t="s">
        <v>147</v>
      </c>
      <c r="E5" s="19">
        <v>1106</v>
      </c>
      <c r="F5" s="21">
        <f>E5*1.6</f>
        <v>1769.6000000000001</v>
      </c>
      <c r="G5" s="21">
        <f>H5/F5</f>
        <v>31532.549728752259</v>
      </c>
      <c r="H5" s="22">
        <v>55800000</v>
      </c>
    </row>
    <row r="6" spans="1:9" x14ac:dyDescent="0.3">
      <c r="A6" s="16"/>
      <c r="B6" s="19" t="s">
        <v>146</v>
      </c>
      <c r="C6" s="23"/>
      <c r="D6" s="19"/>
      <c r="E6" s="19"/>
      <c r="F6" s="21">
        <f t="shared" ref="F6:F11" si="0">E6*1.6</f>
        <v>0</v>
      </c>
      <c r="G6" s="21" t="e">
        <f t="shared" ref="G6:G11" si="1">H6/F6</f>
        <v>#DIV/0!</v>
      </c>
      <c r="H6" s="22"/>
    </row>
    <row r="7" spans="1:9" ht="15" customHeight="1" x14ac:dyDescent="0.3">
      <c r="A7" s="16"/>
      <c r="B7" s="19" t="s">
        <v>146</v>
      </c>
      <c r="C7" s="20"/>
      <c r="D7" s="19"/>
      <c r="E7" s="19"/>
      <c r="F7" s="21">
        <f t="shared" si="0"/>
        <v>0</v>
      </c>
      <c r="G7" s="21" t="e">
        <f t="shared" si="1"/>
        <v>#DIV/0!</v>
      </c>
      <c r="H7" s="22"/>
    </row>
    <row r="8" spans="1:9" x14ac:dyDescent="0.3">
      <c r="A8" s="16"/>
      <c r="B8" s="19" t="s">
        <v>146</v>
      </c>
      <c r="C8" s="23"/>
      <c r="D8" s="19"/>
      <c r="E8" s="19"/>
      <c r="F8" s="21">
        <f t="shared" si="0"/>
        <v>0</v>
      </c>
      <c r="G8" s="21" t="e">
        <f t="shared" si="1"/>
        <v>#DIV/0!</v>
      </c>
      <c r="H8" s="22"/>
    </row>
    <row r="9" spans="1:9" ht="15" customHeight="1" x14ac:dyDescent="0.3">
      <c r="A9" s="16"/>
      <c r="B9" s="19" t="s">
        <v>146</v>
      </c>
      <c r="C9" s="23"/>
      <c r="D9" s="19"/>
      <c r="E9" s="19"/>
      <c r="F9" s="21">
        <f t="shared" si="0"/>
        <v>0</v>
      </c>
      <c r="G9" s="21" t="e">
        <f t="shared" si="1"/>
        <v>#DIV/0!</v>
      </c>
      <c r="H9" s="22"/>
    </row>
    <row r="10" spans="1:9" ht="15" customHeight="1" x14ac:dyDescent="0.3">
      <c r="A10" s="16"/>
      <c r="B10" s="19" t="s">
        <v>148</v>
      </c>
      <c r="C10" s="20"/>
      <c r="D10" s="19"/>
      <c r="E10" s="19"/>
      <c r="F10" s="21">
        <f t="shared" si="0"/>
        <v>0</v>
      </c>
      <c r="G10" s="21" t="e">
        <f t="shared" si="1"/>
        <v>#DIV/0!</v>
      </c>
      <c r="H10" s="22"/>
    </row>
    <row r="11" spans="1:9" ht="15" customHeight="1" x14ac:dyDescent="0.3">
      <c r="A11" s="16"/>
      <c r="B11" s="19" t="s">
        <v>148</v>
      </c>
      <c r="C11" s="20"/>
      <c r="D11" s="19"/>
      <c r="E11" s="19"/>
      <c r="F11" s="21">
        <f t="shared" si="0"/>
        <v>0</v>
      </c>
      <c r="G11" s="21" t="e">
        <f t="shared" si="1"/>
        <v>#DIV/0!</v>
      </c>
      <c r="H11" s="22"/>
    </row>
    <row r="12" spans="1:9" ht="15" customHeight="1" x14ac:dyDescent="0.3">
      <c r="A12" s="16"/>
      <c r="B12" s="24" t="s">
        <v>149</v>
      </c>
      <c r="C12" s="19"/>
      <c r="D12" s="19"/>
      <c r="E12" s="19"/>
      <c r="F12" s="19"/>
      <c r="G12" s="25" t="e">
        <f>AVERAGE(G5:G11)</f>
        <v>#DIV/0!</v>
      </c>
      <c r="H12" s="19"/>
    </row>
    <row r="13" spans="1:9" ht="15" customHeight="1" x14ac:dyDescent="0.3">
      <c r="B13" s="24" t="s">
        <v>150</v>
      </c>
      <c r="C13" s="19"/>
      <c r="D13" s="19"/>
      <c r="E13" s="19"/>
      <c r="F13" s="26"/>
      <c r="G13" s="24"/>
      <c r="H13" s="24"/>
      <c r="I13" s="18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2025-09-04T07:34:57Z</cp:lastPrinted>
  <dcterms:created xsi:type="dcterms:W3CDTF">2019-07-16T09:29:46Z</dcterms:created>
  <dcterms:modified xsi:type="dcterms:W3CDTF">2025-09-04T07:34:58Z</dcterms:modified>
</cp:coreProperties>
</file>