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Z:\APF\25-26\Sep 2025\AXIS\New\Gaurav\"/>
    </mc:Choice>
  </mc:AlternateContent>
  <bookViews>
    <workbookView xWindow="-120" yWindow="-120" windowWidth="20730" windowHeight="11160" tabRatio="725"/>
  </bookViews>
  <sheets>
    <sheet name="Report" sheetId="1" r:id="rId1"/>
    <sheet name="valuation" sheetId="5" r:id="rId2"/>
    <sheet name="Research" sheetId="4" r:id="rId3"/>
    <sheet name="Remarks" sheetId="6" r:id="rId4"/>
    <sheet name="Area Calculation" sheetId="7" r:id="rId5"/>
  </sheets>
  <definedNames>
    <definedName name="_xlnm.Print_Area" localSheetId="0">Report!$A$1:$H$357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0" i="1" l="1"/>
  <c r="G139" i="1"/>
  <c r="V216" i="1" l="1"/>
  <c r="O209" i="1"/>
  <c r="C51" i="1" l="1"/>
  <c r="J139" i="1"/>
  <c r="D200" i="1"/>
  <c r="F200" i="1" s="1"/>
  <c r="H200" i="1" s="1"/>
  <c r="D199" i="1"/>
  <c r="F199" i="1" s="1"/>
  <c r="H199" i="1" s="1"/>
  <c r="D198" i="1"/>
  <c r="F198" i="1" s="1"/>
  <c r="H198" i="1" s="1"/>
  <c r="D197" i="1"/>
  <c r="F197" i="1" s="1"/>
  <c r="H197" i="1" s="1"/>
  <c r="D195" i="1"/>
  <c r="F195" i="1" s="1"/>
  <c r="H195" i="1" s="1"/>
  <c r="D194" i="1"/>
  <c r="F194" i="1" s="1"/>
  <c r="H194" i="1" s="1"/>
  <c r="D193" i="1"/>
  <c r="F193" i="1" s="1"/>
  <c r="H193" i="1" s="1"/>
  <c r="D192" i="1"/>
  <c r="F192" i="1" s="1"/>
  <c r="H192" i="1" s="1"/>
  <c r="D190" i="1"/>
  <c r="F190" i="1" s="1"/>
  <c r="H190" i="1" s="1"/>
  <c r="D189" i="1"/>
  <c r="F189" i="1" s="1"/>
  <c r="H189" i="1" s="1"/>
  <c r="D188" i="1"/>
  <c r="F188" i="1" s="1"/>
  <c r="H188" i="1" s="1"/>
  <c r="D187" i="1"/>
  <c r="F187" i="1" s="1"/>
  <c r="H187" i="1" s="1"/>
  <c r="D185" i="1"/>
  <c r="F185" i="1" s="1"/>
  <c r="H185" i="1" s="1"/>
  <c r="D184" i="1"/>
  <c r="F184" i="1" s="1"/>
  <c r="H184" i="1" s="1"/>
  <c r="D183" i="1"/>
  <c r="F183" i="1" s="1"/>
  <c r="H183" i="1" s="1"/>
  <c r="D182" i="1"/>
  <c r="F182" i="1" s="1"/>
  <c r="H182" i="1" s="1"/>
  <c r="D175" i="1"/>
  <c r="F175" i="1" s="1"/>
  <c r="H175" i="1" s="1"/>
  <c r="J175" i="1" s="1"/>
  <c r="D174" i="1"/>
  <c r="F174" i="1" s="1"/>
  <c r="H174" i="1" s="1"/>
  <c r="D173" i="1"/>
  <c r="F173" i="1" s="1"/>
  <c r="H173" i="1" s="1"/>
  <c r="J173" i="1" s="1"/>
  <c r="D172" i="1"/>
  <c r="F172" i="1" s="1"/>
  <c r="H172" i="1" s="1"/>
  <c r="J172" i="1" s="1"/>
  <c r="I174" i="1" l="1"/>
  <c r="J174" i="1"/>
  <c r="E43" i="1"/>
  <c r="I139" i="1" l="1"/>
  <c r="I175" i="1"/>
  <c r="I172" i="1"/>
  <c r="D180" i="1"/>
  <c r="D179" i="1"/>
  <c r="D178" i="1"/>
  <c r="D177" i="1"/>
  <c r="F177" i="1" s="1"/>
  <c r="F180" i="1"/>
  <c r="H180" i="1" s="1"/>
  <c r="F179" i="1"/>
  <c r="H179" i="1" s="1"/>
  <c r="F178" i="1"/>
  <c r="H178" i="1" s="1"/>
  <c r="D170" i="1"/>
  <c r="D169" i="1"/>
  <c r="D168" i="1"/>
  <c r="D167" i="1"/>
  <c r="F167" i="1" s="1"/>
  <c r="H167" i="1" s="1"/>
  <c r="F170" i="1"/>
  <c r="H170" i="1" s="1"/>
  <c r="F169" i="1"/>
  <c r="H169" i="1" s="1"/>
  <c r="F168" i="1"/>
  <c r="H168" i="1" s="1"/>
  <c r="D164" i="1"/>
  <c r="F164" i="1" s="1"/>
  <c r="H164" i="1" s="1"/>
  <c r="D163" i="1"/>
  <c r="F163" i="1" s="1"/>
  <c r="H163" i="1" s="1"/>
  <c r="D160" i="1"/>
  <c r="F160" i="1" s="1"/>
  <c r="D159" i="1"/>
  <c r="F159" i="1" s="1"/>
  <c r="H159" i="1" s="1"/>
  <c r="D157" i="1"/>
  <c r="D156" i="1"/>
  <c r="E139" i="1" l="1"/>
  <c r="C139" i="1"/>
  <c r="H160" i="1"/>
  <c r="H177" i="1"/>
  <c r="F157" i="1"/>
  <c r="F156" i="1"/>
  <c r="E140" i="1" s="1"/>
  <c r="C77" i="1"/>
  <c r="H156" i="1" l="1"/>
  <c r="C140" i="1"/>
  <c r="C141" i="1" s="1"/>
  <c r="H157" i="1"/>
  <c r="F148" i="1"/>
  <c r="B38" i="6"/>
  <c r="B39" i="6" s="1"/>
  <c r="B40" i="6" s="1"/>
  <c r="B41" i="6" s="1"/>
  <c r="B42" i="6" s="1"/>
  <c r="B43" i="6" s="1"/>
  <c r="B44" i="6" s="1"/>
  <c r="B45" i="6" s="1"/>
  <c r="B46" i="6" s="1"/>
  <c r="B47" i="6" s="1"/>
  <c r="B48" i="6" s="1"/>
  <c r="B49" i="6" s="1"/>
  <c r="B50" i="6" s="1"/>
  <c r="B51" i="6" s="1"/>
  <c r="B52" i="6" s="1"/>
  <c r="B53" i="6" s="1"/>
  <c r="B54" i="6" s="1"/>
  <c r="H148" i="1" l="1"/>
  <c r="L41" i="7" l="1"/>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226" i="1"/>
  <c r="B204" i="1"/>
  <c r="B203" i="1"/>
  <c r="F151" i="1"/>
  <c r="H151" i="1" s="1"/>
  <c r="F150" i="1"/>
  <c r="H150" i="1" s="1"/>
  <c r="F149" i="1"/>
  <c r="H149" i="1" s="1"/>
  <c r="A149" i="1"/>
  <c r="A150" i="1" s="1"/>
  <c r="A151" i="1" s="1"/>
  <c r="C142" i="1"/>
  <c r="F131" i="1"/>
  <c r="C105" i="1"/>
  <c r="C91" i="1"/>
  <c r="B78" i="1"/>
  <c r="D71" i="1"/>
  <c r="D64" i="1"/>
  <c r="G57" i="1"/>
  <c r="C57" i="1"/>
  <c r="K55" i="1"/>
  <c r="G51" i="1"/>
  <c r="E44" i="1"/>
  <c r="E45" i="1" s="1"/>
  <c r="S33" i="1"/>
  <c r="E31" i="1"/>
  <c r="E28" i="1"/>
  <c r="E26" i="1"/>
  <c r="C16" i="1"/>
  <c r="I15" i="1"/>
  <c r="Z13" i="1"/>
  <c r="E8" i="1"/>
  <c r="E3" i="1"/>
  <c r="H106" i="1"/>
  <c r="H92" i="1"/>
  <c r="G141" i="1" l="1"/>
  <c r="G142" i="1" s="1"/>
  <c r="E141" i="1"/>
  <c r="E142" i="1" s="1"/>
  <c r="E42" i="7"/>
  <c r="J85" i="1"/>
  <c r="J86" i="1"/>
  <c r="B106" i="1"/>
  <c r="J114" i="1" s="1"/>
  <c r="I42" i="7"/>
  <c r="H42" i="7" s="1"/>
  <c r="L42" i="7"/>
  <c r="K42" i="7" s="1"/>
  <c r="J91" i="1"/>
  <c r="J93" i="1" s="1"/>
  <c r="D100" i="1"/>
  <c r="D99" i="1"/>
  <c r="D104" i="1"/>
  <c r="D98" i="1"/>
  <c r="J94" i="1"/>
  <c r="D103" i="1"/>
  <c r="J96" i="1"/>
  <c r="C95" i="1" s="1"/>
  <c r="D97" i="1"/>
  <c r="D102" i="1"/>
  <c r="J95" i="1"/>
  <c r="D101" i="1"/>
  <c r="D115" i="1"/>
  <c r="J109" i="1"/>
  <c r="J105" i="1"/>
  <c r="J107" i="1" s="1"/>
  <c r="J108" i="1"/>
  <c r="D113" i="1"/>
  <c r="D118" i="1"/>
  <c r="D112" i="1"/>
  <c r="D117" i="1"/>
  <c r="D111" i="1"/>
  <c r="D114" i="1"/>
  <c r="J110" i="1"/>
  <c r="C109" i="1" s="1"/>
  <c r="D109" i="1" s="1"/>
  <c r="D116" i="1"/>
  <c r="D42" i="7"/>
  <c r="L55" i="1"/>
  <c r="B92" i="1"/>
  <c r="J87" i="1"/>
  <c r="J88" i="1"/>
  <c r="I52" i="1"/>
  <c r="H78" i="1"/>
  <c r="D89" i="1" l="1"/>
  <c r="D83" i="1"/>
  <c r="J83" i="1"/>
  <c r="J84" i="1" s="1"/>
  <c r="J89" i="1" s="1"/>
  <c r="J90" i="1" s="1"/>
  <c r="E81" i="1" s="1"/>
  <c r="J82" i="1"/>
  <c r="D88" i="1"/>
  <c r="D87" i="1"/>
  <c r="J77" i="1"/>
  <c r="J79" i="1" s="1"/>
  <c r="D86" i="1"/>
  <c r="D90" i="1"/>
  <c r="D84" i="1"/>
  <c r="J81" i="1"/>
  <c r="C81" i="1" s="1"/>
  <c r="J80" i="1"/>
  <c r="D85" i="1"/>
  <c r="J116" i="1"/>
  <c r="J115" i="1"/>
  <c r="D44" i="7"/>
  <c r="E44" i="7"/>
  <c r="J113" i="1"/>
  <c r="J111" i="1"/>
  <c r="J112" i="1" s="1"/>
  <c r="J117" i="1" s="1"/>
  <c r="J118" i="1" s="1"/>
  <c r="C110" i="1" s="1"/>
  <c r="G109" i="1" s="1"/>
  <c r="D95" i="1"/>
  <c r="J100" i="1"/>
  <c r="J97" i="1"/>
  <c r="J98" i="1" s="1"/>
  <c r="J103" i="1" s="1"/>
  <c r="J104" i="1" s="1"/>
  <c r="C96" i="1" s="1"/>
  <c r="J102" i="1"/>
  <c r="J99" i="1"/>
  <c r="J101" i="1"/>
  <c r="D81" i="1" l="1"/>
  <c r="J78" i="1" s="1"/>
  <c r="G81" i="1"/>
  <c r="D75" i="1" s="1"/>
  <c r="D76" i="1" s="1"/>
  <c r="D82" i="1"/>
  <c r="D110" i="1"/>
  <c r="I106" i="1" s="1"/>
  <c r="I107" i="1" s="1"/>
  <c r="J106" i="1"/>
  <c r="E109" i="1"/>
  <c r="E95" i="1"/>
  <c r="D96" i="1"/>
  <c r="I92" i="1" s="1"/>
  <c r="J92" i="1"/>
  <c r="G95" i="1"/>
  <c r="I78" i="1" l="1"/>
  <c r="I79" i="1" s="1"/>
  <c r="F76" i="1"/>
  <c r="I105" i="1"/>
  <c r="C107" i="1" s="1"/>
  <c r="I93" i="1"/>
  <c r="I91" i="1" s="1"/>
  <c r="C93" i="1" s="1"/>
  <c r="I77" i="1" l="1"/>
  <c r="C79"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6" authorId="1" shapeId="0">
      <text>
        <r>
          <rPr>
            <b/>
            <sz val="9"/>
            <color indexed="81"/>
            <rFont val="Tahoma"/>
            <family val="2"/>
          </rPr>
          <t>SACHIN:</t>
        </r>
        <r>
          <rPr>
            <sz val="9"/>
            <color indexed="81"/>
            <rFont val="Tahoma"/>
            <family val="2"/>
          </rPr>
          <t xml:space="preserve">
Floor with height</t>
        </r>
      </text>
    </comment>
    <comment ref="C58" authorId="1" shapeId="0">
      <text>
        <r>
          <rPr>
            <b/>
            <sz val="9"/>
            <color indexed="81"/>
            <rFont val="Tahoma"/>
            <family val="2"/>
          </rPr>
          <t>SACHIN:</t>
        </r>
        <r>
          <rPr>
            <sz val="9"/>
            <color indexed="81"/>
            <rFont val="Tahoma"/>
            <family val="2"/>
          </rPr>
          <t xml:space="preserve">
Survey Nos.</t>
        </r>
      </text>
    </comment>
    <comment ref="D64"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24"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54"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<sst xmlns="http://schemas.openxmlformats.org/spreadsheetml/2006/main" count="790" uniqueCount="453">
  <si>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</si>
  <si>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</si>
  <si>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</si>
  <si>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</si>
  <si>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</si>
  <si>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</si>
  <si>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</si>
  <si>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</si>
  <si>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</si>
  <si>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</si>
  <si>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</si>
  <si>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</si>
  <si>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</si>
  <si>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</si>
  <si>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</si>
  <si>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</si>
  <si>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</si>
  <si>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</si>
  <si>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</si>
  <si>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</si>
  <si>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</si>
  <si>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</si>
  <si>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</si>
  <si>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</si>
  <si>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</si>
  <si>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</si>
  <si>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</si>
  <si>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</si>
  <si>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</si>
  <si>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</si>
  <si>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</si>
  <si>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</si>
  <si>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</si>
  <si>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</si>
  <si>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</si>
  <si>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</si>
  <si>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</si>
  <si>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</si>
  <si>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</si>
  <si>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</si>
  <si>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</si>
  <si>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</si>
  <si>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</si>
  <si>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</si>
  <si>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</si>
  <si>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</si>
  <si>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</si>
  <si>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</si>
  <si>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</si>
  <si>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</si>
  <si>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</si>
  <si>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</si>
  <si>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</si>
  <si>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</si>
  <si>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</si>
  <si>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</si>
  <si>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</si>
  <si>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</si>
  <si>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</si>
  <si>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</si>
  <si>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</si>
  <si>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</si>
  <si>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</si>
  <si>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</si>
  <si>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</si>
  <si>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</si>
  <si>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</si>
  <si>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</si>
  <si>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</si>
  <si>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</si>
  <si>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</si>
  <si>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</si>
  <si>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</si>
  <si>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</si>
  <si>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</si>
  <si>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</si>
  <si>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</si>
  <si>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</si>
  <si>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</si>
  <si>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</si>
  <si>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</si>
  <si>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</si>
  <si>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</si>
  <si>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</si>
  <si>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</si>
  <si>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</si>
  <si>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</si>
  <si>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</si>
  <si>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</si>
  <si>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</si>
  <si>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</si>
  <si>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</si>
  <si>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</si>
  <si>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</si>
  <si>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</si>
  <si>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</si>
  <si>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</si>
  <si>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</si>
  <si>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</si>
  <si>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</si>
  <si>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</si>
  <si>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</si>
  <si>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</si>
  <si>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</si>
  <si>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</si>
  <si>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</si>
  <si>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</si>
  <si>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</si>
  <si>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</si>
  <si>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</si>
  <si>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</si>
  <si>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</si>
  <si>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</si>
  <si>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</si>
  <si>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</si>
  <si>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</si>
  <si>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</si>
  <si>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r>
      <t xml:space="preserve">Shop No.
</t>
    </r>
    <r>
      <rPr>
        <b/>
        <sz val="11"/>
        <color rgb="FF000000"/>
        <rFont val="Times New Roman"/>
        <family val="1"/>
      </rPr>
      <t>(Approved Plan)</t>
    </r>
  </si>
  <si>
    <r>
      <t xml:space="preserve">Flat No.
</t>
    </r>
    <r>
      <rPr>
        <b/>
        <sz val="11"/>
        <color rgb="FF000000"/>
        <rFont val="Times New Roman"/>
        <family val="1"/>
      </rPr>
      <t>(Approved Plan)</t>
    </r>
  </si>
  <si>
    <t>01 Building</t>
  </si>
  <si>
    <t>Valid Upto 
Date</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</si>
  <si>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</si>
  <si>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</si>
  <si>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</si>
  <si>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</si>
  <si>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</si>
  <si>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</si>
  <si>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</si>
  <si>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</si>
  <si>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</si>
  <si>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</si>
  <si>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</si>
  <si>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</si>
  <si>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</si>
  <si>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</si>
  <si>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</si>
  <si>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</si>
  <si>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</si>
  <si>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</si>
  <si>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</si>
  <si>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</si>
  <si>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</si>
  <si>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</si>
  <si>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</si>
  <si>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</si>
  <si>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</si>
  <si>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</si>
  <si>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 xml:space="preserve">Violations Observed if any : </t>
  </si>
  <si>
    <t>Saleable area Loading :</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</si>
  <si>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</si>
  <si>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</si>
  <si>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</si>
  <si>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</si>
  <si>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</si>
  <si>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</si>
  <si>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</si>
  <si>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</si>
  <si>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</si>
  <si>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</si>
  <si>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</si>
  <si>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</si>
  <si>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</si>
  <si>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</si>
  <si>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</si>
  <si>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Latitude, Longitude</t>
  </si>
  <si>
    <t>Grand Total</t>
  </si>
  <si>
    <t>Provided Contact Details (Name &amp; Contact No.)</t>
  </si>
  <si>
    <t>Site Person - Contact Details (Name &amp; Contact No.)</t>
  </si>
  <si>
    <t>C Wing = 1B + G + 1st to 20th Floor</t>
  </si>
  <si>
    <t>Approved Plans, CC, Sale Plans, Builder Saleable Area, Cost Sheet, Airport Noc, Railway Noc, OC</t>
  </si>
  <si>
    <t>Axis Goregaon</t>
  </si>
  <si>
    <t>Name / No of the Existing Building</t>
  </si>
  <si>
    <t>Mumbai</t>
  </si>
  <si>
    <t>As per Layout</t>
  </si>
  <si>
    <t>Floor Rise Rate from    Floor</t>
  </si>
  <si>
    <t>Shop No. (Sale Plan)</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</si>
  <si>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</si>
  <si>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</si>
  <si>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</si>
  <si>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</si>
  <si>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</si>
  <si>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</si>
  <si>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</si>
  <si>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</si>
  <si>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</si>
  <si>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</si>
  <si>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</si>
  <si>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</si>
  <si>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</si>
  <si>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</si>
  <si>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</si>
  <si>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</si>
  <si>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</si>
  <si>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</si>
  <si>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</si>
  <si>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</si>
  <si>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</si>
  <si>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</si>
  <si>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</si>
  <si>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</si>
  <si>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</si>
  <si>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</si>
  <si>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</si>
  <si>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</si>
  <si>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</si>
  <si>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</si>
  <si>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</si>
  <si>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</si>
  <si>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</si>
  <si>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</si>
  <si>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</si>
  <si>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</si>
  <si>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</si>
  <si>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</si>
  <si>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</si>
  <si>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</si>
  <si>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</si>
  <si>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</si>
  <si>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</si>
  <si>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</si>
  <si>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</si>
  <si>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</si>
  <si>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</si>
  <si>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</si>
  <si>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</si>
  <si>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</si>
  <si>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</si>
  <si>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</si>
  <si>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</si>
  <si>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Fungible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</si>
  <si>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</si>
  <si>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</si>
  <si>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</si>
  <si>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</si>
  <si>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</si>
  <si>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</si>
  <si>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</si>
  <si>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</si>
  <si>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</si>
  <si>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</si>
  <si>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</si>
  <si>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</si>
  <si>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</si>
  <si>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</si>
  <si>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</si>
  <si>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</si>
  <si>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</si>
  <si>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</si>
  <si>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</si>
  <si>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</si>
  <si>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</si>
  <si>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</si>
  <si>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</si>
  <si>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</si>
  <si>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</si>
  <si>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</si>
  <si>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</si>
  <si>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</si>
  <si>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</si>
  <si>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</si>
  <si>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</si>
  <si>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</si>
  <si>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</si>
  <si>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</si>
  <si>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</si>
  <si>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</si>
  <si>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</si>
  <si>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</si>
  <si>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</si>
  <si>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</si>
  <si>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</si>
  <si>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</si>
  <si>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</si>
  <si>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</si>
  <si>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</si>
  <si>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</si>
  <si>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</si>
  <si>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</si>
  <si>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</si>
  <si>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</si>
  <si>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</si>
  <si>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</si>
  <si>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</si>
  <si>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</si>
  <si>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</si>
  <si>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</si>
  <si>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</si>
  <si>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</si>
  <si>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</si>
  <si>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</si>
  <si>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</si>
  <si>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</si>
  <si>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</si>
  <si>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</si>
  <si>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</si>
  <si>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B Wing = 1B + G + 1st to 19th Floor</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</si>
  <si>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</si>
  <si>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</si>
  <si>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</si>
  <si>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</si>
  <si>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</si>
  <si>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</si>
  <si>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</si>
  <si>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</si>
  <si>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</si>
  <si>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</si>
  <si>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</si>
  <si>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</si>
  <si>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</si>
  <si>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</si>
  <si>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</si>
  <si>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</si>
  <si>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</si>
  <si>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</si>
  <si>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</si>
  <si>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</si>
  <si>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</si>
  <si>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</si>
  <si>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</si>
  <si>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</si>
  <si>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</si>
  <si>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</si>
  <si>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</si>
  <si>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</si>
  <si>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</si>
  <si>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</si>
  <si>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</si>
  <si>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</si>
  <si>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</si>
  <si>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</si>
  <si>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</si>
  <si>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</si>
  <si>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</si>
  <si>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</si>
  <si>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</si>
  <si>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</si>
  <si>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</si>
  <si>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</si>
  <si>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</si>
  <si>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</si>
  <si>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</si>
  <si>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</si>
  <si>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</si>
  <si>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</si>
  <si>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</si>
  <si>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</si>
  <si>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</si>
  <si>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</si>
  <si>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Palghar Muncipal Council</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</si>
  <si>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</si>
  <si>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</si>
  <si>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</si>
  <si>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</si>
  <si>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</si>
  <si>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</si>
  <si>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</si>
  <si>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</si>
  <si>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</si>
  <si>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</si>
  <si>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</si>
  <si>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</si>
  <si>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</si>
  <si>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</si>
  <si>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</si>
  <si>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</si>
  <si>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</si>
  <si>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</si>
  <si>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</si>
  <si>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</si>
  <si>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</si>
  <si>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</si>
  <si>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</si>
  <si>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</si>
  <si>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 xml:space="preserve">Site Elevation (AMSL) = 
Permissible Top Elevation (AMSL) = </t>
  </si>
  <si>
    <t>Carpet Area</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</si>
  <si>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</si>
  <si>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</si>
  <si>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</si>
  <si>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</si>
  <si>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</si>
  <si>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</si>
  <si>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</si>
  <si>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The Domus Prive</t>
  </si>
  <si>
    <t>As per the approved floor plan dtd.22/07/2024, the building height is 61.55 Mtrs (Upto OHT), which is reached up to his maximum height limit of 61.73 Mtrs with reference to the airport
NOC.</t>
  </si>
  <si>
    <t>As per visit dtd 13/08/2025, we have observed that construction work of Shop no. 1, 2, 3, 6, 7, 8 from Building No. 1 and Shop no. 11, 12, 13, 16, 17 from Building No. 2 are Completed.Therefore it can be considered as Progress 100% and Disbursement 100%.</t>
  </si>
  <si>
    <t>Remark if shops construction is asked</t>
  </si>
  <si>
    <t>PR1170002500367</t>
  </si>
  <si>
    <t>Pearl Elegance</t>
  </si>
  <si>
    <t>Mr. Rishiraj Kulkarni 9819439396</t>
  </si>
  <si>
    <t>FP No</t>
  </si>
  <si>
    <t>https://maps.app.goo.gl/pg2HNgpwSEcg4aD96</t>
  </si>
  <si>
    <t>Mahim</t>
  </si>
  <si>
    <t>Pitamber Lane</t>
  </si>
  <si>
    <t>FP No.460</t>
  </si>
  <si>
    <t>FP No.465</t>
  </si>
  <si>
    <t>FP No.463</t>
  </si>
  <si>
    <t>Pitamber Lane / 12.20M Wide Pitamber Road</t>
  </si>
  <si>
    <t>Residential Building</t>
  </si>
  <si>
    <t>U/C Building</t>
  </si>
  <si>
    <t>Shree Sai Mathura Prasad CHS</t>
  </si>
  <si>
    <t>P-23041/2024)/G/North/FP/IOD/1/New</t>
  </si>
  <si>
    <t>P-23041/2024)/G/North/FP/CC/1/New</t>
  </si>
  <si>
    <t>This C.C IS GRANTED UP TO Plinth level as per I.O.D plans approved dated.19.03.2025.</t>
  </si>
  <si>
    <t>P-23041/2024/G/North/FP-CFO/1/New</t>
  </si>
  <si>
    <t>G + 1st to 9th Floor (Height = 31.95m)
Puzzle Parking Pit + G + 1st to 2nd Floor (Height = 8.9m)</t>
  </si>
  <si>
    <t>G + 1st to 9th Floor</t>
  </si>
  <si>
    <t>https://pearlconcept.in/upcoming-projects.html#</t>
  </si>
  <si>
    <t>As per RERA - 31/12/2028</t>
  </si>
  <si>
    <t>Sale / Rehab/PAP</t>
  </si>
  <si>
    <t xml:space="preserve">PAP
</t>
  </si>
  <si>
    <t>1BHK</t>
  </si>
  <si>
    <t>2BHK</t>
  </si>
  <si>
    <t>Sale</t>
  </si>
  <si>
    <t>We have referred Fire Noc from MCGM site.</t>
  </si>
  <si>
    <t>Gaurav Panchal</t>
  </si>
  <si>
    <t>documents received on Pragati</t>
  </si>
  <si>
    <t>M/s. Pearl Concept Realty LLP</t>
  </si>
  <si>
    <t>Approved Plans, CC &amp; RERA Cerificate</t>
  </si>
  <si>
    <t>19.038028,72.845544</t>
  </si>
  <si>
    <t>Mahim West</t>
  </si>
  <si>
    <t xml:space="preserve"> Karan Misal</t>
  </si>
  <si>
    <t>12.20M Wide Pitamber Road</t>
  </si>
  <si>
    <t>PAP Flat</t>
  </si>
  <si>
    <t>Sale Flat</t>
  </si>
  <si>
    <t xml:space="preserve">Details of Residential in Building   </t>
  </si>
  <si>
    <t>1st Floor For Part Society Office &amp; Parking</t>
  </si>
  <si>
    <t>Society Office &amp; Parking</t>
  </si>
  <si>
    <t>Ground Floor For Residential &amp; Parking</t>
  </si>
  <si>
    <t>3rd Floor For Residential</t>
  </si>
  <si>
    <t>Rehab</t>
  </si>
  <si>
    <t>5th Floor</t>
  </si>
  <si>
    <t>7th Floor</t>
  </si>
  <si>
    <t>6th Floor</t>
  </si>
  <si>
    <t>8th Floor</t>
  </si>
  <si>
    <t>9th Floor</t>
  </si>
  <si>
    <t xml:space="preserve">We have given Valuation for Sale Flats only.
</t>
  </si>
  <si>
    <r>
      <t xml:space="preserve">Proposed Amenities :                                                                                                                                                                                                                         </t>
    </r>
    <r>
      <rPr>
        <b/>
        <sz val="12"/>
        <rFont val="Times New Roman"/>
        <family val="1"/>
      </rPr>
      <t xml:space="preserve">                                               </t>
    </r>
  </si>
  <si>
    <t xml:space="preserve">Please check for Airport NOC
</t>
  </si>
  <si>
    <t>Blue Sapphire Co-Operative Housing Society</t>
  </si>
  <si>
    <t>We considered Gross carpet area = Net carpet Area</t>
  </si>
  <si>
    <t>4th to 9th Floor</t>
  </si>
  <si>
    <t>Sale Flats - 29, PAP Flats - 5</t>
  </si>
  <si>
    <t>Excavation work is in process at the time of Visit (labour found)</t>
  </si>
  <si>
    <t>Mr. Prashant Bhosal 9969778596</t>
  </si>
  <si>
    <t>Rehab flat statement is given but plan is not verified</t>
  </si>
  <si>
    <t>Vitrified tiles flooring, Granite Kitchen Platform, Decorative Entrance, CCTV, Lift,Compound etc.</t>
  </si>
  <si>
    <t>Shri Yamai Krupa Tower</t>
  </si>
  <si>
    <t>464, TPS III &amp; Redevelopment of " Blue Sapphire Co-Operative Housing Society"</t>
  </si>
  <si>
    <t>0.21KM from Mahim Railway Station</t>
  </si>
  <si>
    <t>2nd Floor For Part Fitness Center &amp; Parking</t>
  </si>
  <si>
    <t>-</t>
  </si>
  <si>
    <t>Fitness Center &amp; Parking</t>
  </si>
  <si>
    <t>rate dicuss with shruti ma'am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</si>
</sst>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color rgb="FFFF0000"/>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350">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20"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0" fontId="18" fillId="0" borderId="0" xfId="0" applyFont="1" applyProtection="1">
      <protection hidden="1"/>
    </xf>
    <xf numFmtId="0" fontId="15" fillId="0" borderId="1" xfId="1" applyFont="1" applyBorder="1" applyAlignment="1" applyProtection="1">
      <alignment horizontal="center" vertical="top"/>
      <protection locked="0"/>
    </xf>
    <xf numFmtId="0" fontId="18"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7"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10" xfId="1" applyFont="1" applyBorder="1"/>
    <xf numFmtId="0" fontId="18"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5" fillId="2" borderId="30" xfId="0" applyFont="1" applyFill="1" applyBorder="1"/>
    <xf numFmtId="0" fontId="26" fillId="0" borderId="31" xfId="0" applyFont="1" applyBorder="1"/>
    <xf numFmtId="0" fontId="26" fillId="0" borderId="1" xfId="0" applyFont="1" applyBorder="1"/>
    <xf numFmtId="0" fontId="26"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9" fontId="17" fillId="0" borderId="16" xfId="8" applyFont="1" applyFill="1" applyBorder="1" applyAlignment="1" applyProtection="1">
      <alignment horizontal="center" vertical="top"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15" fillId="0" borderId="1" xfId="1" applyFont="1" applyBorder="1" applyAlignment="1" applyProtection="1">
      <alignment horizontal="center" vertical="top" wrapText="1"/>
      <protection locked="0"/>
    </xf>
    <xf numFmtId="0" fontId="0" fillId="0" borderId="25" xfId="0" applyBorder="1"/>
    <xf numFmtId="0" fontId="0" fillId="0" borderId="8" xfId="0" applyBorder="1"/>
    <xf numFmtId="0" fontId="0" fillId="0" borderId="1" xfId="0" applyBorder="1" applyAlignment="1">
      <alignment vertical="top" wrapText="1"/>
    </xf>
    <xf numFmtId="1" fontId="17" fillId="0" borderId="3" xfId="1" applyNumberFormat="1" applyFont="1" applyBorder="1" applyAlignment="1" applyProtection="1">
      <alignment horizontal="center" vertical="top" wrapText="1"/>
      <protection locked="0"/>
    </xf>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2" fillId="0" borderId="1" xfId="1" applyFont="1" applyBorder="1"/>
    <xf numFmtId="0" fontId="7"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5" fillId="2" borderId="0" xfId="1" applyFont="1" applyFill="1"/>
    <xf numFmtId="14" fontId="12"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2" xfId="0" applyBorder="1" applyAlignment="1">
      <alignment vertical="top"/>
    </xf>
    <xf numFmtId="0" fontId="0" fillId="0" borderId="33" xfId="0" applyBorder="1" applyAlignment="1">
      <alignment vertical="top" wrapText="1"/>
    </xf>
    <xf numFmtId="0" fontId="0" fillId="0" borderId="34"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3"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7" fillId="0" borderId="0" xfId="1" applyNumberFormat="1" applyFont="1"/>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0" fontId="0" fillId="0" borderId="35" xfId="0" applyFill="1" applyBorder="1" applyAlignment="1">
      <alignment vertical="top" wrapText="1"/>
    </xf>
    <xf numFmtId="0" fontId="27" fillId="0" borderId="0" xfId="10"/>
    <xf numFmtId="9" fontId="10" fillId="0" borderId="16" xfId="8" applyFont="1" applyFill="1" applyBorder="1" applyAlignment="1" applyProtection="1">
      <alignment horizontal="center" vertical="top" wrapText="1"/>
      <protection locked="0"/>
    </xf>
    <xf numFmtId="0" fontId="7" fillId="0" borderId="0" xfId="1" applyFont="1" applyAlignment="1">
      <alignment horizontal="left" vertical="center"/>
    </xf>
    <xf numFmtId="0" fontId="12" fillId="0" borderId="1" xfId="1" applyFont="1" applyBorder="1" applyAlignment="1" applyProtection="1">
      <alignment vertical="top" wrapText="1"/>
      <protection locked="0"/>
    </xf>
    <xf numFmtId="0" fontId="13" fillId="0" borderId="1" xfId="1" applyFont="1" applyBorder="1" applyAlignment="1" applyProtection="1">
      <alignment vertical="top"/>
      <protection locked="0"/>
    </xf>
    <xf numFmtId="1" fontId="8" fillId="0" borderId="3" xfId="1" applyNumberFormat="1" applyFont="1" applyFill="1" applyBorder="1" applyAlignment="1" applyProtection="1">
      <alignment horizontal="center" vertical="top" wrapText="1"/>
      <protection locked="0"/>
    </xf>
    <xf numFmtId="1" fontId="6" fillId="0" borderId="1" xfId="1" applyNumberFormat="1" applyFont="1" applyFill="1" applyBorder="1" applyAlignment="1" applyProtection="1">
      <alignment horizontal="center" vertical="center" wrapText="1"/>
      <protection locked="0"/>
    </xf>
    <xf numFmtId="1" fontId="6" fillId="0" borderId="1" xfId="1" applyNumberFormat="1" applyFont="1" applyFill="1" applyBorder="1" applyAlignment="1" applyProtection="1">
      <alignment horizontal="center" vertical="top" wrapText="1"/>
      <protection locked="0"/>
    </xf>
    <xf numFmtId="1" fontId="8" fillId="0" borderId="1" xfId="1" applyNumberFormat="1" applyFont="1" applyFill="1" applyBorder="1" applyAlignment="1" applyProtection="1">
      <alignment horizontal="center" vertical="center" wrapText="1"/>
      <protection locked="0"/>
    </xf>
    <xf numFmtId="1" fontId="6" fillId="0" borderId="1" xfId="0" applyNumberFormat="1" applyFont="1" applyFill="1" applyBorder="1" applyAlignment="1" applyProtection="1">
      <alignment horizontal="center" vertical="center" wrapText="1"/>
      <protection locked="0"/>
    </xf>
    <xf numFmtId="0" fontId="10" fillId="0" borderId="0" xfId="0" applyFont="1" applyAlignment="1">
      <alignment horizontal="center" vertical="center"/>
    </xf>
    <xf numFmtId="0" fontId="7" fillId="0" borderId="0" xfId="1" applyFont="1" applyAlignment="1">
      <alignment horizontal="center" vertical="center"/>
    </xf>
    <xf numFmtId="1" fontId="15" fillId="0" borderId="1" xfId="1" applyNumberFormat="1" applyFont="1" applyFill="1" applyBorder="1" applyAlignment="1" applyProtection="1">
      <alignment horizontal="center" vertical="center" wrapText="1"/>
      <protection locked="0"/>
    </xf>
    <xf numFmtId="1" fontId="17" fillId="0" borderId="1" xfId="1" applyNumberFormat="1" applyFont="1" applyFill="1" applyBorder="1" applyAlignment="1" applyProtection="1">
      <alignment horizontal="center" vertical="center" wrapText="1"/>
      <protection locked="0"/>
    </xf>
    <xf numFmtId="0" fontId="12" fillId="0" borderId="1" xfId="1" applyFont="1" applyBorder="1" applyAlignment="1" applyProtection="1">
      <alignment horizontal="center" vertical="top" wrapText="1"/>
      <protection locked="0"/>
    </xf>
    <xf numFmtId="9" fontId="12" fillId="0" borderId="1" xfId="8" applyFont="1" applyFill="1" applyBorder="1" applyAlignment="1" applyProtection="1">
      <alignment horizontal="center" vertical="top" wrapText="1"/>
      <protection locked="0"/>
    </xf>
    <xf numFmtId="0" fontId="12" fillId="0" borderId="7" xfId="1" applyFont="1" applyBorder="1" applyAlignment="1" applyProtection="1">
      <alignment horizontal="center" vertical="top" wrapText="1"/>
      <protection locked="0"/>
    </xf>
    <xf numFmtId="9" fontId="12" fillId="0" borderId="7" xfId="8" applyFont="1" applyFill="1" applyBorder="1" applyAlignment="1" applyProtection="1">
      <alignment horizontal="center" vertical="top" wrapText="1"/>
      <protection locked="0"/>
    </xf>
    <xf numFmtId="0" fontId="10" fillId="0" borderId="0" xfId="1" applyFont="1" applyAlignment="1">
      <alignment horizontal="center" vertical="center"/>
    </xf>
    <xf numFmtId="1" fontId="10" fillId="0" borderId="0" xfId="1" applyNumberFormat="1" applyFont="1" applyAlignment="1">
      <alignment horizontal="center" vertical="center"/>
    </xf>
    <xf numFmtId="0" fontId="14" fillId="0" borderId="0" xfId="1" applyFont="1"/>
    <xf numFmtId="0" fontId="12" fillId="0" borderId="0" xfId="2" applyFont="1"/>
    <xf numFmtId="0" fontId="15" fillId="0" borderId="19" xfId="1" applyFont="1" applyBorder="1" applyAlignment="1">
      <alignment horizontal="center"/>
    </xf>
    <xf numFmtId="0" fontId="15" fillId="0" borderId="2" xfId="1" applyFont="1" applyBorder="1" applyAlignment="1">
      <alignment horizontal="center"/>
    </xf>
    <xf numFmtId="1" fontId="17" fillId="0" borderId="25" xfId="1" applyNumberFormat="1" applyFont="1" applyBorder="1" applyAlignment="1">
      <alignment horizontal="center" vertical="top" wrapText="1"/>
    </xf>
    <xf numFmtId="1" fontId="17" fillId="0" borderId="0" xfId="1" applyNumberFormat="1" applyFont="1" applyAlignment="1">
      <alignment horizontal="center" vertical="top" wrapText="1"/>
    </xf>
    <xf numFmtId="1" fontId="17" fillId="0" borderId="8" xfId="1" applyNumberFormat="1" applyFont="1" applyFill="1" applyBorder="1" applyAlignment="1" applyProtection="1">
      <alignment horizontal="center" vertical="center" wrapText="1"/>
      <protection locked="0"/>
    </xf>
    <xf numFmtId="1" fontId="17" fillId="0" borderId="21" xfId="1" applyNumberFormat="1" applyFont="1" applyFill="1" applyBorder="1" applyAlignment="1" applyProtection="1">
      <alignment horizontal="center" vertical="center" wrapText="1"/>
      <protection locked="0"/>
    </xf>
    <xf numFmtId="1" fontId="17" fillId="0" borderId="9" xfId="1" applyNumberFormat="1" applyFont="1" applyFill="1" applyBorder="1" applyAlignment="1" applyProtection="1">
      <alignment horizontal="center" vertical="center" wrapText="1"/>
      <protection locked="0"/>
    </xf>
    <xf numFmtId="1" fontId="17" fillId="0" borderId="8" xfId="0" applyNumberFormat="1" applyFont="1" applyFill="1" applyBorder="1" applyAlignment="1" applyProtection="1">
      <alignment vertical="top" wrapText="1"/>
      <protection locked="0"/>
    </xf>
    <xf numFmtId="1" fontId="17" fillId="0" borderId="21" xfId="0" applyNumberFormat="1" applyFont="1" applyFill="1" applyBorder="1" applyAlignment="1" applyProtection="1">
      <alignment vertical="top" wrapText="1"/>
      <protection locked="0"/>
    </xf>
    <xf numFmtId="1" fontId="17" fillId="0" borderId="9" xfId="0" applyNumberFormat="1" applyFont="1" applyFill="1" applyBorder="1" applyAlignment="1" applyProtection="1">
      <alignment vertical="top" wrapText="1"/>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12" fillId="0" borderId="8" xfId="1" applyFont="1" applyBorder="1" applyAlignment="1" applyProtection="1">
      <alignment horizontal="center" vertical="center" wrapText="1"/>
      <protection locked="0"/>
    </xf>
    <xf numFmtId="0" fontId="12" fillId="0" borderId="21" xfId="1" applyFont="1" applyBorder="1" applyAlignment="1" applyProtection="1">
      <alignment horizontal="center" vertical="center" wrapText="1"/>
      <protection locked="0"/>
    </xf>
    <xf numFmtId="0" fontId="12" fillId="0" borderId="9" xfId="1" applyFont="1" applyBorder="1" applyAlignment="1" applyProtection="1">
      <alignment horizontal="center" vertical="center" wrapText="1"/>
      <protection locked="0"/>
    </xf>
    <xf numFmtId="0" fontId="12" fillId="0" borderId="8" xfId="1" applyFont="1" applyBorder="1" applyAlignment="1" applyProtection="1">
      <alignment horizontal="center" vertical="center"/>
      <protection locked="0"/>
    </xf>
    <xf numFmtId="0" fontId="12" fillId="0" borderId="21" xfId="1" applyFont="1" applyBorder="1" applyAlignment="1" applyProtection="1">
      <alignment horizontal="center" vertical="center"/>
      <protection locked="0"/>
    </xf>
    <xf numFmtId="0" fontId="12" fillId="0" borderId="9" xfId="1" applyFont="1" applyBorder="1" applyAlignment="1" applyProtection="1">
      <alignment horizontal="center" vertical="center"/>
      <protection locked="0"/>
    </xf>
    <xf numFmtId="0" fontId="12" fillId="0" borderId="8" xfId="1" applyFont="1" applyBorder="1" applyAlignment="1" applyProtection="1">
      <alignment horizontal="center" vertical="top" wrapText="1"/>
      <protection locked="0"/>
    </xf>
    <xf numFmtId="0" fontId="12" fillId="0" borderId="21" xfId="1" applyFont="1" applyBorder="1" applyAlignment="1" applyProtection="1">
      <alignment horizontal="center" vertical="top" wrapText="1"/>
      <protection locked="0"/>
    </xf>
    <xf numFmtId="0" fontId="12" fillId="0" borderId="9" xfId="1" applyFont="1" applyBorder="1" applyAlignment="1" applyProtection="1">
      <alignment horizontal="center" vertical="top" wrapText="1"/>
      <protection locked="0"/>
    </xf>
    <xf numFmtId="1" fontId="8" fillId="0" borderId="8" xfId="1" applyNumberFormat="1" applyFont="1" applyFill="1" applyBorder="1" applyAlignment="1" applyProtection="1">
      <alignment horizontal="center" vertical="center" wrapText="1"/>
      <protection locked="0"/>
    </xf>
    <xf numFmtId="1" fontId="8" fillId="0" borderId="21" xfId="1" applyNumberFormat="1" applyFont="1" applyFill="1" applyBorder="1" applyAlignment="1" applyProtection="1">
      <alignment horizontal="center" vertical="center" wrapText="1"/>
      <protection locked="0"/>
    </xf>
    <xf numFmtId="1" fontId="8" fillId="0" borderId="9" xfId="1" applyNumberFormat="1" applyFont="1" applyFill="1" applyBorder="1" applyAlignment="1" applyProtection="1">
      <alignment horizontal="center" vertical="center" wrapText="1"/>
      <protection locked="0"/>
    </xf>
    <xf numFmtId="0" fontId="6" fillId="0" borderId="8"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0" borderId="19" xfId="1" applyFont="1" applyBorder="1" applyAlignment="1" applyProtection="1">
      <alignment horizontal="left" vertical="top"/>
      <protection locked="0"/>
    </xf>
    <xf numFmtId="0" fontId="7" fillId="0" borderId="2" xfId="1" applyFont="1" applyBorder="1" applyAlignment="1" applyProtection="1">
      <alignment horizontal="left" vertical="top"/>
      <protection locked="0"/>
    </xf>
    <xf numFmtId="0" fontId="7" fillId="0" borderId="20" xfId="1" applyFont="1" applyBorder="1" applyAlignment="1" applyProtection="1">
      <alignment horizontal="left" vertical="top"/>
      <protection locked="0"/>
    </xf>
    <xf numFmtId="1" fontId="8" fillId="0" borderId="1" xfId="0" applyNumberFormat="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2" fillId="0" borderId="3" xfId="1" applyFont="1" applyBorder="1" applyAlignment="1" applyProtection="1">
      <alignment horizontal="left" vertical="top" wrapText="1"/>
      <protection locked="0"/>
    </xf>
    <xf numFmtId="0" fontId="12" fillId="0" borderId="4" xfId="1" applyFont="1" applyBorder="1" applyAlignment="1" applyProtection="1">
      <alignment horizontal="center" vertical="top" wrapText="1"/>
      <protection locked="0"/>
    </xf>
    <xf numFmtId="0" fontId="12" fillId="0" borderId="1" xfId="1" applyFont="1" applyBorder="1" applyAlignment="1" applyProtection="1">
      <alignment horizontal="center" vertical="top" wrapText="1"/>
      <protection locked="0"/>
    </xf>
    <xf numFmtId="0" fontId="12" fillId="0" borderId="5" xfId="1" applyFont="1" applyBorder="1" applyAlignment="1" applyProtection="1">
      <alignment horizontal="center" vertical="top" wrapText="1"/>
      <protection locked="0"/>
    </xf>
    <xf numFmtId="0" fontId="12" fillId="0" borderId="6" xfId="1" applyFont="1" applyBorder="1" applyAlignment="1" applyProtection="1">
      <alignment horizontal="center" vertical="top" wrapText="1"/>
      <protection locked="0"/>
    </xf>
    <xf numFmtId="0" fontId="12" fillId="0" borderId="7" xfId="1" applyFont="1" applyBorder="1" applyAlignment="1" applyProtection="1">
      <alignment horizontal="center" vertical="top" wrapText="1"/>
      <protection locked="0"/>
    </xf>
    <xf numFmtId="0" fontId="10" fillId="0" borderId="1" xfId="0"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1" fontId="8" fillId="0" borderId="17" xfId="1" applyNumberFormat="1" applyFont="1" applyFill="1" applyBorder="1" applyAlignment="1" applyProtection="1">
      <alignment horizontal="center" vertical="top" wrapText="1"/>
      <protection locked="0"/>
    </xf>
    <xf numFmtId="1" fontId="8" fillId="0" borderId="19" xfId="1" applyNumberFormat="1" applyFont="1" applyFill="1" applyBorder="1" applyAlignment="1" applyProtection="1">
      <alignment horizontal="center" vertical="top" wrapText="1"/>
      <protection locked="0"/>
    </xf>
    <xf numFmtId="1" fontId="8" fillId="0" borderId="3" xfId="1" applyNumberFormat="1" applyFont="1" applyFill="1" applyBorder="1" applyAlignment="1" applyProtection="1">
      <alignment horizontal="center" vertical="top" wrapText="1"/>
      <protection locked="0"/>
    </xf>
    <xf numFmtId="1" fontId="8" fillId="0" borderId="16" xfId="1" applyNumberFormat="1" applyFont="1" applyFill="1" applyBorder="1" applyAlignment="1" applyProtection="1">
      <alignment horizontal="center" vertical="top" wrapText="1"/>
      <protection locked="0"/>
    </xf>
    <xf numFmtId="0" fontId="13" fillId="0" borderId="16" xfId="1" applyFont="1" applyBorder="1" applyAlignment="1" applyProtection="1">
      <alignment horizontal="left" vertical="top"/>
      <protection locked="0"/>
    </xf>
    <xf numFmtId="167" fontId="12" fillId="0" borderId="1" xfId="9" applyNumberFormat="1" applyFont="1" applyFill="1" applyBorder="1" applyAlignment="1" applyProtection="1">
      <alignment horizontal="left" vertical="top"/>
      <protection locked="0"/>
    </xf>
    <xf numFmtId="0" fontId="12" fillId="0" borderId="1" xfId="1" applyFont="1" applyBorder="1" applyAlignment="1" applyProtection="1">
      <alignment horizontal="left" vertical="top"/>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0" fontId="7" fillId="0" borderId="5" xfId="1" applyFont="1" applyBorder="1" applyAlignment="1" applyProtection="1">
      <alignment horizontal="center" vertical="top" wrapText="1"/>
      <protection locked="0"/>
    </xf>
    <xf numFmtId="0" fontId="7" fillId="0" borderId="25" xfId="1" applyFont="1" applyBorder="1" applyAlignment="1">
      <alignment horizontal="center"/>
    </xf>
    <xf numFmtId="0" fontId="7" fillId="0" borderId="0" xfId="1" applyFont="1" applyAlignment="1">
      <alignment horizontal="center"/>
    </xf>
    <xf numFmtId="0" fontId="13" fillId="0" borderId="1" xfId="1" applyFont="1" applyBorder="1" applyAlignment="1" applyProtection="1">
      <alignment horizontal="center" vertical="top"/>
      <protection locked="0"/>
    </xf>
    <xf numFmtId="1" fontId="8" fillId="0" borderId="1" xfId="0" applyNumberFormat="1" applyFont="1" applyBorder="1" applyAlignment="1" applyProtection="1">
      <alignment horizontal="center" vertical="top" wrapText="1"/>
      <protection locked="0"/>
    </xf>
    <xf numFmtId="1" fontId="6" fillId="0" borderId="8"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13" fillId="0" borderId="8" xfId="1" applyFont="1" applyBorder="1" applyAlignment="1" applyProtection="1">
      <alignment horizontal="left" vertical="top" wrapText="1"/>
      <protection locked="0"/>
    </xf>
    <xf numFmtId="0" fontId="13" fillId="0" borderId="21" xfId="1" applyFont="1" applyBorder="1" applyAlignment="1" applyProtection="1">
      <alignment horizontal="left" vertical="top" wrapText="1"/>
      <protection locked="0"/>
    </xf>
    <xf numFmtId="0" fontId="13" fillId="0" borderId="9" xfId="1" applyFont="1" applyBorder="1" applyAlignment="1" applyProtection="1">
      <alignment horizontal="left" vertical="top" wrapText="1"/>
      <protection locked="0"/>
    </xf>
    <xf numFmtId="1" fontId="6"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14" fontId="13" fillId="0" borderId="8" xfId="1" applyNumberFormat="1" applyFont="1" applyBorder="1" applyAlignment="1" applyProtection="1">
      <alignment horizontal="left" vertical="top"/>
      <protection locked="0"/>
    </xf>
    <xf numFmtId="14" fontId="13" fillId="0" borderId="9" xfId="1" applyNumberFormat="1" applyFont="1" applyBorder="1" applyAlignment="1" applyProtection="1">
      <alignment horizontal="left" vertical="top"/>
      <protection locked="0"/>
    </xf>
    <xf numFmtId="0" fontId="7" fillId="0" borderId="17" xfId="1" applyFont="1" applyBorder="1" applyAlignment="1" applyProtection="1">
      <alignment horizontal="left" vertical="top" wrapText="1"/>
      <protection locked="0"/>
    </xf>
    <xf numFmtId="0" fontId="7" fillId="0" borderId="18" xfId="1" applyFont="1" applyBorder="1" applyAlignment="1" applyProtection="1">
      <alignment horizontal="left" vertical="top" wrapText="1"/>
      <protection locked="0"/>
    </xf>
    <xf numFmtId="0" fontId="7" fillId="0" borderId="19"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1" fontId="6" fillId="0" borderId="21" xfId="1" applyNumberFormat="1" applyFont="1" applyBorder="1" applyAlignment="1" applyProtection="1">
      <alignment horizontal="center" vertical="center" wrapText="1"/>
      <protection locked="0"/>
    </xf>
    <xf numFmtId="0" fontId="6" fillId="0" borderId="1" xfId="1" applyFont="1" applyFill="1" applyBorder="1" applyAlignment="1" applyProtection="1">
      <alignment horizontal="left" vertical="top"/>
      <protection locked="0"/>
    </xf>
    <xf numFmtId="0" fontId="6" fillId="0" borderId="1" xfId="1" applyFont="1" applyFill="1" applyBorder="1" applyAlignment="1" applyProtection="1">
      <alignment vertical="top"/>
      <protection locked="0"/>
    </xf>
    <xf numFmtId="1" fontId="10" fillId="0" borderId="3" xfId="1" applyNumberFormat="1" applyFont="1" applyFill="1" applyBorder="1" applyAlignment="1" applyProtection="1">
      <alignment horizontal="center" vertical="top" wrapText="1"/>
      <protection locked="0"/>
    </xf>
    <xf numFmtId="1" fontId="10" fillId="0" borderId="16" xfId="1" applyNumberFormat="1" applyFont="1" applyFill="1" applyBorder="1" applyAlignment="1" applyProtection="1">
      <alignment horizontal="center" vertical="top" wrapText="1"/>
      <protection locked="0"/>
    </xf>
    <xf numFmtId="1" fontId="6" fillId="0" borderId="1" xfId="0" applyNumberFormat="1" applyFont="1" applyBorder="1" applyAlignment="1" applyProtection="1">
      <alignment horizontal="center" vertical="top"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1" fontId="10" fillId="0" borderId="8" xfId="0" applyNumberFormat="1" applyFont="1" applyFill="1" applyBorder="1" applyAlignment="1" applyProtection="1">
      <alignment vertical="top" wrapText="1"/>
      <protection locked="0"/>
    </xf>
    <xf numFmtId="1" fontId="10" fillId="0" borderId="21" xfId="0" applyNumberFormat="1" applyFont="1" applyFill="1" applyBorder="1" applyAlignment="1" applyProtection="1">
      <alignment vertical="top" wrapText="1"/>
      <protection locked="0"/>
    </xf>
    <xf numFmtId="1" fontId="10" fillId="0" borderId="9" xfId="0" applyNumberFormat="1" applyFont="1" applyFill="1" applyBorder="1" applyAlignment="1" applyProtection="1">
      <alignment vertical="top" wrapText="1"/>
      <protection locked="0"/>
    </xf>
    <xf numFmtId="1" fontId="13" fillId="0" borderId="8" xfId="0" applyNumberFormat="1" applyFont="1" applyFill="1" applyBorder="1" applyAlignment="1" applyProtection="1">
      <alignment vertical="top" wrapText="1"/>
      <protection locked="0"/>
    </xf>
    <xf numFmtId="1" fontId="13" fillId="0" borderId="21" xfId="0" applyNumberFormat="1" applyFont="1" applyFill="1" applyBorder="1" applyAlignment="1" applyProtection="1">
      <alignment vertical="top" wrapText="1"/>
      <protection locked="0"/>
    </xf>
    <xf numFmtId="1" fontId="13" fillId="0" borderId="9" xfId="0" applyNumberFormat="1" applyFont="1" applyFill="1" applyBorder="1" applyAlignment="1" applyProtection="1">
      <alignment vertical="top" wrapText="1"/>
      <protection locked="0"/>
    </xf>
    <xf numFmtId="1" fontId="17" fillId="0" borderId="3" xfId="1" applyNumberFormat="1" applyFont="1" applyBorder="1" applyAlignment="1" applyProtection="1">
      <alignment horizontal="center" vertical="top" wrapText="1"/>
      <protection locked="0"/>
    </xf>
    <xf numFmtId="1" fontId="17" fillId="0" borderId="16" xfId="1" applyNumberFormat="1" applyFont="1" applyBorder="1" applyAlignment="1" applyProtection="1">
      <alignment horizontal="center" vertical="top" wrapText="1"/>
      <protection locked="0"/>
    </xf>
    <xf numFmtId="1"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1" fontId="8" fillId="0" borderId="36" xfId="0" applyNumberFormat="1" applyFont="1" applyBorder="1" applyAlignment="1" applyProtection="1">
      <alignment horizontal="center" vertical="center" wrapText="1"/>
      <protection locked="0"/>
    </xf>
    <xf numFmtId="1" fontId="8" fillId="0" borderId="37" xfId="0" applyNumberFormat="1" applyFont="1" applyBorder="1" applyAlignment="1" applyProtection="1">
      <alignment horizontal="center" vertical="center" wrapText="1"/>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1" fontId="8" fillId="0" borderId="8" xfId="0" applyNumberFormat="1" applyFont="1" applyFill="1" applyBorder="1" applyAlignment="1" applyProtection="1">
      <alignment vertical="top" wrapText="1"/>
      <protection locked="0"/>
    </xf>
    <xf numFmtId="1" fontId="8" fillId="0" borderId="21" xfId="0" applyNumberFormat="1" applyFont="1" applyFill="1" applyBorder="1" applyAlignment="1" applyProtection="1">
      <alignment vertical="top" wrapText="1"/>
      <protection locked="0"/>
    </xf>
    <xf numFmtId="1" fontId="8" fillId="0" borderId="9" xfId="0" applyNumberFormat="1" applyFont="1" applyFill="1" applyBorder="1" applyAlignment="1" applyProtection="1">
      <alignment vertical="top" wrapText="1"/>
      <protection locked="0"/>
    </xf>
    <xf numFmtId="0" fontId="13" fillId="0" borderId="16" xfId="1" applyFont="1" applyBorder="1" applyAlignment="1" applyProtection="1">
      <alignment horizontal="center" vertical="top"/>
      <protection locked="0"/>
    </xf>
    <xf numFmtId="0" fontId="7" fillId="0" borderId="1" xfId="0"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center" wrapText="1"/>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0" fontId="13" fillId="0" borderId="1" xfId="1" applyFont="1" applyBorder="1" applyAlignment="1" applyProtection="1">
      <alignment horizontal="left" vertical="top"/>
      <protection locked="0"/>
    </xf>
    <xf numFmtId="0" fontId="6" fillId="0" borderId="1" xfId="1" applyFont="1" applyFill="1" applyBorder="1" applyAlignment="1" applyProtection="1">
      <alignment horizontal="left" vertical="top" wrapText="1"/>
      <protection locked="0"/>
    </xf>
    <xf numFmtId="0" fontId="8" fillId="0" borderId="1" xfId="1" applyFont="1" applyFill="1" applyBorder="1" applyAlignment="1" applyProtection="1">
      <alignment vertical="top"/>
      <protection locked="0"/>
    </xf>
    <xf numFmtId="0" fontId="10" fillId="0" borderId="37" xfId="0" applyFont="1" applyBorder="1" applyAlignment="1" applyProtection="1">
      <alignment horizontal="center" vertical="center"/>
      <protection locked="0"/>
    </xf>
    <xf numFmtId="1" fontId="8" fillId="0" borderId="3" xfId="0" applyNumberFormat="1" applyFont="1" applyBorder="1" applyAlignment="1" applyProtection="1">
      <alignment horizontal="center" vertical="center" wrapText="1"/>
      <protection locked="0"/>
    </xf>
    <xf numFmtId="0" fontId="11" fillId="0" borderId="1" xfId="1" applyFont="1" applyBorder="1" applyAlignment="1" applyProtection="1">
      <alignment horizontal="center" vertical="top" wrapText="1"/>
      <protection locked="0"/>
    </xf>
    <xf numFmtId="0" fontId="7" fillId="0" borderId="1" xfId="1" applyFont="1" applyBorder="1" applyAlignment="1" applyProtection="1">
      <alignment horizontal="left" vertical="top"/>
      <protection locked="0"/>
    </xf>
    <xf numFmtId="14" fontId="12" fillId="0" borderId="1" xfId="1" applyNumberFormat="1" applyFont="1" applyFill="1" applyBorder="1" applyAlignment="1" applyProtection="1">
      <alignment horizontal="left" vertical="top"/>
      <protection locked="0"/>
    </xf>
    <xf numFmtId="0" fontId="12" fillId="0" borderId="1" xfId="1" applyFont="1" applyFill="1" applyBorder="1" applyAlignment="1" applyProtection="1">
      <alignment horizontal="left" vertical="top"/>
      <protection locked="0"/>
    </xf>
    <xf numFmtId="0" fontId="7" fillId="0" borderId="1" xfId="1" applyFont="1" applyBorder="1" applyAlignment="1" applyProtection="1">
      <alignment horizontal="left" vertical="top" wrapText="1"/>
      <protection locked="0"/>
    </xf>
    <xf numFmtId="0" fontId="6" fillId="0" borderId="1" xfId="1" applyFont="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0" fontId="7" fillId="0" borderId="1" xfId="1" applyFont="1" applyBorder="1" applyAlignment="1" applyProtection="1">
      <alignment horizontal="left"/>
      <protection locked="0"/>
    </xf>
    <xf numFmtId="0" fontId="12" fillId="0" borderId="1" xfId="1" applyFont="1" applyBorder="1" applyAlignment="1" applyProtection="1">
      <alignment horizontal="center"/>
      <protection locked="0"/>
    </xf>
    <xf numFmtId="0" fontId="13" fillId="0" borderId="8" xfId="1" applyFont="1" applyBorder="1" applyAlignment="1" applyProtection="1">
      <alignment horizontal="center" vertical="top"/>
      <protection locked="0"/>
    </xf>
    <xf numFmtId="0" fontId="13" fillId="0" borderId="21" xfId="1" applyFont="1" applyBorder="1" applyAlignment="1" applyProtection="1">
      <alignment horizontal="center" vertical="top"/>
      <protection locked="0"/>
    </xf>
    <xf numFmtId="0" fontId="13" fillId="0" borderId="9"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12" fillId="0" borderId="1" xfId="1" applyFont="1" applyBorder="1" applyAlignment="1" applyProtection="1">
      <alignment horizontal="center" vertical="center"/>
      <protection locked="0"/>
    </xf>
    <xf numFmtId="0" fontId="13" fillId="0" borderId="4" xfId="1" applyFont="1" applyBorder="1" applyAlignment="1" applyProtection="1">
      <alignment horizontal="left" vertical="top"/>
      <protection locked="0"/>
    </xf>
    <xf numFmtId="0" fontId="13" fillId="0" borderId="22" xfId="1" applyFont="1" applyBorder="1" applyAlignment="1" applyProtection="1">
      <alignment horizontal="left" vertical="top" wrapText="1"/>
      <protection locked="0"/>
    </xf>
    <xf numFmtId="0" fontId="13" fillId="0" borderId="15" xfId="1" applyFont="1" applyBorder="1" applyAlignment="1" applyProtection="1">
      <alignment horizontal="left" vertical="top" wrapText="1"/>
      <protection locked="0"/>
    </xf>
    <xf numFmtId="0" fontId="13" fillId="0" borderId="13" xfId="1" applyFont="1" applyBorder="1" applyAlignment="1" applyProtection="1">
      <alignment horizontal="left" vertical="top" wrapText="1"/>
      <protection locked="0"/>
    </xf>
    <xf numFmtId="0" fontId="13" fillId="0" borderId="14" xfId="1" applyFont="1" applyBorder="1" applyAlignment="1" applyProtection="1">
      <alignment horizontal="left" vertical="top" wrapText="1"/>
      <protection locked="0"/>
    </xf>
    <xf numFmtId="0" fontId="13" fillId="0" borderId="23" xfId="1" applyFont="1" applyBorder="1" applyAlignment="1" applyProtection="1">
      <alignment horizontal="left" vertical="top" wrapText="1"/>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0" fontId="6" fillId="0" borderId="3" xfId="1" applyFont="1" applyBorder="1" applyAlignment="1" applyProtection="1">
      <alignment horizontal="left" vertical="top"/>
      <protection locked="0"/>
    </xf>
    <xf numFmtId="2" fontId="6" fillId="0" borderId="1" xfId="1" applyNumberFormat="1" applyFont="1" applyBorder="1" applyAlignment="1" applyProtection="1">
      <alignment horizontal="left" vertical="top" wrapText="1"/>
      <protection locked="0"/>
    </xf>
    <xf numFmtId="0" fontId="8" fillId="0" borderId="1" xfId="1" applyFont="1" applyBorder="1" applyAlignment="1" applyProtection="1">
      <alignment horizontal="left" vertical="top"/>
      <protection locked="0"/>
    </xf>
    <xf numFmtId="1" fontId="6" fillId="0" borderId="1" xfId="1" applyNumberFormat="1" applyFont="1" applyBorder="1" applyAlignment="1" applyProtection="1">
      <alignment horizontal="left" vertical="top" wrapText="1"/>
      <protection locked="0"/>
    </xf>
    <xf numFmtId="164" fontId="6" fillId="0" borderId="1" xfId="1" applyNumberFormat="1" applyFont="1" applyBorder="1" applyAlignment="1" applyProtection="1">
      <alignment horizontal="left" vertical="top"/>
      <protection locked="0"/>
    </xf>
    <xf numFmtId="2" fontId="6" fillId="0" borderId="1" xfId="1" applyNumberFormat="1" applyFont="1" applyBorder="1" applyAlignment="1" applyProtection="1">
      <alignment horizontal="left" vertical="top"/>
      <protection locked="0"/>
    </xf>
    <xf numFmtId="0" fontId="12" fillId="0" borderId="8" xfId="1" applyFont="1" applyBorder="1" applyAlignment="1" applyProtection="1">
      <alignment horizontal="left" vertical="top" wrapText="1"/>
      <protection locked="0"/>
    </xf>
    <xf numFmtId="0" fontId="12" fillId="0" borderId="21" xfId="1" applyFont="1" applyBorder="1" applyAlignment="1" applyProtection="1">
      <alignment horizontal="left" vertical="top" wrapText="1"/>
      <protection locked="0"/>
    </xf>
    <xf numFmtId="0" fontId="12" fillId="0" borderId="9" xfId="1" applyFont="1" applyBorder="1" applyAlignment="1" applyProtection="1">
      <alignment horizontal="left" vertical="top" wrapText="1"/>
      <protection locked="0"/>
    </xf>
    <xf numFmtId="0" fontId="12" fillId="0" borderId="3" xfId="1" applyFont="1" applyBorder="1" applyAlignment="1" applyProtection="1">
      <alignment horizontal="left" vertical="top"/>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0" fontId="10" fillId="0" borderId="8" xfId="1" applyFont="1" applyBorder="1" applyAlignment="1" applyProtection="1">
      <alignment horizontal="left" vertical="top"/>
      <protection locked="0"/>
    </xf>
    <xf numFmtId="0" fontId="10" fillId="0" borderId="21" xfId="1" applyFont="1" applyBorder="1" applyAlignment="1" applyProtection="1">
      <alignment horizontal="left" vertical="top"/>
      <protection locked="0"/>
    </xf>
    <xf numFmtId="0" fontId="10" fillId="0" borderId="9" xfId="1" applyFont="1" applyBorder="1" applyAlignment="1" applyProtection="1">
      <alignment horizontal="left" vertical="top"/>
      <protection locked="0"/>
    </xf>
    <xf numFmtId="0" fontId="12" fillId="0" borderId="25" xfId="1" applyFont="1" applyBorder="1" applyAlignment="1" applyProtection="1">
      <alignment horizontal="left" vertical="top" wrapText="1"/>
      <protection locked="0"/>
    </xf>
    <xf numFmtId="0" fontId="12" fillId="0" borderId="0" xfId="1" applyFont="1" applyAlignment="1" applyProtection="1">
      <alignment horizontal="left" vertical="top" wrapText="1"/>
      <protection locked="0"/>
    </xf>
    <xf numFmtId="0" fontId="12" fillId="0" borderId="19" xfId="1" applyFont="1" applyBorder="1" applyAlignment="1" applyProtection="1">
      <alignment horizontal="left" vertical="top" wrapText="1"/>
      <protection locked="0"/>
    </xf>
    <xf numFmtId="0" fontId="12" fillId="0" borderId="2" xfId="1" applyFont="1" applyBorder="1" applyAlignment="1" applyProtection="1">
      <alignment horizontal="left" vertical="top" wrapText="1"/>
      <protection locked="0"/>
    </xf>
    <xf numFmtId="0" fontId="7" fillId="0" borderId="25" xfId="1" applyFont="1" applyBorder="1" applyAlignment="1" applyProtection="1">
      <alignment horizontal="left" vertical="top"/>
      <protection locked="0"/>
    </xf>
    <xf numFmtId="0" fontId="7" fillId="0" borderId="0" xfId="1" applyFont="1" applyAlignment="1" applyProtection="1">
      <alignment horizontal="left" vertical="top"/>
      <protection locked="0"/>
    </xf>
    <xf numFmtId="0" fontId="7" fillId="0" borderId="26" xfId="1" applyFont="1" applyBorder="1" applyAlignment="1" applyProtection="1">
      <alignment horizontal="left" vertical="top"/>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0" fontId="8" fillId="0" borderId="1" xfId="1" applyFont="1" applyBorder="1" applyAlignment="1" applyProtection="1">
      <alignment vertical="top"/>
      <protection locked="0"/>
    </xf>
    <xf numFmtId="0" fontId="6" fillId="0" borderId="8" xfId="1" applyFont="1" applyBorder="1" applyAlignment="1" applyProtection="1">
      <alignment horizontal="left" vertical="top"/>
      <protection locked="0"/>
    </xf>
    <xf numFmtId="0" fontId="6" fillId="0" borderId="21" xfId="1" applyFont="1" applyBorder="1" applyAlignment="1" applyProtection="1">
      <alignment horizontal="left" vertical="top"/>
      <protection locked="0"/>
    </xf>
    <xf numFmtId="0" fontId="6" fillId="0" borderId="9" xfId="1" applyFont="1" applyBorder="1" applyAlignment="1" applyProtection="1">
      <alignment horizontal="left" vertical="top"/>
      <protection locked="0"/>
    </xf>
    <xf numFmtId="14" fontId="12" fillId="0" borderId="8" xfId="1" applyNumberFormat="1" applyFont="1" applyBorder="1" applyAlignment="1" applyProtection="1">
      <alignment horizontal="left" vertical="top" wrapText="1"/>
      <protection locked="0"/>
    </xf>
    <xf numFmtId="14" fontId="12" fillId="0" borderId="9" xfId="1" applyNumberFormat="1" applyFont="1" applyBorder="1" applyAlignment="1" applyProtection="1">
      <alignment horizontal="left" vertical="top" wrapText="1"/>
      <protection locked="0"/>
    </xf>
    <xf numFmtId="0" fontId="12" fillId="0" borderId="8" xfId="1" applyFont="1" applyBorder="1" applyAlignment="1" applyProtection="1">
      <alignment vertical="top" wrapText="1"/>
      <protection locked="0"/>
    </xf>
    <xf numFmtId="0" fontId="12" fillId="0" borderId="21" xfId="1" applyFont="1" applyBorder="1" applyAlignment="1" applyProtection="1">
      <alignment vertical="top" wrapText="1"/>
      <protection locked="0"/>
    </xf>
    <xf numFmtId="0" fontId="12" fillId="0" borderId="9" xfId="1" applyFont="1" applyBorder="1" applyAlignment="1" applyProtection="1">
      <alignment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25" xfId="1" applyFont="1" applyBorder="1" applyAlignment="1" applyProtection="1">
      <alignment horizontal="left" vertical="top" wrapText="1"/>
      <protection locked="0"/>
    </xf>
    <xf numFmtId="0" fontId="6" fillId="0" borderId="26"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0" fontId="6" fillId="0" borderId="24" xfId="1" applyFont="1" applyBorder="1" applyAlignment="1" applyProtection="1">
      <alignment horizontal="left" vertical="top" wrapText="1"/>
      <protection locked="0"/>
    </xf>
    <xf numFmtId="0" fontId="6" fillId="0" borderId="2" xfId="1" applyFont="1" applyBorder="1" applyAlignment="1" applyProtection="1">
      <alignment horizontal="left" vertical="top" wrapText="1"/>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0" fontId="15" fillId="0" borderId="19" xfId="1" applyFont="1" applyBorder="1" applyAlignment="1" applyProtection="1">
      <alignment horizontal="left" vertical="top" wrapText="1"/>
      <protection locked="0"/>
    </xf>
    <xf numFmtId="0" fontId="15" fillId="0" borderId="20" xfId="1" applyFont="1" applyBorder="1" applyAlignment="1" applyProtection="1">
      <alignment horizontal="left" vertical="top" wrapText="1"/>
      <protection locked="0"/>
    </xf>
    <xf numFmtId="0" fontId="15" fillId="0" borderId="25" xfId="1" applyFont="1" applyBorder="1" applyAlignment="1" applyProtection="1">
      <alignment horizontal="left" vertical="top" wrapText="1"/>
      <protection locked="0"/>
    </xf>
    <xf numFmtId="0" fontId="15" fillId="0" borderId="26" xfId="1" applyFont="1" applyBorder="1" applyAlignment="1" applyProtection="1">
      <alignment horizontal="left" vertical="top" wrapText="1"/>
      <protection locked="0"/>
    </xf>
    <xf numFmtId="0" fontId="12" fillId="0" borderId="17" xfId="1" applyFont="1" applyBorder="1" applyAlignment="1" applyProtection="1">
      <alignment horizontal="center" vertical="top" wrapText="1"/>
      <protection locked="0"/>
    </xf>
    <xf numFmtId="0" fontId="12" fillId="0" borderId="24" xfId="1" applyFont="1" applyBorder="1" applyAlignment="1" applyProtection="1">
      <alignment horizontal="center" vertical="top" wrapText="1"/>
      <protection locked="0"/>
    </xf>
    <xf numFmtId="0" fontId="12" fillId="0" borderId="18" xfId="1" applyFont="1" applyBorder="1" applyAlignment="1" applyProtection="1">
      <alignment horizontal="center" vertical="top" wrapText="1"/>
      <protection locked="0"/>
    </xf>
    <xf numFmtId="0" fontId="12" fillId="0" borderId="19" xfId="1" applyFont="1" applyBorder="1" applyAlignment="1" applyProtection="1">
      <alignment horizontal="center" vertical="top" wrapText="1"/>
      <protection locked="0"/>
    </xf>
    <xf numFmtId="0" fontId="12" fillId="0" borderId="2" xfId="1" applyFont="1" applyBorder="1" applyAlignment="1" applyProtection="1">
      <alignment horizontal="center" vertical="top" wrapText="1"/>
      <protection locked="0"/>
    </xf>
    <xf numFmtId="0" fontId="12" fillId="0" borderId="20" xfId="1" applyFont="1" applyBorder="1" applyAlignment="1" applyProtection="1">
      <alignment horizontal="center" vertical="top" wrapText="1"/>
      <protection locked="0"/>
    </xf>
    <xf numFmtId="0" fontId="7" fillId="0" borderId="0" xfId="1" applyFont="1" applyAlignment="1">
      <alignment horizontal="center" vertical="center"/>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23" xfId="1" applyFont="1" applyBorder="1" applyAlignment="1" applyProtection="1">
      <alignment horizontal="left" vertical="top" wrapText="1"/>
      <protection locked="0"/>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1" fontId="31" fillId="0" borderId="3" xfId="1" applyNumberFormat="1" applyFont="1" applyBorder="1" applyAlignment="1" applyProtection="1">
      <alignment horizontal="center" vertical="top" wrapText="1"/>
      <protection locked="0"/>
    </xf>
    <xf numFmtId="1" fontId="31" fillId="0" borderId="16" xfId="1" applyNumberFormat="1" applyFont="1" applyBorder="1" applyAlignment="1" applyProtection="1">
      <alignment horizontal="center" vertical="top" wrapText="1"/>
      <protection locked="0"/>
    </xf>
    <xf numFmtId="9" fontId="7" fillId="0" borderId="17" xfId="8" applyFont="1" applyFill="1" applyBorder="1" applyAlignment="1" applyProtection="1">
      <alignment horizontal="center" vertical="center" wrapText="1"/>
      <protection locked="0"/>
    </xf>
    <xf numFmtId="9" fontId="7" fillId="0" borderId="27"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10"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9" fontId="7" fillId="0" borderId="12" xfId="8" applyFont="1" applyFill="1" applyBorder="1" applyAlignment="1" applyProtection="1">
      <alignment horizontal="center" vertical="center" wrapText="1"/>
      <protection locked="0"/>
    </xf>
    <xf numFmtId="1" fontId="10" fillId="0" borderId="37" xfId="0" applyNumberFormat="1" applyFont="1" applyBorder="1" applyAlignment="1" applyProtection="1">
      <alignment horizontal="center" vertical="top" wrapText="1"/>
      <protection locked="0"/>
    </xf>
    <xf numFmtId="0" fontId="27" fillId="0" borderId="1" xfId="10" applyFill="1" applyBorder="1" applyAlignment="1" applyProtection="1">
      <alignment horizontal="left"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8" fillId="0" borderId="37" xfId="0" applyNumberFormat="1" applyFont="1" applyBorder="1" applyAlignment="1" applyProtection="1">
      <alignment horizontal="center" vertical="top" wrapText="1"/>
      <protection locked="0"/>
    </xf>
    <xf numFmtId="1" fontId="8" fillId="0" borderId="38" xfId="0" applyNumberFormat="1" applyFont="1" applyBorder="1" applyAlignment="1" applyProtection="1">
      <alignment horizontal="center" vertical="top" wrapText="1"/>
      <protection locked="0"/>
    </xf>
    <xf numFmtId="0" fontId="6" fillId="0" borderId="21" xfId="1" applyFont="1" applyBorder="1" applyAlignment="1" applyProtection="1">
      <alignment horizontal="left" vertical="top" wrapText="1"/>
      <protection locked="0"/>
    </xf>
    <xf numFmtId="0" fontId="7" fillId="0" borderId="16" xfId="1" applyFont="1" applyBorder="1" applyAlignment="1" applyProtection="1">
      <alignment horizontal="left" vertical="top" wrapText="1"/>
      <protection locked="0"/>
    </xf>
    <xf numFmtId="9" fontId="12" fillId="0" borderId="17" xfId="8" applyFont="1" applyFill="1" applyBorder="1" applyAlignment="1" applyProtection="1">
      <alignment horizontal="center" vertical="center" wrapText="1"/>
      <protection locked="0"/>
    </xf>
    <xf numFmtId="9" fontId="12" fillId="0" borderId="18" xfId="8" applyFont="1" applyFill="1" applyBorder="1" applyAlignment="1" applyProtection="1">
      <alignment horizontal="center" vertical="center" wrapText="1"/>
      <protection locked="0"/>
    </xf>
    <xf numFmtId="9" fontId="12" fillId="0" borderId="25" xfId="8" applyFont="1" applyFill="1" applyBorder="1" applyAlignment="1" applyProtection="1">
      <alignment horizontal="center" vertical="center" wrapText="1"/>
      <protection locked="0"/>
    </xf>
    <xf numFmtId="9" fontId="12" fillId="0" borderId="26" xfId="8" applyFont="1" applyFill="1" applyBorder="1" applyAlignment="1" applyProtection="1">
      <alignment horizontal="center" vertical="center" wrapText="1"/>
      <protection locked="0"/>
    </xf>
    <xf numFmtId="9" fontId="12" fillId="0" borderId="28" xfId="8" applyFont="1" applyFill="1" applyBorder="1" applyAlignment="1" applyProtection="1">
      <alignment horizontal="center" vertical="center" wrapText="1"/>
      <protection locked="0"/>
    </xf>
    <xf numFmtId="9" fontId="12" fillId="0" borderId="29" xfId="8" applyFont="1" applyFill="1" applyBorder="1" applyAlignment="1" applyProtection="1">
      <alignment horizontal="center" vertical="center" wrapText="1"/>
      <protection locked="0"/>
    </xf>
    <xf numFmtId="9" fontId="12" fillId="0" borderId="27" xfId="8" applyFont="1" applyFill="1" applyBorder="1" applyAlignment="1" applyProtection="1">
      <alignment horizontal="center" vertical="center" wrapText="1"/>
      <protection locked="0"/>
    </xf>
    <xf numFmtId="9" fontId="12" fillId="0" borderId="10" xfId="8" applyFont="1" applyFill="1" applyBorder="1" applyAlignment="1" applyProtection="1">
      <alignment horizontal="center" vertical="center" wrapText="1"/>
      <protection locked="0"/>
    </xf>
    <xf numFmtId="9" fontId="12" fillId="0" borderId="12" xfId="8" applyFont="1" applyFill="1" applyBorder="1" applyAlignment="1" applyProtection="1">
      <alignment horizontal="center" vertical="center" wrapText="1"/>
      <protection locked="0"/>
    </xf>
    <xf numFmtId="9" fontId="7" fillId="0" borderId="18" xfId="8" applyFont="1" applyFill="1" applyBorder="1" applyAlignment="1" applyProtection="1">
      <alignment horizontal="center" vertical="center" wrapText="1"/>
      <protection locked="0"/>
    </xf>
    <xf numFmtId="9" fontId="7" fillId="0" borderId="26" xfId="8" applyFont="1" applyFill="1" applyBorder="1" applyAlignment="1" applyProtection="1">
      <alignment horizontal="center" vertical="center" wrapText="1"/>
      <protection locked="0"/>
    </xf>
    <xf numFmtId="9" fontId="7" fillId="0" borderId="29" xfId="8" applyFont="1" applyFill="1" applyBorder="1" applyAlignment="1" applyProtection="1">
      <alignment horizontal="center" vertical="center" wrapText="1"/>
      <protection locked="0"/>
    </xf>
    <xf numFmtId="1" fontId="6" fillId="0" borderId="8" xfId="1" applyNumberFormat="1" applyFont="1" applyFill="1" applyBorder="1" applyAlignment="1" applyProtection="1">
      <alignment horizontal="center" vertical="center" wrapText="1"/>
      <protection locked="0"/>
    </xf>
    <xf numFmtId="1" fontId="6" fillId="0" borderId="21" xfId="1" applyNumberFormat="1" applyFont="1" applyFill="1" applyBorder="1" applyAlignment="1" applyProtection="1">
      <alignment horizontal="center" vertical="center" wrapText="1"/>
      <protection locked="0"/>
    </xf>
    <xf numFmtId="1" fontId="6" fillId="0" borderId="9" xfId="1" applyNumberFormat="1" applyFont="1" applyFill="1" applyBorder="1" applyAlignment="1" applyProtection="1">
      <alignment horizontal="center" vertical="center" wrapText="1"/>
      <protection locked="0"/>
    </xf>
    <xf numFmtId="0" fontId="9" fillId="0" borderId="1" xfId="5" applyFont="1" applyBorder="1" applyAlignment="1">
      <alignment horizontal="left"/>
    </xf>
    <xf numFmtId="0" fontId="0" fillId="0" borderId="25"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e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jpe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jpe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png"/><Relationship Id="rId30" Type="http://schemas.openxmlformats.org/officeDocument/2006/relationships/image" Target="../media/image30.png"/></Relationships>
</file>

<file path=xl/drawings/_rels/drawing2.xml.rels><?xml version="1.0" encoding="UTF-8" standalone="yes"?>
<Relationships xmlns="http://schemas.openxmlformats.org/package/2006/relationships"><Relationship Id="rId1" Type="http://schemas.openxmlformats.org/officeDocument/2006/relationships/image" Target="../media/image34.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drawing1.xml><?xml version="1.0" encoding="utf-8"?>
<xdr:wsDr xmlns:xdr="http://schemas.openxmlformats.org/drawingml/2006/spreadsheetDrawing" xmlns:a="http://schemas.openxmlformats.org/drawingml/2006/main">
  <xdr:twoCellAnchor editAs="oneCell">
    <xdr:from>
      <xdr:col>9</xdr:col>
      <xdr:colOff>190500</xdr:colOff>
      <xdr:row>9</xdr:row>
      <xdr:rowOff>0</xdr:rowOff>
    </xdr:from>
    <xdr:to>
      <xdr:col>15</xdr:col>
      <xdr:colOff>29233</xdr:colOff>
      <xdr:row>14</xdr:row>
      <xdr:rowOff>123982</xdr:rowOff>
    </xdr:to>
    <xdr:pic>
      <xdr:nvPicPr>
        <xdr:cNvPr id="2" name="Picture 1">
          <a:extLst>
            <a:ext uri="{FF2B5EF4-FFF2-40B4-BE49-F238E27FC236}">
              <a16:creationId xmlns:a16="http://schemas.microsoft.com/office/drawing/2014/main" id="{6616CADA-DE40-4770-9C84-CB52F8D61107}"/>
            </a:ext>
          </a:extLst>
        </xdr:cNvPr>
        <xdr:cNvPicPr>
          <a:picLocks noChangeAspect="1"/>
        </xdr:cNvPicPr>
      </xdr:nvPicPr>
      <xdr:blipFill>
        <a:blip xmlns:r="http://schemas.openxmlformats.org/officeDocument/2006/relationships" r:embed="rId1"/>
        <a:stretch>
          <a:fillRect/>
        </a:stretch>
      </xdr:blipFill>
      <xdr:spPr>
        <a:xfrm>
          <a:off x="7667625" y="2181225"/>
          <a:ext cx="4715533" cy="1124107"/>
        </a:xfrm>
        <a:prstGeom prst="rect">
          <a:avLst/>
        </a:prstGeom>
      </xdr:spPr>
    </xdr:pic>
    <xdr:clientData/>
  </xdr:twoCellAnchor>
  <xdr:twoCellAnchor editAs="oneCell">
    <xdr:from>
      <xdr:col>8</xdr:col>
      <xdr:colOff>238125</xdr:colOff>
      <xdr:row>15</xdr:row>
      <xdr:rowOff>523875</xdr:rowOff>
    </xdr:from>
    <xdr:to>
      <xdr:col>14</xdr:col>
      <xdr:colOff>419855</xdr:colOff>
      <xdr:row>19</xdr:row>
      <xdr:rowOff>34532</xdr:rowOff>
    </xdr:to>
    <xdr:pic>
      <xdr:nvPicPr>
        <xdr:cNvPr id="3" name="Picture 2">
          <a:extLst>
            <a:ext uri="{FF2B5EF4-FFF2-40B4-BE49-F238E27FC236}">
              <a16:creationId xmlns:a16="http://schemas.microsoft.com/office/drawing/2014/main" id="{9BEC94BD-6B73-4FC8-BFB0-47ED927C8E27}"/>
            </a:ext>
          </a:extLst>
        </xdr:cNvPr>
        <xdr:cNvPicPr>
          <a:picLocks noChangeAspect="1"/>
        </xdr:cNvPicPr>
      </xdr:nvPicPr>
      <xdr:blipFill>
        <a:blip xmlns:r="http://schemas.openxmlformats.org/officeDocument/2006/relationships" r:embed="rId2"/>
        <a:stretch>
          <a:fillRect/>
        </a:stretch>
      </xdr:blipFill>
      <xdr:spPr>
        <a:xfrm>
          <a:off x="6553200" y="3905250"/>
          <a:ext cx="5410955" cy="790685"/>
        </a:xfrm>
        <a:prstGeom prst="rect">
          <a:avLst/>
        </a:prstGeom>
      </xdr:spPr>
    </xdr:pic>
    <xdr:clientData/>
  </xdr:twoCellAnchor>
  <xdr:twoCellAnchor editAs="oneCell">
    <xdr:from>
      <xdr:col>8</xdr:col>
      <xdr:colOff>438150</xdr:colOff>
      <xdr:row>48</xdr:row>
      <xdr:rowOff>161925</xdr:rowOff>
    </xdr:from>
    <xdr:to>
      <xdr:col>13</xdr:col>
      <xdr:colOff>367125</xdr:colOff>
      <xdr:row>52</xdr:row>
      <xdr:rowOff>243932</xdr:rowOff>
    </xdr:to>
    <xdr:pic>
      <xdr:nvPicPr>
        <xdr:cNvPr id="4" name="Picture 3">
          <a:extLst>
            <a:ext uri="{FF2B5EF4-FFF2-40B4-BE49-F238E27FC236}">
              <a16:creationId xmlns:a16="http://schemas.microsoft.com/office/drawing/2014/main" id="{81144F72-B2A5-44C7-B7CE-C1237324C8AC}"/>
            </a:ext>
          </a:extLst>
        </xdr:cNvPr>
        <xdr:cNvPicPr>
          <a:picLocks noChangeAspect="1"/>
        </xdr:cNvPicPr>
      </xdr:nvPicPr>
      <xdr:blipFill>
        <a:blip xmlns:r="http://schemas.openxmlformats.org/officeDocument/2006/relationships" r:embed="rId3"/>
        <a:stretch>
          <a:fillRect/>
        </a:stretch>
      </xdr:blipFill>
      <xdr:spPr>
        <a:xfrm>
          <a:off x="6753225" y="11058525"/>
          <a:ext cx="4320000" cy="1110706"/>
        </a:xfrm>
        <a:prstGeom prst="rect">
          <a:avLst/>
        </a:prstGeom>
      </xdr:spPr>
    </xdr:pic>
    <xdr:clientData/>
  </xdr:twoCellAnchor>
  <xdr:twoCellAnchor editAs="oneCell">
    <xdr:from>
      <xdr:col>8</xdr:col>
      <xdr:colOff>361950</xdr:colOff>
      <xdr:row>39</xdr:row>
      <xdr:rowOff>161925</xdr:rowOff>
    </xdr:from>
    <xdr:to>
      <xdr:col>13</xdr:col>
      <xdr:colOff>290925</xdr:colOff>
      <xdr:row>48</xdr:row>
      <xdr:rowOff>67111</xdr:rowOff>
    </xdr:to>
    <xdr:pic>
      <xdr:nvPicPr>
        <xdr:cNvPr id="5" name="Picture 4">
          <a:extLst>
            <a:ext uri="{FF2B5EF4-FFF2-40B4-BE49-F238E27FC236}">
              <a16:creationId xmlns:a16="http://schemas.microsoft.com/office/drawing/2014/main" id="{787C7EC6-1E7C-4862-A719-255F5B4D897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677025" y="9258300"/>
          <a:ext cx="4320000" cy="1705411"/>
        </a:xfrm>
        <a:prstGeom prst="rect">
          <a:avLst/>
        </a:prstGeom>
      </xdr:spPr>
    </xdr:pic>
    <xdr:clientData/>
  </xdr:twoCellAnchor>
  <xdr:twoCellAnchor editAs="oneCell">
    <xdr:from>
      <xdr:col>8</xdr:col>
      <xdr:colOff>95250</xdr:colOff>
      <xdr:row>52</xdr:row>
      <xdr:rowOff>314325</xdr:rowOff>
    </xdr:from>
    <xdr:to>
      <xdr:col>13</xdr:col>
      <xdr:colOff>24225</xdr:colOff>
      <xdr:row>63</xdr:row>
      <xdr:rowOff>90597</xdr:rowOff>
    </xdr:to>
    <xdr:pic>
      <xdr:nvPicPr>
        <xdr:cNvPr id="6" name="Picture 5">
          <a:extLst>
            <a:ext uri="{FF2B5EF4-FFF2-40B4-BE49-F238E27FC236}">
              <a16:creationId xmlns:a16="http://schemas.microsoft.com/office/drawing/2014/main" id="{EAE15198-ADC0-4D71-9F2D-ABDFAA47D49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6410325" y="12458700"/>
          <a:ext cx="4320000" cy="1428750"/>
        </a:xfrm>
        <a:prstGeom prst="rect">
          <a:avLst/>
        </a:prstGeom>
      </xdr:spPr>
    </xdr:pic>
    <xdr:clientData/>
  </xdr:twoCellAnchor>
  <xdr:twoCellAnchor editAs="oneCell">
    <xdr:from>
      <xdr:col>10</xdr:col>
      <xdr:colOff>581025</xdr:colOff>
      <xdr:row>64</xdr:row>
      <xdr:rowOff>76200</xdr:rowOff>
    </xdr:from>
    <xdr:to>
      <xdr:col>15</xdr:col>
      <xdr:colOff>66225</xdr:colOff>
      <xdr:row>87</xdr:row>
      <xdr:rowOff>101787</xdr:rowOff>
    </xdr:to>
    <xdr:pic>
      <xdr:nvPicPr>
        <xdr:cNvPr id="7" name="Picture 6">
          <a:extLst>
            <a:ext uri="{FF2B5EF4-FFF2-40B4-BE49-F238E27FC236}">
              <a16:creationId xmlns:a16="http://schemas.microsoft.com/office/drawing/2014/main" id="{5AE85FB9-1EDE-42EC-AD7F-DC83953AF6CD}"/>
            </a:ext>
          </a:extLst>
        </xdr:cNvPr>
        <xdr:cNvPicPr>
          <a:picLocks noChangeAspect="1"/>
        </xdr:cNvPicPr>
      </xdr:nvPicPr>
      <xdr:blipFill>
        <a:blip xmlns:r="http://schemas.openxmlformats.org/officeDocument/2006/relationships" r:embed="rId6"/>
        <a:stretch>
          <a:fillRect/>
        </a:stretch>
      </xdr:blipFill>
      <xdr:spPr>
        <a:xfrm>
          <a:off x="8820150" y="14077950"/>
          <a:ext cx="3600000" cy="4730936"/>
        </a:xfrm>
        <a:prstGeom prst="rect">
          <a:avLst/>
        </a:prstGeom>
      </xdr:spPr>
    </xdr:pic>
    <xdr:clientData/>
  </xdr:twoCellAnchor>
  <xdr:twoCellAnchor editAs="oneCell">
    <xdr:from>
      <xdr:col>8</xdr:col>
      <xdr:colOff>499382</xdr:colOff>
      <xdr:row>152</xdr:row>
      <xdr:rowOff>438151</xdr:rowOff>
    </xdr:from>
    <xdr:to>
      <xdr:col>11</xdr:col>
      <xdr:colOff>702857</xdr:colOff>
      <xdr:row>161</xdr:row>
      <xdr:rowOff>190234</xdr:rowOff>
    </xdr:to>
    <xdr:pic>
      <xdr:nvPicPr>
        <xdr:cNvPr id="8" name="Picture 7">
          <a:extLst>
            <a:ext uri="{FF2B5EF4-FFF2-40B4-BE49-F238E27FC236}">
              <a16:creationId xmlns:a16="http://schemas.microsoft.com/office/drawing/2014/main" id="{9F3C32F8-14F5-4B90-B6EE-12192F8DCE1F}"/>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6813096" y="22903544"/>
          <a:ext cx="2870475" cy="1983654"/>
        </a:xfrm>
        <a:prstGeom prst="rect">
          <a:avLst/>
        </a:prstGeom>
      </xdr:spPr>
    </xdr:pic>
    <xdr:clientData/>
  </xdr:twoCellAnchor>
  <xdr:twoCellAnchor editAs="oneCell">
    <xdr:from>
      <xdr:col>11</xdr:col>
      <xdr:colOff>571500</xdr:colOff>
      <xdr:row>141</xdr:row>
      <xdr:rowOff>200026</xdr:rowOff>
    </xdr:from>
    <xdr:to>
      <xdr:col>15</xdr:col>
      <xdr:colOff>89175</xdr:colOff>
      <xdr:row>157</xdr:row>
      <xdr:rowOff>129490</xdr:rowOff>
    </xdr:to>
    <xdr:pic>
      <xdr:nvPicPr>
        <xdr:cNvPr id="9" name="Picture 8">
          <a:extLst>
            <a:ext uri="{FF2B5EF4-FFF2-40B4-BE49-F238E27FC236}">
              <a16:creationId xmlns:a16="http://schemas.microsoft.com/office/drawing/2014/main" id="{098CA15B-5E1D-481F-8998-F5652C6A8BBE}"/>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9563100" y="24393526"/>
          <a:ext cx="2880000" cy="1929717"/>
        </a:xfrm>
        <a:prstGeom prst="rect">
          <a:avLst/>
        </a:prstGeom>
      </xdr:spPr>
    </xdr:pic>
    <xdr:clientData/>
  </xdr:twoCellAnchor>
  <xdr:twoCellAnchor editAs="oneCell">
    <xdr:from>
      <xdr:col>14</xdr:col>
      <xdr:colOff>537482</xdr:colOff>
      <xdr:row>157</xdr:row>
      <xdr:rowOff>68036</xdr:rowOff>
    </xdr:from>
    <xdr:to>
      <xdr:col>18</xdr:col>
      <xdr:colOff>591278</xdr:colOff>
      <xdr:row>169</xdr:row>
      <xdr:rowOff>128479</xdr:rowOff>
    </xdr:to>
    <xdr:pic>
      <xdr:nvPicPr>
        <xdr:cNvPr id="10" name="Picture 9">
          <a:extLst>
            <a:ext uri="{FF2B5EF4-FFF2-40B4-BE49-F238E27FC236}">
              <a16:creationId xmlns:a16="http://schemas.microsoft.com/office/drawing/2014/main" id="{B096DE48-B835-4E36-90D3-4FE9F2973FD1}"/>
            </a:ext>
          </a:extLst>
        </xdr:cNvPr>
        <xdr:cNvPicPr>
          <a:picLocks noChangeAspect="1"/>
        </xdr:cNvPicPr>
      </xdr:nvPicPr>
      <xdr:blipFill>
        <a:blip xmlns:r="http://schemas.openxmlformats.org/officeDocument/2006/relationships" r:embed="rId9"/>
        <a:stretch>
          <a:fillRect/>
        </a:stretch>
      </xdr:blipFill>
      <xdr:spPr>
        <a:xfrm>
          <a:off x="12076339" y="23744465"/>
          <a:ext cx="2870475" cy="2509727"/>
        </a:xfrm>
        <a:prstGeom prst="rect">
          <a:avLst/>
        </a:prstGeom>
      </xdr:spPr>
    </xdr:pic>
    <xdr:clientData/>
  </xdr:twoCellAnchor>
  <xdr:twoCellAnchor editAs="oneCell">
    <xdr:from>
      <xdr:col>11</xdr:col>
      <xdr:colOff>561975</xdr:colOff>
      <xdr:row>169</xdr:row>
      <xdr:rowOff>38100</xdr:rowOff>
    </xdr:from>
    <xdr:to>
      <xdr:col>15</xdr:col>
      <xdr:colOff>79650</xdr:colOff>
      <xdr:row>207</xdr:row>
      <xdr:rowOff>57539</xdr:rowOff>
    </xdr:to>
    <xdr:pic>
      <xdr:nvPicPr>
        <xdr:cNvPr id="11" name="Picture 10">
          <a:extLst>
            <a:ext uri="{FF2B5EF4-FFF2-40B4-BE49-F238E27FC236}">
              <a16:creationId xmlns:a16="http://schemas.microsoft.com/office/drawing/2014/main" id="{CF49002F-0A65-4950-BCB6-421973365E53}"/>
            </a:ext>
          </a:extLst>
        </xdr:cNvPr>
        <xdr:cNvPicPr>
          <a:picLocks noChangeAspect="1"/>
        </xdr:cNvPicPr>
      </xdr:nvPicPr>
      <xdr:blipFill>
        <a:blip xmlns:r="http://schemas.openxmlformats.org/officeDocument/2006/relationships" r:embed="rId10"/>
        <a:stretch>
          <a:fillRect/>
        </a:stretch>
      </xdr:blipFill>
      <xdr:spPr>
        <a:xfrm>
          <a:off x="9553575" y="28441650"/>
          <a:ext cx="2880000" cy="2424220"/>
        </a:xfrm>
        <a:prstGeom prst="rect">
          <a:avLst/>
        </a:prstGeom>
      </xdr:spPr>
    </xdr:pic>
    <xdr:clientData/>
  </xdr:twoCellAnchor>
  <xdr:twoCellAnchor editAs="oneCell">
    <xdr:from>
      <xdr:col>11</xdr:col>
      <xdr:colOff>571500</xdr:colOff>
      <xdr:row>159</xdr:row>
      <xdr:rowOff>19050</xdr:rowOff>
    </xdr:from>
    <xdr:to>
      <xdr:col>15</xdr:col>
      <xdr:colOff>89175</xdr:colOff>
      <xdr:row>168</xdr:row>
      <xdr:rowOff>106353</xdr:rowOff>
    </xdr:to>
    <xdr:pic>
      <xdr:nvPicPr>
        <xdr:cNvPr id="12" name="Picture 11">
          <a:extLst>
            <a:ext uri="{FF2B5EF4-FFF2-40B4-BE49-F238E27FC236}">
              <a16:creationId xmlns:a16="http://schemas.microsoft.com/office/drawing/2014/main" id="{D5999C59-ED0C-4980-AD7A-DE294044FA89}"/>
            </a:ext>
          </a:extLst>
        </xdr:cNvPr>
        <xdr:cNvPicPr>
          <a:picLocks noChangeAspect="1"/>
        </xdr:cNvPicPr>
      </xdr:nvPicPr>
      <xdr:blipFill>
        <a:blip xmlns:r="http://schemas.openxmlformats.org/officeDocument/2006/relationships" r:embed="rId11"/>
        <a:stretch>
          <a:fillRect/>
        </a:stretch>
      </xdr:blipFill>
      <xdr:spPr>
        <a:xfrm>
          <a:off x="9563100" y="26422350"/>
          <a:ext cx="2880000" cy="1887526"/>
        </a:xfrm>
        <a:prstGeom prst="rect">
          <a:avLst/>
        </a:prstGeom>
      </xdr:spPr>
    </xdr:pic>
    <xdr:clientData/>
  </xdr:twoCellAnchor>
  <xdr:twoCellAnchor>
    <xdr:from>
      <xdr:col>0</xdr:col>
      <xdr:colOff>213258</xdr:colOff>
      <xdr:row>314</xdr:row>
      <xdr:rowOff>178253</xdr:rowOff>
    </xdr:from>
    <xdr:to>
      <xdr:col>7</xdr:col>
      <xdr:colOff>435427</xdr:colOff>
      <xdr:row>353</xdr:row>
      <xdr:rowOff>27215</xdr:rowOff>
    </xdr:to>
    <xdr:grpSp>
      <xdr:nvGrpSpPr>
        <xdr:cNvPr id="16" name="Group 15">
          <a:extLst>
            <a:ext uri="{FF2B5EF4-FFF2-40B4-BE49-F238E27FC236}">
              <a16:creationId xmlns:a16="http://schemas.microsoft.com/office/drawing/2014/main" id="{5A8AF4AC-44B7-41F2-BF5E-B83E1DD9FDAD}"/>
            </a:ext>
          </a:extLst>
        </xdr:cNvPr>
        <xdr:cNvGrpSpPr/>
      </xdr:nvGrpSpPr>
      <xdr:grpSpPr>
        <a:xfrm>
          <a:off x="213258" y="49308203"/>
          <a:ext cx="5803819" cy="7649937"/>
          <a:chOff x="669717" y="735106"/>
          <a:chExt cx="5669221" cy="7305588"/>
        </a:xfrm>
      </xdr:grpSpPr>
      <xdr:grpSp>
        <xdr:nvGrpSpPr>
          <xdr:cNvPr id="17" name="Group 16">
            <a:extLst>
              <a:ext uri="{FF2B5EF4-FFF2-40B4-BE49-F238E27FC236}">
                <a16:creationId xmlns:a16="http://schemas.microsoft.com/office/drawing/2014/main" id="{F65AD8AC-053F-41CA-9AAE-91E812D72037}"/>
              </a:ext>
            </a:extLst>
          </xdr:cNvPr>
          <xdr:cNvGrpSpPr/>
        </xdr:nvGrpSpPr>
        <xdr:grpSpPr>
          <a:xfrm>
            <a:off x="669717" y="735106"/>
            <a:ext cx="5669221" cy="7305588"/>
            <a:chOff x="965265" y="573741"/>
            <a:chExt cx="4526827" cy="5899167"/>
          </a:xfrm>
        </xdr:grpSpPr>
        <xdr:pic>
          <xdr:nvPicPr>
            <xdr:cNvPr id="20" name="Picture 19">
              <a:extLst>
                <a:ext uri="{FF2B5EF4-FFF2-40B4-BE49-F238E27FC236}">
                  <a16:creationId xmlns:a16="http://schemas.microsoft.com/office/drawing/2014/main" id="{754B3718-FE2F-4767-8D8D-3E1493C27B20}"/>
                </a:ext>
              </a:extLst>
            </xdr:cNvPr>
            <xdr:cNvPicPr>
              <a:picLocks noChangeAspect="1"/>
            </xdr:cNvPicPr>
          </xdr:nvPicPr>
          <xdr:blipFill rotWithShape="1">
            <a:blip xmlns:r="http://schemas.openxmlformats.org/officeDocument/2006/relationships" r:embed="rId12" cstate="screen">
              <a:extLst>
                <a:ext uri="{28A0092B-C50C-407E-A947-70E740481C1C}">
                  <a14:useLocalDpi xmlns:a14="http://schemas.microsoft.com/office/drawing/2010/main"/>
                </a:ext>
              </a:extLst>
            </a:blip>
            <a:srcRect/>
            <a:stretch/>
          </xdr:blipFill>
          <xdr:spPr>
            <a:xfrm>
              <a:off x="1008530" y="573741"/>
              <a:ext cx="4320000" cy="2760002"/>
            </a:xfrm>
            <a:prstGeom prst="rect">
              <a:avLst/>
            </a:prstGeom>
            <a:ln>
              <a:solidFill>
                <a:schemeClr val="tx1"/>
              </a:solidFill>
            </a:ln>
          </xdr:spPr>
        </xdr:pic>
        <xdr:pic>
          <xdr:nvPicPr>
            <xdr:cNvPr id="21" name="Picture 20">
              <a:extLst>
                <a:ext uri="{FF2B5EF4-FFF2-40B4-BE49-F238E27FC236}">
                  <a16:creationId xmlns:a16="http://schemas.microsoft.com/office/drawing/2014/main" id="{749BCF9D-F2DA-4C00-9679-329801E172BF}"/>
                </a:ext>
              </a:extLst>
            </xdr:cNvPr>
            <xdr:cNvPicPr>
              <a:picLocks noChangeAspect="1"/>
            </xdr:cNvPicPr>
          </xdr:nvPicPr>
          <xdr:blipFill rotWithShape="1">
            <a:blip xmlns:r="http://schemas.openxmlformats.org/officeDocument/2006/relationships" r:embed="rId13" cstate="screen">
              <a:extLst>
                <a:ext uri="{28A0092B-C50C-407E-A947-70E740481C1C}">
                  <a14:useLocalDpi xmlns:a14="http://schemas.microsoft.com/office/drawing/2010/main"/>
                </a:ext>
              </a:extLst>
            </a:blip>
            <a:srcRect/>
            <a:stretch/>
          </xdr:blipFill>
          <xdr:spPr>
            <a:xfrm>
              <a:off x="965265" y="3441046"/>
              <a:ext cx="4526827" cy="3031862"/>
            </a:xfrm>
            <a:prstGeom prst="rect">
              <a:avLst/>
            </a:prstGeom>
            <a:ln>
              <a:solidFill>
                <a:schemeClr val="tx1"/>
              </a:solidFill>
            </a:ln>
          </xdr:spPr>
        </xdr:pic>
      </xdr:grpSp>
      <xdr:sp macro="" textlink="">
        <xdr:nvSpPr>
          <xdr:cNvPr id="18" name="Rectangle 17">
            <a:extLst>
              <a:ext uri="{FF2B5EF4-FFF2-40B4-BE49-F238E27FC236}">
                <a16:creationId xmlns:a16="http://schemas.microsoft.com/office/drawing/2014/main" id="{014159C8-DC8A-4D27-AE7A-6051012650CC}"/>
              </a:ext>
            </a:extLst>
          </xdr:cNvPr>
          <xdr:cNvSpPr/>
        </xdr:nvSpPr>
        <xdr:spPr>
          <a:xfrm>
            <a:off x="3429000" y="2061882"/>
            <a:ext cx="533400" cy="770965"/>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9" name="TextBox 7">
            <a:extLst>
              <a:ext uri="{FF2B5EF4-FFF2-40B4-BE49-F238E27FC236}">
                <a16:creationId xmlns:a16="http://schemas.microsoft.com/office/drawing/2014/main" id="{2F58FB49-5CF9-444F-BA92-E2C586B7967E}"/>
              </a:ext>
            </a:extLst>
          </xdr:cNvPr>
          <xdr:cNvSpPr txBox="1"/>
        </xdr:nvSpPr>
        <xdr:spPr>
          <a:xfrm>
            <a:off x="3052481" y="1662209"/>
            <a:ext cx="1795743" cy="35779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latin typeface="Times New Roman" panose="02020603050405020304" pitchFamily="18" charset="0"/>
                <a:cs typeface="Times New Roman" panose="02020603050405020304" pitchFamily="18" charset="0"/>
              </a:rPr>
              <a:t>Pearl Elegance</a:t>
            </a:r>
            <a:endParaRPr lang="en-IN" b="1">
              <a:solidFill>
                <a:srgbClr val="FFFF00"/>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600075</xdr:colOff>
      <xdr:row>270</xdr:row>
      <xdr:rowOff>114299</xdr:rowOff>
    </xdr:from>
    <xdr:to>
      <xdr:col>7</xdr:col>
      <xdr:colOff>38100</xdr:colOff>
      <xdr:row>311</xdr:row>
      <xdr:rowOff>54429</xdr:rowOff>
    </xdr:to>
    <xdr:grpSp>
      <xdr:nvGrpSpPr>
        <xdr:cNvPr id="25" name="Group 24"/>
        <xdr:cNvGrpSpPr/>
      </xdr:nvGrpSpPr>
      <xdr:grpSpPr>
        <a:xfrm>
          <a:off x="600075" y="40443149"/>
          <a:ext cx="5019675" cy="8141155"/>
          <a:chOff x="600075" y="40786049"/>
          <a:chExt cx="5019675" cy="8141155"/>
        </a:xfrm>
      </xdr:grpSpPr>
      <xdr:grpSp>
        <xdr:nvGrpSpPr>
          <xdr:cNvPr id="13" name="Group 12">
            <a:extLst>
              <a:ext uri="{FF2B5EF4-FFF2-40B4-BE49-F238E27FC236}">
                <a16:creationId xmlns:a16="http://schemas.microsoft.com/office/drawing/2014/main" id="{26B4687C-AD69-4336-A8DC-1DE9EC237F90}"/>
              </a:ext>
            </a:extLst>
          </xdr:cNvPr>
          <xdr:cNvGrpSpPr/>
        </xdr:nvGrpSpPr>
        <xdr:grpSpPr>
          <a:xfrm>
            <a:off x="600075" y="40786049"/>
            <a:ext cx="5019675" cy="8141155"/>
            <a:chOff x="1233141" y="763032"/>
            <a:chExt cx="4320000" cy="7206578"/>
          </a:xfrm>
        </xdr:grpSpPr>
        <xdr:pic>
          <xdr:nvPicPr>
            <xdr:cNvPr id="14" name="Picture 13">
              <a:extLst>
                <a:ext uri="{FF2B5EF4-FFF2-40B4-BE49-F238E27FC236}">
                  <a16:creationId xmlns:a16="http://schemas.microsoft.com/office/drawing/2014/main" id="{EE471AC7-2D40-4CB4-A86A-7BFC10ED3ED8}"/>
                </a:ext>
              </a:extLst>
            </xdr:cNvPr>
            <xdr:cNvPicPr>
              <a:picLocks noChangeAspect="1"/>
            </xdr:cNvPicPr>
          </xdr:nvPicPr>
          <xdr:blipFill>
            <a:blip xmlns:r="http://schemas.openxmlformats.org/officeDocument/2006/relationships" r:embed="rId14"/>
            <a:stretch>
              <a:fillRect/>
            </a:stretch>
          </xdr:blipFill>
          <xdr:spPr>
            <a:xfrm>
              <a:off x="1233141" y="763032"/>
              <a:ext cx="4320000" cy="3594603"/>
            </a:xfrm>
            <a:prstGeom prst="rect">
              <a:avLst/>
            </a:prstGeom>
            <a:ln>
              <a:solidFill>
                <a:schemeClr val="tx1"/>
              </a:solidFill>
            </a:ln>
          </xdr:spPr>
        </xdr:pic>
        <xdr:pic>
          <xdr:nvPicPr>
            <xdr:cNvPr id="15" name="Picture 14">
              <a:extLst>
                <a:ext uri="{FF2B5EF4-FFF2-40B4-BE49-F238E27FC236}">
                  <a16:creationId xmlns:a16="http://schemas.microsoft.com/office/drawing/2014/main" id="{0CF60AD1-658D-4EE1-A363-5DA8A213898B}"/>
                </a:ext>
              </a:extLst>
            </xdr:cNvPr>
            <xdr:cNvPicPr>
              <a:picLocks noChangeAspect="1"/>
            </xdr:cNvPicPr>
          </xdr:nvPicPr>
          <xdr:blipFill>
            <a:blip xmlns:r="http://schemas.openxmlformats.org/officeDocument/2006/relationships" r:embed="rId15"/>
            <a:stretch>
              <a:fillRect/>
            </a:stretch>
          </xdr:blipFill>
          <xdr:spPr>
            <a:xfrm>
              <a:off x="1786192" y="4477580"/>
              <a:ext cx="3382217" cy="3492030"/>
            </a:xfrm>
            <a:prstGeom prst="rect">
              <a:avLst/>
            </a:prstGeom>
            <a:ln>
              <a:solidFill>
                <a:schemeClr val="tx1"/>
              </a:solidFill>
            </a:ln>
          </xdr:spPr>
        </xdr:pic>
      </xdr:grpSp>
      <xdr:grpSp>
        <xdr:nvGrpSpPr>
          <xdr:cNvPr id="22" name="Group 21"/>
          <xdr:cNvGrpSpPr/>
        </xdr:nvGrpSpPr>
        <xdr:grpSpPr>
          <a:xfrm rot="5400000">
            <a:off x="4648200" y="44129325"/>
            <a:ext cx="474784" cy="971636"/>
            <a:chOff x="808896" y="1402289"/>
            <a:chExt cx="474784" cy="971636"/>
          </a:xfrm>
        </xdr:grpSpPr>
        <xdr:sp macro="" textlink="">
          <xdr:nvSpPr>
            <xdr:cNvPr id="23" name="Right Arrow 22"/>
            <xdr:cNvSpPr/>
          </xdr:nvSpPr>
          <xdr:spPr>
            <a:xfrm rot="16200000">
              <a:off x="852857" y="2031024"/>
              <a:ext cx="386861" cy="298941"/>
            </a:xfrm>
            <a:prstGeom prst="rightArrow">
              <a:avLst/>
            </a:prstGeom>
            <a:solidFill>
              <a:schemeClr val="tx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sz="1400"/>
            </a:p>
          </xdr:txBody>
        </xdr:sp>
        <xdr:sp macro="" textlink="">
          <xdr:nvSpPr>
            <xdr:cNvPr id="24" name="TextBox 44"/>
            <xdr:cNvSpPr txBox="1"/>
          </xdr:nvSpPr>
          <xdr:spPr>
            <a:xfrm>
              <a:off x="808896" y="1402289"/>
              <a:ext cx="474784" cy="58477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3200" b="1">
                  <a:latin typeface="Times New Roman" panose="02020603050405020304" pitchFamily="18" charset="0"/>
                  <a:cs typeface="Times New Roman" panose="02020603050405020304" pitchFamily="18" charset="0"/>
                </a:rPr>
                <a:t>N</a:t>
              </a:r>
              <a:endParaRPr lang="en-IN" sz="3200" b="1">
                <a:latin typeface="Times New Roman" panose="02020603050405020304" pitchFamily="18" charset="0"/>
                <a:cs typeface="Times New Roman" panose="02020603050405020304" pitchFamily="18" charset="0"/>
              </a:endParaRPr>
            </a:p>
          </xdr:txBody>
        </xdr:sp>
      </xdr:grpSp>
    </xdr:grpSp>
    <xdr:clientData/>
  </xdr:twoCellAnchor>
  <xdr:twoCellAnchor editAs="oneCell">
    <xdr:from>
      <xdr:col>10</xdr:col>
      <xdr:colOff>545885</xdr:colOff>
      <xdr:row>136</xdr:row>
      <xdr:rowOff>42663</xdr:rowOff>
    </xdr:from>
    <xdr:to>
      <xdr:col>17</xdr:col>
      <xdr:colOff>327709</xdr:colOff>
      <xdr:row>153</xdr:row>
      <xdr:rowOff>14928</xdr:rowOff>
    </xdr:to>
    <xdr:pic>
      <xdr:nvPicPr>
        <xdr:cNvPr id="26" name="Picture 25"/>
        <xdr:cNvPicPr>
          <a:picLocks noChangeAspect="1"/>
        </xdr:cNvPicPr>
      </xdr:nvPicPr>
      <xdr:blipFill>
        <a:blip xmlns:r="http://schemas.openxmlformats.org/officeDocument/2006/relationships" r:embed="rId16"/>
        <a:stretch>
          <a:fillRect/>
        </a:stretch>
      </xdr:blipFill>
      <xdr:spPr>
        <a:xfrm>
          <a:off x="8785010" y="19759413"/>
          <a:ext cx="5287274" cy="1972515"/>
        </a:xfrm>
        <a:prstGeom prst="rect">
          <a:avLst/>
        </a:prstGeom>
      </xdr:spPr>
    </xdr:pic>
    <xdr:clientData/>
  </xdr:twoCellAnchor>
  <xdr:twoCellAnchor editAs="oneCell">
    <xdr:from>
      <xdr:col>15</xdr:col>
      <xdr:colOff>324396</xdr:colOff>
      <xdr:row>173</xdr:row>
      <xdr:rowOff>25288</xdr:rowOff>
    </xdr:from>
    <xdr:to>
      <xdr:col>34</xdr:col>
      <xdr:colOff>246896</xdr:colOff>
      <xdr:row>221</xdr:row>
      <xdr:rowOff>109621</xdr:rowOff>
    </xdr:to>
    <xdr:pic>
      <xdr:nvPicPr>
        <xdr:cNvPr id="27" name="Picture 26"/>
        <xdr:cNvPicPr>
          <a:picLocks noChangeAspect="1"/>
        </xdr:cNvPicPr>
      </xdr:nvPicPr>
      <xdr:blipFill>
        <a:blip xmlns:r="http://schemas.openxmlformats.org/officeDocument/2006/relationships" r:embed="rId17"/>
        <a:stretch>
          <a:fillRect/>
        </a:stretch>
      </xdr:blipFill>
      <xdr:spPr>
        <a:xfrm>
          <a:off x="12654941" y="26677970"/>
          <a:ext cx="11837410" cy="5062181"/>
        </a:xfrm>
        <a:prstGeom prst="rect">
          <a:avLst/>
        </a:prstGeom>
      </xdr:spPr>
    </xdr:pic>
    <xdr:clientData/>
  </xdr:twoCellAnchor>
  <xdr:twoCellAnchor>
    <xdr:from>
      <xdr:col>0</xdr:col>
      <xdr:colOff>304800</xdr:colOff>
      <xdr:row>226</xdr:row>
      <xdr:rowOff>95250</xdr:rowOff>
    </xdr:from>
    <xdr:to>
      <xdr:col>7</xdr:col>
      <xdr:colOff>381000</xdr:colOff>
      <xdr:row>267</xdr:row>
      <xdr:rowOff>142875</xdr:rowOff>
    </xdr:to>
    <xdr:grpSp>
      <xdr:nvGrpSpPr>
        <xdr:cNvPr id="28" name="Group 27"/>
        <xdr:cNvGrpSpPr/>
      </xdr:nvGrpSpPr>
      <xdr:grpSpPr>
        <a:xfrm>
          <a:off x="304800" y="31623000"/>
          <a:ext cx="5657850" cy="8248650"/>
          <a:chOff x="483864" y="589624"/>
          <a:chExt cx="5374853" cy="8040026"/>
        </a:xfrm>
      </xdr:grpSpPr>
      <xdr:pic>
        <xdr:nvPicPr>
          <xdr:cNvPr id="29" name="Picture 28" descr="https://vsjcllp.vsjadon.com/upload/insp-246036-1525.jpg"/>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869948" y="6975000"/>
            <a:ext cx="1239695" cy="16546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0" name="Picture 29" descr="https://vsjcllp.vsjadon.com/upload/insp-246036-843.jpg"/>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362135" y="4719750"/>
            <a:ext cx="1618313" cy="2160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1" name="Picture 30" descr="https://vsjcllp.vsjadon.com/upload/insp-246036-849.jpg"/>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059998" y="4719750"/>
            <a:ext cx="1618313" cy="2160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2" name="Picture 31" descr="https://vsjcllp.vsjadon.com/upload/insp-246036-861.jpg"/>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227336" y="6975000"/>
            <a:ext cx="1239695" cy="16546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3" name="Picture 32" descr="https://vsjcllp.vsjadon.com/upload/insp-246036-862.jpg"/>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631830" y="4719750"/>
            <a:ext cx="1618313" cy="2160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4" name="Picture 33" descr="https://vsjcllp.vsjadon.com/upload/insp-246036-925.jpg"/>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551444" y="6975000"/>
            <a:ext cx="1239695" cy="16546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5" name="Picture 34" descr="https://vsjcllp.vsjadon.com/upload/insp-246036-871.jpg"/>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483864" y="589624"/>
            <a:ext cx="5374853" cy="4034876"/>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11</xdr:col>
      <xdr:colOff>689140</xdr:colOff>
      <xdr:row>139</xdr:row>
      <xdr:rowOff>36215</xdr:rowOff>
    </xdr:from>
    <xdr:to>
      <xdr:col>26</xdr:col>
      <xdr:colOff>472356</xdr:colOff>
      <xdr:row>167</xdr:row>
      <xdr:rowOff>61936</xdr:rowOff>
    </xdr:to>
    <xdr:pic>
      <xdr:nvPicPr>
        <xdr:cNvPr id="36" name="Picture 35"/>
        <xdr:cNvPicPr>
          <a:picLocks noChangeAspect="1"/>
        </xdr:cNvPicPr>
      </xdr:nvPicPr>
      <xdr:blipFill>
        <a:blip xmlns:r="http://schemas.openxmlformats.org/officeDocument/2006/relationships" r:embed="rId25"/>
        <a:stretch>
          <a:fillRect/>
        </a:stretch>
      </xdr:blipFill>
      <xdr:spPr>
        <a:xfrm>
          <a:off x="9680740" y="20353040"/>
          <a:ext cx="10241666" cy="4226246"/>
        </a:xfrm>
        <a:prstGeom prst="rect">
          <a:avLst/>
        </a:prstGeom>
      </xdr:spPr>
    </xdr:pic>
    <xdr:clientData/>
  </xdr:twoCellAnchor>
  <xdr:twoCellAnchor editAs="oneCell">
    <xdr:from>
      <xdr:col>15</xdr:col>
      <xdr:colOff>232401</xdr:colOff>
      <xdr:row>48</xdr:row>
      <xdr:rowOff>89851</xdr:rowOff>
    </xdr:from>
    <xdr:to>
      <xdr:col>25</xdr:col>
      <xdr:colOff>481406</xdr:colOff>
      <xdr:row>173</xdr:row>
      <xdr:rowOff>171838</xdr:rowOff>
    </xdr:to>
    <xdr:pic>
      <xdr:nvPicPr>
        <xdr:cNvPr id="37" name="Picture 36"/>
        <xdr:cNvPicPr>
          <a:picLocks noChangeAspect="1"/>
        </xdr:cNvPicPr>
      </xdr:nvPicPr>
      <xdr:blipFill>
        <a:blip xmlns:r="http://schemas.openxmlformats.org/officeDocument/2006/relationships" r:embed="rId26"/>
        <a:stretch>
          <a:fillRect/>
        </a:stretch>
      </xdr:blipFill>
      <xdr:spPr>
        <a:xfrm>
          <a:off x="12562946" y="11260078"/>
          <a:ext cx="6708687" cy="15564441"/>
        </a:xfrm>
        <a:prstGeom prst="rect">
          <a:avLst/>
        </a:prstGeom>
      </xdr:spPr>
    </xdr:pic>
    <xdr:clientData/>
  </xdr:twoCellAnchor>
  <xdr:twoCellAnchor editAs="oneCell">
    <xdr:from>
      <xdr:col>24</xdr:col>
      <xdr:colOff>0</xdr:colOff>
      <xdr:row>216</xdr:row>
      <xdr:rowOff>0</xdr:rowOff>
    </xdr:from>
    <xdr:to>
      <xdr:col>24</xdr:col>
      <xdr:colOff>304800</xdr:colOff>
      <xdr:row>217</xdr:row>
      <xdr:rowOff>104776</xdr:rowOff>
    </xdr:to>
    <xdr:sp macro="" textlink="">
      <xdr:nvSpPr>
        <xdr:cNvPr id="1052" name="AutoShape 28" descr="blob:https://web.whatsapp.com/1002dcaa-3513-4445-8508-9685e2884226"/>
        <xdr:cNvSpPr>
          <a:spLocks noChangeAspect="1" noChangeArrowheads="1"/>
        </xdr:cNvSpPr>
      </xdr:nvSpPr>
      <xdr:spPr bwMode="auto">
        <a:xfrm>
          <a:off x="18230850" y="2932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359352</xdr:colOff>
      <xdr:row>49</xdr:row>
      <xdr:rowOff>67108</xdr:rowOff>
    </xdr:from>
    <xdr:to>
      <xdr:col>37</xdr:col>
      <xdr:colOff>406977</xdr:colOff>
      <xdr:row>205</xdr:row>
      <xdr:rowOff>179677</xdr:rowOff>
    </xdr:to>
    <xdr:pic>
      <xdr:nvPicPr>
        <xdr:cNvPr id="39" name="Picture 38"/>
        <xdr:cNvPicPr>
          <a:picLocks noChangeAspect="1"/>
        </xdr:cNvPicPr>
      </xdr:nvPicPr>
      <xdr:blipFill>
        <a:blip xmlns:r="http://schemas.openxmlformats.org/officeDocument/2006/relationships" r:embed="rId27"/>
        <a:stretch>
          <a:fillRect/>
        </a:stretch>
      </xdr:blipFill>
      <xdr:spPr>
        <a:xfrm>
          <a:off x="19909415" y="11092296"/>
          <a:ext cx="6858000" cy="15257318"/>
        </a:xfrm>
        <a:prstGeom prst="rect">
          <a:avLst/>
        </a:prstGeom>
      </xdr:spPr>
    </xdr:pic>
    <xdr:clientData/>
  </xdr:twoCellAnchor>
  <xdr:twoCellAnchor editAs="oneCell">
    <xdr:from>
      <xdr:col>10</xdr:col>
      <xdr:colOff>613266</xdr:colOff>
      <xdr:row>200</xdr:row>
      <xdr:rowOff>41768</xdr:rowOff>
    </xdr:from>
    <xdr:to>
      <xdr:col>14</xdr:col>
      <xdr:colOff>727483</xdr:colOff>
      <xdr:row>214</xdr:row>
      <xdr:rowOff>66601</xdr:rowOff>
    </xdr:to>
    <xdr:pic>
      <xdr:nvPicPr>
        <xdr:cNvPr id="38" name="Picture 37"/>
        <xdr:cNvPicPr>
          <a:picLocks noChangeAspect="1"/>
        </xdr:cNvPicPr>
      </xdr:nvPicPr>
      <xdr:blipFill>
        <a:blip xmlns:r="http://schemas.openxmlformats.org/officeDocument/2006/relationships" r:embed="rId28"/>
        <a:stretch>
          <a:fillRect/>
        </a:stretch>
      </xdr:blipFill>
      <xdr:spPr>
        <a:xfrm>
          <a:off x="8839402" y="27110086"/>
          <a:ext cx="3404672" cy="3149636"/>
        </a:xfrm>
        <a:prstGeom prst="rect">
          <a:avLst/>
        </a:prstGeom>
      </xdr:spPr>
    </xdr:pic>
    <xdr:clientData/>
  </xdr:twoCellAnchor>
  <xdr:twoCellAnchor editAs="oneCell">
    <xdr:from>
      <xdr:col>15</xdr:col>
      <xdr:colOff>63814</xdr:colOff>
      <xdr:row>166</xdr:row>
      <xdr:rowOff>165615</xdr:rowOff>
    </xdr:from>
    <xdr:to>
      <xdr:col>25</xdr:col>
      <xdr:colOff>424323</xdr:colOff>
      <xdr:row>204</xdr:row>
      <xdr:rowOff>126725</xdr:rowOff>
    </xdr:to>
    <xdr:pic>
      <xdr:nvPicPr>
        <xdr:cNvPr id="40" name="Picture 39"/>
        <xdr:cNvPicPr>
          <a:picLocks noChangeAspect="1"/>
        </xdr:cNvPicPr>
      </xdr:nvPicPr>
      <xdr:blipFill>
        <a:blip xmlns:r="http://schemas.openxmlformats.org/officeDocument/2006/relationships" r:embed="rId29"/>
        <a:stretch>
          <a:fillRect/>
        </a:stretch>
      </xdr:blipFill>
      <xdr:spPr>
        <a:xfrm>
          <a:off x="12394359" y="25363570"/>
          <a:ext cx="6820191" cy="2454929"/>
        </a:xfrm>
        <a:prstGeom prst="rect">
          <a:avLst/>
        </a:prstGeom>
      </xdr:spPr>
    </xdr:pic>
    <xdr:clientData/>
  </xdr:twoCellAnchor>
  <xdr:twoCellAnchor editAs="oneCell">
    <xdr:from>
      <xdr:col>11</xdr:col>
      <xdr:colOff>545523</xdr:colOff>
      <xdr:row>167</xdr:row>
      <xdr:rowOff>95250</xdr:rowOff>
    </xdr:from>
    <xdr:to>
      <xdr:col>21</xdr:col>
      <xdr:colOff>225637</xdr:colOff>
      <xdr:row>204</xdr:row>
      <xdr:rowOff>184023</xdr:rowOff>
    </xdr:to>
    <xdr:pic>
      <xdr:nvPicPr>
        <xdr:cNvPr id="41" name="Picture 40"/>
        <xdr:cNvPicPr>
          <a:picLocks noChangeAspect="1"/>
        </xdr:cNvPicPr>
      </xdr:nvPicPr>
      <xdr:blipFill>
        <a:blip xmlns:r="http://schemas.openxmlformats.org/officeDocument/2006/relationships" r:embed="rId30"/>
        <a:stretch>
          <a:fillRect/>
        </a:stretch>
      </xdr:blipFill>
      <xdr:spPr>
        <a:xfrm>
          <a:off x="9526237" y="25159607"/>
          <a:ext cx="7109614" cy="2333952"/>
        </a:xfrm>
        <a:prstGeom prst="rect">
          <a:avLst/>
        </a:prstGeom>
      </xdr:spPr>
    </xdr:pic>
    <xdr:clientData/>
  </xdr:twoCellAnchor>
  <xdr:twoCellAnchor editAs="oneCell">
    <xdr:from>
      <xdr:col>10</xdr:col>
      <xdr:colOff>422060</xdr:colOff>
      <xdr:row>89</xdr:row>
      <xdr:rowOff>80763</xdr:rowOff>
    </xdr:from>
    <xdr:to>
      <xdr:col>13</xdr:col>
      <xdr:colOff>489089</xdr:colOff>
      <xdr:row>143</xdr:row>
      <xdr:rowOff>90598</xdr:rowOff>
    </xdr:to>
    <xdr:pic>
      <xdr:nvPicPr>
        <xdr:cNvPr id="42" name="Picture 41"/>
        <xdr:cNvPicPr>
          <a:picLocks noChangeAspect="1"/>
        </xdr:cNvPicPr>
      </xdr:nvPicPr>
      <xdr:blipFill>
        <a:blip xmlns:r="http://schemas.openxmlformats.org/officeDocument/2006/relationships" r:embed="rId31"/>
        <a:stretch>
          <a:fillRect/>
        </a:stretch>
      </xdr:blipFill>
      <xdr:spPr>
        <a:xfrm>
          <a:off x="8661185" y="18787863"/>
          <a:ext cx="2534004" cy="2219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omments" Target="../comments1.xml"/><Relationship Id="rId2" Type="http://schemas.openxmlformats.org/officeDocument/2006/relationships/hyperlink" Target="https://pearlconcept.in/upcoming-projects.html" TargetMode="External"/><Relationship Id="rId1" Type="http://schemas.openxmlformats.org/officeDocument/2006/relationships/hyperlink" Target="https://maps.app.goo.gl/pg2HNgpwSEcg4aD96"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Z314"/>
  <sheetViews>
    <sheetView tabSelected="1" view="pageBreakPreview" topLeftCell="A78" zoomScaleNormal="100" zoomScaleSheetLayoutView="100" zoomScalePageLayoutView="85" workbookViewId="0">
      <selection activeCell="I130" sqref="I130"/>
    </sheetView>
  </sheetViews>
  <sheetFormatPr defaultColWidth="9.140625" defaultRowHeight="15.75" x14ac:dyDescent="0.25"/>
  <cols>
    <col min="1" max="1" width="11.42578125" style="40" customWidth="1"/>
    <col min="2" max="2" width="12" style="40" customWidth="1"/>
    <col min="3" max="3" width="12.7109375" style="40" customWidth="1"/>
    <col min="4" max="4" width="13.7109375" style="40" customWidth="1"/>
    <col min="5" max="5" width="11.7109375" style="40" customWidth="1"/>
    <col min="6" max="6" width="11.140625" style="40" customWidth="1"/>
    <col min="7" max="8" width="11" style="40" customWidth="1"/>
    <col min="9" max="9" width="17.42578125" style="21" customWidth="1"/>
    <col min="10" max="10" width="11.42578125" style="21" customWidth="1"/>
    <col min="11" max="11" width="11.28515625" style="21" bestFit="1" customWidth="1"/>
    <col min="12" max="12" width="13.85546875" style="21" bestFit="1" customWidth="1"/>
    <col min="13" max="13" width="11.85546875" style="21" customWidth="1"/>
    <col min="14" max="14" width="12.5703125" style="21" customWidth="1"/>
    <col min="15" max="15" width="12.140625" style="21" customWidth="1"/>
    <col min="16" max="16" width="11.7109375" style="21" customWidth="1"/>
    <col min="17" max="18" width="9.140625" style="21"/>
    <col min="19" max="19" width="10.85546875" style="21" bestFit="1" customWidth="1"/>
    <col min="20" max="20" width="10.7109375" style="21" customWidth="1"/>
    <col min="21" max="247" width="9.140625" style="21"/>
    <col min="248" max="248" width="8.7109375" style="21" customWidth="1"/>
    <col min="249" max="249" width="9.85546875" style="21" customWidth="1"/>
    <col min="250" max="250" width="14.42578125" style="21" customWidth="1"/>
    <col min="251" max="251" width="7.28515625" style="21" customWidth="1"/>
    <col min="252" max="252" width="5.5703125" style="21" customWidth="1"/>
    <col min="253" max="253" width="9" style="21" customWidth="1"/>
    <col min="254" max="255" width="9.85546875" style="21" customWidth="1"/>
    <col min="256" max="256" width="11.140625" style="21" customWidth="1"/>
    <col min="257" max="257" width="2.85546875" style="21" customWidth="1"/>
    <col min="258" max="258" width="3.5703125" style="21" customWidth="1"/>
    <col min="259" max="503" width="9.140625" style="21"/>
    <col min="504" max="504" width="8.7109375" style="21" customWidth="1"/>
    <col min="505" max="505" width="9.85546875" style="21" customWidth="1"/>
    <col min="506" max="506" width="14.42578125" style="21" customWidth="1"/>
    <col min="507" max="507" width="7.28515625" style="21" customWidth="1"/>
    <col min="508" max="508" width="5.5703125" style="21" customWidth="1"/>
    <col min="509" max="509" width="9" style="21" customWidth="1"/>
    <col min="510" max="511" width="9.85546875" style="21" customWidth="1"/>
    <col min="512" max="512" width="11.140625" style="21" customWidth="1"/>
    <col min="513" max="513" width="2.85546875" style="21" customWidth="1"/>
    <col min="514" max="514" width="3.5703125" style="21" customWidth="1"/>
    <col min="515" max="759" width="9.140625" style="21"/>
    <col min="760" max="760" width="8.7109375" style="21" customWidth="1"/>
    <col min="761" max="761" width="9.85546875" style="21" customWidth="1"/>
    <col min="762" max="762" width="14.42578125" style="21" customWidth="1"/>
    <col min="763" max="763" width="7.28515625" style="21" customWidth="1"/>
    <col min="764" max="764" width="5.5703125" style="21" customWidth="1"/>
    <col min="765" max="765" width="9" style="21" customWidth="1"/>
    <col min="766" max="767" width="9.85546875" style="21" customWidth="1"/>
    <col min="768" max="768" width="11.140625" style="21" customWidth="1"/>
    <col min="769" max="769" width="2.85546875" style="21" customWidth="1"/>
    <col min="770" max="770" width="3.5703125" style="21" customWidth="1"/>
    <col min="771" max="1015" width="9.140625" style="21"/>
    <col min="1016" max="1016" width="8.7109375" style="21" customWidth="1"/>
    <col min="1017" max="1017" width="9.85546875" style="21" customWidth="1"/>
    <col min="1018" max="1018" width="14.42578125" style="21" customWidth="1"/>
    <col min="1019" max="1019" width="7.28515625" style="21" customWidth="1"/>
    <col min="1020" max="1020" width="5.5703125" style="21" customWidth="1"/>
    <col min="1021" max="1021" width="9" style="21" customWidth="1"/>
    <col min="1022" max="1023" width="9.85546875" style="21" customWidth="1"/>
    <col min="1024" max="1024" width="11.140625" style="21" customWidth="1"/>
    <col min="1025" max="1025" width="2.85546875" style="21" customWidth="1"/>
    <col min="1026" max="1026" width="3.5703125" style="21" customWidth="1"/>
    <col min="1027" max="1271" width="9.140625" style="21"/>
    <col min="1272" max="1272" width="8.7109375" style="21" customWidth="1"/>
    <col min="1273" max="1273" width="9.85546875" style="21" customWidth="1"/>
    <col min="1274" max="1274" width="14.42578125" style="21" customWidth="1"/>
    <col min="1275" max="1275" width="7.28515625" style="21" customWidth="1"/>
    <col min="1276" max="1276" width="5.5703125" style="21" customWidth="1"/>
    <col min="1277" max="1277" width="9" style="21" customWidth="1"/>
    <col min="1278" max="1279" width="9.85546875" style="21" customWidth="1"/>
    <col min="1280" max="1280" width="11.140625" style="21" customWidth="1"/>
    <col min="1281" max="1281" width="2.85546875" style="21" customWidth="1"/>
    <col min="1282" max="1282" width="3.5703125" style="21" customWidth="1"/>
    <col min="1283" max="1527" width="9.140625" style="21"/>
    <col min="1528" max="1528" width="8.7109375" style="21" customWidth="1"/>
    <col min="1529" max="1529" width="9.85546875" style="21" customWidth="1"/>
    <col min="1530" max="1530" width="14.42578125" style="21" customWidth="1"/>
    <col min="1531" max="1531" width="7.28515625" style="21" customWidth="1"/>
    <col min="1532" max="1532" width="5.5703125" style="21" customWidth="1"/>
    <col min="1533" max="1533" width="9" style="21" customWidth="1"/>
    <col min="1534" max="1535" width="9.85546875" style="21" customWidth="1"/>
    <col min="1536" max="1536" width="11.140625" style="21" customWidth="1"/>
    <col min="1537" max="1537" width="2.85546875" style="21" customWidth="1"/>
    <col min="1538" max="1538" width="3.5703125" style="21" customWidth="1"/>
    <col min="1539" max="1783" width="9.140625" style="21"/>
    <col min="1784" max="1784" width="8.7109375" style="21" customWidth="1"/>
    <col min="1785" max="1785" width="9.85546875" style="21" customWidth="1"/>
    <col min="1786" max="1786" width="14.42578125" style="21" customWidth="1"/>
    <col min="1787" max="1787" width="7.28515625" style="21" customWidth="1"/>
    <col min="1788" max="1788" width="5.5703125" style="21" customWidth="1"/>
    <col min="1789" max="1789" width="9" style="21" customWidth="1"/>
    <col min="1790" max="1791" width="9.85546875" style="21" customWidth="1"/>
    <col min="1792" max="1792" width="11.140625" style="21" customWidth="1"/>
    <col min="1793" max="1793" width="2.85546875" style="21" customWidth="1"/>
    <col min="1794" max="1794" width="3.5703125" style="21" customWidth="1"/>
    <col min="1795" max="2039" width="9.140625" style="21"/>
    <col min="2040" max="2040" width="8.7109375" style="21" customWidth="1"/>
    <col min="2041" max="2041" width="9.85546875" style="21" customWidth="1"/>
    <col min="2042" max="2042" width="14.42578125" style="21" customWidth="1"/>
    <col min="2043" max="2043" width="7.28515625" style="21" customWidth="1"/>
    <col min="2044" max="2044" width="5.5703125" style="21" customWidth="1"/>
    <col min="2045" max="2045" width="9" style="21" customWidth="1"/>
    <col min="2046" max="2047" width="9.85546875" style="21" customWidth="1"/>
    <col min="2048" max="2048" width="11.140625" style="21" customWidth="1"/>
    <col min="2049" max="2049" width="2.85546875" style="21" customWidth="1"/>
    <col min="2050" max="2050" width="3.5703125" style="21" customWidth="1"/>
    <col min="2051" max="2295" width="9.140625" style="21"/>
    <col min="2296" max="2296" width="8.7109375" style="21" customWidth="1"/>
    <col min="2297" max="2297" width="9.85546875" style="21" customWidth="1"/>
    <col min="2298" max="2298" width="14.42578125" style="21" customWidth="1"/>
    <col min="2299" max="2299" width="7.28515625" style="21" customWidth="1"/>
    <col min="2300" max="2300" width="5.5703125" style="21" customWidth="1"/>
    <col min="2301" max="2301" width="9" style="21" customWidth="1"/>
    <col min="2302" max="2303" width="9.85546875" style="21" customWidth="1"/>
    <col min="2304" max="2304" width="11.140625" style="21" customWidth="1"/>
    <col min="2305" max="2305" width="2.85546875" style="21" customWidth="1"/>
    <col min="2306" max="2306" width="3.5703125" style="21" customWidth="1"/>
    <col min="2307" max="2551" width="9.140625" style="21"/>
    <col min="2552" max="2552" width="8.7109375" style="21" customWidth="1"/>
    <col min="2553" max="2553" width="9.85546875" style="21" customWidth="1"/>
    <col min="2554" max="2554" width="14.42578125" style="21" customWidth="1"/>
    <col min="2555" max="2555" width="7.28515625" style="21" customWidth="1"/>
    <col min="2556" max="2556" width="5.5703125" style="21" customWidth="1"/>
    <col min="2557" max="2557" width="9" style="21" customWidth="1"/>
    <col min="2558" max="2559" width="9.85546875" style="21" customWidth="1"/>
    <col min="2560" max="2560" width="11.140625" style="21" customWidth="1"/>
    <col min="2561" max="2561" width="2.85546875" style="21" customWidth="1"/>
    <col min="2562" max="2562" width="3.5703125" style="21" customWidth="1"/>
    <col min="2563" max="2807" width="9.140625" style="21"/>
    <col min="2808" max="2808" width="8.7109375" style="21" customWidth="1"/>
    <col min="2809" max="2809" width="9.85546875" style="21" customWidth="1"/>
    <col min="2810" max="2810" width="14.42578125" style="21" customWidth="1"/>
    <col min="2811" max="2811" width="7.28515625" style="21" customWidth="1"/>
    <col min="2812" max="2812" width="5.5703125" style="21" customWidth="1"/>
    <col min="2813" max="2813" width="9" style="21" customWidth="1"/>
    <col min="2814" max="2815" width="9.85546875" style="21" customWidth="1"/>
    <col min="2816" max="2816" width="11.140625" style="21" customWidth="1"/>
    <col min="2817" max="2817" width="2.85546875" style="21" customWidth="1"/>
    <col min="2818" max="2818" width="3.5703125" style="21" customWidth="1"/>
    <col min="2819" max="3063" width="9.140625" style="21"/>
    <col min="3064" max="3064" width="8.7109375" style="21" customWidth="1"/>
    <col min="3065" max="3065" width="9.85546875" style="21" customWidth="1"/>
    <col min="3066" max="3066" width="14.42578125" style="21" customWidth="1"/>
    <col min="3067" max="3067" width="7.28515625" style="21" customWidth="1"/>
    <col min="3068" max="3068" width="5.5703125" style="21" customWidth="1"/>
    <col min="3069" max="3069" width="9" style="21" customWidth="1"/>
    <col min="3070" max="3071" width="9.85546875" style="21" customWidth="1"/>
    <col min="3072" max="3072" width="11.140625" style="21" customWidth="1"/>
    <col min="3073" max="3073" width="2.85546875" style="21" customWidth="1"/>
    <col min="3074" max="3074" width="3.5703125" style="21" customWidth="1"/>
    <col min="3075" max="3319" width="9.140625" style="21"/>
    <col min="3320" max="3320" width="8.7109375" style="21" customWidth="1"/>
    <col min="3321" max="3321" width="9.85546875" style="21" customWidth="1"/>
    <col min="3322" max="3322" width="14.42578125" style="21" customWidth="1"/>
    <col min="3323" max="3323" width="7.28515625" style="21" customWidth="1"/>
    <col min="3324" max="3324" width="5.5703125" style="21" customWidth="1"/>
    <col min="3325" max="3325" width="9" style="21" customWidth="1"/>
    <col min="3326" max="3327" width="9.85546875" style="21" customWidth="1"/>
    <col min="3328" max="3328" width="11.140625" style="21" customWidth="1"/>
    <col min="3329" max="3329" width="2.85546875" style="21" customWidth="1"/>
    <col min="3330" max="3330" width="3.5703125" style="21" customWidth="1"/>
    <col min="3331" max="3575" width="9.140625" style="21"/>
    <col min="3576" max="3576" width="8.7109375" style="21" customWidth="1"/>
    <col min="3577" max="3577" width="9.85546875" style="21" customWidth="1"/>
    <col min="3578" max="3578" width="14.42578125" style="21" customWidth="1"/>
    <col min="3579" max="3579" width="7.28515625" style="21" customWidth="1"/>
    <col min="3580" max="3580" width="5.5703125" style="21" customWidth="1"/>
    <col min="3581" max="3581" width="9" style="21" customWidth="1"/>
    <col min="3582" max="3583" width="9.85546875" style="21" customWidth="1"/>
    <col min="3584" max="3584" width="11.140625" style="21" customWidth="1"/>
    <col min="3585" max="3585" width="2.85546875" style="21" customWidth="1"/>
    <col min="3586" max="3586" width="3.5703125" style="21" customWidth="1"/>
    <col min="3587" max="3831" width="9.140625" style="21"/>
    <col min="3832" max="3832" width="8.7109375" style="21" customWidth="1"/>
    <col min="3833" max="3833" width="9.85546875" style="21" customWidth="1"/>
    <col min="3834" max="3834" width="14.42578125" style="21" customWidth="1"/>
    <col min="3835" max="3835" width="7.28515625" style="21" customWidth="1"/>
    <col min="3836" max="3836" width="5.5703125" style="21" customWidth="1"/>
    <col min="3837" max="3837" width="9" style="21" customWidth="1"/>
    <col min="3838" max="3839" width="9.85546875" style="21" customWidth="1"/>
    <col min="3840" max="3840" width="11.140625" style="21" customWidth="1"/>
    <col min="3841" max="3841" width="2.85546875" style="21" customWidth="1"/>
    <col min="3842" max="3842" width="3.5703125" style="21" customWidth="1"/>
    <col min="3843" max="4087" width="9.140625" style="21"/>
    <col min="4088" max="4088" width="8.7109375" style="21" customWidth="1"/>
    <col min="4089" max="4089" width="9.85546875" style="21" customWidth="1"/>
    <col min="4090" max="4090" width="14.42578125" style="21" customWidth="1"/>
    <col min="4091" max="4091" width="7.28515625" style="21" customWidth="1"/>
    <col min="4092" max="4092" width="5.5703125" style="21" customWidth="1"/>
    <col min="4093" max="4093" width="9" style="21" customWidth="1"/>
    <col min="4094" max="4095" width="9.85546875" style="21" customWidth="1"/>
    <col min="4096" max="4096" width="11.140625" style="21" customWidth="1"/>
    <col min="4097" max="4097" width="2.85546875" style="21" customWidth="1"/>
    <col min="4098" max="4098" width="3.5703125" style="21" customWidth="1"/>
    <col min="4099" max="4343" width="9.140625" style="21"/>
    <col min="4344" max="4344" width="8.7109375" style="21" customWidth="1"/>
    <col min="4345" max="4345" width="9.85546875" style="21" customWidth="1"/>
    <col min="4346" max="4346" width="14.42578125" style="21" customWidth="1"/>
    <col min="4347" max="4347" width="7.28515625" style="21" customWidth="1"/>
    <col min="4348" max="4348" width="5.5703125" style="21" customWidth="1"/>
    <col min="4349" max="4349" width="9" style="21" customWidth="1"/>
    <col min="4350" max="4351" width="9.85546875" style="21" customWidth="1"/>
    <col min="4352" max="4352" width="11.140625" style="21" customWidth="1"/>
    <col min="4353" max="4353" width="2.85546875" style="21" customWidth="1"/>
    <col min="4354" max="4354" width="3.5703125" style="21" customWidth="1"/>
    <col min="4355" max="4599" width="9.140625" style="21"/>
    <col min="4600" max="4600" width="8.7109375" style="21" customWidth="1"/>
    <col min="4601" max="4601" width="9.85546875" style="21" customWidth="1"/>
    <col min="4602" max="4602" width="14.42578125" style="21" customWidth="1"/>
    <col min="4603" max="4603" width="7.28515625" style="21" customWidth="1"/>
    <col min="4604" max="4604" width="5.5703125" style="21" customWidth="1"/>
    <col min="4605" max="4605" width="9" style="21" customWidth="1"/>
    <col min="4606" max="4607" width="9.85546875" style="21" customWidth="1"/>
    <col min="4608" max="4608" width="11.140625" style="21" customWidth="1"/>
    <col min="4609" max="4609" width="2.85546875" style="21" customWidth="1"/>
    <col min="4610" max="4610" width="3.5703125" style="21" customWidth="1"/>
    <col min="4611" max="4855" width="9.140625" style="21"/>
    <col min="4856" max="4856" width="8.7109375" style="21" customWidth="1"/>
    <col min="4857" max="4857" width="9.85546875" style="21" customWidth="1"/>
    <col min="4858" max="4858" width="14.42578125" style="21" customWidth="1"/>
    <col min="4859" max="4859" width="7.28515625" style="21" customWidth="1"/>
    <col min="4860" max="4860" width="5.5703125" style="21" customWidth="1"/>
    <col min="4861" max="4861" width="9" style="21" customWidth="1"/>
    <col min="4862" max="4863" width="9.85546875" style="21" customWidth="1"/>
    <col min="4864" max="4864" width="11.140625" style="21" customWidth="1"/>
    <col min="4865" max="4865" width="2.85546875" style="21" customWidth="1"/>
    <col min="4866" max="4866" width="3.5703125" style="21" customWidth="1"/>
    <col min="4867" max="5111" width="9.140625" style="21"/>
    <col min="5112" max="5112" width="8.7109375" style="21" customWidth="1"/>
    <col min="5113" max="5113" width="9.85546875" style="21" customWidth="1"/>
    <col min="5114" max="5114" width="14.42578125" style="21" customWidth="1"/>
    <col min="5115" max="5115" width="7.28515625" style="21" customWidth="1"/>
    <col min="5116" max="5116" width="5.5703125" style="21" customWidth="1"/>
    <col min="5117" max="5117" width="9" style="21" customWidth="1"/>
    <col min="5118" max="5119" width="9.85546875" style="21" customWidth="1"/>
    <col min="5120" max="5120" width="11.140625" style="21" customWidth="1"/>
    <col min="5121" max="5121" width="2.85546875" style="21" customWidth="1"/>
    <col min="5122" max="5122" width="3.5703125" style="21" customWidth="1"/>
    <col min="5123" max="5367" width="9.140625" style="21"/>
    <col min="5368" max="5368" width="8.7109375" style="21" customWidth="1"/>
    <col min="5369" max="5369" width="9.85546875" style="21" customWidth="1"/>
    <col min="5370" max="5370" width="14.42578125" style="21" customWidth="1"/>
    <col min="5371" max="5371" width="7.28515625" style="21" customWidth="1"/>
    <col min="5372" max="5372" width="5.5703125" style="21" customWidth="1"/>
    <col min="5373" max="5373" width="9" style="21" customWidth="1"/>
    <col min="5374" max="5375" width="9.85546875" style="21" customWidth="1"/>
    <col min="5376" max="5376" width="11.140625" style="21" customWidth="1"/>
    <col min="5377" max="5377" width="2.85546875" style="21" customWidth="1"/>
    <col min="5378" max="5378" width="3.5703125" style="21" customWidth="1"/>
    <col min="5379" max="5623" width="9.140625" style="21"/>
    <col min="5624" max="5624" width="8.7109375" style="21" customWidth="1"/>
    <col min="5625" max="5625" width="9.85546875" style="21" customWidth="1"/>
    <col min="5626" max="5626" width="14.42578125" style="21" customWidth="1"/>
    <col min="5627" max="5627" width="7.28515625" style="21" customWidth="1"/>
    <col min="5628" max="5628" width="5.5703125" style="21" customWidth="1"/>
    <col min="5629" max="5629" width="9" style="21" customWidth="1"/>
    <col min="5630" max="5631" width="9.85546875" style="21" customWidth="1"/>
    <col min="5632" max="5632" width="11.140625" style="21" customWidth="1"/>
    <col min="5633" max="5633" width="2.85546875" style="21" customWidth="1"/>
    <col min="5634" max="5634" width="3.5703125" style="21" customWidth="1"/>
    <col min="5635" max="5879" width="9.140625" style="21"/>
    <col min="5880" max="5880" width="8.7109375" style="21" customWidth="1"/>
    <col min="5881" max="5881" width="9.85546875" style="21" customWidth="1"/>
    <col min="5882" max="5882" width="14.42578125" style="21" customWidth="1"/>
    <col min="5883" max="5883" width="7.28515625" style="21" customWidth="1"/>
    <col min="5884" max="5884" width="5.5703125" style="21" customWidth="1"/>
    <col min="5885" max="5885" width="9" style="21" customWidth="1"/>
    <col min="5886" max="5887" width="9.85546875" style="21" customWidth="1"/>
    <col min="5888" max="5888" width="11.140625" style="21" customWidth="1"/>
    <col min="5889" max="5889" width="2.85546875" style="21" customWidth="1"/>
    <col min="5890" max="5890" width="3.5703125" style="21" customWidth="1"/>
    <col min="5891" max="6135" width="9.140625" style="21"/>
    <col min="6136" max="6136" width="8.7109375" style="21" customWidth="1"/>
    <col min="6137" max="6137" width="9.85546875" style="21" customWidth="1"/>
    <col min="6138" max="6138" width="14.42578125" style="21" customWidth="1"/>
    <col min="6139" max="6139" width="7.28515625" style="21" customWidth="1"/>
    <col min="6140" max="6140" width="5.5703125" style="21" customWidth="1"/>
    <col min="6141" max="6141" width="9" style="21" customWidth="1"/>
    <col min="6142" max="6143" width="9.85546875" style="21" customWidth="1"/>
    <col min="6144" max="6144" width="11.140625" style="21" customWidth="1"/>
    <col min="6145" max="6145" width="2.85546875" style="21" customWidth="1"/>
    <col min="6146" max="6146" width="3.5703125" style="21" customWidth="1"/>
    <col min="6147" max="6391" width="9.140625" style="21"/>
    <col min="6392" max="6392" width="8.7109375" style="21" customWidth="1"/>
    <col min="6393" max="6393" width="9.85546875" style="21" customWidth="1"/>
    <col min="6394" max="6394" width="14.42578125" style="21" customWidth="1"/>
    <col min="6395" max="6395" width="7.28515625" style="21" customWidth="1"/>
    <col min="6396" max="6396" width="5.5703125" style="21" customWidth="1"/>
    <col min="6397" max="6397" width="9" style="21" customWidth="1"/>
    <col min="6398" max="6399" width="9.85546875" style="21" customWidth="1"/>
    <col min="6400" max="6400" width="11.140625" style="21" customWidth="1"/>
    <col min="6401" max="6401" width="2.85546875" style="21" customWidth="1"/>
    <col min="6402" max="6402" width="3.5703125" style="21" customWidth="1"/>
    <col min="6403" max="6647" width="9.140625" style="21"/>
    <col min="6648" max="6648" width="8.7109375" style="21" customWidth="1"/>
    <col min="6649" max="6649" width="9.85546875" style="21" customWidth="1"/>
    <col min="6650" max="6650" width="14.42578125" style="21" customWidth="1"/>
    <col min="6651" max="6651" width="7.28515625" style="21" customWidth="1"/>
    <col min="6652" max="6652" width="5.5703125" style="21" customWidth="1"/>
    <col min="6653" max="6653" width="9" style="21" customWidth="1"/>
    <col min="6654" max="6655" width="9.85546875" style="21" customWidth="1"/>
    <col min="6656" max="6656" width="11.140625" style="21" customWidth="1"/>
    <col min="6657" max="6657" width="2.85546875" style="21" customWidth="1"/>
    <col min="6658" max="6658" width="3.5703125" style="21" customWidth="1"/>
    <col min="6659" max="6903" width="9.140625" style="21"/>
    <col min="6904" max="6904" width="8.7109375" style="21" customWidth="1"/>
    <col min="6905" max="6905" width="9.85546875" style="21" customWidth="1"/>
    <col min="6906" max="6906" width="14.42578125" style="21" customWidth="1"/>
    <col min="6907" max="6907" width="7.28515625" style="21" customWidth="1"/>
    <col min="6908" max="6908" width="5.5703125" style="21" customWidth="1"/>
    <col min="6909" max="6909" width="9" style="21" customWidth="1"/>
    <col min="6910" max="6911" width="9.85546875" style="21" customWidth="1"/>
    <col min="6912" max="6912" width="11.140625" style="21" customWidth="1"/>
    <col min="6913" max="6913" width="2.85546875" style="21" customWidth="1"/>
    <col min="6914" max="6914" width="3.5703125" style="21" customWidth="1"/>
    <col min="6915" max="7159" width="9.140625" style="21"/>
    <col min="7160" max="7160" width="8.7109375" style="21" customWidth="1"/>
    <col min="7161" max="7161" width="9.85546875" style="21" customWidth="1"/>
    <col min="7162" max="7162" width="14.42578125" style="21" customWidth="1"/>
    <col min="7163" max="7163" width="7.28515625" style="21" customWidth="1"/>
    <col min="7164" max="7164" width="5.5703125" style="21" customWidth="1"/>
    <col min="7165" max="7165" width="9" style="21" customWidth="1"/>
    <col min="7166" max="7167" width="9.85546875" style="21" customWidth="1"/>
    <col min="7168" max="7168" width="11.140625" style="21" customWidth="1"/>
    <col min="7169" max="7169" width="2.85546875" style="21" customWidth="1"/>
    <col min="7170" max="7170" width="3.5703125" style="21" customWidth="1"/>
    <col min="7171" max="7415" width="9.140625" style="21"/>
    <col min="7416" max="7416" width="8.7109375" style="21" customWidth="1"/>
    <col min="7417" max="7417" width="9.85546875" style="21" customWidth="1"/>
    <col min="7418" max="7418" width="14.42578125" style="21" customWidth="1"/>
    <col min="7419" max="7419" width="7.28515625" style="21" customWidth="1"/>
    <col min="7420" max="7420" width="5.5703125" style="21" customWidth="1"/>
    <col min="7421" max="7421" width="9" style="21" customWidth="1"/>
    <col min="7422" max="7423" width="9.85546875" style="21" customWidth="1"/>
    <col min="7424" max="7424" width="11.140625" style="21" customWidth="1"/>
    <col min="7425" max="7425" width="2.85546875" style="21" customWidth="1"/>
    <col min="7426" max="7426" width="3.5703125" style="21" customWidth="1"/>
    <col min="7427" max="7671" width="9.140625" style="21"/>
    <col min="7672" max="7672" width="8.7109375" style="21" customWidth="1"/>
    <col min="7673" max="7673" width="9.85546875" style="21" customWidth="1"/>
    <col min="7674" max="7674" width="14.42578125" style="21" customWidth="1"/>
    <col min="7675" max="7675" width="7.28515625" style="21" customWidth="1"/>
    <col min="7676" max="7676" width="5.5703125" style="21" customWidth="1"/>
    <col min="7677" max="7677" width="9" style="21" customWidth="1"/>
    <col min="7678" max="7679" width="9.85546875" style="21" customWidth="1"/>
    <col min="7680" max="7680" width="11.140625" style="21" customWidth="1"/>
    <col min="7681" max="7681" width="2.85546875" style="21" customWidth="1"/>
    <col min="7682" max="7682" width="3.5703125" style="21" customWidth="1"/>
    <col min="7683" max="7927" width="9.140625" style="21"/>
    <col min="7928" max="7928" width="8.7109375" style="21" customWidth="1"/>
    <col min="7929" max="7929" width="9.85546875" style="21" customWidth="1"/>
    <col min="7930" max="7930" width="14.42578125" style="21" customWidth="1"/>
    <col min="7931" max="7931" width="7.28515625" style="21" customWidth="1"/>
    <col min="7932" max="7932" width="5.5703125" style="21" customWidth="1"/>
    <col min="7933" max="7933" width="9" style="21" customWidth="1"/>
    <col min="7934" max="7935" width="9.85546875" style="21" customWidth="1"/>
    <col min="7936" max="7936" width="11.140625" style="21" customWidth="1"/>
    <col min="7937" max="7937" width="2.85546875" style="21" customWidth="1"/>
    <col min="7938" max="7938" width="3.5703125" style="21" customWidth="1"/>
    <col min="7939" max="8183" width="9.140625" style="21"/>
    <col min="8184" max="8184" width="8.7109375" style="21" customWidth="1"/>
    <col min="8185" max="8185" width="9.85546875" style="21" customWidth="1"/>
    <col min="8186" max="8186" width="14.42578125" style="21" customWidth="1"/>
    <col min="8187" max="8187" width="7.28515625" style="21" customWidth="1"/>
    <col min="8188" max="8188" width="5.5703125" style="21" customWidth="1"/>
    <col min="8189" max="8189" width="9" style="21" customWidth="1"/>
    <col min="8190" max="8191" width="9.85546875" style="21" customWidth="1"/>
    <col min="8192" max="8192" width="11.140625" style="21" customWidth="1"/>
    <col min="8193" max="8193" width="2.85546875" style="21" customWidth="1"/>
    <col min="8194" max="8194" width="3.5703125" style="21" customWidth="1"/>
    <col min="8195" max="8439" width="9.140625" style="21"/>
    <col min="8440" max="8440" width="8.7109375" style="21" customWidth="1"/>
    <col min="8441" max="8441" width="9.85546875" style="21" customWidth="1"/>
    <col min="8442" max="8442" width="14.42578125" style="21" customWidth="1"/>
    <col min="8443" max="8443" width="7.28515625" style="21" customWidth="1"/>
    <col min="8444" max="8444" width="5.5703125" style="21" customWidth="1"/>
    <col min="8445" max="8445" width="9" style="21" customWidth="1"/>
    <col min="8446" max="8447" width="9.85546875" style="21" customWidth="1"/>
    <col min="8448" max="8448" width="11.140625" style="21" customWidth="1"/>
    <col min="8449" max="8449" width="2.85546875" style="21" customWidth="1"/>
    <col min="8450" max="8450" width="3.5703125" style="21" customWidth="1"/>
    <col min="8451" max="8695" width="9.140625" style="21"/>
    <col min="8696" max="8696" width="8.7109375" style="21" customWidth="1"/>
    <col min="8697" max="8697" width="9.85546875" style="21" customWidth="1"/>
    <col min="8698" max="8698" width="14.42578125" style="21" customWidth="1"/>
    <col min="8699" max="8699" width="7.28515625" style="21" customWidth="1"/>
    <col min="8700" max="8700" width="5.5703125" style="21" customWidth="1"/>
    <col min="8701" max="8701" width="9" style="21" customWidth="1"/>
    <col min="8702" max="8703" width="9.85546875" style="21" customWidth="1"/>
    <col min="8704" max="8704" width="11.140625" style="21" customWidth="1"/>
    <col min="8705" max="8705" width="2.85546875" style="21" customWidth="1"/>
    <col min="8706" max="8706" width="3.5703125" style="21" customWidth="1"/>
    <col min="8707" max="8951" width="9.140625" style="21"/>
    <col min="8952" max="8952" width="8.7109375" style="21" customWidth="1"/>
    <col min="8953" max="8953" width="9.85546875" style="21" customWidth="1"/>
    <col min="8954" max="8954" width="14.42578125" style="21" customWidth="1"/>
    <col min="8955" max="8955" width="7.28515625" style="21" customWidth="1"/>
    <col min="8956" max="8956" width="5.5703125" style="21" customWidth="1"/>
    <col min="8957" max="8957" width="9" style="21" customWidth="1"/>
    <col min="8958" max="8959" width="9.85546875" style="21" customWidth="1"/>
    <col min="8960" max="8960" width="11.140625" style="21" customWidth="1"/>
    <col min="8961" max="8961" width="2.85546875" style="21" customWidth="1"/>
    <col min="8962" max="8962" width="3.5703125" style="21" customWidth="1"/>
    <col min="8963" max="9207" width="9.140625" style="21"/>
    <col min="9208" max="9208" width="8.7109375" style="21" customWidth="1"/>
    <col min="9209" max="9209" width="9.85546875" style="21" customWidth="1"/>
    <col min="9210" max="9210" width="14.42578125" style="21" customWidth="1"/>
    <col min="9211" max="9211" width="7.28515625" style="21" customWidth="1"/>
    <col min="9212" max="9212" width="5.5703125" style="21" customWidth="1"/>
    <col min="9213" max="9213" width="9" style="21" customWidth="1"/>
    <col min="9214" max="9215" width="9.85546875" style="21" customWidth="1"/>
    <col min="9216" max="9216" width="11.140625" style="21" customWidth="1"/>
    <col min="9217" max="9217" width="2.85546875" style="21" customWidth="1"/>
    <col min="9218" max="9218" width="3.5703125" style="21" customWidth="1"/>
    <col min="9219" max="9463" width="9.140625" style="21"/>
    <col min="9464" max="9464" width="8.7109375" style="21" customWidth="1"/>
    <col min="9465" max="9465" width="9.85546875" style="21" customWidth="1"/>
    <col min="9466" max="9466" width="14.42578125" style="21" customWidth="1"/>
    <col min="9467" max="9467" width="7.28515625" style="21" customWidth="1"/>
    <col min="9468" max="9468" width="5.5703125" style="21" customWidth="1"/>
    <col min="9469" max="9469" width="9" style="21" customWidth="1"/>
    <col min="9470" max="9471" width="9.85546875" style="21" customWidth="1"/>
    <col min="9472" max="9472" width="11.140625" style="21" customWidth="1"/>
    <col min="9473" max="9473" width="2.85546875" style="21" customWidth="1"/>
    <col min="9474" max="9474" width="3.5703125" style="21" customWidth="1"/>
    <col min="9475" max="9719" width="9.140625" style="21"/>
    <col min="9720" max="9720" width="8.7109375" style="21" customWidth="1"/>
    <col min="9721" max="9721" width="9.85546875" style="21" customWidth="1"/>
    <col min="9722" max="9722" width="14.42578125" style="21" customWidth="1"/>
    <col min="9723" max="9723" width="7.28515625" style="21" customWidth="1"/>
    <col min="9724" max="9724" width="5.5703125" style="21" customWidth="1"/>
    <col min="9725" max="9725" width="9" style="21" customWidth="1"/>
    <col min="9726" max="9727" width="9.85546875" style="21" customWidth="1"/>
    <col min="9728" max="9728" width="11.140625" style="21" customWidth="1"/>
    <col min="9729" max="9729" width="2.85546875" style="21" customWidth="1"/>
    <col min="9730" max="9730" width="3.5703125" style="21" customWidth="1"/>
    <col min="9731" max="9975" width="9.140625" style="21"/>
    <col min="9976" max="9976" width="8.7109375" style="21" customWidth="1"/>
    <col min="9977" max="9977" width="9.85546875" style="21" customWidth="1"/>
    <col min="9978" max="9978" width="14.42578125" style="21" customWidth="1"/>
    <col min="9979" max="9979" width="7.28515625" style="21" customWidth="1"/>
    <col min="9980" max="9980" width="5.5703125" style="21" customWidth="1"/>
    <col min="9981" max="9981" width="9" style="21" customWidth="1"/>
    <col min="9982" max="9983" width="9.85546875" style="21" customWidth="1"/>
    <col min="9984" max="9984" width="11.140625" style="21" customWidth="1"/>
    <col min="9985" max="9985" width="2.85546875" style="21" customWidth="1"/>
    <col min="9986" max="9986" width="3.5703125" style="21" customWidth="1"/>
    <col min="9987" max="10231" width="9.140625" style="21"/>
    <col min="10232" max="10232" width="8.7109375" style="21" customWidth="1"/>
    <col min="10233" max="10233" width="9.85546875" style="21" customWidth="1"/>
    <col min="10234" max="10234" width="14.42578125" style="21" customWidth="1"/>
    <col min="10235" max="10235" width="7.28515625" style="21" customWidth="1"/>
    <col min="10236" max="10236" width="5.5703125" style="21" customWidth="1"/>
    <col min="10237" max="10237" width="9" style="21" customWidth="1"/>
    <col min="10238" max="10239" width="9.85546875" style="21" customWidth="1"/>
    <col min="10240" max="10240" width="11.140625" style="21" customWidth="1"/>
    <col min="10241" max="10241" width="2.85546875" style="21" customWidth="1"/>
    <col min="10242" max="10242" width="3.5703125" style="21" customWidth="1"/>
    <col min="10243" max="10487" width="9.140625" style="21"/>
    <col min="10488" max="10488" width="8.7109375" style="21" customWidth="1"/>
    <col min="10489" max="10489" width="9.85546875" style="21" customWidth="1"/>
    <col min="10490" max="10490" width="14.42578125" style="21" customWidth="1"/>
    <col min="10491" max="10491" width="7.28515625" style="21" customWidth="1"/>
    <col min="10492" max="10492" width="5.5703125" style="21" customWidth="1"/>
    <col min="10493" max="10493" width="9" style="21" customWidth="1"/>
    <col min="10494" max="10495" width="9.85546875" style="21" customWidth="1"/>
    <col min="10496" max="10496" width="11.140625" style="21" customWidth="1"/>
    <col min="10497" max="10497" width="2.85546875" style="21" customWidth="1"/>
    <col min="10498" max="10498" width="3.5703125" style="21" customWidth="1"/>
    <col min="10499" max="10743" width="9.140625" style="21"/>
    <col min="10744" max="10744" width="8.7109375" style="21" customWidth="1"/>
    <col min="10745" max="10745" width="9.85546875" style="21" customWidth="1"/>
    <col min="10746" max="10746" width="14.42578125" style="21" customWidth="1"/>
    <col min="10747" max="10747" width="7.28515625" style="21" customWidth="1"/>
    <col min="10748" max="10748" width="5.5703125" style="21" customWidth="1"/>
    <col min="10749" max="10749" width="9" style="21" customWidth="1"/>
    <col min="10750" max="10751" width="9.85546875" style="21" customWidth="1"/>
    <col min="10752" max="10752" width="11.140625" style="21" customWidth="1"/>
    <col min="10753" max="10753" width="2.85546875" style="21" customWidth="1"/>
    <col min="10754" max="10754" width="3.5703125" style="21" customWidth="1"/>
    <col min="10755" max="10999" width="9.140625" style="21"/>
    <col min="11000" max="11000" width="8.7109375" style="21" customWidth="1"/>
    <col min="11001" max="11001" width="9.85546875" style="21" customWidth="1"/>
    <col min="11002" max="11002" width="14.42578125" style="21" customWidth="1"/>
    <col min="11003" max="11003" width="7.28515625" style="21" customWidth="1"/>
    <col min="11004" max="11004" width="5.5703125" style="21" customWidth="1"/>
    <col min="11005" max="11005" width="9" style="21" customWidth="1"/>
    <col min="11006" max="11007" width="9.85546875" style="21" customWidth="1"/>
    <col min="11008" max="11008" width="11.140625" style="21" customWidth="1"/>
    <col min="11009" max="11009" width="2.85546875" style="21" customWidth="1"/>
    <col min="11010" max="11010" width="3.5703125" style="21" customWidth="1"/>
    <col min="11011" max="11255" width="9.140625" style="21"/>
    <col min="11256" max="11256" width="8.7109375" style="21" customWidth="1"/>
    <col min="11257" max="11257" width="9.85546875" style="21" customWidth="1"/>
    <col min="11258" max="11258" width="14.42578125" style="21" customWidth="1"/>
    <col min="11259" max="11259" width="7.28515625" style="21" customWidth="1"/>
    <col min="11260" max="11260" width="5.5703125" style="21" customWidth="1"/>
    <col min="11261" max="11261" width="9" style="21" customWidth="1"/>
    <col min="11262" max="11263" width="9.85546875" style="21" customWidth="1"/>
    <col min="11264" max="11264" width="11.140625" style="21" customWidth="1"/>
    <col min="11265" max="11265" width="2.85546875" style="21" customWidth="1"/>
    <col min="11266" max="11266" width="3.5703125" style="21" customWidth="1"/>
    <col min="11267" max="11511" width="9.140625" style="21"/>
    <col min="11512" max="11512" width="8.7109375" style="21" customWidth="1"/>
    <col min="11513" max="11513" width="9.85546875" style="21" customWidth="1"/>
    <col min="11514" max="11514" width="14.42578125" style="21" customWidth="1"/>
    <col min="11515" max="11515" width="7.28515625" style="21" customWidth="1"/>
    <col min="11516" max="11516" width="5.5703125" style="21" customWidth="1"/>
    <col min="11517" max="11517" width="9" style="21" customWidth="1"/>
    <col min="11518" max="11519" width="9.85546875" style="21" customWidth="1"/>
    <col min="11520" max="11520" width="11.140625" style="21" customWidth="1"/>
    <col min="11521" max="11521" width="2.85546875" style="21" customWidth="1"/>
    <col min="11522" max="11522" width="3.5703125" style="21" customWidth="1"/>
    <col min="11523" max="11767" width="9.140625" style="21"/>
    <col min="11768" max="11768" width="8.7109375" style="21" customWidth="1"/>
    <col min="11769" max="11769" width="9.85546875" style="21" customWidth="1"/>
    <col min="11770" max="11770" width="14.42578125" style="21" customWidth="1"/>
    <col min="11771" max="11771" width="7.28515625" style="21" customWidth="1"/>
    <col min="11772" max="11772" width="5.5703125" style="21" customWidth="1"/>
    <col min="11773" max="11773" width="9" style="21" customWidth="1"/>
    <col min="11774" max="11775" width="9.85546875" style="21" customWidth="1"/>
    <col min="11776" max="11776" width="11.140625" style="21" customWidth="1"/>
    <col min="11777" max="11777" width="2.85546875" style="21" customWidth="1"/>
    <col min="11778" max="11778" width="3.5703125" style="21" customWidth="1"/>
    <col min="11779" max="12023" width="9.140625" style="21"/>
    <col min="12024" max="12024" width="8.7109375" style="21" customWidth="1"/>
    <col min="12025" max="12025" width="9.85546875" style="21" customWidth="1"/>
    <col min="12026" max="12026" width="14.42578125" style="21" customWidth="1"/>
    <col min="12027" max="12027" width="7.28515625" style="21" customWidth="1"/>
    <col min="12028" max="12028" width="5.5703125" style="21" customWidth="1"/>
    <col min="12029" max="12029" width="9" style="21" customWidth="1"/>
    <col min="12030" max="12031" width="9.85546875" style="21" customWidth="1"/>
    <col min="12032" max="12032" width="11.140625" style="21" customWidth="1"/>
    <col min="12033" max="12033" width="2.85546875" style="21" customWidth="1"/>
    <col min="12034" max="12034" width="3.5703125" style="21" customWidth="1"/>
    <col min="12035" max="12279" width="9.140625" style="21"/>
    <col min="12280" max="12280" width="8.7109375" style="21" customWidth="1"/>
    <col min="12281" max="12281" width="9.85546875" style="21" customWidth="1"/>
    <col min="12282" max="12282" width="14.42578125" style="21" customWidth="1"/>
    <col min="12283" max="12283" width="7.28515625" style="21" customWidth="1"/>
    <col min="12284" max="12284" width="5.5703125" style="21" customWidth="1"/>
    <col min="12285" max="12285" width="9" style="21" customWidth="1"/>
    <col min="12286" max="12287" width="9.85546875" style="21" customWidth="1"/>
    <col min="12288" max="12288" width="11.140625" style="21" customWidth="1"/>
    <col min="12289" max="12289" width="2.85546875" style="21" customWidth="1"/>
    <col min="12290" max="12290" width="3.5703125" style="21" customWidth="1"/>
    <col min="12291" max="12535" width="9.140625" style="21"/>
    <col min="12536" max="12536" width="8.7109375" style="21" customWidth="1"/>
    <col min="12537" max="12537" width="9.85546875" style="21" customWidth="1"/>
    <col min="12538" max="12538" width="14.42578125" style="21" customWidth="1"/>
    <col min="12539" max="12539" width="7.28515625" style="21" customWidth="1"/>
    <col min="12540" max="12540" width="5.5703125" style="21" customWidth="1"/>
    <col min="12541" max="12541" width="9" style="21" customWidth="1"/>
    <col min="12542" max="12543" width="9.85546875" style="21" customWidth="1"/>
    <col min="12544" max="12544" width="11.140625" style="21" customWidth="1"/>
    <col min="12545" max="12545" width="2.85546875" style="21" customWidth="1"/>
    <col min="12546" max="12546" width="3.5703125" style="21" customWidth="1"/>
    <col min="12547" max="12791" width="9.140625" style="21"/>
    <col min="12792" max="12792" width="8.7109375" style="21" customWidth="1"/>
    <col min="12793" max="12793" width="9.85546875" style="21" customWidth="1"/>
    <col min="12794" max="12794" width="14.42578125" style="21" customWidth="1"/>
    <col min="12795" max="12795" width="7.28515625" style="21" customWidth="1"/>
    <col min="12796" max="12796" width="5.5703125" style="21" customWidth="1"/>
    <col min="12797" max="12797" width="9" style="21" customWidth="1"/>
    <col min="12798" max="12799" width="9.85546875" style="21" customWidth="1"/>
    <col min="12800" max="12800" width="11.140625" style="21" customWidth="1"/>
    <col min="12801" max="12801" width="2.85546875" style="21" customWidth="1"/>
    <col min="12802" max="12802" width="3.5703125" style="21" customWidth="1"/>
    <col min="12803" max="13047" width="9.140625" style="21"/>
    <col min="13048" max="13048" width="8.7109375" style="21" customWidth="1"/>
    <col min="13049" max="13049" width="9.85546875" style="21" customWidth="1"/>
    <col min="13050" max="13050" width="14.42578125" style="21" customWidth="1"/>
    <col min="13051" max="13051" width="7.28515625" style="21" customWidth="1"/>
    <col min="13052" max="13052" width="5.5703125" style="21" customWidth="1"/>
    <col min="13053" max="13053" width="9" style="21" customWidth="1"/>
    <col min="13054" max="13055" width="9.85546875" style="21" customWidth="1"/>
    <col min="13056" max="13056" width="11.140625" style="21" customWidth="1"/>
    <col min="13057" max="13057" width="2.85546875" style="21" customWidth="1"/>
    <col min="13058" max="13058" width="3.5703125" style="21" customWidth="1"/>
    <col min="13059" max="13303" width="9.140625" style="21"/>
    <col min="13304" max="13304" width="8.7109375" style="21" customWidth="1"/>
    <col min="13305" max="13305" width="9.85546875" style="21" customWidth="1"/>
    <col min="13306" max="13306" width="14.42578125" style="21" customWidth="1"/>
    <col min="13307" max="13307" width="7.28515625" style="21" customWidth="1"/>
    <col min="13308" max="13308" width="5.5703125" style="21" customWidth="1"/>
    <col min="13309" max="13309" width="9" style="21" customWidth="1"/>
    <col min="13310" max="13311" width="9.85546875" style="21" customWidth="1"/>
    <col min="13312" max="13312" width="11.140625" style="21" customWidth="1"/>
    <col min="13313" max="13313" width="2.85546875" style="21" customWidth="1"/>
    <col min="13314" max="13314" width="3.5703125" style="21" customWidth="1"/>
    <col min="13315" max="13559" width="9.140625" style="21"/>
    <col min="13560" max="13560" width="8.7109375" style="21" customWidth="1"/>
    <col min="13561" max="13561" width="9.85546875" style="21" customWidth="1"/>
    <col min="13562" max="13562" width="14.42578125" style="21" customWidth="1"/>
    <col min="13563" max="13563" width="7.28515625" style="21" customWidth="1"/>
    <col min="13564" max="13564" width="5.5703125" style="21" customWidth="1"/>
    <col min="13565" max="13565" width="9" style="21" customWidth="1"/>
    <col min="13566" max="13567" width="9.85546875" style="21" customWidth="1"/>
    <col min="13568" max="13568" width="11.140625" style="21" customWidth="1"/>
    <col min="13569" max="13569" width="2.85546875" style="21" customWidth="1"/>
    <col min="13570" max="13570" width="3.5703125" style="21" customWidth="1"/>
    <col min="13571" max="13815" width="9.140625" style="21"/>
    <col min="13816" max="13816" width="8.7109375" style="21" customWidth="1"/>
    <col min="13817" max="13817" width="9.85546875" style="21" customWidth="1"/>
    <col min="13818" max="13818" width="14.42578125" style="21" customWidth="1"/>
    <col min="13819" max="13819" width="7.28515625" style="21" customWidth="1"/>
    <col min="13820" max="13820" width="5.5703125" style="21" customWidth="1"/>
    <col min="13821" max="13821" width="9" style="21" customWidth="1"/>
    <col min="13822" max="13823" width="9.85546875" style="21" customWidth="1"/>
    <col min="13824" max="13824" width="11.140625" style="21" customWidth="1"/>
    <col min="13825" max="13825" width="2.85546875" style="21" customWidth="1"/>
    <col min="13826" max="13826" width="3.5703125" style="21" customWidth="1"/>
    <col min="13827" max="14071" width="9.140625" style="21"/>
    <col min="14072" max="14072" width="8.7109375" style="21" customWidth="1"/>
    <col min="14073" max="14073" width="9.85546875" style="21" customWidth="1"/>
    <col min="14074" max="14074" width="14.42578125" style="21" customWidth="1"/>
    <col min="14075" max="14075" width="7.28515625" style="21" customWidth="1"/>
    <col min="14076" max="14076" width="5.5703125" style="21" customWidth="1"/>
    <col min="14077" max="14077" width="9" style="21" customWidth="1"/>
    <col min="14078" max="14079" width="9.85546875" style="21" customWidth="1"/>
    <col min="14080" max="14080" width="11.140625" style="21" customWidth="1"/>
    <col min="14081" max="14081" width="2.85546875" style="21" customWidth="1"/>
    <col min="14082" max="14082" width="3.5703125" style="21" customWidth="1"/>
    <col min="14083" max="14327" width="9.140625" style="21"/>
    <col min="14328" max="14328" width="8.7109375" style="21" customWidth="1"/>
    <col min="14329" max="14329" width="9.85546875" style="21" customWidth="1"/>
    <col min="14330" max="14330" width="14.42578125" style="21" customWidth="1"/>
    <col min="14331" max="14331" width="7.28515625" style="21" customWidth="1"/>
    <col min="14332" max="14332" width="5.5703125" style="21" customWidth="1"/>
    <col min="14333" max="14333" width="9" style="21" customWidth="1"/>
    <col min="14334" max="14335" width="9.85546875" style="21" customWidth="1"/>
    <col min="14336" max="14336" width="11.140625" style="21" customWidth="1"/>
    <col min="14337" max="14337" width="2.85546875" style="21" customWidth="1"/>
    <col min="14338" max="14338" width="3.5703125" style="21" customWidth="1"/>
    <col min="14339" max="14583" width="9.140625" style="21"/>
    <col min="14584" max="14584" width="8.7109375" style="21" customWidth="1"/>
    <col min="14585" max="14585" width="9.85546875" style="21" customWidth="1"/>
    <col min="14586" max="14586" width="14.42578125" style="21" customWidth="1"/>
    <col min="14587" max="14587" width="7.28515625" style="21" customWidth="1"/>
    <col min="14588" max="14588" width="5.5703125" style="21" customWidth="1"/>
    <col min="14589" max="14589" width="9" style="21" customWidth="1"/>
    <col min="14590" max="14591" width="9.85546875" style="21" customWidth="1"/>
    <col min="14592" max="14592" width="11.140625" style="21" customWidth="1"/>
    <col min="14593" max="14593" width="2.85546875" style="21" customWidth="1"/>
    <col min="14594" max="14594" width="3.5703125" style="21" customWidth="1"/>
    <col min="14595" max="14839" width="9.140625" style="21"/>
    <col min="14840" max="14840" width="8.7109375" style="21" customWidth="1"/>
    <col min="14841" max="14841" width="9.85546875" style="21" customWidth="1"/>
    <col min="14842" max="14842" width="14.42578125" style="21" customWidth="1"/>
    <col min="14843" max="14843" width="7.28515625" style="21" customWidth="1"/>
    <col min="14844" max="14844" width="5.5703125" style="21" customWidth="1"/>
    <col min="14845" max="14845" width="9" style="21" customWidth="1"/>
    <col min="14846" max="14847" width="9.85546875" style="21" customWidth="1"/>
    <col min="14848" max="14848" width="11.140625" style="21" customWidth="1"/>
    <col min="14849" max="14849" width="2.85546875" style="21" customWidth="1"/>
    <col min="14850" max="14850" width="3.5703125" style="21" customWidth="1"/>
    <col min="14851" max="15095" width="9.140625" style="21"/>
    <col min="15096" max="15096" width="8.7109375" style="21" customWidth="1"/>
    <col min="15097" max="15097" width="9.85546875" style="21" customWidth="1"/>
    <col min="15098" max="15098" width="14.42578125" style="21" customWidth="1"/>
    <col min="15099" max="15099" width="7.28515625" style="21" customWidth="1"/>
    <col min="15100" max="15100" width="5.5703125" style="21" customWidth="1"/>
    <col min="15101" max="15101" width="9" style="21" customWidth="1"/>
    <col min="15102" max="15103" width="9.85546875" style="21" customWidth="1"/>
    <col min="15104" max="15104" width="11.140625" style="21" customWidth="1"/>
    <col min="15105" max="15105" width="2.85546875" style="21" customWidth="1"/>
    <col min="15106" max="15106" width="3.5703125" style="21" customWidth="1"/>
    <col min="15107" max="15351" width="9.140625" style="21"/>
    <col min="15352" max="15352" width="8.7109375" style="21" customWidth="1"/>
    <col min="15353" max="15353" width="9.85546875" style="21" customWidth="1"/>
    <col min="15354" max="15354" width="14.42578125" style="21" customWidth="1"/>
    <col min="15355" max="15355" width="7.28515625" style="21" customWidth="1"/>
    <col min="15356" max="15356" width="5.5703125" style="21" customWidth="1"/>
    <col min="15357" max="15357" width="9" style="21" customWidth="1"/>
    <col min="15358" max="15359" width="9.85546875" style="21" customWidth="1"/>
    <col min="15360" max="15360" width="11.140625" style="21" customWidth="1"/>
    <col min="15361" max="15361" width="2.85546875" style="21" customWidth="1"/>
    <col min="15362" max="15362" width="3.5703125" style="21" customWidth="1"/>
    <col min="15363" max="15607" width="9.140625" style="21"/>
    <col min="15608" max="15608" width="8.7109375" style="21" customWidth="1"/>
    <col min="15609" max="15609" width="9.85546875" style="21" customWidth="1"/>
    <col min="15610" max="15610" width="14.42578125" style="21" customWidth="1"/>
    <col min="15611" max="15611" width="7.28515625" style="21" customWidth="1"/>
    <col min="15612" max="15612" width="5.5703125" style="21" customWidth="1"/>
    <col min="15613" max="15613" width="9" style="21" customWidth="1"/>
    <col min="15614" max="15615" width="9.85546875" style="21" customWidth="1"/>
    <col min="15616" max="15616" width="11.140625" style="21" customWidth="1"/>
    <col min="15617" max="15617" width="2.85546875" style="21" customWidth="1"/>
    <col min="15618" max="15618" width="3.5703125" style="21" customWidth="1"/>
    <col min="15619" max="15863" width="9.140625" style="21"/>
    <col min="15864" max="15864" width="8.7109375" style="21" customWidth="1"/>
    <col min="15865" max="15865" width="9.85546875" style="21" customWidth="1"/>
    <col min="15866" max="15866" width="14.42578125" style="21" customWidth="1"/>
    <col min="15867" max="15867" width="7.28515625" style="21" customWidth="1"/>
    <col min="15868" max="15868" width="5.5703125" style="21" customWidth="1"/>
    <col min="15869" max="15869" width="9" style="21" customWidth="1"/>
    <col min="15870" max="15871" width="9.85546875" style="21" customWidth="1"/>
    <col min="15872" max="15872" width="11.140625" style="21" customWidth="1"/>
    <col min="15873" max="15873" width="2.85546875" style="21" customWidth="1"/>
    <col min="15874" max="15874" width="3.5703125" style="21" customWidth="1"/>
    <col min="15875" max="16119" width="9.140625" style="21"/>
    <col min="16120" max="16120" width="8.7109375" style="21" customWidth="1"/>
    <col min="16121" max="16121" width="9.85546875" style="21" customWidth="1"/>
    <col min="16122" max="16122" width="14.42578125" style="21" customWidth="1"/>
    <col min="16123" max="16123" width="7.28515625" style="21" customWidth="1"/>
    <col min="16124" max="16124" width="5.5703125" style="21" customWidth="1"/>
    <col min="16125" max="16125" width="9" style="21" customWidth="1"/>
    <col min="16126" max="16127" width="9.85546875" style="21" customWidth="1"/>
    <col min="16128" max="16128" width="11.140625" style="21" customWidth="1"/>
    <col min="16129" max="16129" width="2.85546875" style="21" customWidth="1"/>
    <col min="16130" max="16130" width="3.5703125" style="21" customWidth="1"/>
    <col min="16131" max="16384" width="9.140625" style="21"/>
  </cols>
  <sheetData>
    <row r="1" spans="1:26" ht="46.5" customHeight="1" x14ac:dyDescent="0.25">
      <c r="A1" s="226" t="s">
        <v>377</v>
      </c>
      <c r="B1" s="226"/>
      <c r="C1" s="226"/>
      <c r="D1" s="226"/>
      <c r="E1" s="226"/>
      <c r="F1" s="226"/>
      <c r="G1" s="226"/>
      <c r="H1" s="226"/>
      <c r="I1" s="22" t="s">
        <v>415</v>
      </c>
    </row>
    <row r="2" spans="1:26" ht="16.5" customHeight="1" x14ac:dyDescent="0.25">
      <c r="A2" s="158" t="s">
        <v>0</v>
      </c>
      <c r="B2" s="158"/>
      <c r="C2" s="158"/>
      <c r="D2" s="158"/>
      <c r="E2" s="158"/>
      <c r="F2" s="158"/>
      <c r="G2" s="158"/>
      <c r="H2" s="158"/>
    </row>
    <row r="3" spans="1:26" x14ac:dyDescent="0.25">
      <c r="A3" s="165" t="s">
        <v>1</v>
      </c>
      <c r="B3" s="165"/>
      <c r="C3" s="165"/>
      <c r="D3" s="165"/>
      <c r="E3" s="165" t="str">
        <f ca="1">TEXT(TODAY(),"DD/MM/YYYY")</f>
        <v>06/09/2025</v>
      </c>
      <c r="F3" s="165"/>
      <c r="G3" s="165"/>
      <c r="H3" s="165"/>
      <c r="K3" s="54" t="s">
        <v>234</v>
      </c>
      <c r="L3" s="52" t="s">
        <v>232</v>
      </c>
      <c r="M3" s="52" t="s">
        <v>237</v>
      </c>
      <c r="N3" s="52" t="s">
        <v>235</v>
      </c>
      <c r="O3" s="52" t="s">
        <v>354</v>
      </c>
      <c r="P3" s="52" t="s">
        <v>380</v>
      </c>
    </row>
    <row r="4" spans="1:26" ht="15" customHeight="1" x14ac:dyDescent="0.25">
      <c r="A4" s="165" t="s">
        <v>231</v>
      </c>
      <c r="B4" s="165"/>
      <c r="C4" s="165"/>
      <c r="D4" s="165"/>
      <c r="E4" s="227" t="s">
        <v>232</v>
      </c>
      <c r="F4" s="227"/>
      <c r="G4" s="227"/>
      <c r="H4" s="227"/>
      <c r="K4" s="51" t="s">
        <v>233</v>
      </c>
      <c r="L4" s="52" t="s">
        <v>170</v>
      </c>
      <c r="M4" s="52" t="s">
        <v>242</v>
      </c>
      <c r="N4" s="52" t="s">
        <v>244</v>
      </c>
      <c r="O4" s="52" t="s">
        <v>340</v>
      </c>
      <c r="P4" s="52" t="s">
        <v>381</v>
      </c>
    </row>
    <row r="5" spans="1:26" ht="15" customHeight="1" x14ac:dyDescent="0.25">
      <c r="A5" s="165" t="s">
        <v>2</v>
      </c>
      <c r="B5" s="165"/>
      <c r="C5" s="165"/>
      <c r="D5" s="165"/>
      <c r="E5" s="227" t="s">
        <v>239</v>
      </c>
      <c r="F5" s="227"/>
      <c r="G5" s="227"/>
      <c r="H5" s="227"/>
      <c r="K5" s="51"/>
      <c r="L5" s="52" t="s">
        <v>239</v>
      </c>
      <c r="M5" s="52" t="s">
        <v>243</v>
      </c>
      <c r="N5" s="52" t="s">
        <v>245</v>
      </c>
      <c r="O5" s="52" t="s">
        <v>341</v>
      </c>
      <c r="P5" s="52"/>
    </row>
    <row r="6" spans="1:26" x14ac:dyDescent="0.25">
      <c r="A6" s="165" t="s">
        <v>3</v>
      </c>
      <c r="B6" s="165"/>
      <c r="C6" s="165"/>
      <c r="D6" s="165"/>
      <c r="E6" s="228">
        <v>45904</v>
      </c>
      <c r="F6" s="229"/>
      <c r="G6" s="229"/>
      <c r="H6" s="229"/>
      <c r="K6" s="51"/>
      <c r="L6" s="52" t="s">
        <v>240</v>
      </c>
      <c r="M6" s="52" t="s">
        <v>352</v>
      </c>
      <c r="N6" s="52"/>
      <c r="O6" s="52" t="s">
        <v>342</v>
      </c>
      <c r="P6" s="52"/>
    </row>
    <row r="7" spans="1:26" ht="16.5" customHeight="1" x14ac:dyDescent="0.25">
      <c r="A7" s="165" t="s">
        <v>4</v>
      </c>
      <c r="B7" s="165"/>
      <c r="C7" s="165"/>
      <c r="D7" s="165"/>
      <c r="E7" s="165" t="s">
        <v>416</v>
      </c>
      <c r="F7" s="165"/>
      <c r="G7" s="165"/>
      <c r="H7" s="165"/>
      <c r="K7" s="51"/>
      <c r="L7" s="52" t="s">
        <v>241</v>
      </c>
      <c r="M7" s="52"/>
      <c r="N7" s="52"/>
      <c r="O7" s="52" t="s">
        <v>342</v>
      </c>
      <c r="P7" s="52"/>
    </row>
    <row r="8" spans="1:26" ht="15" customHeight="1" x14ac:dyDescent="0.25">
      <c r="A8" s="165" t="s">
        <v>5</v>
      </c>
      <c r="B8" s="165"/>
      <c r="C8" s="165"/>
      <c r="D8" s="165"/>
      <c r="E8" s="165" t="str">
        <f>E7</f>
        <v>M/s. Pearl Concept Realty LLP</v>
      </c>
      <c r="F8" s="165"/>
      <c r="G8" s="165"/>
      <c r="H8" s="165"/>
      <c r="K8" s="51"/>
      <c r="L8" s="52"/>
      <c r="M8" s="52"/>
      <c r="N8" s="52"/>
      <c r="O8" s="52" t="s">
        <v>343</v>
      </c>
      <c r="P8" s="52"/>
    </row>
    <row r="9" spans="1:26" x14ac:dyDescent="0.25">
      <c r="A9" s="165" t="s">
        <v>6</v>
      </c>
      <c r="B9" s="165"/>
      <c r="C9" s="165"/>
      <c r="D9" s="165"/>
      <c r="E9" s="221" t="s">
        <v>387</v>
      </c>
      <c r="F9" s="221"/>
      <c r="G9" s="221"/>
      <c r="H9" s="221"/>
      <c r="K9" s="51"/>
      <c r="L9" s="52"/>
      <c r="M9" s="52"/>
      <c r="N9" s="52"/>
      <c r="O9" s="52" t="s">
        <v>344</v>
      </c>
      <c r="P9" s="52"/>
    </row>
    <row r="10" spans="1:26" x14ac:dyDescent="0.25">
      <c r="A10" s="165" t="s">
        <v>166</v>
      </c>
      <c r="B10" s="165"/>
      <c r="C10" s="165"/>
      <c r="D10" s="165"/>
      <c r="E10" s="165" t="s">
        <v>388</v>
      </c>
      <c r="F10" s="165"/>
      <c r="G10" s="165"/>
      <c r="H10" s="165"/>
      <c r="K10" s="51"/>
      <c r="L10" s="52"/>
      <c r="M10" s="52"/>
      <c r="N10" s="52"/>
      <c r="O10" s="52" t="s">
        <v>345</v>
      </c>
      <c r="P10" s="52"/>
    </row>
    <row r="11" spans="1:26" x14ac:dyDescent="0.25">
      <c r="A11" s="165" t="s">
        <v>167</v>
      </c>
      <c r="B11" s="165"/>
      <c r="C11" s="165"/>
      <c r="D11" s="165"/>
      <c r="E11" s="165" t="s">
        <v>443</v>
      </c>
      <c r="F11" s="165"/>
      <c r="G11" s="165"/>
      <c r="H11" s="165"/>
      <c r="O11" s="52" t="s">
        <v>346</v>
      </c>
    </row>
    <row r="12" spans="1:26" x14ac:dyDescent="0.25">
      <c r="A12" s="165" t="s">
        <v>7</v>
      </c>
      <c r="B12" s="165"/>
      <c r="C12" s="165"/>
      <c r="D12" s="165"/>
      <c r="E12" s="165" t="s">
        <v>119</v>
      </c>
      <c r="F12" s="165"/>
      <c r="G12" s="165"/>
      <c r="H12" s="165"/>
    </row>
    <row r="13" spans="1:26" x14ac:dyDescent="0.25">
      <c r="A13" s="227" t="s">
        <v>171</v>
      </c>
      <c r="B13" s="227"/>
      <c r="C13" s="227"/>
      <c r="D13" s="227"/>
      <c r="E13" s="165" t="s">
        <v>438</v>
      </c>
      <c r="F13" s="165"/>
      <c r="G13" s="165"/>
      <c r="H13" s="165"/>
      <c r="S13" s="52" t="s">
        <v>177</v>
      </c>
      <c r="T13" s="52" t="s">
        <v>186</v>
      </c>
      <c r="U13" s="52" t="s">
        <v>172</v>
      </c>
      <c r="V13" s="52" t="s">
        <v>191</v>
      </c>
      <c r="W13" s="52" t="s">
        <v>209</v>
      </c>
      <c r="X13"/>
      <c r="Y13" t="s">
        <v>191</v>
      </c>
      <c r="Z13" t="e">
        <f ca="1">OFFSET($S$13,1,MATCH($G20,$S$13:$W$13,0)-1,15,1)</f>
        <v>#VALUE!</v>
      </c>
    </row>
    <row r="14" spans="1:26" x14ac:dyDescent="0.25">
      <c r="A14" s="231" t="s">
        <v>277</v>
      </c>
      <c r="B14" s="231"/>
      <c r="C14" s="231"/>
      <c r="D14" s="231"/>
      <c r="E14" s="230" t="s">
        <v>417</v>
      </c>
      <c r="F14" s="230"/>
      <c r="G14" s="230"/>
      <c r="H14" s="230"/>
      <c r="S14" s="52" t="s">
        <v>177</v>
      </c>
      <c r="T14" s="52" t="s">
        <v>184</v>
      </c>
      <c r="U14" s="52" t="s">
        <v>206</v>
      </c>
      <c r="V14" s="52" t="s">
        <v>192</v>
      </c>
      <c r="W14" s="52" t="s">
        <v>210</v>
      </c>
      <c r="X14"/>
      <c r="Y14"/>
      <c r="Z14"/>
    </row>
    <row r="15" spans="1:26" x14ac:dyDescent="0.25">
      <c r="A15" s="231" t="s">
        <v>8</v>
      </c>
      <c r="B15" s="231"/>
      <c r="C15" s="231"/>
      <c r="D15" s="231"/>
      <c r="E15" s="230" t="s">
        <v>386</v>
      </c>
      <c r="F15" s="227"/>
      <c r="G15" s="227"/>
      <c r="H15" s="227"/>
      <c r="I15" s="169" t="e">
        <f ca="1">OFFSET($D$5,1,MATCH($J13,$D$5:$H$5,0)-1,15,1)</f>
        <v>#N/A</v>
      </c>
      <c r="J15" s="170"/>
      <c r="K15" s="170"/>
      <c r="L15" s="170"/>
      <c r="M15" s="170"/>
      <c r="N15" s="170"/>
      <c r="O15" s="170"/>
      <c r="P15" s="170"/>
      <c r="S15" s="52" t="s">
        <v>178</v>
      </c>
      <c r="T15" s="52" t="s">
        <v>185</v>
      </c>
      <c r="U15" s="52" t="s">
        <v>207</v>
      </c>
      <c r="V15" s="52" t="s">
        <v>193</v>
      </c>
      <c r="W15" s="52" t="s">
        <v>223</v>
      </c>
      <c r="X15"/>
      <c r="Y15"/>
      <c r="Z15"/>
    </row>
    <row r="16" spans="1:26" ht="54" customHeight="1" x14ac:dyDescent="0.25">
      <c r="A16" s="150" t="s">
        <v>9</v>
      </c>
      <c r="B16" s="150"/>
      <c r="C16" s="150" t="str">
        <f>CONCATENATE((IF(OR(E9="",E9="NA"),"",E9)),", ",(IF(OR(A17="",A17="NA"),"",A17)),".",(IF(OR(C17="",C17="NA"),"",C17)),", near ",(IF(OR(C22="",C22="NA"),"",C22)),", ",(IF(OR(C19="",C19="NA"),"",C19)),", ",(IF(OR(C18="",C18="NA"),"",C18)),", ",(IF(OR(G19="",G19="NA"),"",G19)),", ",(IF(OR(C20="",C20="NA"),"",C20)),", ",(IF(OR(C21="",C21="NA"),"",C21)),", ",(IF(OR(G20="",G20="NA"),"",G20))," - ",(IF(OR(G21="",G21="NA"),"",G21)),".")</f>
        <v>Pearl Elegance, FP No.464, TPS III &amp; Redevelopment of " Blue Sapphire Co-Operative Housing Society", near Shri Yamai Krupa Tower, Pitamber Lane, Mahim, Mahim, Mahim West, Mumbai, Mumbai - 400016.</v>
      </c>
      <c r="D16" s="150"/>
      <c r="E16" s="150"/>
      <c r="F16" s="150"/>
      <c r="G16" s="150"/>
      <c r="H16" s="150"/>
      <c r="S16" s="52" t="s">
        <v>179</v>
      </c>
      <c r="T16" s="52" t="s">
        <v>187</v>
      </c>
      <c r="U16" s="52" t="s">
        <v>208</v>
      </c>
      <c r="V16" s="52" t="s">
        <v>194</v>
      </c>
      <c r="W16" s="52" t="s">
        <v>211</v>
      </c>
      <c r="X16"/>
      <c r="Y16"/>
      <c r="Z16"/>
    </row>
    <row r="17" spans="1:26" x14ac:dyDescent="0.25">
      <c r="A17" s="230" t="s">
        <v>389</v>
      </c>
      <c r="B17" s="230"/>
      <c r="C17" s="230" t="s">
        <v>447</v>
      </c>
      <c r="D17" s="230"/>
      <c r="E17" s="230"/>
      <c r="F17" s="230"/>
      <c r="G17" s="230"/>
      <c r="H17" s="230"/>
      <c r="S17" s="52" t="s">
        <v>180</v>
      </c>
      <c r="T17" s="52" t="s">
        <v>188</v>
      </c>
      <c r="U17" s="52" t="s">
        <v>172</v>
      </c>
      <c r="V17" s="52" t="s">
        <v>195</v>
      </c>
      <c r="W17" s="52" t="s">
        <v>212</v>
      </c>
      <c r="X17"/>
      <c r="Y17"/>
      <c r="Z17"/>
    </row>
    <row r="18" spans="1:26" ht="15.75" customHeight="1" x14ac:dyDescent="0.25">
      <c r="A18" s="232" t="s">
        <v>162</v>
      </c>
      <c r="B18" s="232"/>
      <c r="C18" s="232" t="s">
        <v>391</v>
      </c>
      <c r="D18" s="232"/>
      <c r="E18" s="232"/>
      <c r="F18" s="232"/>
      <c r="G18" s="232"/>
      <c r="H18" s="232"/>
      <c r="S18" s="52" t="s">
        <v>181</v>
      </c>
      <c r="T18" s="52" t="s">
        <v>186</v>
      </c>
      <c r="U18" s="52"/>
      <c r="V18" s="52" t="s">
        <v>196</v>
      </c>
      <c r="W18" s="52" t="s">
        <v>213</v>
      </c>
      <c r="X18"/>
      <c r="Y18"/>
      <c r="Z18"/>
    </row>
    <row r="19" spans="1:26" ht="15.75" customHeight="1" x14ac:dyDescent="0.25">
      <c r="A19" s="150" t="s">
        <v>10</v>
      </c>
      <c r="B19" s="150"/>
      <c r="C19" s="165" t="s">
        <v>392</v>
      </c>
      <c r="D19" s="165"/>
      <c r="E19" s="150" t="s">
        <v>69</v>
      </c>
      <c r="F19" s="150"/>
      <c r="G19" s="232" t="s">
        <v>391</v>
      </c>
      <c r="H19" s="232"/>
      <c r="S19" s="52" t="s">
        <v>182</v>
      </c>
      <c r="T19" s="52" t="s">
        <v>189</v>
      </c>
      <c r="U19" s="52"/>
      <c r="V19" s="52" t="s">
        <v>197</v>
      </c>
      <c r="W19" s="52" t="s">
        <v>214</v>
      </c>
      <c r="X19"/>
      <c r="Y19"/>
      <c r="Z19"/>
    </row>
    <row r="20" spans="1:26" x14ac:dyDescent="0.25">
      <c r="A20" s="231" t="s">
        <v>12</v>
      </c>
      <c r="B20" s="231"/>
      <c r="C20" s="232" t="s">
        <v>419</v>
      </c>
      <c r="D20" s="232"/>
      <c r="E20" s="232" t="s">
        <v>11</v>
      </c>
      <c r="F20" s="232"/>
      <c r="G20" s="233" t="s">
        <v>172</v>
      </c>
      <c r="H20" s="233"/>
      <c r="S20" s="52" t="s">
        <v>183</v>
      </c>
      <c r="T20" s="52" t="s">
        <v>190</v>
      </c>
      <c r="U20" s="52"/>
      <c r="V20" s="52" t="s">
        <v>198</v>
      </c>
      <c r="W20" s="52" t="s">
        <v>215</v>
      </c>
      <c r="X20"/>
      <c r="Y20"/>
      <c r="Z20"/>
    </row>
    <row r="21" spans="1:26" x14ac:dyDescent="0.25">
      <c r="A21" s="231" t="s">
        <v>70</v>
      </c>
      <c r="B21" s="231"/>
      <c r="C21" s="232" t="s">
        <v>172</v>
      </c>
      <c r="D21" s="232"/>
      <c r="E21" s="232" t="s">
        <v>13</v>
      </c>
      <c r="F21" s="232"/>
      <c r="G21" s="232">
        <v>400016</v>
      </c>
      <c r="H21" s="232"/>
      <c r="S21" s="52"/>
      <c r="T21" s="52"/>
      <c r="U21" s="52"/>
      <c r="V21" s="52" t="s">
        <v>199</v>
      </c>
      <c r="W21" s="52" t="s">
        <v>216</v>
      </c>
      <c r="X21"/>
      <c r="Y21"/>
      <c r="Z21"/>
    </row>
    <row r="22" spans="1:26" ht="35.25" customHeight="1" x14ac:dyDescent="0.25">
      <c r="A22" s="231" t="s">
        <v>121</v>
      </c>
      <c r="B22" s="231"/>
      <c r="C22" s="232" t="s">
        <v>446</v>
      </c>
      <c r="D22" s="232"/>
      <c r="E22" s="232" t="s">
        <v>14</v>
      </c>
      <c r="F22" s="232"/>
      <c r="G22" s="230" t="s">
        <v>448</v>
      </c>
      <c r="H22" s="230"/>
      <c r="S22" s="52"/>
      <c r="T22" s="52"/>
      <c r="U22" s="52"/>
      <c r="V22" s="52" t="s">
        <v>200</v>
      </c>
      <c r="W22" s="52" t="s">
        <v>217</v>
      </c>
      <c r="X22"/>
      <c r="Y22"/>
      <c r="Z22"/>
    </row>
    <row r="23" spans="1:26" ht="15" customHeight="1" x14ac:dyDescent="0.25">
      <c r="A23" s="150" t="s">
        <v>72</v>
      </c>
      <c r="B23" s="150"/>
      <c r="C23" s="150"/>
      <c r="D23" s="150"/>
      <c r="E23" s="165" t="s">
        <v>15</v>
      </c>
      <c r="F23" s="165"/>
      <c r="G23" s="165"/>
      <c r="H23" s="165"/>
      <c r="S23" s="52"/>
      <c r="T23" s="52"/>
      <c r="U23" s="52"/>
      <c r="V23" s="52" t="s">
        <v>201</v>
      </c>
      <c r="W23" s="52" t="s">
        <v>218</v>
      </c>
      <c r="X23"/>
      <c r="Y23"/>
      <c r="Z23"/>
    </row>
    <row r="24" spans="1:26" ht="18.75" customHeight="1" x14ac:dyDescent="0.25">
      <c r="A24" s="150"/>
      <c r="B24" s="150"/>
      <c r="C24" s="150"/>
      <c r="D24" s="150"/>
      <c r="E24" s="165"/>
      <c r="F24" s="165"/>
      <c r="G24" s="165"/>
      <c r="H24" s="165"/>
      <c r="S24" s="52"/>
      <c r="T24" s="52"/>
      <c r="U24" s="52"/>
      <c r="V24" s="52" t="s">
        <v>202</v>
      </c>
      <c r="W24" s="52" t="s">
        <v>219</v>
      </c>
      <c r="X24"/>
      <c r="Y24"/>
      <c r="Z24"/>
    </row>
    <row r="25" spans="1:26" ht="15" customHeight="1" x14ac:dyDescent="0.25">
      <c r="A25" s="150" t="s">
        <v>16</v>
      </c>
      <c r="B25" s="150"/>
      <c r="C25" s="150"/>
      <c r="D25" s="150"/>
      <c r="E25" s="232" t="s">
        <v>17</v>
      </c>
      <c r="F25" s="232"/>
      <c r="G25" s="232"/>
      <c r="H25" s="232"/>
      <c r="S25" s="52"/>
      <c r="T25" s="52"/>
      <c r="U25" s="52"/>
      <c r="V25" s="52" t="s">
        <v>203</v>
      </c>
      <c r="W25" s="52" t="s">
        <v>220</v>
      </c>
      <c r="X25"/>
      <c r="Y25"/>
      <c r="Z25"/>
    </row>
    <row r="26" spans="1:26" ht="15" customHeight="1" x14ac:dyDescent="0.25">
      <c r="A26" s="231" t="s">
        <v>18</v>
      </c>
      <c r="B26" s="231"/>
      <c r="C26" s="231"/>
      <c r="D26" s="231"/>
      <c r="E26" s="232" t="str">
        <f>IF(AND(G20="Mumbai"),"Upper Class","Middle Class")</f>
        <v>Upper Class</v>
      </c>
      <c r="F26" s="232"/>
      <c r="G26" s="232"/>
      <c r="H26" s="232"/>
      <c r="S26" s="52"/>
      <c r="T26" s="52"/>
      <c r="U26" s="52"/>
      <c r="V26" s="52" t="s">
        <v>204</v>
      </c>
      <c r="W26" s="52" t="s">
        <v>221</v>
      </c>
      <c r="X26"/>
      <c r="Y26"/>
      <c r="Z26"/>
    </row>
    <row r="27" spans="1:26" x14ac:dyDescent="0.25">
      <c r="A27" s="231" t="s">
        <v>19</v>
      </c>
      <c r="B27" s="231"/>
      <c r="C27" s="231"/>
      <c r="D27" s="231"/>
      <c r="E27" s="232" t="s">
        <v>20</v>
      </c>
      <c r="F27" s="232"/>
      <c r="G27" s="232"/>
      <c r="H27" s="232"/>
      <c r="S27" s="52"/>
      <c r="T27" s="52"/>
      <c r="U27" s="52"/>
      <c r="V27" s="52" t="s">
        <v>205</v>
      </c>
      <c r="W27" s="52" t="s">
        <v>222</v>
      </c>
      <c r="X27"/>
      <c r="Y27"/>
      <c r="Z27"/>
    </row>
    <row r="28" spans="1:26" ht="15.75" customHeight="1" x14ac:dyDescent="0.25">
      <c r="A28" s="231" t="s">
        <v>21</v>
      </c>
      <c r="B28" s="231"/>
      <c r="C28" s="231"/>
      <c r="D28" s="231"/>
      <c r="E28" s="232" t="str">
        <f>IF(AND(G20="Mumbai"),"Developed","Developing")</f>
        <v>Developed</v>
      </c>
      <c r="F28" s="232"/>
      <c r="G28" s="232"/>
      <c r="H28" s="232"/>
    </row>
    <row r="29" spans="1:26" x14ac:dyDescent="0.25">
      <c r="A29" s="231" t="s">
        <v>22</v>
      </c>
      <c r="B29" s="231"/>
      <c r="C29" s="231"/>
      <c r="D29" s="231"/>
      <c r="E29" s="232" t="s">
        <v>23</v>
      </c>
      <c r="F29" s="232"/>
      <c r="G29" s="232"/>
      <c r="H29" s="232"/>
    </row>
    <row r="30" spans="1:26" ht="15.75" customHeight="1" x14ac:dyDescent="0.25">
      <c r="A30" s="231" t="s">
        <v>77</v>
      </c>
      <c r="B30" s="231"/>
      <c r="C30" s="231"/>
      <c r="D30" s="231"/>
      <c r="E30" s="232" t="s">
        <v>78</v>
      </c>
      <c r="F30" s="232"/>
      <c r="G30" s="232"/>
      <c r="H30" s="232"/>
    </row>
    <row r="31" spans="1:26" ht="15" customHeight="1" x14ac:dyDescent="0.25">
      <c r="A31" s="231" t="s">
        <v>30</v>
      </c>
      <c r="B31" s="231"/>
      <c r="C31" s="231"/>
      <c r="D31" s="231"/>
      <c r="E31" s="232" t="str">
        <f>IF(AND(ISNUMBER(SEARCH("Flat",D65)),ISNUMBER(SEARCH("Shop",D65)),ISNUMBER(SEARCH("Office",D65))),"Residential + Commercial",IF(AND(ISNUMBER(SEARCH("Flat",D65)),ISNUMBER(SEARCH("Shop",D65))),"Residential + Commercial",IF(AND(ISNUMBER(SEARCH("Flat",D65)),ISNUMBER(SEARCH("Office",D65))),"Residential + Commercial",IF(AND(ISNUMBER(SEARCH("Shop",D65)),ISNUMBER(SEARCH("Office",D65))),"Commercial",IF(ISNUMBER(SEARCH("Shop",D65)),"Commercial",IF(ISNUMBER(SEARCH("Office",D65)),"Commercial",IF(ISNUMBER(SEARCH("Flat",D65)),"Residential")))))))</f>
        <v>Residential</v>
      </c>
      <c r="F31" s="232"/>
      <c r="G31" s="232"/>
      <c r="H31" s="232"/>
    </row>
    <row r="32" spans="1:26" ht="15.75" customHeight="1" x14ac:dyDescent="0.25">
      <c r="A32" s="231" t="s">
        <v>89</v>
      </c>
      <c r="B32" s="231"/>
      <c r="C32" s="231"/>
      <c r="D32" s="231"/>
      <c r="E32" s="232" t="s">
        <v>31</v>
      </c>
      <c r="F32" s="232"/>
      <c r="G32" s="232"/>
      <c r="H32" s="232"/>
    </row>
    <row r="33" spans="1:19" s="22" customFormat="1" x14ac:dyDescent="0.25">
      <c r="A33" s="238" t="s">
        <v>90</v>
      </c>
      <c r="B33" s="238"/>
      <c r="C33" s="235" t="s">
        <v>173</v>
      </c>
      <c r="D33" s="236"/>
      <c r="E33" s="237"/>
      <c r="F33" s="235" t="s">
        <v>29</v>
      </c>
      <c r="G33" s="236"/>
      <c r="H33" s="237"/>
      <c r="I33" s="119"/>
      <c r="J33" s="120"/>
      <c r="K33" s="120"/>
      <c r="S33" s="22" t="e">
        <f ca="1">OFFSET($S$13,1,MATCH($G20,$S$13:$W$13,0)-1,15,1)</f>
        <v>#VALUE!</v>
      </c>
    </row>
    <row r="34" spans="1:19" s="22" customFormat="1" x14ac:dyDescent="0.25">
      <c r="A34" s="234" t="s">
        <v>24</v>
      </c>
      <c r="B34" s="234" t="s">
        <v>28</v>
      </c>
      <c r="C34" s="132" t="s">
        <v>421</v>
      </c>
      <c r="D34" s="133"/>
      <c r="E34" s="134"/>
      <c r="F34" s="135" t="s">
        <v>392</v>
      </c>
      <c r="G34" s="136"/>
      <c r="H34" s="137"/>
      <c r="I34" s="129" t="s">
        <v>395</v>
      </c>
      <c r="J34" s="130"/>
      <c r="K34" s="131"/>
      <c r="L34" s="129" t="s">
        <v>399</v>
      </c>
      <c r="M34" s="130"/>
      <c r="N34" s="131"/>
    </row>
    <row r="35" spans="1:19" x14ac:dyDescent="0.25">
      <c r="A35" s="239" t="s">
        <v>25</v>
      </c>
      <c r="B35" s="239" t="s">
        <v>28</v>
      </c>
      <c r="C35" s="129" t="s">
        <v>395</v>
      </c>
      <c r="D35" s="130"/>
      <c r="E35" s="131"/>
      <c r="F35" s="129" t="s">
        <v>399</v>
      </c>
      <c r="G35" s="130"/>
      <c r="H35" s="131"/>
      <c r="I35" s="132" t="s">
        <v>396</v>
      </c>
      <c r="J35" s="133"/>
      <c r="K35" s="134"/>
      <c r="L35" s="135" t="s">
        <v>392</v>
      </c>
      <c r="M35" s="136"/>
      <c r="N35" s="137"/>
    </row>
    <row r="36" spans="1:19" s="22" customFormat="1" x14ac:dyDescent="0.25">
      <c r="A36" s="234" t="s">
        <v>27</v>
      </c>
      <c r="B36" s="234" t="s">
        <v>28</v>
      </c>
      <c r="C36" s="138" t="s">
        <v>393</v>
      </c>
      <c r="D36" s="139"/>
      <c r="E36" s="140"/>
      <c r="F36" s="129" t="s">
        <v>446</v>
      </c>
      <c r="G36" s="130"/>
      <c r="H36" s="131"/>
      <c r="I36" s="138" t="s">
        <v>393</v>
      </c>
      <c r="J36" s="139"/>
      <c r="K36" s="140"/>
      <c r="L36" s="129" t="s">
        <v>397</v>
      </c>
      <c r="M36" s="130"/>
      <c r="N36" s="131"/>
    </row>
    <row r="37" spans="1:19" x14ac:dyDescent="0.25">
      <c r="A37" s="234" t="s">
        <v>26</v>
      </c>
      <c r="B37" s="234" t="s">
        <v>28</v>
      </c>
      <c r="C37" s="129" t="s">
        <v>394</v>
      </c>
      <c r="D37" s="130"/>
      <c r="E37" s="131"/>
      <c r="F37" s="129" t="s">
        <v>398</v>
      </c>
      <c r="G37" s="130"/>
      <c r="H37" s="131"/>
      <c r="I37" s="129" t="s">
        <v>394</v>
      </c>
      <c r="J37" s="130"/>
      <c r="K37" s="131"/>
      <c r="L37" s="129" t="s">
        <v>398</v>
      </c>
      <c r="M37" s="130"/>
      <c r="N37" s="131"/>
    </row>
    <row r="38" spans="1:19" x14ac:dyDescent="0.25">
      <c r="A38" s="231" t="s">
        <v>278</v>
      </c>
      <c r="B38" s="231"/>
      <c r="C38" s="231"/>
      <c r="D38" s="231"/>
      <c r="E38" s="231"/>
      <c r="F38" s="231"/>
      <c r="G38" s="231"/>
      <c r="H38" s="231"/>
    </row>
    <row r="39" spans="1:19" ht="15.75" customHeight="1" x14ac:dyDescent="0.25">
      <c r="A39" s="231" t="s">
        <v>164</v>
      </c>
      <c r="B39" s="231"/>
      <c r="C39" s="251" t="s">
        <v>418</v>
      </c>
      <c r="D39" s="251"/>
      <c r="E39" s="251"/>
      <c r="F39" s="251"/>
      <c r="G39" s="251"/>
      <c r="H39" s="251"/>
    </row>
    <row r="40" spans="1:19" x14ac:dyDescent="0.25">
      <c r="A40" s="231" t="s">
        <v>161</v>
      </c>
      <c r="B40" s="231"/>
      <c r="C40" s="321" t="s">
        <v>390</v>
      </c>
      <c r="D40" s="232"/>
      <c r="E40" s="232"/>
      <c r="F40" s="232"/>
      <c r="G40" s="232"/>
      <c r="H40" s="232"/>
    </row>
    <row r="41" spans="1:19" x14ac:dyDescent="0.25">
      <c r="A41" s="251" t="s">
        <v>32</v>
      </c>
      <c r="B41" s="251"/>
      <c r="C41" s="251"/>
      <c r="D41" s="251"/>
      <c r="E41" s="251"/>
      <c r="F41" s="251"/>
      <c r="G41" s="251"/>
      <c r="H41" s="251"/>
    </row>
    <row r="42" spans="1:19" x14ac:dyDescent="0.25">
      <c r="A42" s="231" t="s">
        <v>33</v>
      </c>
      <c r="B42" s="231"/>
      <c r="C42" s="231"/>
      <c r="D42" s="231"/>
      <c r="E42" s="250">
        <v>480.77</v>
      </c>
      <c r="F42" s="250"/>
      <c r="G42" s="250"/>
      <c r="H42" s="250"/>
    </row>
    <row r="43" spans="1:19" x14ac:dyDescent="0.25">
      <c r="A43" s="231" t="s">
        <v>34</v>
      </c>
      <c r="B43" s="231"/>
      <c r="C43" s="231"/>
      <c r="D43" s="231"/>
      <c r="E43" s="253">
        <f>639.42/E42</f>
        <v>1.3299914720136448</v>
      </c>
      <c r="F43" s="253"/>
      <c r="G43" s="253"/>
      <c r="H43" s="253"/>
    </row>
    <row r="44" spans="1:19" x14ac:dyDescent="0.25">
      <c r="A44" s="231" t="s">
        <v>35</v>
      </c>
      <c r="B44" s="231"/>
      <c r="C44" s="231"/>
      <c r="D44" s="231"/>
      <c r="E44" s="253">
        <f>E46/E42-E43</f>
        <v>2.6145974166441337</v>
      </c>
      <c r="F44" s="253"/>
      <c r="G44" s="253"/>
      <c r="H44" s="253"/>
    </row>
    <row r="45" spans="1:19" x14ac:dyDescent="0.25">
      <c r="A45" s="231" t="s">
        <v>36</v>
      </c>
      <c r="B45" s="231"/>
      <c r="C45" s="231"/>
      <c r="D45" s="231"/>
      <c r="E45" s="253">
        <f>E43+E44</f>
        <v>3.9445888886577785</v>
      </c>
      <c r="F45" s="253"/>
      <c r="G45" s="253"/>
      <c r="H45" s="253"/>
    </row>
    <row r="46" spans="1:19" x14ac:dyDescent="0.25">
      <c r="A46" s="231" t="s">
        <v>88</v>
      </c>
      <c r="B46" s="231"/>
      <c r="C46" s="231"/>
      <c r="D46" s="231"/>
      <c r="E46" s="254">
        <v>1896.44</v>
      </c>
      <c r="F46" s="254"/>
      <c r="G46" s="254"/>
      <c r="H46" s="254"/>
    </row>
    <row r="47" spans="1:19" x14ac:dyDescent="0.25">
      <c r="A47" s="165" t="s">
        <v>37</v>
      </c>
      <c r="B47" s="165"/>
      <c r="C47" s="165"/>
      <c r="D47" s="165"/>
      <c r="E47" s="227" t="s">
        <v>119</v>
      </c>
      <c r="F47" s="227"/>
      <c r="G47" s="227"/>
      <c r="H47" s="227"/>
    </row>
    <row r="48" spans="1:19" x14ac:dyDescent="0.25">
      <c r="A48" s="251" t="s">
        <v>38</v>
      </c>
      <c r="B48" s="251"/>
      <c r="C48" s="251"/>
      <c r="D48" s="251"/>
      <c r="E48" s="251"/>
      <c r="F48" s="251"/>
      <c r="G48" s="251"/>
      <c r="H48" s="251"/>
    </row>
    <row r="49" spans="1:24" ht="33.75" customHeight="1" x14ac:dyDescent="0.25">
      <c r="A49" s="144" t="s">
        <v>150</v>
      </c>
      <c r="B49" s="145"/>
      <c r="C49" s="262" t="s">
        <v>253</v>
      </c>
      <c r="D49" s="263"/>
      <c r="E49" s="263"/>
      <c r="F49" s="263"/>
      <c r="G49" s="263"/>
      <c r="H49" s="264"/>
      <c r="R49" t="s">
        <v>251</v>
      </c>
      <c r="S49" s="55" t="s">
        <v>172</v>
      </c>
      <c r="T49" s="55" t="s">
        <v>177</v>
      </c>
      <c r="U49" s="55" t="s">
        <v>191</v>
      </c>
      <c r="V49" s="55" t="s">
        <v>186</v>
      </c>
    </row>
    <row r="50" spans="1:24" x14ac:dyDescent="0.25">
      <c r="A50" s="144" t="s">
        <v>39</v>
      </c>
      <c r="B50" s="145"/>
      <c r="C50" s="275" t="s">
        <v>400</v>
      </c>
      <c r="D50" s="276"/>
      <c r="E50" s="277"/>
      <c r="F50" s="18" t="s">
        <v>40</v>
      </c>
      <c r="G50" s="272">
        <v>45735</v>
      </c>
      <c r="H50" s="273"/>
      <c r="R50"/>
      <c r="S50" s="55" t="s">
        <v>252</v>
      </c>
      <c r="T50" s="55" t="s">
        <v>257</v>
      </c>
      <c r="U50" s="55" t="s">
        <v>268</v>
      </c>
      <c r="V50" s="55" t="s">
        <v>273</v>
      </c>
    </row>
    <row r="51" spans="1:24" x14ac:dyDescent="0.25">
      <c r="A51" s="144" t="s">
        <v>41</v>
      </c>
      <c r="B51" s="145"/>
      <c r="C51" s="275" t="str">
        <f>C50</f>
        <v>P-23041/2024)/G/North/FP/IOD/1/New</v>
      </c>
      <c r="D51" s="276"/>
      <c r="E51" s="277"/>
      <c r="F51" s="18" t="s">
        <v>40</v>
      </c>
      <c r="G51" s="272">
        <f>G50</f>
        <v>45735</v>
      </c>
      <c r="H51" s="273"/>
      <c r="R51"/>
      <c r="S51" s="55" t="s">
        <v>253</v>
      </c>
      <c r="T51" s="55" t="s">
        <v>355</v>
      </c>
      <c r="U51" s="55" t="s">
        <v>266</v>
      </c>
      <c r="V51" s="55" t="s">
        <v>274</v>
      </c>
    </row>
    <row r="52" spans="1:24" s="23" customFormat="1" ht="15.75" customHeight="1" x14ac:dyDescent="0.25">
      <c r="A52" s="283" t="s">
        <v>154</v>
      </c>
      <c r="B52" s="284"/>
      <c r="C52" s="283" t="s">
        <v>401</v>
      </c>
      <c r="D52" s="289"/>
      <c r="E52" s="284"/>
      <c r="F52" s="18" t="s">
        <v>40</v>
      </c>
      <c r="G52" s="272">
        <v>45798</v>
      </c>
      <c r="H52" s="273"/>
      <c r="I52" s="22" t="str">
        <f ca="1">IF(G52&gt;EDATE(E3,-48),"NO REMARK","CC REMARK FOR CC")</f>
        <v>NO REMARK</v>
      </c>
      <c r="J52" s="76"/>
      <c r="R52"/>
      <c r="S52" s="55" t="s">
        <v>254</v>
      </c>
      <c r="T52" s="55" t="s">
        <v>259</v>
      </c>
      <c r="U52" s="55" t="s">
        <v>256</v>
      </c>
      <c r="V52" s="55" t="s">
        <v>275</v>
      </c>
    </row>
    <row r="53" spans="1:24" s="23" customFormat="1" ht="33.75" customHeight="1" x14ac:dyDescent="0.25">
      <c r="A53" s="285"/>
      <c r="B53" s="286"/>
      <c r="C53" s="287"/>
      <c r="D53" s="290"/>
      <c r="E53" s="288"/>
      <c r="F53" s="18" t="s">
        <v>120</v>
      </c>
      <c r="G53" s="272">
        <v>46162</v>
      </c>
      <c r="H53" s="145"/>
      <c r="R53"/>
      <c r="S53" s="55" t="s">
        <v>255</v>
      </c>
      <c r="T53" s="55" t="s">
        <v>262</v>
      </c>
      <c r="U53" s="55" t="s">
        <v>269</v>
      </c>
      <c r="V53" s="72" t="s">
        <v>348</v>
      </c>
    </row>
    <row r="54" spans="1:24" s="23" customFormat="1" ht="33.75" customHeight="1" x14ac:dyDescent="0.25">
      <c r="A54" s="287"/>
      <c r="B54" s="288"/>
      <c r="C54" s="144" t="s">
        <v>402</v>
      </c>
      <c r="D54" s="326"/>
      <c r="E54" s="326"/>
      <c r="F54" s="326"/>
      <c r="G54" s="326"/>
      <c r="H54" s="145"/>
      <c r="R54"/>
      <c r="S54" s="55"/>
      <c r="T54" s="55"/>
      <c r="U54" s="55"/>
      <c r="V54" s="72"/>
    </row>
    <row r="55" spans="1:24" s="23" customFormat="1" x14ac:dyDescent="0.25">
      <c r="A55" s="184" t="s">
        <v>279</v>
      </c>
      <c r="B55" s="185"/>
      <c r="C55" s="255" t="s">
        <v>403</v>
      </c>
      <c r="D55" s="256"/>
      <c r="E55" s="257"/>
      <c r="F55" s="100" t="s">
        <v>40</v>
      </c>
      <c r="G55" s="278">
        <v>45563</v>
      </c>
      <c r="H55" s="279"/>
      <c r="K55" s="77">
        <f>EDATE(G52,-48)</f>
        <v>44337</v>
      </c>
      <c r="L55" s="23" t="str">
        <f ca="1">IF(G52&gt;EDATE(E3,-48),"NO REMARK","CC REMARK FOR CC")</f>
        <v>NO REMARK</v>
      </c>
      <c r="R55"/>
      <c r="S55" s="55" t="s">
        <v>254</v>
      </c>
      <c r="T55" s="55" t="s">
        <v>259</v>
      </c>
      <c r="U55" s="55" t="s">
        <v>256</v>
      </c>
      <c r="V55" s="55" t="s">
        <v>275</v>
      </c>
    </row>
    <row r="56" spans="1:24" s="23" customFormat="1" x14ac:dyDescent="0.25">
      <c r="A56" s="186"/>
      <c r="B56" s="187"/>
      <c r="C56" s="280" t="s">
        <v>404</v>
      </c>
      <c r="D56" s="281"/>
      <c r="E56" s="281"/>
      <c r="F56" s="281"/>
      <c r="G56" s="281"/>
      <c r="H56" s="282"/>
      <c r="R56"/>
      <c r="S56" s="55" t="s">
        <v>256</v>
      </c>
      <c r="T56" s="55" t="s">
        <v>260</v>
      </c>
      <c r="U56" s="55" t="s">
        <v>270</v>
      </c>
      <c r="V56" s="73"/>
      <c r="W56" s="21"/>
      <c r="X56" s="21"/>
    </row>
    <row r="57" spans="1:24" s="23" customFormat="1" ht="34.5" hidden="1" customHeight="1" x14ac:dyDescent="0.25">
      <c r="A57" s="291" t="s">
        <v>280</v>
      </c>
      <c r="B57" s="292"/>
      <c r="C57" s="255" t="str">
        <f>C56</f>
        <v>G + 1st to 9th Floor (Height = 31.95m)
Puzzle Parking Pit + G + 1st to 2nd Floor (Height = 8.9m)</v>
      </c>
      <c r="D57" s="256"/>
      <c r="E57" s="257"/>
      <c r="F57" s="100" t="s">
        <v>40</v>
      </c>
      <c r="G57" s="278">
        <f>G56</f>
        <v>0</v>
      </c>
      <c r="H57" s="279"/>
      <c r="R57"/>
      <c r="S57" s="73"/>
      <c r="T57" s="55" t="s">
        <v>261</v>
      </c>
      <c r="U57" s="55" t="s">
        <v>271</v>
      </c>
      <c r="V57" s="73"/>
      <c r="W57" s="21"/>
      <c r="X57" s="21"/>
    </row>
    <row r="58" spans="1:24" s="23" customFormat="1" ht="41.25" hidden="1" customHeight="1" x14ac:dyDescent="0.25">
      <c r="A58" s="293"/>
      <c r="B58" s="294"/>
      <c r="C58" s="255"/>
      <c r="D58" s="256"/>
      <c r="E58" s="256"/>
      <c r="F58" s="256"/>
      <c r="G58" s="256"/>
      <c r="H58" s="257"/>
      <c r="R58"/>
      <c r="S58" s="73"/>
      <c r="T58" s="55" t="s">
        <v>263</v>
      </c>
      <c r="U58" s="55" t="s">
        <v>272</v>
      </c>
      <c r="V58" s="73"/>
      <c r="W58" s="21"/>
      <c r="X58" s="21"/>
    </row>
    <row r="59" spans="1:24" s="23" customFormat="1" ht="15.75" hidden="1" customHeight="1" x14ac:dyDescent="0.25">
      <c r="A59" s="291" t="s">
        <v>350</v>
      </c>
      <c r="B59" s="292"/>
      <c r="C59" s="297"/>
      <c r="D59" s="298"/>
      <c r="E59" s="299"/>
      <c r="F59" s="100" t="s">
        <v>40</v>
      </c>
      <c r="G59" s="278"/>
      <c r="H59" s="279"/>
      <c r="R59"/>
      <c r="S59" s="73"/>
      <c r="T59" s="55" t="s">
        <v>264</v>
      </c>
      <c r="U59" s="73" t="s">
        <v>294</v>
      </c>
      <c r="V59" s="73"/>
      <c r="W59" s="21"/>
      <c r="X59" s="21"/>
    </row>
    <row r="60" spans="1:24" s="23" customFormat="1" ht="33.75" hidden="1" customHeight="1" x14ac:dyDescent="0.25">
      <c r="A60" s="295"/>
      <c r="B60" s="296"/>
      <c r="C60" s="300"/>
      <c r="D60" s="301"/>
      <c r="E60" s="302"/>
      <c r="F60" s="100" t="s">
        <v>351</v>
      </c>
      <c r="G60" s="278"/>
      <c r="H60" s="279"/>
      <c r="R60"/>
      <c r="S60" s="73"/>
      <c r="T60" s="55" t="s">
        <v>265</v>
      </c>
      <c r="U60" s="73"/>
      <c r="V60" s="73"/>
      <c r="W60" s="21"/>
      <c r="X60" s="21"/>
    </row>
    <row r="61" spans="1:24" s="23" customFormat="1" ht="33.75" hidden="1" customHeight="1" x14ac:dyDescent="0.25">
      <c r="A61" s="293"/>
      <c r="B61" s="294"/>
      <c r="C61" s="255" t="s">
        <v>373</v>
      </c>
      <c r="D61" s="256"/>
      <c r="E61" s="256"/>
      <c r="F61" s="256"/>
      <c r="G61" s="256"/>
      <c r="H61" s="257"/>
      <c r="R61"/>
      <c r="S61" s="73"/>
      <c r="T61" s="55"/>
      <c r="U61" s="73"/>
      <c r="V61" s="73"/>
      <c r="W61" s="21"/>
      <c r="X61" s="21"/>
    </row>
    <row r="62" spans="1:24" x14ac:dyDescent="0.25">
      <c r="A62" s="175" t="s">
        <v>42</v>
      </c>
      <c r="B62" s="176"/>
      <c r="C62" s="177" t="s">
        <v>102</v>
      </c>
      <c r="D62" s="178"/>
      <c r="E62" s="179"/>
      <c r="F62" s="101" t="s">
        <v>40</v>
      </c>
      <c r="G62" s="182" t="s">
        <v>28</v>
      </c>
      <c r="H62" s="183"/>
      <c r="R62"/>
      <c r="S62" s="73"/>
      <c r="T62" s="55" t="s">
        <v>267</v>
      </c>
      <c r="U62" s="73"/>
      <c r="V62" s="73"/>
    </row>
    <row r="63" spans="1:24" x14ac:dyDescent="0.25">
      <c r="A63" s="274" t="s">
        <v>44</v>
      </c>
      <c r="B63" s="274"/>
      <c r="C63" s="274"/>
      <c r="D63" s="274"/>
      <c r="E63" s="274"/>
      <c r="F63" s="274"/>
      <c r="G63" s="274"/>
      <c r="H63" s="274"/>
      <c r="S63" s="73"/>
      <c r="T63" s="55" t="s">
        <v>276</v>
      </c>
      <c r="U63" s="73"/>
      <c r="V63" s="73"/>
    </row>
    <row r="64" spans="1:24" x14ac:dyDescent="0.25">
      <c r="A64" s="150" t="s">
        <v>87</v>
      </c>
      <c r="B64" s="150"/>
      <c r="C64" s="150"/>
      <c r="D64" s="165">
        <f>E46</f>
        <v>1896.44</v>
      </c>
      <c r="E64" s="165"/>
      <c r="F64" s="165"/>
      <c r="G64" s="165"/>
      <c r="H64" s="165"/>
      <c r="R64"/>
    </row>
    <row r="65" spans="1:19" x14ac:dyDescent="0.25">
      <c r="A65" s="232" t="s">
        <v>45</v>
      </c>
      <c r="B65" s="165"/>
      <c r="C65" s="165"/>
      <c r="D65" s="165" t="s">
        <v>441</v>
      </c>
      <c r="E65" s="165"/>
      <c r="F65" s="165"/>
      <c r="G65" s="165"/>
      <c r="H65" s="165"/>
      <c r="I65" s="24"/>
      <c r="R65"/>
    </row>
    <row r="66" spans="1:19" x14ac:dyDescent="0.25">
      <c r="A66" s="259" t="s">
        <v>46</v>
      </c>
      <c r="B66" s="260"/>
      <c r="C66" s="261"/>
      <c r="D66" s="151" t="s">
        <v>405</v>
      </c>
      <c r="E66" s="258"/>
      <c r="F66" s="258"/>
      <c r="G66" s="258"/>
      <c r="H66" s="258"/>
      <c r="R66"/>
    </row>
    <row r="67" spans="1:19" ht="15.75" customHeight="1" x14ac:dyDescent="0.25">
      <c r="A67" s="259" t="s">
        <v>85</v>
      </c>
      <c r="B67" s="260"/>
      <c r="C67" s="260"/>
      <c r="D67" s="230" t="s">
        <v>405</v>
      </c>
      <c r="E67" s="227"/>
      <c r="F67" s="227"/>
      <c r="G67" s="227"/>
      <c r="H67" s="227"/>
      <c r="I67" s="97" t="s">
        <v>406</v>
      </c>
      <c r="R67"/>
    </row>
    <row r="68" spans="1:19" ht="15.75" hidden="1" customHeight="1" x14ac:dyDescent="0.25">
      <c r="A68" s="265"/>
      <c r="B68" s="266"/>
      <c r="C68" s="266"/>
      <c r="D68" s="269" t="s">
        <v>295</v>
      </c>
      <c r="E68" s="270"/>
      <c r="F68" s="270"/>
      <c r="G68" s="270"/>
      <c r="H68" s="271"/>
      <c r="R68"/>
    </row>
    <row r="69" spans="1:19" ht="15.75" hidden="1" customHeight="1" x14ac:dyDescent="0.25">
      <c r="A69" s="267"/>
      <c r="B69" s="268"/>
      <c r="C69" s="268"/>
      <c r="D69" s="146" t="s">
        <v>168</v>
      </c>
      <c r="E69" s="147"/>
      <c r="F69" s="147"/>
      <c r="G69" s="147"/>
      <c r="H69" s="148"/>
      <c r="S69"/>
    </row>
    <row r="70" spans="1:19" ht="15.75" customHeight="1" x14ac:dyDescent="0.25">
      <c r="A70" s="231" t="s">
        <v>43</v>
      </c>
      <c r="B70" s="231"/>
      <c r="C70" s="231"/>
      <c r="D70" s="327" t="s">
        <v>407</v>
      </c>
      <c r="E70" s="327"/>
      <c r="F70" s="327"/>
      <c r="G70" s="327"/>
      <c r="H70" s="327"/>
      <c r="J70" s="25"/>
      <c r="K70" s="24"/>
      <c r="N70" s="24"/>
      <c r="S70"/>
    </row>
    <row r="71" spans="1:19" ht="15.75" customHeight="1" x14ac:dyDescent="0.25">
      <c r="A71" s="231" t="s">
        <v>83</v>
      </c>
      <c r="B71" s="231"/>
      <c r="C71" s="231"/>
      <c r="D71" s="252" t="str">
        <f>(IF(G62="NA","60 Years After Completion",IF(G62&lt;&gt;"NA",""&amp;60-ROUNDDOWN((E3-G62)/360,0)&amp;" Years"," ")))</f>
        <v>60 Years After Completion</v>
      </c>
      <c r="E71" s="252"/>
      <c r="F71" s="252"/>
      <c r="G71" s="252"/>
      <c r="H71" s="252"/>
      <c r="N71" s="24"/>
      <c r="S71"/>
    </row>
    <row r="72" spans="1:19" ht="15.75" customHeight="1" x14ac:dyDescent="0.25">
      <c r="A72" s="231" t="s">
        <v>84</v>
      </c>
      <c r="B72" s="231"/>
      <c r="C72" s="231"/>
      <c r="D72" s="150" t="s">
        <v>23</v>
      </c>
      <c r="E72" s="150"/>
      <c r="F72" s="150"/>
      <c r="G72" s="150"/>
      <c r="H72" s="150"/>
      <c r="J72" s="26"/>
      <c r="K72" s="26"/>
      <c r="S72"/>
    </row>
    <row r="73" spans="1:19" ht="38.450000000000003" customHeight="1" x14ac:dyDescent="0.25">
      <c r="A73" s="165" t="s">
        <v>436</v>
      </c>
      <c r="B73" s="165"/>
      <c r="C73" s="165"/>
      <c r="D73" s="232" t="s">
        <v>445</v>
      </c>
      <c r="E73" s="232"/>
      <c r="F73" s="232"/>
      <c r="G73" s="232"/>
      <c r="H73" s="232"/>
      <c r="S73"/>
    </row>
    <row r="74" spans="1:19" x14ac:dyDescent="0.25">
      <c r="A74" s="150" t="s">
        <v>147</v>
      </c>
      <c r="B74" s="150"/>
      <c r="C74" s="150"/>
      <c r="D74" s="150" t="s">
        <v>28</v>
      </c>
      <c r="E74" s="150"/>
      <c r="F74" s="150"/>
      <c r="G74" s="150"/>
      <c r="H74" s="150"/>
      <c r="I74" s="27"/>
      <c r="J74" s="27"/>
      <c r="K74" s="27"/>
      <c r="L74" s="27"/>
      <c r="M74" s="27"/>
      <c r="N74" s="27"/>
    </row>
    <row r="75" spans="1:19" ht="15.75" customHeight="1" x14ac:dyDescent="0.25">
      <c r="A75" s="249" t="s">
        <v>82</v>
      </c>
      <c r="B75" s="249"/>
      <c r="C75" s="249"/>
      <c r="D75" s="151" t="str">
        <f ca="1">(IF(G81&gt;95%,"Nothing",IF(G81&gt;0%,"Cement, Aggregate, Steel, etc",IF(G81=0%,"Work not yet Started"))))</f>
        <v>Cement, Aggregate, Steel, etc</v>
      </c>
      <c r="E75" s="151"/>
      <c r="F75" s="151"/>
      <c r="G75" s="151"/>
      <c r="H75" s="151"/>
      <c r="J75" s="26"/>
      <c r="S75"/>
    </row>
    <row r="76" spans="1:19" ht="33.75" customHeight="1" thickBot="1" x14ac:dyDescent="0.3">
      <c r="A76" s="248" t="s">
        <v>115</v>
      </c>
      <c r="B76" s="248"/>
      <c r="C76" s="248"/>
      <c r="D76" s="151" t="str">
        <f ca="1">(IF(D75="Nothing","Yes",IF(D75="Cement, Aggregate, Steel, etc","Under Construction",IF(D75="Work not yet Started","Work not yet Started"))))</f>
        <v>Under Construction</v>
      </c>
      <c r="E76" s="151"/>
      <c r="F76" s="151" t="str">
        <f ca="1">(IF(D75="Nothing","Yes",IF(D75="Cement, Aggregate, Steel, etc","Under Construction",IF(D75="Work not yet Started","Work not yet Started"))))</f>
        <v>Under Construction</v>
      </c>
      <c r="G76" s="151"/>
      <c r="H76" s="151"/>
      <c r="S76"/>
    </row>
    <row r="77" spans="1:19" ht="15.75" customHeight="1" x14ac:dyDescent="0.25">
      <c r="A77" s="241" t="s">
        <v>139</v>
      </c>
      <c r="B77" s="242"/>
      <c r="C77" s="243" t="str">
        <f>D67</f>
        <v>G + 1st to 9th Floor</v>
      </c>
      <c r="D77" s="244"/>
      <c r="E77" s="244"/>
      <c r="F77" s="244"/>
      <c r="G77" s="244"/>
      <c r="H77" s="245"/>
      <c r="I77" s="47" t="str">
        <f ca="1">IF(D90=100%,"All work Completed. Possession granted to the Building.",IF(D89=100%,"All work Completed, Waiting for OC",I78&amp;""&amp;I79&amp;""&amp;J78&amp;""&amp;J77&amp;" "&amp;J79))</f>
        <v xml:space="preserve">Excavation work in process </v>
      </c>
      <c r="J77" s="48" t="str">
        <f ca="1">(IF(C83=(D78+F78+H78),"",IF(C83&gt;0,", RCC upto "&amp;C83&amp;" Slab","")))&amp;(IF(C84=H78,"",IF(C84&gt;0,", Brickwork upto "&amp;C84&amp;" Floor","")))&amp;(IF(C85=H78,"",IF(C85&gt;0,", Internal Plaster upto "&amp;C85&amp;" Floor","")))&amp;(IF(C86=H78,"",IF(C86&gt;0,", External Plaster upto "&amp;C86&amp;" Floor","")))&amp;(IF(C87=H78,"",IF(C87&gt;0,", Flooring upto "&amp;C87&amp;" Floor","")))&amp;(IF(C88=H78,"",IF(C88&gt;0,", Painting upto "&amp;C88&amp;" Floor","")))&amp;(IF(C89=H78,"",IF(C89&gt;0,", Finishing upto "&amp;C89&amp;" Floor","")))&amp;(IF(C90=H78,"",IF(C90&gt;0,", Possession upto "&amp;C90&amp;" Floor","")))</f>
        <v/>
      </c>
      <c r="S77"/>
    </row>
    <row r="78" spans="1:19" x14ac:dyDescent="0.25">
      <c r="A78" s="16" t="s">
        <v>141</v>
      </c>
      <c r="B78" s="45">
        <f>IF(AND(ISNUMBER(SEARCH("1B",C77))),1,IF(AND(ISNUMBER(SEARCH("2B",C77))),2,IF(AND(ISNUMBER(SEARCH("3B",C77))),3,IF(AND(ISNUMBER(SEARCH("4B",C77))),4,IF(ISNUMBER(SEARCH("5B",C77)),5,0)))))</f>
        <v>0</v>
      </c>
      <c r="C78" s="45" t="s">
        <v>68</v>
      </c>
      <c r="D78" s="45">
        <v>1</v>
      </c>
      <c r="E78" s="45" t="s">
        <v>67</v>
      </c>
      <c r="F78" s="45">
        <v>0</v>
      </c>
      <c r="G78" s="45" t="s">
        <v>76</v>
      </c>
      <c r="H78" s="17">
        <f ca="1">--TRIM(RIGHT(SUBSTITUTE(LEFT(C77,_xlfn.AGGREGATE(16,6,FIND({0,1,2,3,4,5,6,7,8,9},C77,ROW(INDIRECT("1:"&amp;LEN(C77)))),1))," ",REPT(" ",LEN(C77))),LEN(C77)))</f>
        <v>9</v>
      </c>
      <c r="I78" s="49" t="str">
        <f ca="1">IF(D81=100%,"Excavation","")&amp;IF(D82=100%,", Plinth","")&amp;IF(D83=100%,", RCC Slab","")&amp;IF(D84=100%,", Brickwork","")&amp;IF(D85=100%,", Internal Plaster","")&amp;IF(D86=100%,", External Plaster","")&amp;IF(D87=100%,", Flooring","")&amp;IF(D88=100%,", Painting","")&amp;IF(D89=100%,", Building common Amenities","")</f>
        <v/>
      </c>
      <c r="J78" s="50" t="str">
        <f ca="1">(IF(C81=0,"Work not yet Started.",IF(D81=25%,"Piling work in process",IF(D81=50%,"Excavation work in process",IF(D81=100%,"","0")))))&amp;(IF(C82=0%,"",IF(C82=J83,", Footing work is process",IF(C82=J84,", Footing work Completed",IF(C82=J85,", 1st Basement Completed",IF(C82=J86,", 1st &amp; 2nd Basement Completed",IF(C82=J87,", 1st to 3rd Basement Completed",IF(C82=J88,", 1st to 4th Basement Completed",IF(C82=J89,", Plinth work is process",IF(C82=J90,"","0"))))))))))</f>
        <v>Excavation work in process</v>
      </c>
      <c r="S78"/>
    </row>
    <row r="79" spans="1:19" x14ac:dyDescent="0.25">
      <c r="A79" s="240" t="s">
        <v>86</v>
      </c>
      <c r="B79" s="221"/>
      <c r="C79" s="246" t="str">
        <f ca="1">I77</f>
        <v xml:space="preserve">Excavation work in process </v>
      </c>
      <c r="D79" s="246"/>
      <c r="E79" s="246"/>
      <c r="F79" s="246"/>
      <c r="G79" s="246"/>
      <c r="H79" s="247"/>
      <c r="I79" s="49" t="str">
        <f ca="1">IF(I78&lt;&gt;""," Completed","")</f>
        <v/>
      </c>
      <c r="J79" s="50" t="str">
        <f ca="1">IF(J77&lt;&gt;"","Completed","")</f>
        <v/>
      </c>
      <c r="S79"/>
    </row>
    <row r="80" spans="1:19" ht="15.75" customHeight="1" x14ac:dyDescent="0.25">
      <c r="A80" s="152" t="s">
        <v>47</v>
      </c>
      <c r="B80" s="153"/>
      <c r="C80" s="111" t="s">
        <v>138</v>
      </c>
      <c r="D80" s="111" t="s">
        <v>79</v>
      </c>
      <c r="E80" s="153" t="s">
        <v>81</v>
      </c>
      <c r="F80" s="153"/>
      <c r="G80" s="153" t="s">
        <v>80</v>
      </c>
      <c r="H80" s="154"/>
      <c r="I80" s="13" t="s">
        <v>140</v>
      </c>
      <c r="J80" s="28">
        <f ca="1">H78*25%</f>
        <v>2.25</v>
      </c>
      <c r="S80"/>
    </row>
    <row r="81" spans="1:19" x14ac:dyDescent="0.25">
      <c r="A81" s="152" t="s">
        <v>127</v>
      </c>
      <c r="B81" s="153"/>
      <c r="C81" s="111">
        <f ca="1">J81</f>
        <v>4.5</v>
      </c>
      <c r="D81" s="112">
        <f ca="1">((100/H78)*C81)/100</f>
        <v>0.5</v>
      </c>
      <c r="E81" s="328">
        <f ca="1">(((C82/H78*10)+(40/(D78+F78+H78)*C83)+(7.5/(H78)*C84)+(7.5/(H78)*C85)+(10/H78*C86)+(10/H78*C87)+(5/H78*C88)+(5/H78*C89)+(5/H78*C90))/100)</f>
        <v>0</v>
      </c>
      <c r="F81" s="329"/>
      <c r="G81" s="328">
        <f ca="1">((((C81/H78)*20)+((C82/H78)*25)+(30/(H78+F78+D78)*C83)+(5/H78*C84)+(5/H78*C85)+(5/H78*C86)+(5/H78*C87)+(0/H78*C88)+(0/H78*C89)+(5/H78*C90))/100)</f>
        <v>0.1</v>
      </c>
      <c r="H81" s="334"/>
      <c r="I81" s="13" t="s">
        <v>97</v>
      </c>
      <c r="J81" s="29">
        <f ca="1">H78*50%</f>
        <v>4.5</v>
      </c>
    </row>
    <row r="82" spans="1:19" x14ac:dyDescent="0.25">
      <c r="A82" s="152" t="s">
        <v>48</v>
      </c>
      <c r="B82" s="153"/>
      <c r="C82" s="111">
        <v>0</v>
      </c>
      <c r="D82" s="112">
        <f ca="1">((100/H78)*C82)/100</f>
        <v>0</v>
      </c>
      <c r="E82" s="330"/>
      <c r="F82" s="331"/>
      <c r="G82" s="330"/>
      <c r="H82" s="335"/>
      <c r="I82" s="13" t="s">
        <v>98</v>
      </c>
      <c r="J82" s="29">
        <f ca="1">H78</f>
        <v>9</v>
      </c>
      <c r="L82" s="93"/>
      <c r="S82"/>
    </row>
    <row r="83" spans="1:19" ht="15.75" customHeight="1" x14ac:dyDescent="0.25">
      <c r="A83" s="152" t="s">
        <v>128</v>
      </c>
      <c r="B83" s="153"/>
      <c r="C83" s="111">
        <v>0</v>
      </c>
      <c r="D83" s="112">
        <f ca="1">((100/(D78+F78+H78))*C83)/100</f>
        <v>0</v>
      </c>
      <c r="E83" s="330"/>
      <c r="F83" s="331"/>
      <c r="G83" s="330"/>
      <c r="H83" s="335"/>
      <c r="I83" s="13" t="s">
        <v>99</v>
      </c>
      <c r="J83" s="30">
        <f ca="1">(IF(B78&gt;1,(H78/(B78+2)),H78/4))</f>
        <v>2.25</v>
      </c>
      <c r="S83"/>
    </row>
    <row r="84" spans="1:19" ht="15.75" customHeight="1" x14ac:dyDescent="0.25">
      <c r="A84" s="152" t="s">
        <v>135</v>
      </c>
      <c r="B84" s="153" t="s">
        <v>129</v>
      </c>
      <c r="C84" s="111">
        <v>0</v>
      </c>
      <c r="D84" s="112">
        <f ca="1">((100/H78)*C84)/100</f>
        <v>0</v>
      </c>
      <c r="E84" s="330"/>
      <c r="F84" s="331"/>
      <c r="G84" s="330"/>
      <c r="H84" s="335"/>
      <c r="I84" s="13" t="s">
        <v>100</v>
      </c>
      <c r="J84" s="30">
        <f ca="1">(IF(B78&gt;1,(H78/(B78+2)+J83),H78/4+J83))</f>
        <v>4.5</v>
      </c>
    </row>
    <row r="85" spans="1:19" ht="15.75" customHeight="1" x14ac:dyDescent="0.25">
      <c r="A85" s="152" t="s">
        <v>136</v>
      </c>
      <c r="B85" s="153" t="s">
        <v>129</v>
      </c>
      <c r="C85" s="111">
        <v>0</v>
      </c>
      <c r="D85" s="112">
        <f ca="1">((100/H78)*C85)/100</f>
        <v>0</v>
      </c>
      <c r="E85" s="330"/>
      <c r="F85" s="331"/>
      <c r="G85" s="330"/>
      <c r="H85" s="335"/>
      <c r="I85" s="13" t="s">
        <v>145</v>
      </c>
      <c r="J85" s="30">
        <f>(IF(B78&gt;1,(H78/(B78+2)+J84),0))</f>
        <v>0</v>
      </c>
    </row>
    <row r="86" spans="1:19" ht="15" customHeight="1" x14ac:dyDescent="0.25">
      <c r="A86" s="152" t="s">
        <v>134</v>
      </c>
      <c r="B86" s="153" t="s">
        <v>131</v>
      </c>
      <c r="C86" s="111">
        <v>0</v>
      </c>
      <c r="D86" s="112">
        <f ca="1">((100/(H78))*C86)/100</f>
        <v>0</v>
      </c>
      <c r="E86" s="330"/>
      <c r="F86" s="331"/>
      <c r="G86" s="330"/>
      <c r="H86" s="335"/>
      <c r="I86" s="13" t="s">
        <v>142</v>
      </c>
      <c r="J86" s="30">
        <f>(IF(B78&gt;2,(H78/(B78+2)+J85),0))</f>
        <v>0</v>
      </c>
    </row>
    <row r="87" spans="1:19" ht="15.75" customHeight="1" x14ac:dyDescent="0.25">
      <c r="A87" s="152" t="s">
        <v>130</v>
      </c>
      <c r="B87" s="153" t="s">
        <v>130</v>
      </c>
      <c r="C87" s="111">
        <v>0</v>
      </c>
      <c r="D87" s="112">
        <f ca="1">((100/H78)*C87)/100</f>
        <v>0</v>
      </c>
      <c r="E87" s="330"/>
      <c r="F87" s="331"/>
      <c r="G87" s="330"/>
      <c r="H87" s="335"/>
      <c r="I87" s="13" t="s">
        <v>143</v>
      </c>
      <c r="J87" s="31">
        <f>(IF(B78&gt;3,(H78/(B78+2)+J86),0))</f>
        <v>0</v>
      </c>
    </row>
    <row r="88" spans="1:19" ht="15.75" customHeight="1" x14ac:dyDescent="0.25">
      <c r="A88" s="152" t="s">
        <v>137</v>
      </c>
      <c r="B88" s="153"/>
      <c r="C88" s="111">
        <v>0</v>
      </c>
      <c r="D88" s="112">
        <f ca="1">((100/H78)*C88)/100</f>
        <v>0</v>
      </c>
      <c r="E88" s="330"/>
      <c r="F88" s="331"/>
      <c r="G88" s="330"/>
      <c r="H88" s="335"/>
      <c r="I88" s="13" t="s">
        <v>144</v>
      </c>
      <c r="J88" s="30">
        <f>(IF(B78&gt;4,(H78/(B78+2)+J87),0))</f>
        <v>0</v>
      </c>
    </row>
    <row r="89" spans="1:19" ht="15.75" customHeight="1" x14ac:dyDescent="0.25">
      <c r="A89" s="152" t="s">
        <v>132</v>
      </c>
      <c r="B89" s="153" t="s">
        <v>132</v>
      </c>
      <c r="C89" s="111">
        <v>0</v>
      </c>
      <c r="D89" s="112">
        <f ca="1">((100/(H78))*C89)/100</f>
        <v>0</v>
      </c>
      <c r="E89" s="330"/>
      <c r="F89" s="331"/>
      <c r="G89" s="330"/>
      <c r="H89" s="335"/>
      <c r="I89" s="13" t="s">
        <v>146</v>
      </c>
      <c r="J89" s="30">
        <f ca="1">(IF(B78=1,(H78/(B78+3)+J84),IF(B78=0,(H78/4+J84),IF(B78&gt;1,0))))</f>
        <v>6.75</v>
      </c>
    </row>
    <row r="90" spans="1:19" ht="16.5" thickBot="1" x14ac:dyDescent="0.3">
      <c r="A90" s="155" t="s">
        <v>133</v>
      </c>
      <c r="B90" s="156"/>
      <c r="C90" s="113">
        <v>0</v>
      </c>
      <c r="D90" s="114">
        <f ca="1">((100/(H78))*C90)/100</f>
        <v>0</v>
      </c>
      <c r="E90" s="332"/>
      <c r="F90" s="333"/>
      <c r="G90" s="332"/>
      <c r="H90" s="336"/>
      <c r="I90" s="15" t="s">
        <v>101</v>
      </c>
      <c r="J90" s="32">
        <f ca="1">(IF(B78&gt;1.5,(H78/(B78+2)+J84+MAX(0,J85-J84)+MAX(0,J86-J85)+MAX(0,J87-J86)+MAX(0,J88-J87)+MAX(0,J89-J88)),IF(B78=1,(H78/(B78+3)+J89),IF(B78=0,H78/4+J89))))</f>
        <v>9</v>
      </c>
    </row>
    <row r="91" spans="1:19" ht="15.75" hidden="1" customHeight="1" x14ac:dyDescent="0.25">
      <c r="A91" s="304" t="s">
        <v>139</v>
      </c>
      <c r="B91" s="305"/>
      <c r="C91" s="306" t="str">
        <f>D68</f>
        <v>B Wing = 1B + G + 1st to 19th Floor</v>
      </c>
      <c r="D91" s="307"/>
      <c r="E91" s="307"/>
      <c r="F91" s="307"/>
      <c r="G91" s="307"/>
      <c r="H91" s="308"/>
      <c r="I91" s="47" t="str">
        <f ca="1">IF(D104=100%,"All work Completed. Possession granted to the Building.",IF(D103=100%,"All work Completed, Waiting for OC",I92&amp;""&amp;I93&amp;""&amp;J92&amp;""&amp;J91&amp;" "&amp;J93))</f>
        <v xml:space="preserve">Excavation, Plinth Completed </v>
      </c>
      <c r="J91" s="48" t="str">
        <f ca="1">(IF(C97=(D92+F92+H92),"",IF(C97&gt;0,", RCC upto "&amp;C97&amp;" Slab","")))&amp;(IF(C98=H92,"",IF(C98&gt;0,", Brickwork upto "&amp;C98&amp;" Floor","")))&amp;(IF(C99=H92,"",IF(C99&gt;0,", Internal Plaster upto "&amp;C99&amp;" Floor","")))&amp;(IF(C100=H92,"",IF(C100&gt;0,", External Plaster upto "&amp;C100&amp;" Floor","")))&amp;(IF(C101=H92,"",IF(C101&gt;0,", Flooring upto "&amp;C101&amp;" Floor","")))&amp;(IF(C102=H92,"",IF(C102&gt;0,", Painting upto "&amp;C102&amp;" Floor","")))&amp;(IF(C103=H92,"",IF(C103&gt;0,", Finishing upto "&amp;C103&amp;" Floor","")))&amp;(IF(C104=H92,"",IF(C104&gt;0,", Possession upto "&amp;C104&amp;" Floor","")))</f>
        <v/>
      </c>
      <c r="S91"/>
    </row>
    <row r="92" spans="1:19" hidden="1" x14ac:dyDescent="0.25">
      <c r="A92" s="16" t="s">
        <v>141</v>
      </c>
      <c r="B92" s="45">
        <f>IF(AND(ISNUMBER(SEARCH("1B",C91))),1,IF(AND(ISNUMBER(SEARCH("2B",C91))),2,IF(AND(ISNUMBER(SEARCH("3B",C91))),3,IF(AND(ISNUMBER(SEARCH("4B",C91))),4,IF(ISNUMBER(SEARCH("5B",C91)),5,0)))))</f>
        <v>1</v>
      </c>
      <c r="C92" s="45" t="s">
        <v>68</v>
      </c>
      <c r="D92" s="45">
        <v>1</v>
      </c>
      <c r="E92" s="45" t="s">
        <v>67</v>
      </c>
      <c r="F92" s="14">
        <v>0</v>
      </c>
      <c r="G92" s="46" t="s">
        <v>76</v>
      </c>
      <c r="H92" s="17">
        <f ca="1">--TRIM(RIGHT(SUBSTITUTE(LEFT(C91,_xlfn.AGGREGATE(16,6,FIND({0,1,2,3,4,5,6,7,8,9},C91,ROW(INDIRECT("1:"&amp;LEN(C91)))),1))," ",REPT(" ",LEN(C91))),LEN(C91)))</f>
        <v>19</v>
      </c>
      <c r="I92" s="49" t="str">
        <f ca="1">IF(D95=100%,"Excavation","")&amp;IF(D96=100%,", Plinth","")&amp;IF(D97=100%,", RCC Slab","")&amp;IF(D98=100%,", Brickwork","")&amp;IF(D99=100%,", Internal Plaster","")&amp;IF(D100=100%,", External Plaster","")&amp;IF(D101=100%,", Flooring","")&amp;IF(D102=100%,", Painting","")&amp;IF(D103=100%,", Building common Amenities","")</f>
        <v>Excavation, Plinth</v>
      </c>
      <c r="J92" s="50" t="str">
        <f ca="1">(IF(C95=0,"Work not yet Started.",IF(D95=25%,"Piling work in process",IF(D95=50%,"Excavation work in process",IF(D95=100%,"","0")))))&amp;(IF(C96=0%,"",IF(C96=J97,", Footing work is process",IF(C96=J98,", Footing work Completed",IF(C96=J99,", 1st Basement Completed",IF(C96=J100,", 1st &amp; 2nd Basement Completed",IF(C96=J101,", 1st to 3rd Basement Completed",IF(C96=J102,", 1st to 4th Basement Completed",IF(C96=J103,", Plinth work is process",IF(C96=J104,"","0"))))))))))</f>
        <v/>
      </c>
      <c r="S92"/>
    </row>
    <row r="93" spans="1:19" ht="36.75" hidden="1" customHeight="1" x14ac:dyDescent="0.25">
      <c r="A93" s="240" t="s">
        <v>86</v>
      </c>
      <c r="B93" s="221"/>
      <c r="C93" s="246" t="str">
        <f ca="1">I91</f>
        <v xml:space="preserve">Excavation, Plinth Completed </v>
      </c>
      <c r="D93" s="246"/>
      <c r="E93" s="246"/>
      <c r="F93" s="246"/>
      <c r="G93" s="246"/>
      <c r="H93" s="247"/>
      <c r="I93" s="49" t="str">
        <f ca="1">IF(I92&lt;&gt;""," Completed","")</f>
        <v xml:space="preserve"> Completed</v>
      </c>
      <c r="J93" s="50" t="str">
        <f ca="1">IF(J91&lt;&gt;"","Completed","")</f>
        <v/>
      </c>
      <c r="S93"/>
    </row>
    <row r="94" spans="1:19" ht="15.75" hidden="1" customHeight="1" x14ac:dyDescent="0.25">
      <c r="A94" s="166" t="s">
        <v>47</v>
      </c>
      <c r="B94" s="167"/>
      <c r="C94" s="43" t="s">
        <v>138</v>
      </c>
      <c r="D94" s="43" t="s">
        <v>79</v>
      </c>
      <c r="E94" s="167" t="s">
        <v>81</v>
      </c>
      <c r="F94" s="167"/>
      <c r="G94" s="167" t="s">
        <v>80</v>
      </c>
      <c r="H94" s="168"/>
      <c r="I94" s="13" t="s">
        <v>140</v>
      </c>
      <c r="J94" s="28">
        <f ca="1">H92*25%</f>
        <v>4.75</v>
      </c>
      <c r="S94"/>
    </row>
    <row r="95" spans="1:19" hidden="1" x14ac:dyDescent="0.25">
      <c r="A95" s="166" t="s">
        <v>127</v>
      </c>
      <c r="B95" s="167"/>
      <c r="C95" s="58">
        <f ca="1">J96</f>
        <v>19</v>
      </c>
      <c r="D95" s="19">
        <f ca="1">((100/H92)*C95)/100</f>
        <v>1</v>
      </c>
      <c r="E95" s="314">
        <f ca="1">(((C96/H92*10)+(40/(D92+F92+H92)*C97)+(7.5/(H92)*C98)+(7.5/(H92)*C99)+(10/H92*C100)+(10/H92*C101)+(5/H92*C102)+(5/H92*C103)+(5/H92*C104))/100)</f>
        <v>0.1</v>
      </c>
      <c r="F95" s="337"/>
      <c r="G95" s="314">
        <f ca="1">((((C95/H92)*20)+((C96/H92)*25)+(30/(H92+F92+D92)*C97)+(5/H92*C98)+(5/H92*C99)+(5/H92*C100)+(5/H92*C101)+(0/H92*C102)+(0/H92*C103)+(5/H92*C104))/100)</f>
        <v>0.45</v>
      </c>
      <c r="H95" s="315"/>
      <c r="I95" s="13" t="s">
        <v>97</v>
      </c>
      <c r="J95" s="29">
        <f ca="1">H92*50%</f>
        <v>9.5</v>
      </c>
    </row>
    <row r="96" spans="1:19" hidden="1" x14ac:dyDescent="0.25">
      <c r="A96" s="166" t="s">
        <v>48</v>
      </c>
      <c r="B96" s="167"/>
      <c r="C96" s="43">
        <f ca="1">J104</f>
        <v>19</v>
      </c>
      <c r="D96" s="19">
        <f ca="1">((100/H92)*C96)/100</f>
        <v>1</v>
      </c>
      <c r="E96" s="316"/>
      <c r="F96" s="338"/>
      <c r="G96" s="316"/>
      <c r="H96" s="317"/>
      <c r="I96" s="13" t="s">
        <v>98</v>
      </c>
      <c r="J96" s="29">
        <f ca="1">H92</f>
        <v>19</v>
      </c>
      <c r="S96"/>
    </row>
    <row r="97" spans="1:19" ht="15.75" hidden="1" customHeight="1" x14ac:dyDescent="0.25">
      <c r="A97" s="166" t="s">
        <v>128</v>
      </c>
      <c r="B97" s="167"/>
      <c r="C97" s="43">
        <v>0</v>
      </c>
      <c r="D97" s="19">
        <f ca="1">((100/(D92+F92+H92))*C97)/100</f>
        <v>0</v>
      </c>
      <c r="E97" s="316"/>
      <c r="F97" s="338"/>
      <c r="G97" s="316"/>
      <c r="H97" s="317"/>
      <c r="I97" s="13" t="s">
        <v>99</v>
      </c>
      <c r="J97" s="30">
        <f ca="1">(IF(B92&gt;1,(H92/(B92+2)),H92/4))</f>
        <v>4.75</v>
      </c>
      <c r="S97"/>
    </row>
    <row r="98" spans="1:19" ht="15.75" hidden="1" customHeight="1" x14ac:dyDescent="0.25">
      <c r="A98" s="166" t="s">
        <v>135</v>
      </c>
      <c r="B98" s="167" t="s">
        <v>129</v>
      </c>
      <c r="C98" s="43">
        <v>0</v>
      </c>
      <c r="D98" s="19">
        <f ca="1">((100/H92)*C98)/100</f>
        <v>0</v>
      </c>
      <c r="E98" s="316"/>
      <c r="F98" s="338"/>
      <c r="G98" s="316"/>
      <c r="H98" s="317"/>
      <c r="I98" s="13" t="s">
        <v>100</v>
      </c>
      <c r="J98" s="30">
        <f ca="1">(IF(B92&gt;1,(H92/(B92+2)+J97),H92/4+J97))</f>
        <v>9.5</v>
      </c>
    </row>
    <row r="99" spans="1:19" ht="15.75" hidden="1" customHeight="1" x14ac:dyDescent="0.25">
      <c r="A99" s="166" t="s">
        <v>136</v>
      </c>
      <c r="B99" s="167" t="s">
        <v>129</v>
      </c>
      <c r="C99" s="43">
        <v>0</v>
      </c>
      <c r="D99" s="19">
        <f ca="1">((100/H92)*C99)/100</f>
        <v>0</v>
      </c>
      <c r="E99" s="316"/>
      <c r="F99" s="338"/>
      <c r="G99" s="316"/>
      <c r="H99" s="317"/>
      <c r="I99" s="13" t="s">
        <v>145</v>
      </c>
      <c r="J99" s="30">
        <f>(IF(B92&gt;1,(H92/(B92+2)+J98),0))</f>
        <v>0</v>
      </c>
    </row>
    <row r="100" spans="1:19" ht="15" hidden="1" customHeight="1" x14ac:dyDescent="0.25">
      <c r="A100" s="166" t="s">
        <v>134</v>
      </c>
      <c r="B100" s="167" t="s">
        <v>131</v>
      </c>
      <c r="C100" s="43">
        <v>0</v>
      </c>
      <c r="D100" s="19">
        <f ca="1">((100/(H92))*C100)/100</f>
        <v>0</v>
      </c>
      <c r="E100" s="316"/>
      <c r="F100" s="338"/>
      <c r="G100" s="316"/>
      <c r="H100" s="317"/>
      <c r="I100" s="13" t="s">
        <v>142</v>
      </c>
      <c r="J100" s="30">
        <f>(IF(B92&gt;2,(H92/(B92+2)+J99),0))</f>
        <v>0</v>
      </c>
    </row>
    <row r="101" spans="1:19" ht="15.75" hidden="1" customHeight="1" x14ac:dyDescent="0.25">
      <c r="A101" s="166" t="s">
        <v>130</v>
      </c>
      <c r="B101" s="167" t="s">
        <v>130</v>
      </c>
      <c r="C101" s="43">
        <v>0</v>
      </c>
      <c r="D101" s="19">
        <f ca="1">((100/H92)*C101)/100</f>
        <v>0</v>
      </c>
      <c r="E101" s="316"/>
      <c r="F101" s="338"/>
      <c r="G101" s="316"/>
      <c r="H101" s="317"/>
      <c r="I101" s="13" t="s">
        <v>143</v>
      </c>
      <c r="J101" s="31">
        <f>(IF(B92&gt;3,(H92/(B92+2)+J100),0))</f>
        <v>0</v>
      </c>
    </row>
    <row r="102" spans="1:19" ht="15.75" hidden="1" customHeight="1" x14ac:dyDescent="0.25">
      <c r="A102" s="166" t="s">
        <v>137</v>
      </c>
      <c r="B102" s="167"/>
      <c r="C102" s="43">
        <v>0</v>
      </c>
      <c r="D102" s="19">
        <f ca="1">((100/H92)*C102)/100</f>
        <v>0</v>
      </c>
      <c r="E102" s="316"/>
      <c r="F102" s="338"/>
      <c r="G102" s="316"/>
      <c r="H102" s="317"/>
      <c r="I102" s="13" t="s">
        <v>144</v>
      </c>
      <c r="J102" s="30">
        <f>(IF(B92&gt;4,(H92/(B92+2)+J101),0))</f>
        <v>0</v>
      </c>
    </row>
    <row r="103" spans="1:19" ht="15.75" hidden="1" customHeight="1" x14ac:dyDescent="0.25">
      <c r="A103" s="166" t="s">
        <v>132</v>
      </c>
      <c r="B103" s="167" t="s">
        <v>132</v>
      </c>
      <c r="C103" s="43">
        <v>0</v>
      </c>
      <c r="D103" s="19">
        <f ca="1">((100/(H92))*C103)/100</f>
        <v>0</v>
      </c>
      <c r="E103" s="316"/>
      <c r="F103" s="338"/>
      <c r="G103" s="316"/>
      <c r="H103" s="317"/>
      <c r="I103" s="13" t="s">
        <v>146</v>
      </c>
      <c r="J103" s="30">
        <f ca="1">(IF(B92=1,(H92/(B92+3)+J98),IF(B92=0,(H92/4+J98),IF(B92&gt;1,0))))</f>
        <v>14.25</v>
      </c>
    </row>
    <row r="104" spans="1:19" ht="16.5" hidden="1" thickBot="1" x14ac:dyDescent="0.3">
      <c r="A104" s="194" t="s">
        <v>133</v>
      </c>
      <c r="B104" s="195"/>
      <c r="C104" s="44">
        <v>0</v>
      </c>
      <c r="D104" s="20">
        <f ca="1">((100/(H92))*C104)/100</f>
        <v>0</v>
      </c>
      <c r="E104" s="318"/>
      <c r="F104" s="339"/>
      <c r="G104" s="318"/>
      <c r="H104" s="319"/>
      <c r="I104" s="15" t="s">
        <v>101</v>
      </c>
      <c r="J104" s="32">
        <f ca="1">(IF(B92&gt;1.5,(H92/(B92+2)+J98+MAX(0,J99-J98)+MAX(0,J100-J99)+MAX(0,J101-J100)+MAX(0,J102-J101)+MAX(0,J103-J102)),IF(B92=1,(H92/(B92+3)+J103),IF(B92=0,H92/4+J103))))</f>
        <v>19</v>
      </c>
    </row>
    <row r="105" spans="1:19" ht="15.75" hidden="1" customHeight="1" x14ac:dyDescent="0.25">
      <c r="A105" s="304" t="s">
        <v>139</v>
      </c>
      <c r="B105" s="305"/>
      <c r="C105" s="306" t="str">
        <f>D69</f>
        <v>C Wing = 1B + G + 1st to 20th Floor</v>
      </c>
      <c r="D105" s="307"/>
      <c r="E105" s="307"/>
      <c r="F105" s="307"/>
      <c r="G105" s="307"/>
      <c r="H105" s="308"/>
      <c r="I105" s="47" t="str">
        <f ca="1">IF(D118=100%,"All work Completed. Possession granted to the Building.",IF(D117=100%,"All work Completed, Waiting for OC",I106&amp;""&amp;I107&amp;""&amp;J106&amp;""&amp;J105&amp;" "&amp;J107))</f>
        <v xml:space="preserve">Excavation, Plinth Completed </v>
      </c>
      <c r="J105" s="48" t="str">
        <f ca="1">(IF(C111=(D106+F106+H106),"",IF(C111&gt;0,", RCC upto "&amp;C111&amp;" Slab","")))&amp;(IF(C112=H106,"",IF(C112&gt;0,", Brickwork upto "&amp;C112&amp;" Floor","")))&amp;(IF(C113=H106,"",IF(C113&gt;0,", Internal Plaster upto "&amp;C113&amp;" Floor","")))&amp;(IF(C114=H106,"",IF(C114&gt;0,", External Plaster upto "&amp;C114&amp;" Floor","")))&amp;(IF(C115=H106,"",IF(C115&gt;0,", Flooring upto "&amp;C115&amp;" Floor","")))&amp;(IF(C116=H106,"",IF(C116&gt;0,", Painting upto "&amp;C116&amp;" Floor","")))&amp;(IF(C117=H106,"",IF(C117&gt;0,", Finishing upto "&amp;C117&amp;" Floor","")))&amp;(IF(C118=H106,"",IF(C118&gt;0,", Possession upto "&amp;C118&amp;" Floor","")))</f>
        <v/>
      </c>
      <c r="S105"/>
    </row>
    <row r="106" spans="1:19" hidden="1" x14ac:dyDescent="0.25">
      <c r="A106" s="16" t="s">
        <v>141</v>
      </c>
      <c r="B106" s="45">
        <f>IF(AND(ISNUMBER(SEARCH("1B",C105))),1,IF(AND(ISNUMBER(SEARCH("2B",C105))),2,IF(AND(ISNUMBER(SEARCH("3B",C105))),3,IF(AND(ISNUMBER(SEARCH("4B",C105))),4,IF(ISNUMBER(SEARCH("5B",C105)),5,0)))))</f>
        <v>1</v>
      </c>
      <c r="C106" s="45" t="s">
        <v>68</v>
      </c>
      <c r="D106" s="45">
        <v>1</v>
      </c>
      <c r="E106" s="45" t="s">
        <v>67</v>
      </c>
      <c r="F106" s="14">
        <v>0</v>
      </c>
      <c r="G106" s="46" t="s">
        <v>76</v>
      </c>
      <c r="H106" s="17">
        <f ca="1">--TRIM(RIGHT(SUBSTITUTE(LEFT(C105,_xlfn.AGGREGATE(16,6,FIND({0,1,2,3,4,5,6,7,8,9},C105,ROW(INDIRECT("1:"&amp;LEN(C105)))),1))," ",REPT(" ",LEN(C105))),LEN(C105)))</f>
        <v>20</v>
      </c>
      <c r="I106" s="49" t="str">
        <f ca="1">IF(D109=100%,"Excavation","")&amp;IF(D110=100%,", Plinth","")&amp;IF(D111=100%,", RCC Slab","")&amp;IF(D112=100%,", Brickwork","")&amp;IF(D113=100%,", Internal Plaster","")&amp;IF(D114=100%,", External Plaster","")&amp;IF(D115=100%,", Flooring","")&amp;IF(D116=100%,", Painting","")&amp;IF(D117=100%,", Building common Amenities","")</f>
        <v>Excavation, Plinth</v>
      </c>
      <c r="J106" s="50" t="str">
        <f ca="1">(IF(C109=0,"Work not yet Started.",IF(D109=25%,"Piling work in process",IF(D109=50%,"Excavation work in process",IF(D109=100%,"","0")))))&amp;(IF(C110=0%,"",IF(C110=J111,", Footing work is process",IF(C110=J112,", Footing work Completed",IF(C110=J113,", 1st Basement Completed",IF(C110=J114,", 1st &amp; 2nd Basement Completed",IF(C110=J115,", 1st to 3rd Basement Completed",IF(C110=J116,", 1st to 4th Basement Completed",IF(C110=J117,", Plinth work is process",IF(C110=J118,"","0"))))))))))</f>
        <v/>
      </c>
      <c r="S106"/>
    </row>
    <row r="107" spans="1:19" hidden="1" x14ac:dyDescent="0.25">
      <c r="A107" s="240" t="s">
        <v>86</v>
      </c>
      <c r="B107" s="221"/>
      <c r="C107" s="246" t="str">
        <f ca="1">I105</f>
        <v xml:space="preserve">Excavation, Plinth Completed </v>
      </c>
      <c r="D107" s="246"/>
      <c r="E107" s="246"/>
      <c r="F107" s="246"/>
      <c r="G107" s="246"/>
      <c r="H107" s="247"/>
      <c r="I107" s="49" t="str">
        <f ca="1">IF(I106&lt;&gt;""," Completed","")</f>
        <v xml:space="preserve"> Completed</v>
      </c>
      <c r="J107" s="50" t="str">
        <f ca="1">IF(J105&lt;&gt;"","Completed","")</f>
        <v/>
      </c>
      <c r="S107"/>
    </row>
    <row r="108" spans="1:19" ht="15.75" hidden="1" customHeight="1" x14ac:dyDescent="0.25">
      <c r="A108" s="166" t="s">
        <v>47</v>
      </c>
      <c r="B108" s="167"/>
      <c r="C108" s="43" t="s">
        <v>138</v>
      </c>
      <c r="D108" s="43" t="s">
        <v>79</v>
      </c>
      <c r="E108" s="167" t="s">
        <v>81</v>
      </c>
      <c r="F108" s="167"/>
      <c r="G108" s="167" t="s">
        <v>80</v>
      </c>
      <c r="H108" s="168"/>
      <c r="I108" s="13" t="s">
        <v>140</v>
      </c>
      <c r="J108" s="28">
        <f ca="1">H106*25%</f>
        <v>5</v>
      </c>
      <c r="S108"/>
    </row>
    <row r="109" spans="1:19" hidden="1" x14ac:dyDescent="0.25">
      <c r="A109" s="166" t="s">
        <v>127</v>
      </c>
      <c r="B109" s="167"/>
      <c r="C109" s="58">
        <f ca="1">J110</f>
        <v>20</v>
      </c>
      <c r="D109" s="19">
        <f ca="1">((100/H106)*C109)/100</f>
        <v>1</v>
      </c>
      <c r="E109" s="314">
        <f ca="1">(((C110/H106*10)+(40/(D106+F106+H106)*C111)+(7.5/(H106)*C112)+(7.5/(H106)*C113)+(10/H106*C114)+(10/H106*C115)+(5/H106*C116)+(5/H106*C117)+(5/H106*C118))/100)</f>
        <v>0.1</v>
      </c>
      <c r="F109" s="337"/>
      <c r="G109" s="314">
        <f ca="1">((((C109/H106)*20)+((C110/H106)*25)+(30/(H106+F106+D106)*C111)+(5/H106*C112)+(5/H106*C113)+(5/H106*C114)+(5/H106*C115)+(0/H106*C116)+(0/H106*C117)+(5/H106*C118))/100)</f>
        <v>0.45</v>
      </c>
      <c r="H109" s="315"/>
      <c r="I109" s="13" t="s">
        <v>97</v>
      </c>
      <c r="J109" s="29">
        <f ca="1">H106*50%</f>
        <v>10</v>
      </c>
    </row>
    <row r="110" spans="1:19" hidden="1" x14ac:dyDescent="0.25">
      <c r="A110" s="166" t="s">
        <v>48</v>
      </c>
      <c r="B110" s="167"/>
      <c r="C110" s="43">
        <f ca="1">J118</f>
        <v>20</v>
      </c>
      <c r="D110" s="19">
        <f ca="1">((100/H106)*C110)/100</f>
        <v>1</v>
      </c>
      <c r="E110" s="316"/>
      <c r="F110" s="338"/>
      <c r="G110" s="316"/>
      <c r="H110" s="317"/>
      <c r="I110" s="13" t="s">
        <v>98</v>
      </c>
      <c r="J110" s="29">
        <f ca="1">H106</f>
        <v>20</v>
      </c>
      <c r="S110"/>
    </row>
    <row r="111" spans="1:19" ht="15.75" hidden="1" customHeight="1" x14ac:dyDescent="0.25">
      <c r="A111" s="166" t="s">
        <v>128</v>
      </c>
      <c r="B111" s="167"/>
      <c r="C111" s="43">
        <v>0</v>
      </c>
      <c r="D111" s="19">
        <f ca="1">((100/(D106+F106+H106))*C111)/100</f>
        <v>0</v>
      </c>
      <c r="E111" s="316"/>
      <c r="F111" s="338"/>
      <c r="G111" s="316"/>
      <c r="H111" s="317"/>
      <c r="I111" s="13" t="s">
        <v>99</v>
      </c>
      <c r="J111" s="30">
        <f ca="1">(IF(B106&gt;1,(H106/(B106+2)),H106/4))</f>
        <v>5</v>
      </c>
      <c r="S111"/>
    </row>
    <row r="112" spans="1:19" ht="15.75" hidden="1" customHeight="1" x14ac:dyDescent="0.25">
      <c r="A112" s="166" t="s">
        <v>135</v>
      </c>
      <c r="B112" s="167" t="s">
        <v>129</v>
      </c>
      <c r="C112" s="43">
        <v>0</v>
      </c>
      <c r="D112" s="19">
        <f ca="1">((100/H106)*C112)/100</f>
        <v>0</v>
      </c>
      <c r="E112" s="316"/>
      <c r="F112" s="338"/>
      <c r="G112" s="316"/>
      <c r="H112" s="317"/>
      <c r="I112" s="13" t="s">
        <v>100</v>
      </c>
      <c r="J112" s="30">
        <f ca="1">(IF(B106&gt;1,(H106/(B106+2)+J111),H106/4+J111))</f>
        <v>10</v>
      </c>
    </row>
    <row r="113" spans="1:22" ht="15.75" hidden="1" customHeight="1" x14ac:dyDescent="0.25">
      <c r="A113" s="166" t="s">
        <v>136</v>
      </c>
      <c r="B113" s="167" t="s">
        <v>129</v>
      </c>
      <c r="C113" s="43">
        <v>0</v>
      </c>
      <c r="D113" s="19">
        <f ca="1">((100/H106)*C113)/100</f>
        <v>0</v>
      </c>
      <c r="E113" s="316"/>
      <c r="F113" s="338"/>
      <c r="G113" s="316"/>
      <c r="H113" s="317"/>
      <c r="I113" s="13" t="s">
        <v>145</v>
      </c>
      <c r="J113" s="30">
        <f>(IF(B106&gt;1,(H106/(B106+2)+J112),0))</f>
        <v>0</v>
      </c>
    </row>
    <row r="114" spans="1:22" ht="15" hidden="1" customHeight="1" x14ac:dyDescent="0.25">
      <c r="A114" s="166" t="s">
        <v>134</v>
      </c>
      <c r="B114" s="167" t="s">
        <v>131</v>
      </c>
      <c r="C114" s="43">
        <v>0</v>
      </c>
      <c r="D114" s="19">
        <f ca="1">((100/(H106))*C114)/100</f>
        <v>0</v>
      </c>
      <c r="E114" s="316"/>
      <c r="F114" s="338"/>
      <c r="G114" s="316"/>
      <c r="H114" s="317"/>
      <c r="I114" s="13" t="s">
        <v>142</v>
      </c>
      <c r="J114" s="30">
        <f>(IF(B106&gt;2,(H106/(B106+2)+J113),0))</f>
        <v>0</v>
      </c>
    </row>
    <row r="115" spans="1:22" ht="15.75" hidden="1" customHeight="1" x14ac:dyDescent="0.25">
      <c r="A115" s="166" t="s">
        <v>130</v>
      </c>
      <c r="B115" s="167" t="s">
        <v>130</v>
      </c>
      <c r="C115" s="43">
        <v>0</v>
      </c>
      <c r="D115" s="19">
        <f ca="1">((100/H106)*C115)/100</f>
        <v>0</v>
      </c>
      <c r="E115" s="316"/>
      <c r="F115" s="338"/>
      <c r="G115" s="316"/>
      <c r="H115" s="317"/>
      <c r="I115" s="13" t="s">
        <v>143</v>
      </c>
      <c r="J115" s="31">
        <f>(IF(B106&gt;3,(H106/(B106+2)+J114),0))</f>
        <v>0</v>
      </c>
    </row>
    <row r="116" spans="1:22" ht="15.75" hidden="1" customHeight="1" x14ac:dyDescent="0.25">
      <c r="A116" s="166" t="s">
        <v>137</v>
      </c>
      <c r="B116" s="167"/>
      <c r="C116" s="43">
        <v>0</v>
      </c>
      <c r="D116" s="19">
        <f ca="1">((100/H106)*C116)/100</f>
        <v>0</v>
      </c>
      <c r="E116" s="316"/>
      <c r="F116" s="338"/>
      <c r="G116" s="316"/>
      <c r="H116" s="317"/>
      <c r="I116" s="13" t="s">
        <v>144</v>
      </c>
      <c r="J116" s="30">
        <f>(IF(B106&gt;4,(H106/(B106+2)+J115),0))</f>
        <v>0</v>
      </c>
    </row>
    <row r="117" spans="1:22" ht="15.75" hidden="1" customHeight="1" x14ac:dyDescent="0.25">
      <c r="A117" s="166" t="s">
        <v>132</v>
      </c>
      <c r="B117" s="167" t="s">
        <v>132</v>
      </c>
      <c r="C117" s="43">
        <v>0</v>
      </c>
      <c r="D117" s="19">
        <f ca="1">((100/(H106))*C117)/100</f>
        <v>0</v>
      </c>
      <c r="E117" s="316"/>
      <c r="F117" s="338"/>
      <c r="G117" s="316"/>
      <c r="H117" s="317"/>
      <c r="I117" s="13" t="s">
        <v>146</v>
      </c>
      <c r="J117" s="30">
        <f ca="1">(IF(B106=1,(H106/(B106+3)+J112),IF(B106=0,(H106/4+J112),IF(B106&gt;1,0))))</f>
        <v>15</v>
      </c>
    </row>
    <row r="118" spans="1:22" ht="16.5" hidden="1" thickBot="1" x14ac:dyDescent="0.3">
      <c r="A118" s="194" t="s">
        <v>133</v>
      </c>
      <c r="B118" s="195"/>
      <c r="C118" s="44">
        <v>0</v>
      </c>
      <c r="D118" s="20">
        <f ca="1">((100/(H106))*C118)/100</f>
        <v>0</v>
      </c>
      <c r="E118" s="318"/>
      <c r="F118" s="339"/>
      <c r="G118" s="318"/>
      <c r="H118" s="319"/>
      <c r="I118" s="15" t="s">
        <v>101</v>
      </c>
      <c r="J118" s="32">
        <f ca="1">(IF(B106&gt;1.5,(H106/(B106+2)+J112+MAX(0,J113-J112)+MAX(0,J114-J113)+MAX(0,J115-J114)+MAX(0,J116-J115)+MAX(0,J117-J116)),IF(B106=1,(H106/(B106+3)+J117),IF(B106=0,H106/4+J117))))</f>
        <v>20</v>
      </c>
    </row>
    <row r="119" spans="1:22" x14ac:dyDescent="0.25">
      <c r="A119" s="163" t="s">
        <v>156</v>
      </c>
      <c r="B119" s="163"/>
      <c r="C119" s="163"/>
      <c r="D119" s="163"/>
      <c r="E119" s="163"/>
      <c r="F119" s="215" t="s">
        <v>160</v>
      </c>
      <c r="G119" s="215"/>
      <c r="H119" s="215"/>
      <c r="I119" s="23"/>
      <c r="R119" t="s">
        <v>251</v>
      </c>
      <c r="S119" t="s">
        <v>172</v>
      </c>
      <c r="T119" t="s">
        <v>177</v>
      </c>
      <c r="U119" t="s">
        <v>191</v>
      </c>
      <c r="V119" t="s">
        <v>186</v>
      </c>
    </row>
    <row r="120" spans="1:22" x14ac:dyDescent="0.25">
      <c r="A120" s="165" t="s">
        <v>158</v>
      </c>
      <c r="B120" s="165"/>
      <c r="C120" s="165"/>
      <c r="D120" s="165"/>
      <c r="E120" s="165"/>
      <c r="F120" s="164">
        <v>26500</v>
      </c>
      <c r="G120" s="164"/>
      <c r="H120" s="164"/>
      <c r="I120" s="23" t="s">
        <v>452</v>
      </c>
      <c r="R120"/>
      <c r="S120">
        <v>800000</v>
      </c>
      <c r="T120">
        <v>150000</v>
      </c>
      <c r="U120">
        <v>100000</v>
      </c>
      <c r="V120">
        <v>100000</v>
      </c>
    </row>
    <row r="121" spans="1:22" hidden="1" x14ac:dyDescent="0.25">
      <c r="A121" s="165" t="s">
        <v>157</v>
      </c>
      <c r="B121" s="165"/>
      <c r="C121" s="165"/>
      <c r="D121" s="165"/>
      <c r="E121" s="165"/>
      <c r="F121" s="164"/>
      <c r="G121" s="164"/>
      <c r="H121" s="164"/>
      <c r="I121" s="23"/>
      <c r="R121"/>
      <c r="S121">
        <v>900000</v>
      </c>
      <c r="T121">
        <v>200000</v>
      </c>
      <c r="U121">
        <v>150000</v>
      </c>
      <c r="V121">
        <v>150000</v>
      </c>
    </row>
    <row r="122" spans="1:22" hidden="1" x14ac:dyDescent="0.25">
      <c r="A122" s="165" t="s">
        <v>159</v>
      </c>
      <c r="B122" s="165"/>
      <c r="C122" s="165"/>
      <c r="D122" s="165"/>
      <c r="E122" s="165"/>
      <c r="F122" s="164"/>
      <c r="G122" s="164"/>
      <c r="H122" s="164"/>
      <c r="I122" s="23"/>
      <c r="R122"/>
      <c r="S122">
        <v>1000000</v>
      </c>
      <c r="T122">
        <v>250000</v>
      </c>
      <c r="U122">
        <v>200000</v>
      </c>
      <c r="V122">
        <v>200000</v>
      </c>
    </row>
    <row r="123" spans="1:22" s="33" customFormat="1" hidden="1" x14ac:dyDescent="0.25">
      <c r="A123" s="165" t="s">
        <v>174</v>
      </c>
      <c r="B123" s="165"/>
      <c r="C123" s="165"/>
      <c r="D123" s="165"/>
      <c r="E123" s="165"/>
      <c r="F123" s="164"/>
      <c r="G123" s="164"/>
      <c r="H123" s="164"/>
      <c r="I123" s="117"/>
      <c r="R123"/>
      <c r="S123">
        <v>1100000</v>
      </c>
      <c r="T123">
        <v>300000</v>
      </c>
      <c r="U123">
        <v>250000</v>
      </c>
      <c r="V123" s="23">
        <v>250000</v>
      </c>
    </row>
    <row r="124" spans="1:22" s="33" customFormat="1" hidden="1" x14ac:dyDescent="0.25">
      <c r="A124" s="165" t="s">
        <v>91</v>
      </c>
      <c r="B124" s="165"/>
      <c r="C124" s="165"/>
      <c r="D124" s="165"/>
      <c r="E124" s="165"/>
      <c r="F124" s="164"/>
      <c r="G124" s="164"/>
      <c r="H124" s="164"/>
      <c r="I124" s="117"/>
      <c r="R124"/>
      <c r="S124">
        <v>1200000</v>
      </c>
      <c r="T124">
        <v>350000</v>
      </c>
      <c r="U124">
        <v>300000</v>
      </c>
      <c r="V124">
        <v>300000</v>
      </c>
    </row>
    <row r="125" spans="1:22" s="33" customFormat="1" hidden="1" x14ac:dyDescent="0.25">
      <c r="A125" s="165" t="s">
        <v>92</v>
      </c>
      <c r="B125" s="165"/>
      <c r="C125" s="165"/>
      <c r="D125" s="165"/>
      <c r="E125" s="165"/>
      <c r="F125" s="164"/>
      <c r="G125" s="164"/>
      <c r="H125" s="164"/>
      <c r="I125" s="117"/>
      <c r="R125"/>
      <c r="S125">
        <v>1300000</v>
      </c>
      <c r="T125">
        <v>400000</v>
      </c>
      <c r="U125">
        <v>350000</v>
      </c>
      <c r="V125" s="23">
        <v>400000</v>
      </c>
    </row>
    <row r="126" spans="1:22" s="33" customFormat="1" hidden="1" x14ac:dyDescent="0.25">
      <c r="A126" s="165" t="s">
        <v>93</v>
      </c>
      <c r="B126" s="165"/>
      <c r="C126" s="165"/>
      <c r="D126" s="165"/>
      <c r="E126" s="165"/>
      <c r="F126" s="164"/>
      <c r="G126" s="164"/>
      <c r="H126" s="164"/>
      <c r="I126" s="117"/>
      <c r="R126"/>
      <c r="S126">
        <v>1400000</v>
      </c>
      <c r="T126">
        <v>500000</v>
      </c>
      <c r="U126">
        <v>400000</v>
      </c>
      <c r="V126"/>
    </row>
    <row r="127" spans="1:22" s="33" customFormat="1" hidden="1" x14ac:dyDescent="0.25">
      <c r="A127" s="165" t="s">
        <v>94</v>
      </c>
      <c r="B127" s="165"/>
      <c r="C127" s="165"/>
      <c r="D127" s="165"/>
      <c r="E127" s="165"/>
      <c r="F127" s="164"/>
      <c r="G127" s="164"/>
      <c r="H127" s="164"/>
      <c r="I127" s="117"/>
      <c r="R127"/>
      <c r="S127">
        <v>1500000</v>
      </c>
      <c r="T127">
        <v>600000</v>
      </c>
      <c r="U127">
        <v>500000</v>
      </c>
      <c r="V127" s="23"/>
    </row>
    <row r="128" spans="1:22" s="33" customFormat="1" hidden="1" x14ac:dyDescent="0.25">
      <c r="A128" s="165" t="s">
        <v>95</v>
      </c>
      <c r="B128" s="165"/>
      <c r="C128" s="165"/>
      <c r="D128" s="165"/>
      <c r="E128" s="165"/>
      <c r="F128" s="164"/>
      <c r="G128" s="164"/>
      <c r="H128" s="164"/>
      <c r="I128" s="117"/>
      <c r="R128"/>
      <c r="S128">
        <v>1600000</v>
      </c>
      <c r="T128">
        <v>700000</v>
      </c>
      <c r="U128">
        <v>600000</v>
      </c>
      <c r="V128"/>
    </row>
    <row r="129" spans="1:22" s="33" customFormat="1" hidden="1" x14ac:dyDescent="0.25">
      <c r="A129" s="165" t="s">
        <v>96</v>
      </c>
      <c r="B129" s="165"/>
      <c r="C129" s="165"/>
      <c r="D129" s="165"/>
      <c r="E129" s="165"/>
      <c r="F129" s="164"/>
      <c r="G129" s="164"/>
      <c r="H129" s="164"/>
      <c r="I129" s="117"/>
      <c r="R129"/>
      <c r="S129">
        <v>1700000</v>
      </c>
      <c r="T129">
        <v>800000</v>
      </c>
      <c r="U129"/>
      <c r="V129" s="23"/>
    </row>
    <row r="130" spans="1:22" x14ac:dyDescent="0.25">
      <c r="A130" s="165" t="s">
        <v>49</v>
      </c>
      <c r="B130" s="165"/>
      <c r="C130" s="165"/>
      <c r="D130" s="165"/>
      <c r="E130" s="165"/>
      <c r="F130" s="164">
        <v>1000000</v>
      </c>
      <c r="G130" s="164"/>
      <c r="H130" s="164"/>
      <c r="I130" s="23"/>
      <c r="R130"/>
      <c r="S130">
        <v>1800000</v>
      </c>
      <c r="T130">
        <v>900000</v>
      </c>
      <c r="U130"/>
    </row>
    <row r="131" spans="1:22" s="34" customFormat="1" x14ac:dyDescent="0.25">
      <c r="A131" s="221" t="s">
        <v>50</v>
      </c>
      <c r="B131" s="221"/>
      <c r="C131" s="221"/>
      <c r="D131" s="221"/>
      <c r="E131" s="221"/>
      <c r="F131" s="164">
        <f>F120*0.8</f>
        <v>21200</v>
      </c>
      <c r="G131" s="164"/>
      <c r="H131" s="164"/>
      <c r="I131" s="118"/>
      <c r="R131" s="21"/>
      <c r="S131" s="21"/>
      <c r="T131">
        <v>1000000</v>
      </c>
      <c r="U131"/>
      <c r="V131" s="21"/>
    </row>
    <row r="132" spans="1:22" s="35" customFormat="1" ht="15.75" hidden="1" customHeight="1" x14ac:dyDescent="0.25">
      <c r="A132" s="217" t="s">
        <v>71</v>
      </c>
      <c r="B132" s="217"/>
      <c r="C132" s="217"/>
      <c r="D132" s="217"/>
      <c r="E132" s="217"/>
      <c r="F132" s="217"/>
      <c r="G132" s="217"/>
      <c r="H132" s="217"/>
      <c r="R132"/>
      <c r="S132" s="21"/>
      <c r="T132"/>
      <c r="U132"/>
      <c r="V132" s="21"/>
    </row>
    <row r="133" spans="1:22" s="35" customFormat="1" ht="15.75" hidden="1" customHeight="1" x14ac:dyDescent="0.25">
      <c r="A133" s="172" t="s">
        <v>51</v>
      </c>
      <c r="B133" s="172"/>
      <c r="C133" s="181" t="s">
        <v>74</v>
      </c>
      <c r="D133" s="181"/>
      <c r="E133" s="157" t="s">
        <v>52</v>
      </c>
      <c r="F133" s="157"/>
      <c r="G133" s="172" t="s">
        <v>53</v>
      </c>
      <c r="H133" s="172"/>
      <c r="R133"/>
      <c r="S133" s="21"/>
      <c r="T133"/>
      <c r="U133" s="21"/>
      <c r="V133" s="21"/>
    </row>
    <row r="134" spans="1:22" s="35" customFormat="1" hidden="1" x14ac:dyDescent="0.25">
      <c r="A134" s="180"/>
      <c r="B134" s="180"/>
      <c r="C134" s="207"/>
      <c r="D134" s="207"/>
      <c r="E134" s="216"/>
      <c r="F134" s="216"/>
      <c r="G134" s="193"/>
      <c r="H134" s="193"/>
      <c r="R134"/>
      <c r="S134" s="21"/>
      <c r="T134"/>
      <c r="U134" s="21"/>
      <c r="V134" s="21"/>
    </row>
    <row r="135" spans="1:22" s="35" customFormat="1" hidden="1" x14ac:dyDescent="0.25">
      <c r="A135" s="180"/>
      <c r="B135" s="180"/>
      <c r="C135" s="207"/>
      <c r="D135" s="207"/>
      <c r="E135" s="216"/>
      <c r="F135" s="216"/>
      <c r="G135" s="193"/>
      <c r="H135" s="193"/>
      <c r="R135"/>
      <c r="S135" s="21"/>
      <c r="T135"/>
      <c r="U135" s="21"/>
      <c r="V135" s="21"/>
    </row>
    <row r="136" spans="1:22" s="35" customFormat="1" hidden="1" x14ac:dyDescent="0.25">
      <c r="A136" s="217" t="s">
        <v>149</v>
      </c>
      <c r="B136" s="217"/>
      <c r="C136" s="181"/>
      <c r="D136" s="181"/>
      <c r="E136" s="157"/>
      <c r="F136" s="157"/>
      <c r="G136" s="172"/>
      <c r="H136" s="172"/>
      <c r="R136"/>
      <c r="S136" s="21"/>
      <c r="T136"/>
      <c r="U136" s="21"/>
      <c r="V136" s="21"/>
    </row>
    <row r="137" spans="1:22" s="35" customFormat="1" x14ac:dyDescent="0.25">
      <c r="A137" s="217" t="s">
        <v>66</v>
      </c>
      <c r="B137" s="217"/>
      <c r="C137" s="217"/>
      <c r="D137" s="217"/>
      <c r="E137" s="217"/>
      <c r="F137" s="217"/>
      <c r="G137" s="217"/>
      <c r="H137" s="217"/>
      <c r="T137"/>
    </row>
    <row r="138" spans="1:22" s="35" customFormat="1" ht="15.75" customHeight="1" x14ac:dyDescent="0.25">
      <c r="A138" s="172" t="s">
        <v>51</v>
      </c>
      <c r="B138" s="172"/>
      <c r="C138" s="181" t="s">
        <v>74</v>
      </c>
      <c r="D138" s="181"/>
      <c r="E138" s="157" t="s">
        <v>52</v>
      </c>
      <c r="F138" s="157"/>
      <c r="G138" s="172" t="s">
        <v>53</v>
      </c>
      <c r="H138" s="172"/>
      <c r="T138"/>
    </row>
    <row r="139" spans="1:22" s="35" customFormat="1" x14ac:dyDescent="0.25">
      <c r="A139" s="180" t="s">
        <v>423</v>
      </c>
      <c r="B139" s="180"/>
      <c r="C139" s="206">
        <f>COUNT(F160)+COUNT(F164)+COUNT(F168:F170)+COUNT(F172:F175)*6</f>
        <v>29</v>
      </c>
      <c r="D139" s="206"/>
      <c r="E139" s="206">
        <f>SUM(F160)+SUM(F164)+SUM(F168:F170)+SUM(F172:F175)*6</f>
        <v>16128.777600000001</v>
      </c>
      <c r="F139" s="206"/>
      <c r="G139" s="206">
        <f>SUM(H160)+SUM(H164)+SUM(H168:H170)+SUM(H172:H175)*6</f>
        <v>24193.166399999995</v>
      </c>
      <c r="H139" s="206"/>
      <c r="I139" s="35">
        <f>2+2+2+4+4*6</f>
        <v>34</v>
      </c>
      <c r="J139" s="107">
        <f>18+7+9</f>
        <v>34</v>
      </c>
      <c r="T139"/>
    </row>
    <row r="140" spans="1:22" s="35" customFormat="1" x14ac:dyDescent="0.25">
      <c r="A140" s="180" t="s">
        <v>422</v>
      </c>
      <c r="B140" s="180"/>
      <c r="C140" s="206">
        <f>COUNT(F156:F157)+COUNT(F159)+COUNT(F163)+COUNT(F167)</f>
        <v>5</v>
      </c>
      <c r="D140" s="207"/>
      <c r="E140" s="206">
        <f>SUM(F156:F157)+SUM(F159)+SUM(F163)+SUM(F167)</f>
        <v>2177.12664</v>
      </c>
      <c r="F140" s="207"/>
      <c r="G140" s="206">
        <f>SUM(H156:H157)+SUM(H159)+SUM(H163)+SUM(H167)</f>
        <v>3265.6899599999997</v>
      </c>
      <c r="H140" s="207"/>
      <c r="T140"/>
    </row>
    <row r="141" spans="1:22" s="35" customFormat="1" x14ac:dyDescent="0.25">
      <c r="A141" s="225" t="s">
        <v>149</v>
      </c>
      <c r="B141" s="225"/>
      <c r="C141" s="196">
        <f>SUM(C139:D140)</f>
        <v>34</v>
      </c>
      <c r="D141" s="197"/>
      <c r="E141" s="196">
        <f>SUM(E139:F140)</f>
        <v>18305.90424</v>
      </c>
      <c r="F141" s="197"/>
      <c r="G141" s="196">
        <f>SUM(G139:H140)</f>
        <v>27458.856359999994</v>
      </c>
      <c r="H141" s="197"/>
      <c r="T141"/>
    </row>
    <row r="142" spans="1:22" s="35" customFormat="1" hidden="1" x14ac:dyDescent="0.25">
      <c r="A142" s="208" t="s">
        <v>165</v>
      </c>
      <c r="B142" s="209"/>
      <c r="C142" s="224">
        <f>C136+C141</f>
        <v>34</v>
      </c>
      <c r="D142" s="224"/>
      <c r="E142" s="320">
        <f>E136+E141</f>
        <v>18305.90424</v>
      </c>
      <c r="F142" s="320"/>
      <c r="G142" s="324">
        <f>G136+G141</f>
        <v>27458.856359999994</v>
      </c>
      <c r="H142" s="325"/>
      <c r="T142"/>
    </row>
    <row r="143" spans="1:22" s="34" customFormat="1" x14ac:dyDescent="0.25">
      <c r="A143" s="158" t="s">
        <v>353</v>
      </c>
      <c r="B143" s="158"/>
      <c r="C143" s="158"/>
      <c r="D143" s="158"/>
      <c r="E143" s="158"/>
      <c r="F143" s="158"/>
      <c r="G143" s="158"/>
      <c r="H143" s="158"/>
      <c r="T143" s="35"/>
    </row>
    <row r="144" spans="1:22" x14ac:dyDescent="0.25">
      <c r="A144" s="171" t="s">
        <v>424</v>
      </c>
      <c r="B144" s="171"/>
      <c r="C144" s="171"/>
      <c r="D144" s="171"/>
      <c r="E144" s="171"/>
      <c r="F144" s="171"/>
      <c r="G144" s="171"/>
      <c r="H144" s="171"/>
      <c r="T144" s="35"/>
    </row>
    <row r="145" spans="1:20" ht="47.25" hidden="1" customHeight="1" x14ac:dyDescent="0.25">
      <c r="A145" s="322" t="s">
        <v>117</v>
      </c>
      <c r="B145" s="204" t="s">
        <v>175</v>
      </c>
      <c r="C145" s="322" t="s">
        <v>54</v>
      </c>
      <c r="D145" s="204" t="s">
        <v>230</v>
      </c>
      <c r="E145" s="312" t="s">
        <v>155</v>
      </c>
      <c r="F145" s="322" t="s">
        <v>55</v>
      </c>
      <c r="G145" s="210" t="s">
        <v>56</v>
      </c>
      <c r="H145" s="62" t="s">
        <v>148</v>
      </c>
      <c r="T145" s="35"/>
    </row>
    <row r="146" spans="1:20" s="37" customFormat="1" hidden="1" x14ac:dyDescent="0.25">
      <c r="A146" s="323"/>
      <c r="B146" s="205"/>
      <c r="C146" s="323"/>
      <c r="D146" s="205"/>
      <c r="E146" s="313"/>
      <c r="F146" s="323"/>
      <c r="G146" s="211"/>
      <c r="H146" s="53">
        <v>0.45</v>
      </c>
      <c r="T146" s="35"/>
    </row>
    <row r="147" spans="1:20" s="37" customFormat="1" hidden="1" x14ac:dyDescent="0.25">
      <c r="A147" s="309" t="s">
        <v>116</v>
      </c>
      <c r="B147" s="310"/>
      <c r="C147" s="310"/>
      <c r="D147" s="310"/>
      <c r="E147" s="310"/>
      <c r="F147" s="310"/>
      <c r="G147" s="310"/>
      <c r="H147" s="311"/>
      <c r="J147" s="36"/>
      <c r="T147" s="35"/>
    </row>
    <row r="148" spans="1:20" s="37" customFormat="1" ht="15.75" hidden="1" customHeight="1" x14ac:dyDescent="0.25">
      <c r="A148" s="173">
        <v>1</v>
      </c>
      <c r="B148" s="174"/>
      <c r="C148" s="42"/>
      <c r="D148" s="42">
        <v>0</v>
      </c>
      <c r="E148" s="42">
        <v>0</v>
      </c>
      <c r="F148" s="42">
        <f>D148+(IF(E148&lt;201,E148,IF(E148&lt;301,E148/2,E148/3)))</f>
        <v>0</v>
      </c>
      <c r="G148" s="42">
        <v>0</v>
      </c>
      <c r="H148" s="42">
        <f>(F148+(IF(G148&lt;101,G148,IF(G148&lt;201,G148/2,IF(G148&lt;=301,G148/3,G148/4)))))*(($H$146)+1)</f>
        <v>0</v>
      </c>
      <c r="I148" s="36"/>
      <c r="L148" s="303"/>
      <c r="M148" s="303"/>
      <c r="N148" s="36"/>
      <c r="T148" s="35"/>
    </row>
    <row r="149" spans="1:20" s="37" customFormat="1" ht="15.75" hidden="1" customHeight="1" x14ac:dyDescent="0.25">
      <c r="A149" s="173">
        <f>A148+1</f>
        <v>2</v>
      </c>
      <c r="B149" s="174"/>
      <c r="C149" s="42"/>
      <c r="D149" s="42"/>
      <c r="E149" s="42">
        <v>0</v>
      </c>
      <c r="F149" s="42">
        <f>D149+(IF(E149&lt;201,E149,IF(E149&lt;301,E149/2,E149/3)))</f>
        <v>0</v>
      </c>
      <c r="G149" s="42">
        <v>0</v>
      </c>
      <c r="H149" s="42">
        <f>(F149+(IF(G149&lt;101,G149,IF(G149&lt;201,G149/2,IF(G149&lt;=301,G149/3,G149/4)))))*(($H$146)+1)</f>
        <v>0</v>
      </c>
      <c r="I149" s="36"/>
      <c r="L149" s="303"/>
      <c r="M149" s="303"/>
      <c r="N149" s="36"/>
      <c r="T149" s="34"/>
    </row>
    <row r="150" spans="1:20" s="37" customFormat="1" ht="15.75" hidden="1" customHeight="1" x14ac:dyDescent="0.25">
      <c r="A150" s="173">
        <f>A149+1</f>
        <v>3</v>
      </c>
      <c r="B150" s="174"/>
      <c r="C150" s="42"/>
      <c r="D150" s="42"/>
      <c r="E150" s="42">
        <v>0</v>
      </c>
      <c r="F150" s="42">
        <f>D150+(IF(E150&lt;201,E150,IF(E150&lt;301,E150/2,E150/3)))</f>
        <v>0</v>
      </c>
      <c r="G150" s="42">
        <v>0</v>
      </c>
      <c r="H150" s="42">
        <f>(F150+(IF(G150&lt;101,G150,IF(G150&lt;201,G150/2,IF(G150&lt;=301,G150/3,G150/4)))))*(($H$146)+1)</f>
        <v>0</v>
      </c>
      <c r="I150" s="36"/>
      <c r="L150" s="303"/>
      <c r="M150" s="303"/>
      <c r="N150" s="36"/>
      <c r="T150" s="21"/>
    </row>
    <row r="151" spans="1:20" s="37" customFormat="1" ht="15.75" hidden="1" customHeight="1" x14ac:dyDescent="0.25">
      <c r="A151" s="173">
        <f>A150+1</f>
        <v>4</v>
      </c>
      <c r="B151" s="174"/>
      <c r="C151" s="42"/>
      <c r="D151" s="42"/>
      <c r="E151" s="42">
        <v>0</v>
      </c>
      <c r="F151" s="42">
        <f>D151+(IF(E151&lt;201,E151,IF(E151&lt;301,E151/2,E151/3)))</f>
        <v>0</v>
      </c>
      <c r="G151" s="42">
        <v>0</v>
      </c>
      <c r="H151" s="42">
        <f>(F151+(IF(G151&lt;101,G151,IF(G151&lt;201,G151/2,IF(G151&lt;=301,G151/3,G151/4)))))*(($H$146)+1)</f>
        <v>0</v>
      </c>
      <c r="I151" s="36"/>
      <c r="L151" s="303"/>
      <c r="M151" s="303"/>
      <c r="N151" s="36"/>
      <c r="T151" s="21"/>
    </row>
    <row r="152" spans="1:20" s="37" customFormat="1" hidden="1" x14ac:dyDescent="0.25">
      <c r="A152" s="173"/>
      <c r="B152" s="188"/>
      <c r="C152" s="188"/>
      <c r="D152" s="188"/>
      <c r="E152" s="188"/>
      <c r="F152" s="188"/>
      <c r="G152" s="188"/>
      <c r="H152" s="174"/>
      <c r="I152" s="36"/>
      <c r="N152" s="36"/>
    </row>
    <row r="153" spans="1:20" ht="47.25" customHeight="1" x14ac:dyDescent="0.25">
      <c r="A153" s="159" t="s">
        <v>118</v>
      </c>
      <c r="B153" s="191" t="s">
        <v>408</v>
      </c>
      <c r="C153" s="161" t="s">
        <v>54</v>
      </c>
      <c r="D153" s="191" t="s">
        <v>374</v>
      </c>
      <c r="E153" s="191" t="s">
        <v>229</v>
      </c>
      <c r="F153" s="161" t="s">
        <v>55</v>
      </c>
      <c r="G153" s="161" t="s">
        <v>56</v>
      </c>
      <c r="H153" s="102" t="s">
        <v>148</v>
      </c>
      <c r="I153" s="95">
        <v>10.763999999999999</v>
      </c>
      <c r="T153" s="37"/>
    </row>
    <row r="154" spans="1:20" s="37" customFormat="1" x14ac:dyDescent="0.25">
      <c r="A154" s="160"/>
      <c r="B154" s="192"/>
      <c r="C154" s="162"/>
      <c r="D154" s="192"/>
      <c r="E154" s="192"/>
      <c r="F154" s="162"/>
      <c r="G154" s="162"/>
      <c r="H154" s="98">
        <v>0.5</v>
      </c>
      <c r="I154" s="36"/>
    </row>
    <row r="155" spans="1:20" s="94" customFormat="1" x14ac:dyDescent="0.25">
      <c r="A155" s="141" t="s">
        <v>427</v>
      </c>
      <c r="B155" s="142"/>
      <c r="C155" s="142"/>
      <c r="D155" s="142"/>
      <c r="E155" s="142"/>
      <c r="F155" s="142"/>
      <c r="G155" s="142"/>
      <c r="H155" s="143"/>
      <c r="J155" s="36"/>
    </row>
    <row r="156" spans="1:20" s="94" customFormat="1" ht="15.75" customHeight="1" x14ac:dyDescent="0.25">
      <c r="A156" s="103">
        <v>1</v>
      </c>
      <c r="B156" s="104" t="s">
        <v>409</v>
      </c>
      <c r="C156" s="103" t="s">
        <v>410</v>
      </c>
      <c r="D156" s="103">
        <f>(40.5)*10.764</f>
        <v>435.94199999999995</v>
      </c>
      <c r="E156" s="103">
        <v>0</v>
      </c>
      <c r="F156" s="103">
        <f>D156+E156</f>
        <v>435.94199999999995</v>
      </c>
      <c r="G156" s="103">
        <v>0</v>
      </c>
      <c r="H156" s="103">
        <f>F156*(($H$154)+1)+(IF(G156&lt;101,G156,IF(G156&lt;201,G156/2,IF(G156&lt;=301,G156/3,G156/4))))</f>
        <v>653.9129999999999</v>
      </c>
      <c r="I156" s="36"/>
      <c r="L156" s="303"/>
      <c r="M156" s="303"/>
      <c r="N156" s="36"/>
    </row>
    <row r="157" spans="1:20" s="94" customFormat="1" ht="15.75" customHeight="1" x14ac:dyDescent="0.25">
      <c r="A157" s="103">
        <v>2</v>
      </c>
      <c r="B157" s="104" t="s">
        <v>409</v>
      </c>
      <c r="C157" s="103" t="s">
        <v>410</v>
      </c>
      <c r="D157" s="103">
        <f>(40.26)*10.764</f>
        <v>433.35863999999998</v>
      </c>
      <c r="E157" s="103">
        <v>0</v>
      </c>
      <c r="F157" s="103">
        <f>D157+E157</f>
        <v>433.35863999999998</v>
      </c>
      <c r="G157" s="103">
        <v>0</v>
      </c>
      <c r="H157" s="103">
        <f>F157*(($H$154)+1)+(IF(G157&lt;101,G157,IF(G157&lt;201,G157/2,IF(G157&lt;=301,G157/3,G157/4))))</f>
        <v>650.03796</v>
      </c>
      <c r="I157" s="36"/>
      <c r="L157" s="303"/>
      <c r="M157" s="303"/>
      <c r="N157" s="36"/>
    </row>
    <row r="158" spans="1:20" s="94" customFormat="1" x14ac:dyDescent="0.25">
      <c r="A158" s="141" t="s">
        <v>425</v>
      </c>
      <c r="B158" s="142"/>
      <c r="C158" s="142"/>
      <c r="D158" s="142"/>
      <c r="E158" s="142"/>
      <c r="F158" s="142"/>
      <c r="G158" s="142"/>
      <c r="H158" s="143"/>
      <c r="J158" s="36"/>
    </row>
    <row r="159" spans="1:20" s="94" customFormat="1" ht="15.75" customHeight="1" x14ac:dyDescent="0.25">
      <c r="A159" s="103">
        <v>1</v>
      </c>
      <c r="B159" s="104" t="s">
        <v>409</v>
      </c>
      <c r="C159" s="103" t="s">
        <v>410</v>
      </c>
      <c r="D159" s="103">
        <f>(40.5)*10.764</f>
        <v>435.94199999999995</v>
      </c>
      <c r="E159" s="103">
        <v>0</v>
      </c>
      <c r="F159" s="103">
        <f>D159+E159</f>
        <v>435.94199999999995</v>
      </c>
      <c r="G159" s="103">
        <v>0</v>
      </c>
      <c r="H159" s="103">
        <f>F159*(($H$154)+1)+(IF(G159&lt;101,G159,IF(G159&lt;201,G159/2,IF(G159&lt;=301,G159/3,G159/4))))</f>
        <v>653.9129999999999</v>
      </c>
      <c r="I159" s="36"/>
      <c r="L159" s="303"/>
      <c r="M159" s="303"/>
      <c r="N159" s="36"/>
    </row>
    <row r="160" spans="1:20" s="94" customFormat="1" ht="15.75" customHeight="1" x14ac:dyDescent="0.25">
      <c r="A160" s="103">
        <v>2</v>
      </c>
      <c r="B160" s="105" t="s">
        <v>412</v>
      </c>
      <c r="C160" s="103" t="s">
        <v>411</v>
      </c>
      <c r="D160" s="103">
        <f>(66.09)*10.764</f>
        <v>711.39275999999995</v>
      </c>
      <c r="E160" s="103">
        <v>0</v>
      </c>
      <c r="F160" s="103">
        <f>D160+E160</f>
        <v>711.39275999999995</v>
      </c>
      <c r="G160" s="103">
        <v>0</v>
      </c>
      <c r="H160" s="103">
        <f>F160*(($H$154)+1)+(IF(G160&lt;101,G160,IF(G160&lt;201,G160/2,IF(G160&lt;=301,G160/3,G160/4))))</f>
        <v>1067.08914</v>
      </c>
      <c r="I160" s="36"/>
      <c r="L160" s="303"/>
      <c r="M160" s="303"/>
      <c r="N160" s="36"/>
    </row>
    <row r="161" spans="1:20" s="94" customFormat="1" ht="15.75" customHeight="1" x14ac:dyDescent="0.25">
      <c r="A161" s="103" t="s">
        <v>450</v>
      </c>
      <c r="B161" s="340" t="s">
        <v>426</v>
      </c>
      <c r="C161" s="341"/>
      <c r="D161" s="341"/>
      <c r="E161" s="341"/>
      <c r="F161" s="341"/>
      <c r="G161" s="341"/>
      <c r="H161" s="342"/>
      <c r="I161" s="36"/>
      <c r="L161" s="303"/>
      <c r="M161" s="303"/>
      <c r="N161" s="36"/>
    </row>
    <row r="162" spans="1:20" s="94" customFormat="1" x14ac:dyDescent="0.25">
      <c r="A162" s="141" t="s">
        <v>449</v>
      </c>
      <c r="B162" s="142"/>
      <c r="C162" s="142"/>
      <c r="D162" s="142"/>
      <c r="E162" s="142"/>
      <c r="F162" s="142"/>
      <c r="G162" s="142"/>
      <c r="H162" s="143"/>
      <c r="J162" s="36"/>
    </row>
    <row r="163" spans="1:20" s="94" customFormat="1" ht="15.75" customHeight="1" x14ac:dyDescent="0.25">
      <c r="A163" s="103">
        <v>1</v>
      </c>
      <c r="B163" s="104" t="s">
        <v>409</v>
      </c>
      <c r="C163" s="103" t="s">
        <v>410</v>
      </c>
      <c r="D163" s="103">
        <f>(40.5)*10.764</f>
        <v>435.94199999999995</v>
      </c>
      <c r="E163" s="103">
        <v>0</v>
      </c>
      <c r="F163" s="103">
        <f>D163+E163</f>
        <v>435.94199999999995</v>
      </c>
      <c r="G163" s="103">
        <v>0</v>
      </c>
      <c r="H163" s="103">
        <f>F163*(($H$154)+1)+(IF(G163&lt;101,G163,IF(G163&lt;201,G163/2,IF(G163&lt;=301,G163/3,G163/4))))</f>
        <v>653.9129999999999</v>
      </c>
      <c r="I163" s="36"/>
      <c r="L163" s="303"/>
      <c r="M163" s="303"/>
      <c r="N163" s="36"/>
    </row>
    <row r="164" spans="1:20" s="94" customFormat="1" ht="15.75" customHeight="1" x14ac:dyDescent="0.25">
      <c r="A164" s="103">
        <v>2</v>
      </c>
      <c r="B164" s="105" t="s">
        <v>412</v>
      </c>
      <c r="C164" s="103" t="s">
        <v>411</v>
      </c>
      <c r="D164" s="103">
        <f>(66.09)*10.764</f>
        <v>711.39275999999995</v>
      </c>
      <c r="E164" s="103">
        <v>0</v>
      </c>
      <c r="F164" s="103">
        <f>D164+E164</f>
        <v>711.39275999999995</v>
      </c>
      <c r="G164" s="103">
        <v>0</v>
      </c>
      <c r="H164" s="103">
        <f>F164*(($H$154)+1)+(IF(G164&lt;101,G164,IF(G164&lt;201,G164/2,IF(G164&lt;=301,G164/3,G164/4))))</f>
        <v>1067.08914</v>
      </c>
      <c r="I164" s="36"/>
      <c r="L164" s="303"/>
      <c r="M164" s="303"/>
      <c r="N164" s="36"/>
    </row>
    <row r="165" spans="1:20" s="94" customFormat="1" ht="15.75" customHeight="1" x14ac:dyDescent="0.25">
      <c r="A165" s="103" t="s">
        <v>450</v>
      </c>
      <c r="B165" s="340" t="s">
        <v>451</v>
      </c>
      <c r="C165" s="341"/>
      <c r="D165" s="341"/>
      <c r="E165" s="341"/>
      <c r="F165" s="341"/>
      <c r="G165" s="341"/>
      <c r="H165" s="342"/>
      <c r="I165" s="36"/>
      <c r="L165" s="303"/>
      <c r="M165" s="303"/>
      <c r="N165" s="36"/>
    </row>
    <row r="166" spans="1:20" s="94" customFormat="1" x14ac:dyDescent="0.25">
      <c r="A166" s="141" t="s">
        <v>428</v>
      </c>
      <c r="B166" s="142"/>
      <c r="C166" s="142"/>
      <c r="D166" s="142"/>
      <c r="E166" s="142"/>
      <c r="F166" s="142"/>
      <c r="G166" s="142"/>
      <c r="H166" s="143"/>
      <c r="J166" s="36"/>
    </row>
    <row r="167" spans="1:20" s="94" customFormat="1" ht="15.75" customHeight="1" x14ac:dyDescent="0.25">
      <c r="A167" s="103">
        <v>1</v>
      </c>
      <c r="B167" s="104" t="s">
        <v>409</v>
      </c>
      <c r="C167" s="103" t="s">
        <v>410</v>
      </c>
      <c r="D167" s="103">
        <f>(40.5)*10.764</f>
        <v>435.94199999999995</v>
      </c>
      <c r="E167" s="103">
        <v>0</v>
      </c>
      <c r="F167" s="103">
        <f>D167+E167</f>
        <v>435.94199999999995</v>
      </c>
      <c r="G167" s="103">
        <v>0</v>
      </c>
      <c r="H167" s="103">
        <f>F167*(($H$154)+1)+(IF(G167&lt;101,G167,IF(G167&lt;201,G167/2,IF(G167&lt;=301,G167/3,G167/4))))</f>
        <v>653.9129999999999</v>
      </c>
      <c r="I167" s="36"/>
      <c r="L167" s="303"/>
      <c r="M167" s="303"/>
      <c r="N167" s="36"/>
    </row>
    <row r="168" spans="1:20" s="94" customFormat="1" ht="15.75" customHeight="1" x14ac:dyDescent="0.25">
      <c r="A168" s="103">
        <v>2</v>
      </c>
      <c r="B168" s="105" t="s">
        <v>412</v>
      </c>
      <c r="C168" s="103" t="s">
        <v>411</v>
      </c>
      <c r="D168" s="103">
        <f>(66.09)*10.764</f>
        <v>711.39275999999995</v>
      </c>
      <c r="E168" s="103">
        <v>0</v>
      </c>
      <c r="F168" s="103">
        <f>D168+E168</f>
        <v>711.39275999999995</v>
      </c>
      <c r="G168" s="103">
        <v>0</v>
      </c>
      <c r="H168" s="103">
        <f>F168*(($H$154)+1)+(IF(G168&lt;101,G168,IF(G168&lt;201,G168/2,IF(G168&lt;=301,G168/3,G168/4))))</f>
        <v>1067.08914</v>
      </c>
      <c r="I168" s="121" t="s">
        <v>444</v>
      </c>
      <c r="J168" s="122"/>
      <c r="L168" s="303"/>
      <c r="M168" s="303"/>
      <c r="N168" s="36"/>
    </row>
    <row r="169" spans="1:20" s="94" customFormat="1" ht="15.75" customHeight="1" x14ac:dyDescent="0.25">
      <c r="A169" s="103">
        <v>3</v>
      </c>
      <c r="B169" s="105" t="s">
        <v>412</v>
      </c>
      <c r="C169" s="103" t="s">
        <v>410</v>
      </c>
      <c r="D169" s="103">
        <f>(37.25)*10.764</f>
        <v>400.959</v>
      </c>
      <c r="E169" s="103">
        <v>0</v>
      </c>
      <c r="F169" s="103">
        <f>D169+E169</f>
        <v>400.959</v>
      </c>
      <c r="G169" s="103">
        <v>0</v>
      </c>
      <c r="H169" s="103">
        <f>F169*(($H$154)+1)+(IF(G169&lt;101,G169,IF(G169&lt;201,G169/2,IF(G169&lt;=301,G169/3,G169/4))))</f>
        <v>601.43849999999998</v>
      </c>
      <c r="I169" s="121"/>
      <c r="J169" s="122"/>
      <c r="L169" s="303"/>
      <c r="M169" s="303"/>
      <c r="N169" s="36"/>
    </row>
    <row r="170" spans="1:20" s="94" customFormat="1" ht="15.75" customHeight="1" x14ac:dyDescent="0.25">
      <c r="A170" s="103">
        <v>4</v>
      </c>
      <c r="B170" s="105" t="s">
        <v>412</v>
      </c>
      <c r="C170" s="103" t="s">
        <v>411</v>
      </c>
      <c r="D170" s="103">
        <f>(57.12)*10.764</f>
        <v>614.83967999999993</v>
      </c>
      <c r="E170" s="103">
        <v>0</v>
      </c>
      <c r="F170" s="103">
        <f>D170+E170</f>
        <v>614.83967999999993</v>
      </c>
      <c r="G170" s="103">
        <v>0</v>
      </c>
      <c r="H170" s="103">
        <f>F170*(($H$154)+1)+(IF(G170&lt;101,G170,IF(G170&lt;201,G170/2,IF(G170&lt;=301,G170/3,G170/4))))</f>
        <v>922.25951999999984</v>
      </c>
      <c r="I170" s="121"/>
      <c r="J170" s="122"/>
      <c r="L170" s="303"/>
      <c r="M170" s="303"/>
      <c r="N170" s="36"/>
      <c r="T170" s="21"/>
    </row>
    <row r="171" spans="1:20" s="94" customFormat="1" x14ac:dyDescent="0.25">
      <c r="A171" s="141" t="s">
        <v>440</v>
      </c>
      <c r="B171" s="142"/>
      <c r="C171" s="142"/>
      <c r="D171" s="142"/>
      <c r="E171" s="142"/>
      <c r="F171" s="142"/>
      <c r="G171" s="142"/>
      <c r="H171" s="143"/>
      <c r="I171" s="99"/>
      <c r="J171" s="36">
        <v>26500</v>
      </c>
    </row>
    <row r="172" spans="1:20" s="94" customFormat="1" ht="15.75" customHeight="1" x14ac:dyDescent="0.25">
      <c r="A172" s="103">
        <v>1</v>
      </c>
      <c r="B172" s="105" t="s">
        <v>412</v>
      </c>
      <c r="C172" s="103" t="s">
        <v>410</v>
      </c>
      <c r="D172" s="103">
        <f>(40.5)*10.764</f>
        <v>435.94199999999995</v>
      </c>
      <c r="E172" s="103">
        <v>0</v>
      </c>
      <c r="F172" s="103">
        <f>D172+E172</f>
        <v>435.94199999999995</v>
      </c>
      <c r="G172" s="103">
        <v>0</v>
      </c>
      <c r="H172" s="103">
        <f>F172*(($H$154)+1)+(IF(G172&lt;101,G172,IF(G172&lt;201,G172/2,IF(G172&lt;=301,G172/3,G172/4))))</f>
        <v>653.9129999999999</v>
      </c>
      <c r="I172" s="36">
        <f>3.15*4.68+2.1*3.38+3.42*3.38+1.2*(2.15+2.15)+1.07*1.3</f>
        <v>39.950599999999994</v>
      </c>
      <c r="J172" s="108">
        <f>H172*$J$171</f>
        <v>17328694.499999996</v>
      </c>
      <c r="L172" s="303"/>
      <c r="M172" s="303"/>
      <c r="N172" s="36"/>
    </row>
    <row r="173" spans="1:20" s="94" customFormat="1" ht="15.75" customHeight="1" x14ac:dyDescent="0.25">
      <c r="A173" s="103">
        <v>2</v>
      </c>
      <c r="B173" s="105" t="s">
        <v>412</v>
      </c>
      <c r="C173" s="103" t="s">
        <v>411</v>
      </c>
      <c r="D173" s="103">
        <f>(66.09)*10.764</f>
        <v>711.39275999999995</v>
      </c>
      <c r="E173" s="103">
        <v>0</v>
      </c>
      <c r="F173" s="103">
        <f>D173+E173</f>
        <v>711.39275999999995</v>
      </c>
      <c r="G173" s="103">
        <v>0</v>
      </c>
      <c r="H173" s="103">
        <f>F173*(($H$154)+1)+(IF(G173&lt;101,G173,IF(G173&lt;201,G173/2,IF(G173&lt;=301,G173/3,G173/4))))</f>
        <v>1067.08914</v>
      </c>
      <c r="J173" s="108">
        <f t="shared" ref="J173:J175" si="0">H173*$J$171</f>
        <v>28277862.210000001</v>
      </c>
      <c r="L173" s="303"/>
      <c r="M173" s="303"/>
      <c r="N173" s="36"/>
    </row>
    <row r="174" spans="1:20" s="94" customFormat="1" ht="15.75" customHeight="1" x14ac:dyDescent="0.25">
      <c r="A174" s="103">
        <v>3</v>
      </c>
      <c r="B174" s="105" t="s">
        <v>412</v>
      </c>
      <c r="C174" s="103" t="s">
        <v>410</v>
      </c>
      <c r="D174" s="103">
        <f>(37.25)*10.764</f>
        <v>400.959</v>
      </c>
      <c r="E174" s="103">
        <v>0</v>
      </c>
      <c r="F174" s="103">
        <f>D174+E174</f>
        <v>400.959</v>
      </c>
      <c r="G174" s="103">
        <v>0</v>
      </c>
      <c r="H174" s="103">
        <f>F174*(($H$154)+1)+(IF(G174&lt;101,G174,IF(G174&lt;201,G174/2,IF(G174&lt;=301,G174/3,G174/4))))</f>
        <v>601.43849999999998</v>
      </c>
      <c r="I174" s="116">
        <f>17200000/H174</f>
        <v>28598.10271540648</v>
      </c>
      <c r="J174" s="115">
        <f t="shared" si="0"/>
        <v>15938120.25</v>
      </c>
      <c r="L174" s="303"/>
      <c r="M174" s="303"/>
      <c r="N174" s="36"/>
    </row>
    <row r="175" spans="1:20" s="94" customFormat="1" ht="15.75" customHeight="1" x14ac:dyDescent="0.25">
      <c r="A175" s="103">
        <v>4</v>
      </c>
      <c r="B175" s="105" t="s">
        <v>412</v>
      </c>
      <c r="C175" s="103" t="s">
        <v>411</v>
      </c>
      <c r="D175" s="103">
        <f>(57.12)*10.764</f>
        <v>614.83967999999993</v>
      </c>
      <c r="E175" s="103">
        <v>0</v>
      </c>
      <c r="F175" s="103">
        <f>D175+E175</f>
        <v>614.83967999999993</v>
      </c>
      <c r="G175" s="103">
        <v>0</v>
      </c>
      <c r="H175" s="103">
        <f>F175*(($H$154)+1)+(IF(G175&lt;101,G175,IF(G175&lt;201,G175/2,IF(G175&lt;=301,G175/3,G175/4))))</f>
        <v>922.25951999999984</v>
      </c>
      <c r="I175" s="36">
        <f>3.15*4.5+2.1*3.35+3.42*3.2+4.09*3.35+1.2*(2.35+2.42)+1.2*0.95+3.1*1.2</f>
        <v>56.439500000000002</v>
      </c>
      <c r="J175" s="108">
        <f t="shared" si="0"/>
        <v>24439877.279999997</v>
      </c>
      <c r="L175" s="303"/>
      <c r="M175" s="303"/>
      <c r="N175" s="36"/>
      <c r="T175" s="21"/>
    </row>
    <row r="176" spans="1:20" s="37" customFormat="1" hidden="1" x14ac:dyDescent="0.25">
      <c r="A176" s="123" t="s">
        <v>430</v>
      </c>
      <c r="B176" s="124"/>
      <c r="C176" s="124"/>
      <c r="D176" s="124"/>
      <c r="E176" s="124"/>
      <c r="F176" s="124"/>
      <c r="G176" s="124"/>
      <c r="H176" s="125"/>
      <c r="I176" s="36"/>
      <c r="L176" s="303"/>
      <c r="M176" s="303"/>
    </row>
    <row r="177" spans="1:14" s="37" customFormat="1" hidden="1" x14ac:dyDescent="0.25">
      <c r="A177" s="109">
        <v>1</v>
      </c>
      <c r="B177" s="110" t="s">
        <v>412</v>
      </c>
      <c r="C177" s="109" t="s">
        <v>410</v>
      </c>
      <c r="D177" s="109">
        <f>(40.5)*10.764</f>
        <v>435.94199999999995</v>
      </c>
      <c r="E177" s="109">
        <v>0</v>
      </c>
      <c r="F177" s="109">
        <f>D177+E177</f>
        <v>435.94199999999995</v>
      </c>
      <c r="G177" s="109">
        <v>0</v>
      </c>
      <c r="H177" s="109">
        <f>F177*(($H$154)+1)+(IF(G177&lt;101,G177,IF(G177&lt;201,G177/2,IF(G177&lt;=301,G177/3,G177/4))))</f>
        <v>653.9129999999999</v>
      </c>
      <c r="I177" s="36"/>
      <c r="N177" s="36"/>
    </row>
    <row r="178" spans="1:14" s="37" customFormat="1" hidden="1" x14ac:dyDescent="0.25">
      <c r="A178" s="109">
        <v>2</v>
      </c>
      <c r="B178" s="109" t="s">
        <v>429</v>
      </c>
      <c r="C178" s="109" t="s">
        <v>411</v>
      </c>
      <c r="D178" s="109">
        <f>(66.09)*10.764</f>
        <v>711.39275999999995</v>
      </c>
      <c r="E178" s="109">
        <v>0</v>
      </c>
      <c r="F178" s="109">
        <f>D178+E178</f>
        <v>711.39275999999995</v>
      </c>
      <c r="G178" s="109">
        <v>0</v>
      </c>
      <c r="H178" s="109">
        <f>F178*(($H$154)+1)+(IF(G178&lt;101,G178,IF(G178&lt;201,G178/2,IF(G178&lt;=301,G178/3,G178/4))))</f>
        <v>1067.08914</v>
      </c>
      <c r="I178" s="36"/>
      <c r="N178" s="36"/>
    </row>
    <row r="179" spans="1:14" s="37" customFormat="1" hidden="1" x14ac:dyDescent="0.25">
      <c r="A179" s="109">
        <v>3</v>
      </c>
      <c r="B179" s="110" t="s">
        <v>412</v>
      </c>
      <c r="C179" s="109" t="s">
        <v>410</v>
      </c>
      <c r="D179" s="109">
        <f>(37.25)*10.764</f>
        <v>400.959</v>
      </c>
      <c r="E179" s="109">
        <v>0</v>
      </c>
      <c r="F179" s="109">
        <f>D179+E179</f>
        <v>400.959</v>
      </c>
      <c r="G179" s="109">
        <v>0</v>
      </c>
      <c r="H179" s="109">
        <f>F179*(($H$154)+1)+(IF(G179&lt;101,G179,IF(G179&lt;201,G179/2,IF(G179&lt;=301,G179/3,G179/4))))</f>
        <v>601.43849999999998</v>
      </c>
      <c r="I179" s="36"/>
      <c r="N179" s="36"/>
    </row>
    <row r="180" spans="1:14" s="37" customFormat="1" hidden="1" x14ac:dyDescent="0.25">
      <c r="A180" s="109">
        <v>4</v>
      </c>
      <c r="B180" s="109" t="s">
        <v>429</v>
      </c>
      <c r="C180" s="109" t="s">
        <v>411</v>
      </c>
      <c r="D180" s="109">
        <f>(57.12)*10.764</f>
        <v>614.83967999999993</v>
      </c>
      <c r="E180" s="109">
        <v>0</v>
      </c>
      <c r="F180" s="109">
        <f>D180+E180</f>
        <v>614.83967999999993</v>
      </c>
      <c r="G180" s="109">
        <v>0</v>
      </c>
      <c r="H180" s="109">
        <f>F180*(($H$154)+1)+(IF(G180&lt;101,G180,IF(G180&lt;201,G180/2,IF(G180&lt;=301,G180/3,G180/4))))</f>
        <v>922.25951999999984</v>
      </c>
      <c r="I180" s="36"/>
      <c r="N180" s="36"/>
    </row>
    <row r="181" spans="1:14" s="37" customFormat="1" hidden="1" x14ac:dyDescent="0.25">
      <c r="A181" s="123" t="s">
        <v>432</v>
      </c>
      <c r="B181" s="124"/>
      <c r="C181" s="124"/>
      <c r="D181" s="124"/>
      <c r="E181" s="124"/>
      <c r="F181" s="124"/>
      <c r="G181" s="124"/>
      <c r="H181" s="125"/>
      <c r="I181" s="36"/>
      <c r="N181" s="36"/>
    </row>
    <row r="182" spans="1:14" s="37" customFormat="1" ht="15.75" hidden="1" customHeight="1" x14ac:dyDescent="0.25">
      <c r="A182" s="109">
        <v>1</v>
      </c>
      <c r="B182" s="110" t="s">
        <v>412</v>
      </c>
      <c r="C182" s="109" t="s">
        <v>410</v>
      </c>
      <c r="D182" s="109">
        <f>(40.5)*10.764</f>
        <v>435.94199999999995</v>
      </c>
      <c r="E182" s="109">
        <v>0</v>
      </c>
      <c r="F182" s="109">
        <f>D182+E182</f>
        <v>435.94199999999995</v>
      </c>
      <c r="G182" s="109">
        <v>0</v>
      </c>
      <c r="H182" s="109">
        <f>F182*(($H$154)+1)+(IF(G182&lt;101,G182,IF(G182&lt;201,G182/2,IF(G182&lt;=301,G182/3,G182/4))))</f>
        <v>653.9129999999999</v>
      </c>
      <c r="I182" s="36"/>
    </row>
    <row r="183" spans="1:14" s="37" customFormat="1" ht="15.75" hidden="1" customHeight="1" x14ac:dyDescent="0.25">
      <c r="A183" s="109">
        <v>2</v>
      </c>
      <c r="B183" s="109" t="s">
        <v>429</v>
      </c>
      <c r="C183" s="109" t="s">
        <v>411</v>
      </c>
      <c r="D183" s="109">
        <f>(66.09)*10.764</f>
        <v>711.39275999999995</v>
      </c>
      <c r="E183" s="109">
        <v>0</v>
      </c>
      <c r="F183" s="109">
        <f>D183+E183</f>
        <v>711.39275999999995</v>
      </c>
      <c r="G183" s="109">
        <v>0</v>
      </c>
      <c r="H183" s="109">
        <f>F183*(($H$154)+1)+(IF(G183&lt;101,G183,IF(G183&lt;201,G183/2,IF(G183&lt;=301,G183/3,G183/4))))</f>
        <v>1067.08914</v>
      </c>
      <c r="I183" s="36"/>
    </row>
    <row r="184" spans="1:14" s="37" customFormat="1" ht="15.75" hidden="1" customHeight="1" x14ac:dyDescent="0.25">
      <c r="A184" s="109">
        <v>3</v>
      </c>
      <c r="B184" s="110" t="s">
        <v>412</v>
      </c>
      <c r="C184" s="109" t="s">
        <v>410</v>
      </c>
      <c r="D184" s="109">
        <f>(37.25)*10.764</f>
        <v>400.959</v>
      </c>
      <c r="E184" s="109">
        <v>0</v>
      </c>
      <c r="F184" s="109">
        <f>D184+E184</f>
        <v>400.959</v>
      </c>
      <c r="G184" s="109">
        <v>0</v>
      </c>
      <c r="H184" s="109">
        <f>F184*(($H$154)+1)+(IF(G184&lt;101,G184,IF(G184&lt;201,G184/2,IF(G184&lt;=301,G184/3,G184/4))))</f>
        <v>601.43849999999998</v>
      </c>
      <c r="I184" s="36"/>
    </row>
    <row r="185" spans="1:14" s="37" customFormat="1" ht="15.75" hidden="1" customHeight="1" x14ac:dyDescent="0.25">
      <c r="A185" s="109">
        <v>4</v>
      </c>
      <c r="B185" s="109" t="s">
        <v>429</v>
      </c>
      <c r="C185" s="109" t="s">
        <v>411</v>
      </c>
      <c r="D185" s="109">
        <f>(57.12)*10.764</f>
        <v>614.83967999999993</v>
      </c>
      <c r="E185" s="109">
        <v>0</v>
      </c>
      <c r="F185" s="109">
        <f>D185+E185</f>
        <v>614.83967999999993</v>
      </c>
      <c r="G185" s="109">
        <v>0</v>
      </c>
      <c r="H185" s="109">
        <f>F185*(($H$154)+1)+(IF(G185&lt;101,G185,IF(G185&lt;201,G185/2,IF(G185&lt;=301,G185/3,G185/4))))</f>
        <v>922.25951999999984</v>
      </c>
      <c r="I185" s="36"/>
    </row>
    <row r="186" spans="1:14" s="37" customFormat="1" ht="15.75" hidden="1" customHeight="1" x14ac:dyDescent="0.25">
      <c r="A186" s="123" t="s">
        <v>431</v>
      </c>
      <c r="B186" s="124"/>
      <c r="C186" s="124"/>
      <c r="D186" s="124"/>
      <c r="E186" s="124"/>
      <c r="F186" s="124"/>
      <c r="G186" s="124"/>
      <c r="H186" s="125"/>
      <c r="I186" s="36"/>
    </row>
    <row r="187" spans="1:14" s="37" customFormat="1" ht="15.75" hidden="1" customHeight="1" x14ac:dyDescent="0.25">
      <c r="A187" s="109">
        <v>1</v>
      </c>
      <c r="B187" s="110" t="s">
        <v>412</v>
      </c>
      <c r="C187" s="109" t="s">
        <v>410</v>
      </c>
      <c r="D187" s="109">
        <f>(40.5)*10.764</f>
        <v>435.94199999999995</v>
      </c>
      <c r="E187" s="109">
        <v>0</v>
      </c>
      <c r="F187" s="109">
        <f>D187+E187</f>
        <v>435.94199999999995</v>
      </c>
      <c r="G187" s="109">
        <v>0</v>
      </c>
      <c r="H187" s="109">
        <f>F187*(($H$154)+1)+(IF(G187&lt;101,G187,IF(G187&lt;201,G187/2,IF(G187&lt;=301,G187/3,G187/4))))</f>
        <v>653.9129999999999</v>
      </c>
      <c r="I187" s="36"/>
    </row>
    <row r="188" spans="1:14" s="37" customFormat="1" hidden="1" x14ac:dyDescent="0.25">
      <c r="A188" s="109">
        <v>2</v>
      </c>
      <c r="B188" s="109" t="s">
        <v>429</v>
      </c>
      <c r="C188" s="109" t="s">
        <v>411</v>
      </c>
      <c r="D188" s="109">
        <f>(66.09)*10.764</f>
        <v>711.39275999999995</v>
      </c>
      <c r="E188" s="109">
        <v>0</v>
      </c>
      <c r="F188" s="109">
        <f>D188+E188</f>
        <v>711.39275999999995</v>
      </c>
      <c r="G188" s="109">
        <v>0</v>
      </c>
      <c r="H188" s="109">
        <f>F188*(($H$154)+1)+(IF(G188&lt;101,G188,IF(G188&lt;201,G188/2,IF(G188&lt;=301,G188/3,G188/4))))</f>
        <v>1067.08914</v>
      </c>
      <c r="I188" s="36"/>
    </row>
    <row r="189" spans="1:14" s="37" customFormat="1" ht="15.75" hidden="1" customHeight="1" x14ac:dyDescent="0.25">
      <c r="A189" s="109">
        <v>3</v>
      </c>
      <c r="B189" s="110" t="s">
        <v>412</v>
      </c>
      <c r="C189" s="109" t="s">
        <v>410</v>
      </c>
      <c r="D189" s="109">
        <f>(37.25)*10.764</f>
        <v>400.959</v>
      </c>
      <c r="E189" s="109">
        <v>0</v>
      </c>
      <c r="F189" s="109">
        <f>D189+E189</f>
        <v>400.959</v>
      </c>
      <c r="G189" s="109">
        <v>0</v>
      </c>
      <c r="H189" s="109">
        <f>F189*(($H$154)+1)+(IF(G189&lt;101,G189,IF(G189&lt;201,G189/2,IF(G189&lt;=301,G189/3,G189/4))))</f>
        <v>601.43849999999998</v>
      </c>
      <c r="I189" s="36"/>
    </row>
    <row r="190" spans="1:14" s="37" customFormat="1" ht="15.75" hidden="1" customHeight="1" x14ac:dyDescent="0.25">
      <c r="A190" s="109">
        <v>4</v>
      </c>
      <c r="B190" s="109" t="s">
        <v>429</v>
      </c>
      <c r="C190" s="109" t="s">
        <v>411</v>
      </c>
      <c r="D190" s="109">
        <f>(57.12)*10.764</f>
        <v>614.83967999999993</v>
      </c>
      <c r="E190" s="109">
        <v>0</v>
      </c>
      <c r="F190" s="109">
        <f>D190+E190</f>
        <v>614.83967999999993</v>
      </c>
      <c r="G190" s="109">
        <v>0</v>
      </c>
      <c r="H190" s="109">
        <f>F190*(($H$154)+1)+(IF(G190&lt;101,G190,IF(G190&lt;201,G190/2,IF(G190&lt;=301,G190/3,G190/4))))</f>
        <v>922.25951999999984</v>
      </c>
      <c r="I190" s="36"/>
    </row>
    <row r="191" spans="1:14" s="37" customFormat="1" ht="15.75" hidden="1" customHeight="1" x14ac:dyDescent="0.25">
      <c r="A191" s="123" t="s">
        <v>433</v>
      </c>
      <c r="B191" s="124"/>
      <c r="C191" s="124"/>
      <c r="D191" s="124"/>
      <c r="E191" s="124"/>
      <c r="F191" s="124"/>
      <c r="G191" s="124"/>
      <c r="H191" s="125"/>
      <c r="I191" s="36"/>
    </row>
    <row r="192" spans="1:14" s="37" customFormat="1" ht="15.75" hidden="1" customHeight="1" x14ac:dyDescent="0.25">
      <c r="A192" s="109">
        <v>1</v>
      </c>
      <c r="B192" s="110" t="s">
        <v>412</v>
      </c>
      <c r="C192" s="109" t="s">
        <v>410</v>
      </c>
      <c r="D192" s="109">
        <f>(40.5)*10.764</f>
        <v>435.94199999999995</v>
      </c>
      <c r="E192" s="109">
        <v>0</v>
      </c>
      <c r="F192" s="109">
        <f>D192+E192</f>
        <v>435.94199999999995</v>
      </c>
      <c r="G192" s="109">
        <v>0</v>
      </c>
      <c r="H192" s="109">
        <f>F192*(($H$154)+1)+(IF(G192&lt;101,G192,IF(G192&lt;201,G192/2,IF(G192&lt;=301,G192/3,G192/4))))</f>
        <v>653.9129999999999</v>
      </c>
      <c r="I192" s="36"/>
    </row>
    <row r="193" spans="1:20" s="37" customFormat="1" ht="15.75" hidden="1" customHeight="1" x14ac:dyDescent="0.25">
      <c r="A193" s="109">
        <v>2</v>
      </c>
      <c r="B193" s="109" t="s">
        <v>429</v>
      </c>
      <c r="C193" s="109" t="s">
        <v>411</v>
      </c>
      <c r="D193" s="109">
        <f>(66.09)*10.764</f>
        <v>711.39275999999995</v>
      </c>
      <c r="E193" s="109">
        <v>0</v>
      </c>
      <c r="F193" s="109">
        <f>D193+E193</f>
        <v>711.39275999999995</v>
      </c>
      <c r="G193" s="109">
        <v>0</v>
      </c>
      <c r="H193" s="109">
        <f>F193*(($H$154)+1)+(IF(G193&lt;101,G193,IF(G193&lt;201,G193/2,IF(G193&lt;=301,G193/3,G193/4))))</f>
        <v>1067.08914</v>
      </c>
      <c r="I193" s="36"/>
    </row>
    <row r="194" spans="1:20" s="37" customFormat="1" ht="15.75" hidden="1" customHeight="1" x14ac:dyDescent="0.25">
      <c r="A194" s="109">
        <v>3</v>
      </c>
      <c r="B194" s="109" t="s">
        <v>429</v>
      </c>
      <c r="C194" s="109" t="s">
        <v>410</v>
      </c>
      <c r="D194" s="109">
        <f>(37.25)*10.764</f>
        <v>400.959</v>
      </c>
      <c r="E194" s="109">
        <v>0</v>
      </c>
      <c r="F194" s="109">
        <f>D194+E194</f>
        <v>400.959</v>
      </c>
      <c r="G194" s="109">
        <v>0</v>
      </c>
      <c r="H194" s="109">
        <f>F194*(($H$154)+1)+(IF(G194&lt;101,G194,IF(G194&lt;201,G194/2,IF(G194&lt;=301,G194/3,G194/4))))</f>
        <v>601.43849999999998</v>
      </c>
      <c r="I194" s="36"/>
    </row>
    <row r="195" spans="1:20" s="37" customFormat="1" ht="15.75" hidden="1" customHeight="1" x14ac:dyDescent="0.25">
      <c r="A195" s="109">
        <v>4</v>
      </c>
      <c r="B195" s="110" t="s">
        <v>412</v>
      </c>
      <c r="C195" s="109" t="s">
        <v>411</v>
      </c>
      <c r="D195" s="109">
        <f>(57.12)*10.764</f>
        <v>614.83967999999993</v>
      </c>
      <c r="E195" s="109">
        <v>0</v>
      </c>
      <c r="F195" s="109">
        <f>D195+E195</f>
        <v>614.83967999999993</v>
      </c>
      <c r="G195" s="109">
        <v>0</v>
      </c>
      <c r="H195" s="109">
        <f>F195*(($H$154)+1)+(IF(G195&lt;101,G195,IF(G195&lt;201,G195/2,IF(G195&lt;=301,G195/3,G195/4))))</f>
        <v>922.25951999999984</v>
      </c>
      <c r="I195" s="36"/>
    </row>
    <row r="196" spans="1:20" s="37" customFormat="1" ht="15.75" hidden="1" customHeight="1" x14ac:dyDescent="0.25">
      <c r="A196" s="123" t="s">
        <v>434</v>
      </c>
      <c r="B196" s="124"/>
      <c r="C196" s="124"/>
      <c r="D196" s="124"/>
      <c r="E196" s="124"/>
      <c r="F196" s="124"/>
      <c r="G196" s="124"/>
      <c r="H196" s="125"/>
      <c r="I196" s="36"/>
    </row>
    <row r="197" spans="1:20" s="37" customFormat="1" ht="15.75" hidden="1" customHeight="1" x14ac:dyDescent="0.25">
      <c r="A197" s="109">
        <v>1</v>
      </c>
      <c r="B197" s="110" t="s">
        <v>412</v>
      </c>
      <c r="C197" s="109" t="s">
        <v>410</v>
      </c>
      <c r="D197" s="109">
        <f>(40.5)*10.764</f>
        <v>435.94199999999995</v>
      </c>
      <c r="E197" s="109">
        <v>0</v>
      </c>
      <c r="F197" s="109">
        <f>D197+E197</f>
        <v>435.94199999999995</v>
      </c>
      <c r="G197" s="109">
        <v>0</v>
      </c>
      <c r="H197" s="109">
        <f>F197*(($H$154)+1)+(IF(G197&lt;101,G197,IF(G197&lt;201,G197/2,IF(G197&lt;=301,G197/3,G197/4))))</f>
        <v>653.9129999999999</v>
      </c>
      <c r="I197" s="36"/>
    </row>
    <row r="198" spans="1:20" s="37" customFormat="1" ht="15.75" hidden="1" customHeight="1" x14ac:dyDescent="0.25">
      <c r="A198" s="109">
        <v>2</v>
      </c>
      <c r="B198" s="110" t="s">
        <v>412</v>
      </c>
      <c r="C198" s="109" t="s">
        <v>411</v>
      </c>
      <c r="D198" s="109">
        <f>(66.09)*10.764</f>
        <v>711.39275999999995</v>
      </c>
      <c r="E198" s="109">
        <v>0</v>
      </c>
      <c r="F198" s="109">
        <f>D198+E198</f>
        <v>711.39275999999995</v>
      </c>
      <c r="G198" s="109">
        <v>0</v>
      </c>
      <c r="H198" s="109">
        <f>F198*(($H$154)+1)+(IF(G198&lt;101,G198,IF(G198&lt;201,G198/2,IF(G198&lt;=301,G198/3,G198/4))))</f>
        <v>1067.08914</v>
      </c>
      <c r="I198" s="36"/>
    </row>
    <row r="199" spans="1:20" s="37" customFormat="1" ht="15.75" hidden="1" customHeight="1" x14ac:dyDescent="0.25">
      <c r="A199" s="109">
        <v>3</v>
      </c>
      <c r="B199" s="110" t="s">
        <v>412</v>
      </c>
      <c r="C199" s="109" t="s">
        <v>410</v>
      </c>
      <c r="D199" s="109">
        <f>(37.25)*10.764</f>
        <v>400.959</v>
      </c>
      <c r="E199" s="109">
        <v>0</v>
      </c>
      <c r="F199" s="109">
        <f>D199+E199</f>
        <v>400.959</v>
      </c>
      <c r="G199" s="109">
        <v>0</v>
      </c>
      <c r="H199" s="109">
        <f>F199*(($H$154)+1)+(IF(G199&lt;101,G199,IF(G199&lt;201,G199/2,IF(G199&lt;=301,G199/3,G199/4))))</f>
        <v>601.43849999999998</v>
      </c>
      <c r="I199" s="36"/>
    </row>
    <row r="200" spans="1:20" s="35" customFormat="1" hidden="1" x14ac:dyDescent="0.25">
      <c r="A200" s="109">
        <v>4</v>
      </c>
      <c r="B200" s="110" t="s">
        <v>412</v>
      </c>
      <c r="C200" s="109" t="s">
        <v>411</v>
      </c>
      <c r="D200" s="109">
        <f>(57.12)*10.764</f>
        <v>614.83967999999993</v>
      </c>
      <c r="E200" s="109">
        <v>0</v>
      </c>
      <c r="F200" s="109">
        <f>D200+E200</f>
        <v>614.83967999999993</v>
      </c>
      <c r="G200" s="109">
        <v>0</v>
      </c>
      <c r="H200" s="109">
        <f>F200*(($H$154)+1)+(IF(G200&lt;101,G200,IF(G200&lt;201,G200/2,IF(G200&lt;=301,G200/3,G200/4))))</f>
        <v>922.25951999999984</v>
      </c>
      <c r="T200" s="37"/>
    </row>
    <row r="201" spans="1:20" s="35" customFormat="1" x14ac:dyDescent="0.25">
      <c r="A201" s="149" t="s">
        <v>64</v>
      </c>
      <c r="B201" s="149"/>
      <c r="C201" s="149"/>
      <c r="D201" s="149"/>
      <c r="E201" s="149"/>
      <c r="F201" s="149"/>
      <c r="G201" s="149"/>
      <c r="H201" s="149"/>
    </row>
    <row r="202" spans="1:20" s="35" customFormat="1" x14ac:dyDescent="0.25">
      <c r="A202" s="106" t="s">
        <v>152</v>
      </c>
      <c r="B202" s="201" t="s">
        <v>442</v>
      </c>
      <c r="C202" s="202"/>
      <c r="D202" s="202"/>
      <c r="E202" s="202"/>
      <c r="F202" s="202"/>
      <c r="G202" s="202"/>
      <c r="H202" s="203"/>
    </row>
    <row r="203" spans="1:20" s="35" customFormat="1" x14ac:dyDescent="0.25">
      <c r="A203" s="106" t="s">
        <v>152</v>
      </c>
      <c r="B203" s="201" t="str">
        <f>(IF(H153="Saleable area Loading :","We have considered Saleable area of Flats as per our Calculation.","We considered Saleable area of Flat as per Builder area Sheet."))</f>
        <v>We have considered Saleable area of Flats as per our Calculation.</v>
      </c>
      <c r="C203" s="202"/>
      <c r="D203" s="202"/>
      <c r="E203" s="202"/>
      <c r="F203" s="202"/>
      <c r="G203" s="202"/>
      <c r="H203" s="203"/>
    </row>
    <row r="204" spans="1:20" s="35" customFormat="1" hidden="1" x14ac:dyDescent="0.25">
      <c r="A204" s="106" t="s">
        <v>152</v>
      </c>
      <c r="B204" s="126" t="str">
        <f>(IF(H145="Saleable area Loading :","We have considered Saleable area of Commercial as per our Calculation.","We considered Saleable area of Commercial as per Builder area Sheet."))</f>
        <v>We have considered Saleable area of Commercial as per our Calculation.</v>
      </c>
      <c r="C204" s="127"/>
      <c r="D204" s="127"/>
      <c r="E204" s="127"/>
      <c r="F204" s="127"/>
      <c r="G204" s="127"/>
      <c r="H204" s="128"/>
    </row>
    <row r="205" spans="1:20" s="35" customFormat="1" x14ac:dyDescent="0.25">
      <c r="A205" s="106" t="s">
        <v>152</v>
      </c>
      <c r="B205" s="212" t="s">
        <v>122</v>
      </c>
      <c r="C205" s="213"/>
      <c r="D205" s="213"/>
      <c r="E205" s="213"/>
      <c r="F205" s="213"/>
      <c r="G205" s="213"/>
      <c r="H205" s="214"/>
    </row>
    <row r="206" spans="1:20" x14ac:dyDescent="0.25">
      <c r="A206" s="106" t="s">
        <v>152</v>
      </c>
      <c r="B206" s="198" t="s">
        <v>439</v>
      </c>
      <c r="C206" s="199"/>
      <c r="D206" s="199"/>
      <c r="E206" s="199"/>
      <c r="F206" s="199"/>
      <c r="G206" s="199"/>
      <c r="H206" s="200"/>
      <c r="T206" s="35"/>
    </row>
    <row r="207" spans="1:20" x14ac:dyDescent="0.25">
      <c r="A207" s="106" t="s">
        <v>152</v>
      </c>
      <c r="B207" s="212" t="s">
        <v>151</v>
      </c>
      <c r="C207" s="213"/>
      <c r="D207" s="213"/>
      <c r="E207" s="213"/>
      <c r="F207" s="213"/>
      <c r="G207" s="213"/>
      <c r="H207" s="214"/>
      <c r="T207" s="35"/>
    </row>
    <row r="208" spans="1:20" ht="15.75" customHeight="1" x14ac:dyDescent="0.25">
      <c r="A208" s="106" t="s">
        <v>152</v>
      </c>
      <c r="B208" s="212" t="s">
        <v>123</v>
      </c>
      <c r="C208" s="213"/>
      <c r="D208" s="213"/>
      <c r="E208" s="213"/>
      <c r="F208" s="213"/>
      <c r="G208" s="213"/>
      <c r="H208" s="214"/>
      <c r="T208" s="35"/>
    </row>
    <row r="209" spans="1:25" ht="31.5" customHeight="1" x14ac:dyDescent="0.25">
      <c r="A209" s="106" t="s">
        <v>152</v>
      </c>
      <c r="B209" s="201" t="s">
        <v>153</v>
      </c>
      <c r="C209" s="202"/>
      <c r="D209" s="202"/>
      <c r="E209" s="202"/>
      <c r="F209" s="202"/>
      <c r="G209" s="202"/>
      <c r="H209" s="203"/>
      <c r="O209" s="21">
        <f>388700/1.5</f>
        <v>259133.33333333334</v>
      </c>
      <c r="T209" s="35"/>
    </row>
    <row r="210" spans="1:25" x14ac:dyDescent="0.25">
      <c r="A210" s="106" t="s">
        <v>152</v>
      </c>
      <c r="B210" s="201" t="s">
        <v>124</v>
      </c>
      <c r="C210" s="202"/>
      <c r="D210" s="202"/>
      <c r="E210" s="202"/>
      <c r="F210" s="202"/>
      <c r="G210" s="202"/>
      <c r="H210" s="203"/>
      <c r="T210" s="35"/>
    </row>
    <row r="211" spans="1:25" x14ac:dyDescent="0.25">
      <c r="A211" s="106" t="s">
        <v>152</v>
      </c>
      <c r="B211" s="201" t="s">
        <v>435</v>
      </c>
      <c r="C211" s="202"/>
      <c r="D211" s="202"/>
      <c r="E211" s="202"/>
      <c r="F211" s="202"/>
      <c r="G211" s="202"/>
      <c r="H211" s="203"/>
      <c r="I211" s="106" t="s">
        <v>152</v>
      </c>
      <c r="J211" s="126" t="s">
        <v>437</v>
      </c>
      <c r="K211" s="127"/>
      <c r="L211" s="127"/>
      <c r="M211" s="127"/>
      <c r="N211" s="127"/>
      <c r="O211" s="127"/>
      <c r="P211" s="128"/>
    </row>
    <row r="212" spans="1:25" ht="33" customHeight="1" x14ac:dyDescent="0.25">
      <c r="A212" s="106" t="s">
        <v>152</v>
      </c>
      <c r="B212" s="201" t="s">
        <v>296</v>
      </c>
      <c r="C212" s="202"/>
      <c r="D212" s="202"/>
      <c r="E212" s="202"/>
      <c r="F212" s="202"/>
      <c r="G212" s="202"/>
      <c r="H212" s="203"/>
    </row>
    <row r="213" spans="1:25" x14ac:dyDescent="0.25">
      <c r="A213" s="106" t="s">
        <v>152</v>
      </c>
      <c r="B213" s="201" t="s">
        <v>413</v>
      </c>
      <c r="C213" s="202"/>
      <c r="D213" s="202"/>
      <c r="E213" s="202"/>
      <c r="F213" s="202"/>
      <c r="G213" s="202"/>
      <c r="H213" s="203"/>
    </row>
    <row r="214" spans="1:25" x14ac:dyDescent="0.25">
      <c r="A214" s="223" t="s">
        <v>57</v>
      </c>
      <c r="B214" s="223"/>
      <c r="C214" s="223"/>
      <c r="D214" s="223"/>
      <c r="E214" s="223"/>
      <c r="F214" s="223"/>
      <c r="G214" s="223"/>
      <c r="H214" s="223"/>
    </row>
    <row r="215" spans="1:25" x14ac:dyDescent="0.25">
      <c r="A215" s="189" t="s">
        <v>58</v>
      </c>
      <c r="B215" s="189"/>
      <c r="C215" s="189"/>
      <c r="D215" s="189"/>
      <c r="E215" s="189"/>
      <c r="F215" s="189"/>
      <c r="G215" s="189"/>
      <c r="H215" s="189"/>
    </row>
    <row r="216" spans="1:25" x14ac:dyDescent="0.25">
      <c r="A216" s="190" t="s">
        <v>59</v>
      </c>
      <c r="B216" s="190"/>
      <c r="C216" s="190"/>
      <c r="D216" s="190"/>
      <c r="E216" s="190"/>
      <c r="F216" s="190"/>
      <c r="G216" s="190"/>
      <c r="H216" s="190"/>
      <c r="V216" s="21">
        <f>355000/1.5</f>
        <v>236666.66666666666</v>
      </c>
    </row>
    <row r="217" spans="1:25" x14ac:dyDescent="0.25">
      <c r="A217" s="189" t="s">
        <v>60</v>
      </c>
      <c r="B217" s="189"/>
      <c r="C217" s="189"/>
      <c r="D217" s="189"/>
      <c r="E217" s="189"/>
      <c r="F217" s="189"/>
      <c r="G217" s="189"/>
      <c r="H217" s="189"/>
      <c r="Y217"/>
    </row>
    <row r="218" spans="1:25" x14ac:dyDescent="0.25">
      <c r="A218" s="189" t="s">
        <v>61</v>
      </c>
      <c r="B218" s="189"/>
      <c r="C218" s="189"/>
      <c r="D218" s="189"/>
      <c r="E218" s="189"/>
      <c r="F218" s="189"/>
      <c r="G218" s="189"/>
      <c r="H218" s="189"/>
    </row>
    <row r="219" spans="1:25" ht="15" customHeight="1" x14ac:dyDescent="0.25">
      <c r="A219" s="189" t="s">
        <v>125</v>
      </c>
      <c r="B219" s="189"/>
      <c r="C219" s="189"/>
      <c r="D219" s="189"/>
      <c r="E219" s="189"/>
      <c r="F219" s="189"/>
      <c r="G219" s="189"/>
      <c r="H219" s="189"/>
    </row>
    <row r="220" spans="1:25" x14ac:dyDescent="0.25">
      <c r="A220" s="222" t="s">
        <v>126</v>
      </c>
      <c r="B220" s="222"/>
      <c r="C220" s="222"/>
      <c r="D220" s="222"/>
      <c r="E220" s="222"/>
      <c r="F220" s="222"/>
      <c r="G220" s="222"/>
      <c r="H220" s="222"/>
    </row>
    <row r="221" spans="1:25" x14ac:dyDescent="0.25">
      <c r="A221" s="219" t="s">
        <v>73</v>
      </c>
      <c r="B221" s="219"/>
      <c r="C221" s="219" t="s">
        <v>420</v>
      </c>
      <c r="D221" s="219"/>
      <c r="E221" s="219" t="s">
        <v>103</v>
      </c>
      <c r="F221" s="219"/>
      <c r="G221" s="220" t="s">
        <v>414</v>
      </c>
      <c r="H221" s="220"/>
    </row>
    <row r="222" spans="1:25" x14ac:dyDescent="0.25">
      <c r="A222" s="218" t="s">
        <v>75</v>
      </c>
      <c r="B222" s="218"/>
      <c r="C222" s="218"/>
      <c r="D222" s="218"/>
      <c r="E222" s="218"/>
      <c r="F222" s="218"/>
      <c r="G222" s="218"/>
      <c r="H222" s="218"/>
    </row>
    <row r="223" spans="1:25" x14ac:dyDescent="0.25">
      <c r="A223" s="218"/>
      <c r="B223" s="218"/>
      <c r="C223" s="218"/>
      <c r="D223" s="218"/>
      <c r="E223" s="218"/>
      <c r="F223" s="218"/>
      <c r="G223" s="218"/>
      <c r="H223" s="218"/>
    </row>
    <row r="224" spans="1:25" x14ac:dyDescent="0.25">
      <c r="A224" s="218"/>
      <c r="B224" s="218"/>
      <c r="C224" s="218"/>
      <c r="D224" s="218"/>
      <c r="E224" s="218"/>
      <c r="F224" s="218"/>
      <c r="G224" s="218"/>
      <c r="H224" s="218"/>
    </row>
    <row r="225" spans="1:8" x14ac:dyDescent="0.25">
      <c r="A225" s="218"/>
      <c r="B225" s="218"/>
      <c r="C225" s="218"/>
      <c r="D225" s="218"/>
      <c r="E225" s="218"/>
      <c r="F225" s="218"/>
      <c r="G225" s="218"/>
      <c r="H225" s="218"/>
    </row>
    <row r="226" spans="1:8" x14ac:dyDescent="0.25">
      <c r="A226" s="38" t="s">
        <v>62</v>
      </c>
      <c r="B226" s="39"/>
      <c r="C226" s="39"/>
      <c r="D226" s="38" t="str">
        <f>E9</f>
        <v>Pearl Elegance</v>
      </c>
      <c r="F226" s="39"/>
      <c r="G226" s="39"/>
      <c r="H226" s="39"/>
    </row>
    <row r="227" spans="1:8" x14ac:dyDescent="0.25">
      <c r="A227" s="39"/>
      <c r="B227" s="39"/>
      <c r="C227" s="39"/>
      <c r="D227" s="39"/>
      <c r="E227" s="39"/>
      <c r="F227" s="39"/>
      <c r="G227" s="39"/>
      <c r="H227" s="39"/>
    </row>
    <row r="228" spans="1:8" x14ac:dyDescent="0.25">
      <c r="A228" s="39"/>
      <c r="B228" s="39"/>
      <c r="C228" s="39"/>
      <c r="D228" s="39"/>
      <c r="E228" s="39"/>
      <c r="F228" s="39"/>
      <c r="G228" s="39"/>
      <c r="H228" s="39"/>
    </row>
    <row r="270" spans="1:1" x14ac:dyDescent="0.25">
      <c r="A270" s="41" t="s">
        <v>163</v>
      </c>
    </row>
    <row r="314" spans="1:1" x14ac:dyDescent="0.25">
      <c r="A314" s="41" t="s">
        <v>63</v>
      </c>
    </row>
  </sheetData>
  <mergeCells count="369">
    <mergeCell ref="L156:M156"/>
    <mergeCell ref="L157:M157"/>
    <mergeCell ref="A158:H158"/>
    <mergeCell ref="L159:M159"/>
    <mergeCell ref="L160:M160"/>
    <mergeCell ref="L161:M161"/>
    <mergeCell ref="A162:H162"/>
    <mergeCell ref="L163:M163"/>
    <mergeCell ref="A176:H176"/>
    <mergeCell ref="L172:M172"/>
    <mergeCell ref="L173:M173"/>
    <mergeCell ref="L174:M174"/>
    <mergeCell ref="L175:M175"/>
    <mergeCell ref="L164:M164"/>
    <mergeCell ref="L165:M165"/>
    <mergeCell ref="B161:H161"/>
    <mergeCell ref="B165:H165"/>
    <mergeCell ref="A166:H166"/>
    <mergeCell ref="L167:M167"/>
    <mergeCell ref="L168:M168"/>
    <mergeCell ref="L169:M169"/>
    <mergeCell ref="L170:M170"/>
    <mergeCell ref="L176:M176"/>
    <mergeCell ref="B210:H210"/>
    <mergeCell ref="A102:B102"/>
    <mergeCell ref="A148:B148"/>
    <mergeCell ref="B213:H213"/>
    <mergeCell ref="A118:B118"/>
    <mergeCell ref="C145:C146"/>
    <mergeCell ref="B153:B154"/>
    <mergeCell ref="B204:H204"/>
    <mergeCell ref="A94:B94"/>
    <mergeCell ref="E94:F94"/>
    <mergeCell ref="E95:F104"/>
    <mergeCell ref="A105:B105"/>
    <mergeCell ref="C105:H105"/>
    <mergeCell ref="A107:B107"/>
    <mergeCell ref="C107:H107"/>
    <mergeCell ref="A108:B108"/>
    <mergeCell ref="E108:F108"/>
    <mergeCell ref="G108:H108"/>
    <mergeCell ref="A109:B109"/>
    <mergeCell ref="E109:F118"/>
    <mergeCell ref="G109:H118"/>
    <mergeCell ref="A110:B110"/>
    <mergeCell ref="A111:B111"/>
    <mergeCell ref="A112:B112"/>
    <mergeCell ref="A40:B40"/>
    <mergeCell ref="C40:H40"/>
    <mergeCell ref="F145:F146"/>
    <mergeCell ref="C134:D134"/>
    <mergeCell ref="E134:F134"/>
    <mergeCell ref="B145:B146"/>
    <mergeCell ref="A145:A146"/>
    <mergeCell ref="C153:C154"/>
    <mergeCell ref="G153:G154"/>
    <mergeCell ref="G142:H142"/>
    <mergeCell ref="A113:B113"/>
    <mergeCell ref="A116:B116"/>
    <mergeCell ref="C54:H54"/>
    <mergeCell ref="A115:B115"/>
    <mergeCell ref="A64:C64"/>
    <mergeCell ref="A70:C70"/>
    <mergeCell ref="A71:C71"/>
    <mergeCell ref="D70:H70"/>
    <mergeCell ref="A65:C65"/>
    <mergeCell ref="A83:B83"/>
    <mergeCell ref="E81:F90"/>
    <mergeCell ref="G81:H90"/>
    <mergeCell ref="A124:E124"/>
    <mergeCell ref="G60:H60"/>
    <mergeCell ref="A38:H38"/>
    <mergeCell ref="L151:M151"/>
    <mergeCell ref="L150:M150"/>
    <mergeCell ref="L149:M149"/>
    <mergeCell ref="L148:M148"/>
    <mergeCell ref="A88:B88"/>
    <mergeCell ref="C139:D139"/>
    <mergeCell ref="E139:F139"/>
    <mergeCell ref="G139:H139"/>
    <mergeCell ref="A120:E120"/>
    <mergeCell ref="A91:B91"/>
    <mergeCell ref="C91:H91"/>
    <mergeCell ref="A147:H147"/>
    <mergeCell ref="E145:E146"/>
    <mergeCell ref="A95:B95"/>
    <mergeCell ref="C93:H93"/>
    <mergeCell ref="A96:B96"/>
    <mergeCell ref="A97:B97"/>
    <mergeCell ref="G95:H104"/>
    <mergeCell ref="A98:B98"/>
    <mergeCell ref="F121:H121"/>
    <mergeCell ref="A121:E121"/>
    <mergeCell ref="E142:F142"/>
    <mergeCell ref="A93:B93"/>
    <mergeCell ref="F37:H37"/>
    <mergeCell ref="C51:E51"/>
    <mergeCell ref="C50:E50"/>
    <mergeCell ref="G50:H50"/>
    <mergeCell ref="A51:B51"/>
    <mergeCell ref="G57:H57"/>
    <mergeCell ref="G59:H59"/>
    <mergeCell ref="G51:H51"/>
    <mergeCell ref="A39:B39"/>
    <mergeCell ref="C39:H39"/>
    <mergeCell ref="C56:H56"/>
    <mergeCell ref="A52:B54"/>
    <mergeCell ref="C55:E55"/>
    <mergeCell ref="C52:E53"/>
    <mergeCell ref="C57:E57"/>
    <mergeCell ref="G55:H55"/>
    <mergeCell ref="A57:B58"/>
    <mergeCell ref="A59:B61"/>
    <mergeCell ref="C61:H61"/>
    <mergeCell ref="C59:E60"/>
    <mergeCell ref="E43:H43"/>
    <mergeCell ref="A43:D43"/>
    <mergeCell ref="A37:B37"/>
    <mergeCell ref="C37:E37"/>
    <mergeCell ref="E42:H42"/>
    <mergeCell ref="A41:H41"/>
    <mergeCell ref="A80:B80"/>
    <mergeCell ref="A46:D46"/>
    <mergeCell ref="A47:D47"/>
    <mergeCell ref="D71:H71"/>
    <mergeCell ref="A44:D44"/>
    <mergeCell ref="E44:H44"/>
    <mergeCell ref="E45:H45"/>
    <mergeCell ref="E46:H46"/>
    <mergeCell ref="E47:H47"/>
    <mergeCell ref="C58:H58"/>
    <mergeCell ref="A48:H48"/>
    <mergeCell ref="D66:H66"/>
    <mergeCell ref="A66:C66"/>
    <mergeCell ref="A45:D45"/>
    <mergeCell ref="A49:B49"/>
    <mergeCell ref="C49:H49"/>
    <mergeCell ref="A67:C69"/>
    <mergeCell ref="D67:H67"/>
    <mergeCell ref="D68:H68"/>
    <mergeCell ref="G53:H53"/>
    <mergeCell ref="G52:H52"/>
    <mergeCell ref="A63:H63"/>
    <mergeCell ref="A79:B79"/>
    <mergeCell ref="A77:B77"/>
    <mergeCell ref="C77:H77"/>
    <mergeCell ref="A72:C72"/>
    <mergeCell ref="D72:H72"/>
    <mergeCell ref="C79:H79"/>
    <mergeCell ref="A73:C73"/>
    <mergeCell ref="D73:H73"/>
    <mergeCell ref="A76:C76"/>
    <mergeCell ref="D76:H76"/>
    <mergeCell ref="A75:C75"/>
    <mergeCell ref="A36:B36"/>
    <mergeCell ref="C36:E36"/>
    <mergeCell ref="A31:D31"/>
    <mergeCell ref="E31:H31"/>
    <mergeCell ref="A32:D32"/>
    <mergeCell ref="E32:H32"/>
    <mergeCell ref="C33:E33"/>
    <mergeCell ref="F36:H36"/>
    <mergeCell ref="F33:H33"/>
    <mergeCell ref="A34:B34"/>
    <mergeCell ref="A33:B33"/>
    <mergeCell ref="C34:E34"/>
    <mergeCell ref="A35:B35"/>
    <mergeCell ref="C35:E35"/>
    <mergeCell ref="F34:H34"/>
    <mergeCell ref="F35:H35"/>
    <mergeCell ref="A42:D42"/>
    <mergeCell ref="A25:D25"/>
    <mergeCell ref="E25:H25"/>
    <mergeCell ref="A30:D30"/>
    <mergeCell ref="E30:H30"/>
    <mergeCell ref="A27:D27"/>
    <mergeCell ref="E20:F20"/>
    <mergeCell ref="G20:H20"/>
    <mergeCell ref="A21:B21"/>
    <mergeCell ref="C21:D21"/>
    <mergeCell ref="E21:F21"/>
    <mergeCell ref="G21:H21"/>
    <mergeCell ref="A22:B22"/>
    <mergeCell ref="C22:D22"/>
    <mergeCell ref="E22:F22"/>
    <mergeCell ref="G22:H22"/>
    <mergeCell ref="E23:H24"/>
    <mergeCell ref="E27:H27"/>
    <mergeCell ref="A29:D29"/>
    <mergeCell ref="E29:H29"/>
    <mergeCell ref="A26:D26"/>
    <mergeCell ref="E26:H26"/>
    <mergeCell ref="A28:D28"/>
    <mergeCell ref="E28:H28"/>
    <mergeCell ref="E14:H14"/>
    <mergeCell ref="A15:D15"/>
    <mergeCell ref="A11:D11"/>
    <mergeCell ref="E11:H11"/>
    <mergeCell ref="A23:D24"/>
    <mergeCell ref="A12:D12"/>
    <mergeCell ref="E12:H12"/>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13:D13"/>
    <mergeCell ref="E13:H13"/>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222:H225"/>
    <mergeCell ref="A221:B221"/>
    <mergeCell ref="E221:F221"/>
    <mergeCell ref="C221:D221"/>
    <mergeCell ref="G221:H221"/>
    <mergeCell ref="A132:H132"/>
    <mergeCell ref="A130:E130"/>
    <mergeCell ref="F130:H130"/>
    <mergeCell ref="A131:E131"/>
    <mergeCell ref="F131:H131"/>
    <mergeCell ref="A181:H181"/>
    <mergeCell ref="A139:B139"/>
    <mergeCell ref="A134:B134"/>
    <mergeCell ref="A217:H217"/>
    <mergeCell ref="A137:H137"/>
    <mergeCell ref="A220:H220"/>
    <mergeCell ref="A218:H218"/>
    <mergeCell ref="A214:H214"/>
    <mergeCell ref="G138:H138"/>
    <mergeCell ref="B207:H207"/>
    <mergeCell ref="C142:D142"/>
    <mergeCell ref="A141:B141"/>
    <mergeCell ref="E141:F141"/>
    <mergeCell ref="G141:H141"/>
    <mergeCell ref="B209:H209"/>
    <mergeCell ref="G145:G146"/>
    <mergeCell ref="B202:H202"/>
    <mergeCell ref="B203:H203"/>
    <mergeCell ref="B205:H205"/>
    <mergeCell ref="F119:H119"/>
    <mergeCell ref="F124:H124"/>
    <mergeCell ref="A151:B151"/>
    <mergeCell ref="A150:B150"/>
    <mergeCell ref="F125:H125"/>
    <mergeCell ref="A127:E127"/>
    <mergeCell ref="B208:H208"/>
    <mergeCell ref="A129:E129"/>
    <mergeCell ref="C135:D135"/>
    <mergeCell ref="E135:F135"/>
    <mergeCell ref="G135:H135"/>
    <mergeCell ref="A136:B136"/>
    <mergeCell ref="C136:D136"/>
    <mergeCell ref="E136:F136"/>
    <mergeCell ref="G136:H136"/>
    <mergeCell ref="A140:B140"/>
    <mergeCell ref="C140:D140"/>
    <mergeCell ref="E140:F140"/>
    <mergeCell ref="A155:H155"/>
    <mergeCell ref="A219:H219"/>
    <mergeCell ref="A216:H216"/>
    <mergeCell ref="A138:B138"/>
    <mergeCell ref="D153:D154"/>
    <mergeCell ref="E153:E154"/>
    <mergeCell ref="A99:B99"/>
    <mergeCell ref="A101:B101"/>
    <mergeCell ref="F120:H120"/>
    <mergeCell ref="G134:H134"/>
    <mergeCell ref="A104:B104"/>
    <mergeCell ref="F126:H126"/>
    <mergeCell ref="C133:D133"/>
    <mergeCell ref="C141:D141"/>
    <mergeCell ref="B206:H206"/>
    <mergeCell ref="B212:H212"/>
    <mergeCell ref="B211:H211"/>
    <mergeCell ref="F122:H122"/>
    <mergeCell ref="A126:E126"/>
    <mergeCell ref="A215:H215"/>
    <mergeCell ref="D145:D146"/>
    <mergeCell ref="G140:H140"/>
    <mergeCell ref="A142:B142"/>
    <mergeCell ref="A103:B103"/>
    <mergeCell ref="A122:E122"/>
    <mergeCell ref="A186:H186"/>
    <mergeCell ref="A125:E125"/>
    <mergeCell ref="A87:B87"/>
    <mergeCell ref="I15:P15"/>
    <mergeCell ref="F129:H129"/>
    <mergeCell ref="F127:H127"/>
    <mergeCell ref="A144:H144"/>
    <mergeCell ref="G133:H133"/>
    <mergeCell ref="A128:E128"/>
    <mergeCell ref="A149:B149"/>
    <mergeCell ref="A62:B62"/>
    <mergeCell ref="C62:E62"/>
    <mergeCell ref="D64:H64"/>
    <mergeCell ref="F128:H128"/>
    <mergeCell ref="E133:F133"/>
    <mergeCell ref="A133:B133"/>
    <mergeCell ref="A135:B135"/>
    <mergeCell ref="C138:D138"/>
    <mergeCell ref="D74:H74"/>
    <mergeCell ref="D65:H65"/>
    <mergeCell ref="G62:H62"/>
    <mergeCell ref="A55:B56"/>
    <mergeCell ref="A152:H152"/>
    <mergeCell ref="A86:B86"/>
    <mergeCell ref="A84:B84"/>
    <mergeCell ref="E80:F80"/>
    <mergeCell ref="A82:B82"/>
    <mergeCell ref="E138:F138"/>
    <mergeCell ref="A143:H143"/>
    <mergeCell ref="A153:A154"/>
    <mergeCell ref="F153:F154"/>
    <mergeCell ref="A119:E119"/>
    <mergeCell ref="F123:H123"/>
    <mergeCell ref="A123:E123"/>
    <mergeCell ref="A100:B100"/>
    <mergeCell ref="G94:H94"/>
    <mergeCell ref="A114:B114"/>
    <mergeCell ref="A117:B117"/>
    <mergeCell ref="I33:K33"/>
    <mergeCell ref="I168:J170"/>
    <mergeCell ref="A191:H191"/>
    <mergeCell ref="A196:H196"/>
    <mergeCell ref="J211:P211"/>
    <mergeCell ref="I34:K34"/>
    <mergeCell ref="L34:N34"/>
    <mergeCell ref="I35:K35"/>
    <mergeCell ref="L35:N35"/>
    <mergeCell ref="I36:K36"/>
    <mergeCell ref="L36:N36"/>
    <mergeCell ref="I37:K37"/>
    <mergeCell ref="L37:N37"/>
    <mergeCell ref="A171:H171"/>
    <mergeCell ref="A50:B50"/>
    <mergeCell ref="D69:H69"/>
    <mergeCell ref="A201:H201"/>
    <mergeCell ref="A74:C74"/>
    <mergeCell ref="D75:H75"/>
    <mergeCell ref="A81:B81"/>
    <mergeCell ref="G80:H80"/>
    <mergeCell ref="A89:B89"/>
    <mergeCell ref="A90:B90"/>
    <mergeCell ref="A85:B85"/>
  </mergeCells>
  <dataValidations count="18">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45:E146">
      <formula1>"Attached Loft area,Attached Otla area,Attached Mezzanine area"</formula1>
    </dataValidation>
    <dataValidation type="list" allowBlank="1" showInputMessage="1" showErrorMessage="1" sqref="G221:H221">
      <formula1>"Kunal Kadam,Pranita Mhatre,Shruti Fule,Pooja Kawale,Gaurav Panchal,Shruti Tathare, Dipti Gothawade,Saurav Panse, Sachin Sawant"</formula1>
    </dataValidation>
    <dataValidation type="list" allowBlank="1" showInputMessage="1" showErrorMessage="1" sqref="F119:H119">
      <formula1>"On Saleable Area,On Builtup Area,On Carpet Area,On Plot Area"</formula1>
    </dataValidation>
    <dataValidation type="list" allowBlank="1" showInputMessage="1" showErrorMessage="1" sqref="F130:H130">
      <formula1>OFFSET($S$119,1,MATCH($G20,$S$119:$W$119,0)-1,15,1)</formula1>
    </dataValidation>
    <dataValidation type="list" allowBlank="1" showInputMessage="1" showErrorMessage="1" sqref="B145:B146">
      <formula1>"Shop No. (Sale Plan),Sale / Rehab,Sale / Mhada"</formula1>
    </dataValidation>
    <dataValidation type="list" allowBlank="1" showInputMessage="1" showErrorMessage="1" sqref="B153:B154">
      <formula1>"Flat No. (Sale Plan),Sale / Rehab/PAP,Sale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153:E154">
      <formula1>"Fungible area,Balcony Area,Chajja Area,Cornice Area,AP Area,WS Area"</formula1>
    </dataValidation>
    <dataValidation type="list" allowBlank="1" showInputMessage="1" showErrorMessage="1" sqref="H146 H154">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list" allowBlank="1" showInputMessage="1" showErrorMessage="1" sqref="H145 H153">
      <formula1>"Saleable area Loading :,Builder Saleable Area"</formula1>
    </dataValidation>
    <dataValidation type="list" allowBlank="1" showInputMessage="1" showErrorMessage="1" sqref="D145:D146">
      <formula1>"Carpet area,RERA Carpet area"</formula1>
    </dataValidation>
    <dataValidation type="list" allowBlank="1" showInputMessage="1" showErrorMessage="1" sqref="D153:D154">
      <formula1>"Carpet Area,Carpet + Encl Balcony Area,RERA Carpet area"</formula1>
    </dataValidation>
  </dataValidations>
  <hyperlinks>
    <hyperlink ref="C40" r:id="rId1"/>
    <hyperlink ref="I67" r:id="rId2"/>
  </hyperlinks>
  <printOptions horizontalCentered="1"/>
  <pageMargins left="0.39370078740157483" right="0.39370078740157483" top="0.82677165354330717" bottom="0.78740157480314965" header="0.15748031496062992" footer="0.19685039370078741"/>
  <pageSetup paperSize="9" orientation="portrait" r:id="rId3"/>
  <headerFooter>
    <oddHeader>&amp;C&amp;G</oddHeader>
    <oddFooter>&amp;L&amp;"Times New Roman,Bold"&amp;12Ref No: &amp;F&amp;C&amp;G&amp;R&amp;"Times New Roman,Bold"&amp;12&amp;P</oddFooter>
  </headerFooter>
  <rowBreaks count="5" manualBreakCount="5">
    <brk id="76" max="16383" man="1"/>
    <brk id="170" max="7" man="1"/>
    <brk id="225" max="7" man="1"/>
    <brk id="269" max="7" man="1"/>
    <brk id="313" max="7" man="1"/>
  </rowBreaks>
  <drawing r:id="rId4"/>
  <legacy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K3" sqref="K3"/>
    </sheetView>
  </sheetViews>
  <sheetFormatPr defaultColWidth="8.7109375" defaultRowHeight="15" x14ac:dyDescent="0.25"/>
  <cols>
    <col min="1" max="1" width="8.7109375" style="1"/>
    <col min="2" max="2" width="22.140625" style="1" customWidth="1"/>
    <col min="3" max="3" width="37" style="1" customWidth="1"/>
    <col min="4" max="5" width="11.42578125" style="1" customWidth="1"/>
    <col min="6" max="6" width="14" style="1" customWidth="1"/>
    <col min="7" max="7" width="20" style="1" customWidth="1"/>
    <col min="8" max="8" width="16.42578125" style="1" customWidth="1"/>
    <col min="9" max="16384" width="8.7109375" style="1"/>
  </cols>
  <sheetData>
    <row r="1" spans="1:9" ht="15" customHeight="1" x14ac:dyDescent="0.25"/>
    <row r="2" spans="1:9" ht="15" customHeight="1" x14ac:dyDescent="0.25">
      <c r="A2" s="2"/>
      <c r="B2" s="2"/>
      <c r="C2" s="2"/>
      <c r="D2" s="2"/>
      <c r="E2" s="2"/>
      <c r="F2" s="2"/>
      <c r="G2" s="2"/>
      <c r="H2" s="2"/>
    </row>
    <row r="3" spans="1:9" ht="15.75" customHeight="1" x14ac:dyDescent="0.25">
      <c r="A3" s="2"/>
      <c r="B3" s="343" t="s">
        <v>104</v>
      </c>
      <c r="C3" s="343"/>
      <c r="D3" s="343"/>
      <c r="E3" s="343"/>
      <c r="F3" s="343"/>
      <c r="G3" s="343"/>
      <c r="H3" s="343"/>
    </row>
    <row r="4" spans="1:9" x14ac:dyDescent="0.25">
      <c r="A4" s="2"/>
      <c r="B4" s="3" t="s">
        <v>105</v>
      </c>
      <c r="C4" s="3" t="s">
        <v>106</v>
      </c>
      <c r="D4" s="3" t="s">
        <v>65</v>
      </c>
      <c r="E4" s="3" t="s">
        <v>107</v>
      </c>
      <c r="F4" s="3" t="s">
        <v>113</v>
      </c>
      <c r="G4" s="3" t="s">
        <v>114</v>
      </c>
      <c r="H4" s="3" t="s">
        <v>108</v>
      </c>
    </row>
    <row r="5" spans="1:9" ht="15" customHeight="1" x14ac:dyDescent="0.25">
      <c r="A5" s="2"/>
      <c r="B5" s="5" t="s">
        <v>109</v>
      </c>
      <c r="C5" s="6"/>
      <c r="D5" s="5"/>
      <c r="E5" s="5"/>
      <c r="F5" s="7">
        <f>E5*1.6</f>
        <v>0</v>
      </c>
      <c r="G5" s="7" t="e">
        <f>H5/F5</f>
        <v>#DIV/0!</v>
      </c>
      <c r="H5" s="8"/>
    </row>
    <row r="6" spans="1:9" x14ac:dyDescent="0.25">
      <c r="A6" s="2"/>
      <c r="B6" s="5" t="s">
        <v>109</v>
      </c>
      <c r="C6" s="9"/>
      <c r="D6" s="5"/>
      <c r="E6" s="5"/>
      <c r="F6" s="7">
        <f t="shared" ref="F6:F11" si="0">E6*1.6</f>
        <v>0</v>
      </c>
      <c r="G6" s="7" t="e">
        <f t="shared" ref="G6:G11" si="1">H6/F6</f>
        <v>#DIV/0!</v>
      </c>
      <c r="H6" s="8"/>
    </row>
    <row r="7" spans="1:9" ht="15" customHeight="1" x14ac:dyDescent="0.25">
      <c r="A7" s="2"/>
      <c r="B7" s="5" t="s">
        <v>109</v>
      </c>
      <c r="C7" s="6"/>
      <c r="D7" s="5"/>
      <c r="E7" s="5"/>
      <c r="F7" s="7">
        <f t="shared" si="0"/>
        <v>0</v>
      </c>
      <c r="G7" s="7" t="e">
        <f t="shared" si="1"/>
        <v>#DIV/0!</v>
      </c>
      <c r="H7" s="8"/>
    </row>
    <row r="8" spans="1:9" x14ac:dyDescent="0.25">
      <c r="A8" s="2"/>
      <c r="B8" s="5" t="s">
        <v>109</v>
      </c>
      <c r="C8" s="9"/>
      <c r="D8" s="5"/>
      <c r="E8" s="5"/>
      <c r="F8" s="7">
        <f t="shared" si="0"/>
        <v>0</v>
      </c>
      <c r="G8" s="7" t="e">
        <f t="shared" si="1"/>
        <v>#DIV/0!</v>
      </c>
      <c r="H8" s="8"/>
    </row>
    <row r="9" spans="1:9" ht="15" customHeight="1" x14ac:dyDescent="0.25">
      <c r="A9" s="2"/>
      <c r="B9" s="5" t="s">
        <v>109</v>
      </c>
      <c r="C9" s="9"/>
      <c r="D9" s="5"/>
      <c r="E9" s="5"/>
      <c r="F9" s="7">
        <f t="shared" si="0"/>
        <v>0</v>
      </c>
      <c r="G9" s="7" t="e">
        <f t="shared" si="1"/>
        <v>#DIV/0!</v>
      </c>
      <c r="H9" s="8"/>
    </row>
    <row r="10" spans="1:9" ht="15" customHeight="1" x14ac:dyDescent="0.25">
      <c r="A10" s="2"/>
      <c r="B10" s="5" t="s">
        <v>110</v>
      </c>
      <c r="C10" s="6"/>
      <c r="D10" s="5"/>
      <c r="E10" s="5"/>
      <c r="F10" s="7">
        <f t="shared" si="0"/>
        <v>0</v>
      </c>
      <c r="G10" s="7" t="e">
        <f t="shared" si="1"/>
        <v>#DIV/0!</v>
      </c>
      <c r="H10" s="8"/>
    </row>
    <row r="11" spans="1:9" ht="15" customHeight="1" x14ac:dyDescent="0.25">
      <c r="A11" s="2"/>
      <c r="B11" s="5" t="s">
        <v>110</v>
      </c>
      <c r="C11" s="6"/>
      <c r="D11" s="5"/>
      <c r="E11" s="5"/>
      <c r="F11" s="7">
        <f t="shared" si="0"/>
        <v>0</v>
      </c>
      <c r="G11" s="7" t="e">
        <f t="shared" si="1"/>
        <v>#DIV/0!</v>
      </c>
      <c r="H11" s="8"/>
    </row>
    <row r="12" spans="1:9" ht="15" customHeight="1" x14ac:dyDescent="0.25">
      <c r="A12" s="2"/>
      <c r="B12" s="10" t="s">
        <v>111</v>
      </c>
      <c r="C12" s="5"/>
      <c r="D12" s="5"/>
      <c r="E12" s="5"/>
      <c r="F12" s="5"/>
      <c r="G12" s="11" t="e">
        <f>AVERAGE(G5:G11)</f>
        <v>#DIV/0!</v>
      </c>
      <c r="H12" s="5"/>
    </row>
    <row r="13" spans="1:9" ht="15" customHeight="1" x14ac:dyDescent="0.25">
      <c r="B13" s="10" t="s">
        <v>112</v>
      </c>
      <c r="C13" s="5"/>
      <c r="D13" s="5"/>
      <c r="E13" s="5"/>
      <c r="F13" s="12"/>
      <c r="G13" s="10"/>
      <c r="H13" s="10"/>
      <c r="I13" s="4"/>
    </row>
    <row r="14" spans="1:9" ht="15" customHeight="1" x14ac:dyDescent="0.25"/>
    <row r="15" spans="1:9" ht="15" customHeight="1" x14ac:dyDescent="0.25"/>
    <row r="16" spans="1:9" ht="15" customHeight="1" x14ac:dyDescent="0.2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5" x14ac:dyDescent="0.25"/>
  <cols>
    <col min="4" max="4" width="13.85546875" bestFit="1" customWidth="1"/>
    <col min="5" max="5" width="10.42578125" bestFit="1" customWidth="1"/>
    <col min="6" max="6" width="12.42578125" bestFit="1" customWidth="1"/>
    <col min="7" max="7" width="18.140625" customWidth="1"/>
    <col min="8" max="8" width="10.5703125" bestFit="1" customWidth="1"/>
  </cols>
  <sheetData>
    <row r="3" spans="2:11" x14ac:dyDescent="0.25">
      <c r="J3">
        <v>1</v>
      </c>
      <c r="K3">
        <v>2</v>
      </c>
    </row>
    <row r="4" spans="2:11" x14ac:dyDescent="0.25">
      <c r="B4" s="51"/>
      <c r="C4" s="51" t="s">
        <v>11</v>
      </c>
      <c r="D4" s="52" t="s">
        <v>176</v>
      </c>
      <c r="E4" s="52" t="s">
        <v>186</v>
      </c>
      <c r="F4" s="52" t="s">
        <v>172</v>
      </c>
      <c r="G4" s="52" t="s">
        <v>191</v>
      </c>
      <c r="H4" s="52" t="s">
        <v>209</v>
      </c>
      <c r="J4" t="s">
        <v>191</v>
      </c>
      <c r="K4" t="s">
        <v>207</v>
      </c>
    </row>
    <row r="5" spans="2:11" x14ac:dyDescent="0.25">
      <c r="B5" s="51"/>
      <c r="C5" s="51"/>
      <c r="D5" s="52" t="s">
        <v>177</v>
      </c>
      <c r="E5" s="52" t="s">
        <v>184</v>
      </c>
      <c r="F5" s="52" t="s">
        <v>206</v>
      </c>
      <c r="G5" s="52" t="s">
        <v>192</v>
      </c>
      <c r="H5" s="52" t="s">
        <v>210</v>
      </c>
    </row>
    <row r="6" spans="2:11" x14ac:dyDescent="0.25">
      <c r="B6" s="51"/>
      <c r="C6" s="51"/>
      <c r="D6" s="52" t="s">
        <v>178</v>
      </c>
      <c r="E6" s="52" t="s">
        <v>185</v>
      </c>
      <c r="F6" s="52" t="s">
        <v>207</v>
      </c>
      <c r="G6" s="52" t="s">
        <v>193</v>
      </c>
      <c r="H6" s="52" t="s">
        <v>223</v>
      </c>
    </row>
    <row r="7" spans="2:11" x14ac:dyDescent="0.25">
      <c r="B7" s="51"/>
      <c r="C7" s="51"/>
      <c r="D7" s="52" t="s">
        <v>179</v>
      </c>
      <c r="E7" s="52" t="s">
        <v>187</v>
      </c>
      <c r="F7" s="52" t="s">
        <v>208</v>
      </c>
      <c r="G7" s="52" t="s">
        <v>194</v>
      </c>
      <c r="H7" s="52" t="s">
        <v>211</v>
      </c>
    </row>
    <row r="8" spans="2:11" x14ac:dyDescent="0.25">
      <c r="B8" s="51"/>
      <c r="C8" s="51"/>
      <c r="D8" s="52" t="s">
        <v>180</v>
      </c>
      <c r="E8" s="52" t="s">
        <v>188</v>
      </c>
      <c r="F8" s="52"/>
      <c r="G8" s="52" t="s">
        <v>195</v>
      </c>
      <c r="H8" s="52" t="s">
        <v>212</v>
      </c>
    </row>
    <row r="9" spans="2:11" x14ac:dyDescent="0.25">
      <c r="B9" s="51"/>
      <c r="C9" s="51"/>
      <c r="D9" s="52" t="s">
        <v>181</v>
      </c>
      <c r="E9" s="52" t="s">
        <v>186</v>
      </c>
      <c r="F9" s="52"/>
      <c r="G9" s="52" t="s">
        <v>196</v>
      </c>
      <c r="H9" s="52" t="s">
        <v>213</v>
      </c>
    </row>
    <row r="10" spans="2:11" x14ac:dyDescent="0.25">
      <c r="B10" s="51"/>
      <c r="C10" s="51"/>
      <c r="D10" s="52" t="s">
        <v>182</v>
      </c>
      <c r="E10" s="52" t="s">
        <v>189</v>
      </c>
      <c r="F10" s="52"/>
      <c r="G10" s="52" t="s">
        <v>197</v>
      </c>
      <c r="H10" s="52" t="s">
        <v>214</v>
      </c>
    </row>
    <row r="11" spans="2:11" x14ac:dyDescent="0.25">
      <c r="B11" s="51"/>
      <c r="C11" s="51"/>
      <c r="D11" s="52" t="s">
        <v>183</v>
      </c>
      <c r="E11" s="52" t="s">
        <v>190</v>
      </c>
      <c r="F11" s="52"/>
      <c r="G11" s="52" t="s">
        <v>198</v>
      </c>
      <c r="H11" s="52" t="s">
        <v>215</v>
      </c>
    </row>
    <row r="12" spans="2:11" x14ac:dyDescent="0.25">
      <c r="B12" s="51"/>
      <c r="C12" s="51"/>
      <c r="D12" s="52"/>
      <c r="E12" s="52"/>
      <c r="F12" s="52"/>
      <c r="G12" s="52" t="s">
        <v>199</v>
      </c>
      <c r="H12" s="52" t="s">
        <v>216</v>
      </c>
    </row>
    <row r="13" spans="2:11" x14ac:dyDescent="0.25">
      <c r="B13" s="51"/>
      <c r="C13" s="51"/>
      <c r="D13" s="52"/>
      <c r="E13" s="52"/>
      <c r="F13" s="52"/>
      <c r="G13" s="52" t="s">
        <v>200</v>
      </c>
      <c r="H13" s="52" t="s">
        <v>217</v>
      </c>
    </row>
    <row r="14" spans="2:11" x14ac:dyDescent="0.25">
      <c r="B14" s="51"/>
      <c r="C14" s="51"/>
      <c r="D14" s="52"/>
      <c r="E14" s="52"/>
      <c r="F14" s="52"/>
      <c r="G14" s="52" t="s">
        <v>201</v>
      </c>
      <c r="H14" s="52" t="s">
        <v>218</v>
      </c>
    </row>
    <row r="15" spans="2:11" x14ac:dyDescent="0.25">
      <c r="B15" s="51"/>
      <c r="C15" s="51"/>
      <c r="D15" s="52"/>
      <c r="E15" s="52"/>
      <c r="F15" s="52"/>
      <c r="G15" s="52" t="s">
        <v>202</v>
      </c>
      <c r="H15" s="52" t="s">
        <v>219</v>
      </c>
    </row>
    <row r="16" spans="2:11" x14ac:dyDescent="0.25">
      <c r="B16" s="51"/>
      <c r="C16" s="51"/>
      <c r="D16" s="52"/>
      <c r="E16" s="52"/>
      <c r="F16" s="52"/>
      <c r="G16" s="52" t="s">
        <v>203</v>
      </c>
      <c r="H16" s="52" t="s">
        <v>220</v>
      </c>
    </row>
    <row r="17" spans="2:8" x14ac:dyDescent="0.25">
      <c r="B17" s="51"/>
      <c r="C17" s="51"/>
      <c r="D17" s="52"/>
      <c r="E17" s="52"/>
      <c r="F17" s="52"/>
      <c r="G17" s="52" t="s">
        <v>204</v>
      </c>
      <c r="H17" s="52" t="s">
        <v>221</v>
      </c>
    </row>
    <row r="18" spans="2:8" x14ac:dyDescent="0.25">
      <c r="B18" s="51"/>
      <c r="C18" s="51"/>
      <c r="D18" s="52"/>
      <c r="E18" s="52"/>
      <c r="F18" s="52"/>
      <c r="G18" s="52" t="s">
        <v>205</v>
      </c>
      <c r="H18" s="52" t="s">
        <v>222</v>
      </c>
    </row>
    <row r="24" spans="2:8" x14ac:dyDescent="0.25">
      <c r="C24" t="s">
        <v>169</v>
      </c>
    </row>
    <row r="25" spans="2:8" x14ac:dyDescent="0.25">
      <c r="C25" t="s">
        <v>224</v>
      </c>
    </row>
    <row r="26" spans="2:8" x14ac:dyDescent="0.25">
      <c r="C26" t="s">
        <v>225</v>
      </c>
    </row>
    <row r="27" spans="2:8" x14ac:dyDescent="0.25">
      <c r="C27" t="s">
        <v>226</v>
      </c>
    </row>
    <row r="28" spans="2:8" x14ac:dyDescent="0.25">
      <c r="C28" t="s">
        <v>227</v>
      </c>
    </row>
    <row r="29" spans="2:8" x14ac:dyDescent="0.25">
      <c r="C29" t="s">
        <v>228</v>
      </c>
    </row>
    <row r="30" spans="2:8" x14ac:dyDescent="0.25">
      <c r="C30" t="s">
        <v>169</v>
      </c>
    </row>
    <row r="33" spans="3:11" x14ac:dyDescent="0.25">
      <c r="J33">
        <v>1</v>
      </c>
      <c r="K33">
        <v>2</v>
      </c>
    </row>
    <row r="34" spans="3:11" x14ac:dyDescent="0.25">
      <c r="C34" s="54" t="s">
        <v>234</v>
      </c>
      <c r="D34" s="52" t="s">
        <v>232</v>
      </c>
      <c r="E34" s="52" t="s">
        <v>237</v>
      </c>
      <c r="F34" s="52" t="s">
        <v>235</v>
      </c>
      <c r="G34" s="52" t="s">
        <v>236</v>
      </c>
      <c r="H34" s="52" t="s">
        <v>238</v>
      </c>
      <c r="J34" t="s">
        <v>191</v>
      </c>
      <c r="K34" t="s">
        <v>207</v>
      </c>
    </row>
    <row r="35" spans="3:11" x14ac:dyDescent="0.25">
      <c r="C35" s="51" t="s">
        <v>233</v>
      </c>
      <c r="D35" s="52" t="s">
        <v>170</v>
      </c>
      <c r="E35" s="52" t="s">
        <v>242</v>
      </c>
      <c r="F35" s="52" t="s">
        <v>244</v>
      </c>
      <c r="G35" s="52" t="s">
        <v>246</v>
      </c>
      <c r="H35" s="52"/>
    </row>
    <row r="36" spans="3:11" x14ac:dyDescent="0.25">
      <c r="C36" s="51"/>
      <c r="D36" s="52" t="s">
        <v>239</v>
      </c>
      <c r="E36" s="52" t="s">
        <v>243</v>
      </c>
      <c r="F36" s="52" t="s">
        <v>245</v>
      </c>
      <c r="G36" s="52" t="s">
        <v>247</v>
      </c>
      <c r="H36" s="52"/>
    </row>
    <row r="37" spans="3:11" x14ac:dyDescent="0.25">
      <c r="C37" s="51"/>
      <c r="D37" s="52" t="s">
        <v>240</v>
      </c>
      <c r="E37" s="52"/>
      <c r="F37" s="52"/>
      <c r="G37" s="52" t="s">
        <v>248</v>
      </c>
      <c r="H37" s="52"/>
    </row>
    <row r="38" spans="3:11" x14ac:dyDescent="0.25">
      <c r="C38" s="51"/>
      <c r="D38" s="52" t="s">
        <v>241</v>
      </c>
      <c r="E38" s="52"/>
      <c r="F38" s="52"/>
      <c r="G38" s="52" t="s">
        <v>248</v>
      </c>
      <c r="H38" s="52"/>
    </row>
    <row r="39" spans="3:11" x14ac:dyDescent="0.25">
      <c r="C39" s="51"/>
      <c r="D39" s="52"/>
      <c r="E39" s="52"/>
      <c r="F39" s="52"/>
      <c r="G39" s="52" t="s">
        <v>249</v>
      </c>
      <c r="H39" s="52"/>
    </row>
    <row r="40" spans="3:11" x14ac:dyDescent="0.25">
      <c r="C40" s="51"/>
      <c r="D40" s="52"/>
      <c r="E40" s="52"/>
      <c r="F40" s="52"/>
      <c r="G40" s="52" t="s">
        <v>250</v>
      </c>
      <c r="H40" s="52"/>
    </row>
    <row r="41" spans="3:11" x14ac:dyDescent="0.25">
      <c r="C41" s="51"/>
      <c r="D41" s="52"/>
      <c r="E41" s="52"/>
      <c r="F41" s="52"/>
      <c r="G41" s="52"/>
      <c r="H41" s="52"/>
    </row>
    <row r="43" spans="3:11" x14ac:dyDescent="0.25">
      <c r="C43" t="s">
        <v>251</v>
      </c>
    </row>
    <row r="44" spans="3:11" x14ac:dyDescent="0.25">
      <c r="C44" t="s">
        <v>172</v>
      </c>
      <c r="D44" t="s">
        <v>252</v>
      </c>
    </row>
    <row r="45" spans="3:11" x14ac:dyDescent="0.25">
      <c r="D45" t="s">
        <v>253</v>
      </c>
    </row>
    <row r="46" spans="3:11" x14ac:dyDescent="0.25">
      <c r="D46" t="s">
        <v>254</v>
      </c>
    </row>
    <row r="47" spans="3:11" x14ac:dyDescent="0.25">
      <c r="D47" t="s">
        <v>255</v>
      </c>
    </row>
    <row r="48" spans="3:11" x14ac:dyDescent="0.25">
      <c r="D48" t="s">
        <v>256</v>
      </c>
    </row>
    <row r="49" spans="3:4" x14ac:dyDescent="0.25">
      <c r="C49" t="s">
        <v>176</v>
      </c>
      <c r="D49" t="s">
        <v>257</v>
      </c>
    </row>
    <row r="50" spans="3:4" x14ac:dyDescent="0.25">
      <c r="D50" t="s">
        <v>258</v>
      </c>
    </row>
    <row r="51" spans="3:4" x14ac:dyDescent="0.25">
      <c r="D51" t="s">
        <v>259</v>
      </c>
    </row>
    <row r="52" spans="3:4" x14ac:dyDescent="0.25">
      <c r="D52" t="s">
        <v>262</v>
      </c>
    </row>
    <row r="53" spans="3:4" x14ac:dyDescent="0.25">
      <c r="D53" t="s">
        <v>260</v>
      </c>
    </row>
    <row r="54" spans="3:4" x14ac:dyDescent="0.25">
      <c r="D54" t="s">
        <v>261</v>
      </c>
    </row>
    <row r="55" spans="3:4" x14ac:dyDescent="0.25">
      <c r="D55" t="s">
        <v>263</v>
      </c>
    </row>
    <row r="56" spans="3:4" x14ac:dyDescent="0.25">
      <c r="D56" t="s">
        <v>264</v>
      </c>
    </row>
    <row r="57" spans="3:4" x14ac:dyDescent="0.25">
      <c r="D57" t="s">
        <v>265</v>
      </c>
    </row>
    <row r="58" spans="3:4" x14ac:dyDescent="0.25">
      <c r="D58" t="s">
        <v>267</v>
      </c>
    </row>
    <row r="59" spans="3:4" x14ac:dyDescent="0.25">
      <c r="D59" t="s">
        <v>276</v>
      </c>
    </row>
    <row r="60" spans="3:4" x14ac:dyDescent="0.25">
      <c r="C60" t="s">
        <v>191</v>
      </c>
      <c r="D60" t="s">
        <v>268</v>
      </c>
    </row>
    <row r="61" spans="3:4" x14ac:dyDescent="0.25">
      <c r="D61" t="s">
        <v>266</v>
      </c>
    </row>
    <row r="62" spans="3:4" x14ac:dyDescent="0.25">
      <c r="D62" t="s">
        <v>256</v>
      </c>
    </row>
    <row r="63" spans="3:4" x14ac:dyDescent="0.25">
      <c r="D63" t="s">
        <v>269</v>
      </c>
    </row>
    <row r="64" spans="3:4" x14ac:dyDescent="0.25">
      <c r="D64" t="s">
        <v>270</v>
      </c>
    </row>
    <row r="65" spans="3:4" x14ac:dyDescent="0.25">
      <c r="D65" t="s">
        <v>271</v>
      </c>
    </row>
    <row r="66" spans="3:4" x14ac:dyDescent="0.25">
      <c r="D66" t="s">
        <v>272</v>
      </c>
    </row>
    <row r="67" spans="3:4" x14ac:dyDescent="0.25">
      <c r="C67" t="s">
        <v>186</v>
      </c>
      <c r="D67" t="s">
        <v>273</v>
      </c>
    </row>
    <row r="68" spans="3:4" x14ac:dyDescent="0.25">
      <c r="D68" t="s">
        <v>274</v>
      </c>
    </row>
    <row r="69" spans="3:4" x14ac:dyDescent="0.25">
      <c r="D69" t="s">
        <v>275</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F55"/>
  <sheetViews>
    <sheetView topLeftCell="A43" zoomScaleNormal="100" workbookViewId="0">
      <selection activeCell="C57" sqref="C57"/>
    </sheetView>
  </sheetViews>
  <sheetFormatPr defaultRowHeight="15" x14ac:dyDescent="0.25"/>
  <cols>
    <col min="2" max="2" width="3" bestFit="1" customWidth="1"/>
    <col min="3" max="3" width="155.28515625" customWidth="1"/>
  </cols>
  <sheetData>
    <row r="2" spans="2:3" ht="15" customHeight="1" x14ac:dyDescent="0.25">
      <c r="B2" s="55">
        <v>1</v>
      </c>
      <c r="C2" s="57" t="s">
        <v>281</v>
      </c>
    </row>
    <row r="3" spans="2:3" x14ac:dyDescent="0.25">
      <c r="B3" s="55">
        <v>2</v>
      </c>
      <c r="C3" s="56" t="s">
        <v>282</v>
      </c>
    </row>
    <row r="4" spans="2:3" x14ac:dyDescent="0.25">
      <c r="B4" s="55">
        <v>3</v>
      </c>
      <c r="C4" s="55" t="s">
        <v>283</v>
      </c>
    </row>
    <row r="5" spans="2:3" x14ac:dyDescent="0.25">
      <c r="B5" s="55">
        <v>4</v>
      </c>
      <c r="C5" s="56" t="s">
        <v>284</v>
      </c>
    </row>
    <row r="6" spans="2:3" x14ac:dyDescent="0.25">
      <c r="B6" s="55">
        <v>5</v>
      </c>
      <c r="C6" s="55" t="s">
        <v>285</v>
      </c>
    </row>
    <row r="7" spans="2:3" ht="30" x14ac:dyDescent="0.25">
      <c r="B7" s="55">
        <v>6</v>
      </c>
      <c r="C7" s="56" t="s">
        <v>286</v>
      </c>
    </row>
    <row r="8" spans="2:3" ht="75" x14ac:dyDescent="0.25">
      <c r="B8" s="55">
        <v>7</v>
      </c>
      <c r="C8" s="56" t="s">
        <v>287</v>
      </c>
    </row>
    <row r="9" spans="2:3" x14ac:dyDescent="0.25">
      <c r="B9" s="55">
        <v>8</v>
      </c>
      <c r="C9" s="55" t="s">
        <v>288</v>
      </c>
    </row>
    <row r="10" spans="2:3" x14ac:dyDescent="0.25">
      <c r="B10" s="55">
        <v>9</v>
      </c>
      <c r="C10" s="55" t="s">
        <v>289</v>
      </c>
    </row>
    <row r="11" spans="2:3" x14ac:dyDescent="0.25">
      <c r="B11" s="55">
        <v>10</v>
      </c>
      <c r="C11" s="55" t="s">
        <v>290</v>
      </c>
    </row>
    <row r="12" spans="2:3" x14ac:dyDescent="0.25">
      <c r="B12" s="55">
        <v>11</v>
      </c>
      <c r="C12" s="55" t="s">
        <v>291</v>
      </c>
    </row>
    <row r="13" spans="2:3" x14ac:dyDescent="0.25">
      <c r="B13" s="55">
        <v>12</v>
      </c>
      <c r="C13" s="55" t="s">
        <v>292</v>
      </c>
    </row>
    <row r="14" spans="2:3" x14ac:dyDescent="0.25">
      <c r="B14" s="55">
        <v>13</v>
      </c>
      <c r="C14" s="55" t="s">
        <v>293</v>
      </c>
    </row>
    <row r="15" spans="2:3" x14ac:dyDescent="0.25">
      <c r="B15" s="55">
        <v>14</v>
      </c>
      <c r="C15" s="55" t="s">
        <v>283</v>
      </c>
    </row>
    <row r="16" spans="2:3" x14ac:dyDescent="0.25">
      <c r="B16" s="55">
        <v>15</v>
      </c>
      <c r="C16" s="55" t="s">
        <v>296</v>
      </c>
    </row>
    <row r="17" spans="2:3" x14ac:dyDescent="0.25">
      <c r="B17" s="75">
        <v>16</v>
      </c>
      <c r="C17" s="61" t="s">
        <v>297</v>
      </c>
    </row>
    <row r="18" spans="2:3" x14ac:dyDescent="0.25">
      <c r="B18" s="60">
        <v>17</v>
      </c>
      <c r="C18" s="61" t="s">
        <v>298</v>
      </c>
    </row>
    <row r="19" spans="2:3" x14ac:dyDescent="0.25">
      <c r="B19" s="59">
        <v>18</v>
      </c>
      <c r="C19" s="55" t="s">
        <v>299</v>
      </c>
    </row>
    <row r="20" spans="2:3" x14ac:dyDescent="0.25">
      <c r="B20" s="60">
        <v>19</v>
      </c>
      <c r="C20" s="55" t="s">
        <v>335</v>
      </c>
    </row>
    <row r="21" spans="2:3" x14ac:dyDescent="0.25">
      <c r="B21" s="55">
        <v>20</v>
      </c>
      <c r="C21" s="55" t="s">
        <v>300</v>
      </c>
    </row>
    <row r="22" spans="2:3" x14ac:dyDescent="0.25">
      <c r="B22" s="60">
        <v>21</v>
      </c>
      <c r="C22" s="55" t="s">
        <v>299</v>
      </c>
    </row>
    <row r="23" spans="2:3" s="70" customFormat="1" ht="29.25" customHeight="1" x14ac:dyDescent="0.25">
      <c r="B23" s="69">
        <v>22</v>
      </c>
      <c r="C23" s="57" t="s">
        <v>327</v>
      </c>
    </row>
    <row r="24" spans="2:3" s="70" customFormat="1" ht="30.75" customHeight="1" x14ac:dyDescent="0.25">
      <c r="B24" s="71">
        <v>23</v>
      </c>
      <c r="C24" s="57" t="s">
        <v>328</v>
      </c>
    </row>
    <row r="25" spans="2:3" x14ac:dyDescent="0.25">
      <c r="B25" s="55">
        <v>24</v>
      </c>
      <c r="C25" s="55" t="s">
        <v>331</v>
      </c>
    </row>
    <row r="26" spans="2:3" x14ac:dyDescent="0.25">
      <c r="B26" s="60">
        <v>25</v>
      </c>
      <c r="C26" s="55" t="s">
        <v>329</v>
      </c>
    </row>
    <row r="27" spans="2:3" x14ac:dyDescent="0.25">
      <c r="B27" s="71">
        <v>26</v>
      </c>
      <c r="C27" s="55" t="s">
        <v>330</v>
      </c>
    </row>
    <row r="28" spans="2:3" x14ac:dyDescent="0.25">
      <c r="B28" s="60">
        <v>27</v>
      </c>
      <c r="C28" s="55" t="s">
        <v>332</v>
      </c>
    </row>
    <row r="29" spans="2:3" ht="60" x14ac:dyDescent="0.25">
      <c r="B29" s="74">
        <v>28</v>
      </c>
      <c r="C29" s="56" t="s">
        <v>333</v>
      </c>
    </row>
    <row r="30" spans="2:3" x14ac:dyDescent="0.25">
      <c r="B30" s="71">
        <v>29</v>
      </c>
      <c r="C30" s="55" t="s">
        <v>334</v>
      </c>
    </row>
    <row r="31" spans="2:3" ht="30" x14ac:dyDescent="0.25">
      <c r="B31" s="71">
        <v>30</v>
      </c>
      <c r="C31" s="56" t="s">
        <v>336</v>
      </c>
    </row>
    <row r="32" spans="2:3" x14ac:dyDescent="0.25">
      <c r="B32" s="71">
        <v>31</v>
      </c>
      <c r="C32" s="55" t="s">
        <v>337</v>
      </c>
    </row>
    <row r="33" spans="2:4" x14ac:dyDescent="0.25">
      <c r="B33" s="71">
        <v>32</v>
      </c>
      <c r="C33" s="55" t="s">
        <v>338</v>
      </c>
    </row>
    <row r="34" spans="2:4" ht="36.75" customHeight="1" x14ac:dyDescent="0.25">
      <c r="B34" s="71">
        <v>33</v>
      </c>
      <c r="C34" s="61" t="s">
        <v>339</v>
      </c>
    </row>
    <row r="35" spans="2:4" x14ac:dyDescent="0.25">
      <c r="B35" s="69">
        <v>34</v>
      </c>
      <c r="C35" s="55" t="s">
        <v>347</v>
      </c>
    </row>
    <row r="36" spans="2:4" ht="60" x14ac:dyDescent="0.25">
      <c r="B36" s="69">
        <v>35</v>
      </c>
      <c r="C36" s="56" t="s">
        <v>349</v>
      </c>
    </row>
    <row r="37" spans="2:4" x14ac:dyDescent="0.25">
      <c r="B37" s="55">
        <v>36</v>
      </c>
      <c r="C37" s="56" t="s">
        <v>360</v>
      </c>
    </row>
    <row r="38" spans="2:4" x14ac:dyDescent="0.25">
      <c r="B38" s="55">
        <f t="shared" ref="B38:B44" si="0">B37+1</f>
        <v>37</v>
      </c>
      <c r="C38" s="55" t="s">
        <v>356</v>
      </c>
    </row>
    <row r="39" spans="2:4" x14ac:dyDescent="0.25">
      <c r="B39" s="55">
        <f t="shared" si="0"/>
        <v>38</v>
      </c>
      <c r="C39" s="55" t="s">
        <v>357</v>
      </c>
    </row>
    <row r="40" spans="2:4" x14ac:dyDescent="0.25">
      <c r="B40" s="55">
        <f t="shared" si="0"/>
        <v>39</v>
      </c>
      <c r="C40" s="55" t="s">
        <v>358</v>
      </c>
    </row>
    <row r="41" spans="2:4" x14ac:dyDescent="0.25">
      <c r="B41" s="55">
        <f t="shared" si="0"/>
        <v>40</v>
      </c>
      <c r="C41" s="55" t="s">
        <v>359</v>
      </c>
    </row>
    <row r="42" spans="2:4" ht="30.75" thickBot="1" x14ac:dyDescent="0.3">
      <c r="B42" s="78">
        <f t="shared" si="0"/>
        <v>41</v>
      </c>
      <c r="C42" s="79" t="s">
        <v>361</v>
      </c>
    </row>
    <row r="43" spans="2:4" ht="30" x14ac:dyDescent="0.25">
      <c r="B43" s="82">
        <f t="shared" si="0"/>
        <v>42</v>
      </c>
      <c r="C43" s="87" t="s">
        <v>366</v>
      </c>
      <c r="D43" t="s">
        <v>367</v>
      </c>
    </row>
    <row r="44" spans="2:4" ht="15.75" thickBot="1" x14ac:dyDescent="0.3">
      <c r="B44" s="84">
        <f t="shared" si="0"/>
        <v>43</v>
      </c>
      <c r="C44" s="86" t="s">
        <v>362</v>
      </c>
    </row>
    <row r="45" spans="2:4" ht="15.75" thickBot="1" x14ac:dyDescent="0.3">
      <c r="B45" s="80">
        <f t="shared" ref="B45:B54" si="1">B44+1</f>
        <v>44</v>
      </c>
      <c r="C45" s="81" t="s">
        <v>363</v>
      </c>
    </row>
    <row r="46" spans="2:4" ht="30" x14ac:dyDescent="0.25">
      <c r="B46" s="82">
        <f t="shared" si="1"/>
        <v>45</v>
      </c>
      <c r="C46" s="83" t="s">
        <v>364</v>
      </c>
    </row>
    <row r="47" spans="2:4" ht="15.75" thickBot="1" x14ac:dyDescent="0.3">
      <c r="B47" s="84">
        <f t="shared" si="1"/>
        <v>46</v>
      </c>
      <c r="C47" s="85" t="s">
        <v>365</v>
      </c>
    </row>
    <row r="48" spans="2:4" x14ac:dyDescent="0.25">
      <c r="B48" s="88">
        <f t="shared" si="1"/>
        <v>47</v>
      </c>
      <c r="C48" s="89" t="s">
        <v>368</v>
      </c>
    </row>
    <row r="49" spans="2:6" x14ac:dyDescent="0.25">
      <c r="B49" s="88">
        <f t="shared" si="1"/>
        <v>48</v>
      </c>
      <c r="C49" s="89" t="s">
        <v>369</v>
      </c>
    </row>
    <row r="50" spans="2:6" x14ac:dyDescent="0.25">
      <c r="B50" s="88">
        <f t="shared" si="1"/>
        <v>49</v>
      </c>
      <c r="C50" s="89" t="s">
        <v>371</v>
      </c>
      <c r="D50" t="s">
        <v>370</v>
      </c>
    </row>
    <row r="51" spans="2:6" ht="30" x14ac:dyDescent="0.25">
      <c r="B51" s="90">
        <f t="shared" si="1"/>
        <v>50</v>
      </c>
      <c r="C51" s="91" t="s">
        <v>372</v>
      </c>
    </row>
    <row r="52" spans="2:6" x14ac:dyDescent="0.25">
      <c r="B52" s="90">
        <f t="shared" si="1"/>
        <v>51</v>
      </c>
      <c r="C52" s="92" t="s">
        <v>375</v>
      </c>
      <c r="D52" t="s">
        <v>376</v>
      </c>
    </row>
    <row r="53" spans="2:6" x14ac:dyDescent="0.25">
      <c r="B53" s="90">
        <f t="shared" si="1"/>
        <v>52</v>
      </c>
      <c r="C53" s="92" t="s">
        <v>378</v>
      </c>
      <c r="D53" t="s">
        <v>379</v>
      </c>
    </row>
    <row r="54" spans="2:6" ht="45" x14ac:dyDescent="0.25">
      <c r="B54" s="90">
        <f t="shared" si="1"/>
        <v>53</v>
      </c>
      <c r="C54" s="61" t="s">
        <v>383</v>
      </c>
      <c r="D54" t="s">
        <v>382</v>
      </c>
    </row>
    <row r="55" spans="2:6" ht="30" x14ac:dyDescent="0.25">
      <c r="B55">
        <v>54</v>
      </c>
      <c r="C55" s="96" t="s">
        <v>384</v>
      </c>
      <c r="D55" s="344" t="s">
        <v>385</v>
      </c>
      <c r="E55" s="345"/>
      <c r="F55" s="345"/>
    </row>
  </sheetData>
  <mergeCells count="1">
    <mergeCell ref="D55:F55"/>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ColWidth="9.140625" defaultRowHeight="15" x14ac:dyDescent="0.25"/>
  <cols>
    <col min="1" max="1" width="9.140625" style="51"/>
    <col min="2" max="2" width="12.28515625" style="51" customWidth="1"/>
    <col min="3" max="16384" width="9.140625" style="51"/>
  </cols>
  <sheetData>
    <row r="2" spans="1:12" x14ac:dyDescent="0.25">
      <c r="B2" s="63" t="s">
        <v>301</v>
      </c>
      <c r="C2" s="346"/>
      <c r="D2" s="346"/>
    </row>
    <row r="3" spans="1:12" x14ac:dyDescent="0.25">
      <c r="D3" s="64"/>
      <c r="E3" s="64"/>
      <c r="F3" s="64"/>
      <c r="G3" s="64"/>
      <c r="H3" s="64"/>
      <c r="I3" s="64"/>
    </row>
    <row r="4" spans="1:12" x14ac:dyDescent="0.25">
      <c r="A4" s="63" t="s">
        <v>65</v>
      </c>
      <c r="B4" s="65" t="s">
        <v>302</v>
      </c>
      <c r="C4" s="347" t="s">
        <v>303</v>
      </c>
      <c r="D4" s="347"/>
      <c r="E4" s="347"/>
      <c r="F4" s="65"/>
      <c r="G4" s="348" t="s">
        <v>304</v>
      </c>
      <c r="H4" s="348"/>
      <c r="I4" s="348"/>
      <c r="J4" s="349" t="s">
        <v>305</v>
      </c>
      <c r="K4" s="349"/>
      <c r="L4" s="349"/>
    </row>
    <row r="5" spans="1:12" x14ac:dyDescent="0.25">
      <c r="A5" s="63"/>
      <c r="B5" s="65"/>
      <c r="C5" s="65" t="s">
        <v>306</v>
      </c>
      <c r="D5" s="65" t="s">
        <v>307</v>
      </c>
      <c r="E5" s="65" t="s">
        <v>308</v>
      </c>
      <c r="F5" s="65"/>
      <c r="G5" s="65" t="s">
        <v>306</v>
      </c>
      <c r="H5" s="65" t="s">
        <v>307</v>
      </c>
      <c r="I5" s="65" t="s">
        <v>308</v>
      </c>
      <c r="J5" s="65" t="s">
        <v>306</v>
      </c>
      <c r="K5" s="65" t="s">
        <v>307</v>
      </c>
      <c r="L5" s="65" t="s">
        <v>308</v>
      </c>
    </row>
    <row r="6" spans="1:12" x14ac:dyDescent="0.25">
      <c r="B6" s="52" t="s">
        <v>309</v>
      </c>
      <c r="C6" s="52"/>
      <c r="D6" s="52"/>
      <c r="E6" s="52">
        <f>C6*D6</f>
        <v>0</v>
      </c>
      <c r="F6" s="52" t="s">
        <v>326</v>
      </c>
      <c r="G6" s="52"/>
      <c r="H6" s="52"/>
      <c r="I6" s="52">
        <f>G6*H6</f>
        <v>0</v>
      </c>
      <c r="J6" s="52"/>
      <c r="K6" s="52"/>
      <c r="L6" s="52">
        <f>J6*K6</f>
        <v>0</v>
      </c>
    </row>
    <row r="7" spans="1:12" x14ac:dyDescent="0.25">
      <c r="B7" s="52"/>
      <c r="C7" s="52"/>
      <c r="D7" s="52"/>
      <c r="E7" s="52">
        <f t="shared" ref="E7:E41" si="0">C7*D7</f>
        <v>0</v>
      </c>
      <c r="F7" s="52" t="s">
        <v>326</v>
      </c>
      <c r="G7" s="52"/>
      <c r="H7" s="52"/>
      <c r="I7" s="52">
        <f t="shared" ref="I7:I35" si="1">G7*H7</f>
        <v>0</v>
      </c>
      <c r="J7" s="52"/>
      <c r="K7" s="52"/>
      <c r="L7" s="52">
        <f t="shared" ref="L7:L35" si="2">J7*K7</f>
        <v>0</v>
      </c>
    </row>
    <row r="8" spans="1:12" x14ac:dyDescent="0.25">
      <c r="B8" s="52"/>
      <c r="C8" s="52"/>
      <c r="D8" s="52"/>
      <c r="E8" s="52">
        <f t="shared" si="0"/>
        <v>0</v>
      </c>
      <c r="F8" s="52"/>
      <c r="G8" s="52"/>
      <c r="H8" s="52"/>
      <c r="I8" s="52">
        <f t="shared" si="1"/>
        <v>0</v>
      </c>
      <c r="J8" s="52"/>
      <c r="K8" s="52"/>
      <c r="L8" s="52">
        <f t="shared" si="2"/>
        <v>0</v>
      </c>
    </row>
    <row r="9" spans="1:12" x14ac:dyDescent="0.25">
      <c r="B9" s="52"/>
      <c r="C9" s="52"/>
      <c r="D9" s="52"/>
      <c r="E9" s="52">
        <f t="shared" si="0"/>
        <v>0</v>
      </c>
      <c r="F9" s="52" t="s">
        <v>310</v>
      </c>
      <c r="G9" s="52"/>
      <c r="H9" s="52"/>
      <c r="I9" s="52">
        <f t="shared" si="1"/>
        <v>0</v>
      </c>
      <c r="J9" s="52"/>
      <c r="K9" s="52"/>
      <c r="L9" s="52">
        <f t="shared" si="2"/>
        <v>0</v>
      </c>
    </row>
    <row r="10" spans="1:12" x14ac:dyDescent="0.25">
      <c r="B10" s="52" t="s">
        <v>311</v>
      </c>
      <c r="C10" s="52"/>
      <c r="D10" s="52"/>
      <c r="E10" s="52">
        <f t="shared" si="0"/>
        <v>0</v>
      </c>
      <c r="F10" s="52" t="s">
        <v>310</v>
      </c>
      <c r="G10" s="52"/>
      <c r="H10" s="52"/>
      <c r="I10" s="52">
        <f t="shared" si="1"/>
        <v>0</v>
      </c>
      <c r="J10" s="52"/>
      <c r="K10" s="52"/>
      <c r="L10" s="52">
        <f t="shared" si="2"/>
        <v>0</v>
      </c>
    </row>
    <row r="11" spans="1:12" x14ac:dyDescent="0.25">
      <c r="B11" s="52"/>
      <c r="C11" s="52"/>
      <c r="D11" s="52"/>
      <c r="E11" s="52">
        <f t="shared" si="0"/>
        <v>0</v>
      </c>
      <c r="F11" s="52" t="s">
        <v>312</v>
      </c>
      <c r="G11" s="52"/>
      <c r="H11" s="52"/>
      <c r="I11" s="52">
        <f t="shared" si="1"/>
        <v>0</v>
      </c>
      <c r="J11" s="52"/>
      <c r="K11" s="52"/>
      <c r="L11" s="52">
        <f t="shared" si="2"/>
        <v>0</v>
      </c>
    </row>
    <row r="12" spans="1:12" x14ac:dyDescent="0.25">
      <c r="B12" s="52"/>
      <c r="C12" s="52"/>
      <c r="D12" s="52"/>
      <c r="E12" s="52">
        <f t="shared" si="0"/>
        <v>0</v>
      </c>
      <c r="F12" s="52"/>
      <c r="G12" s="52"/>
      <c r="H12" s="52"/>
      <c r="I12" s="52">
        <f t="shared" si="1"/>
        <v>0</v>
      </c>
      <c r="J12" s="52"/>
      <c r="K12" s="52"/>
      <c r="L12" s="52">
        <f t="shared" si="2"/>
        <v>0</v>
      </c>
    </row>
    <row r="13" spans="1:12" x14ac:dyDescent="0.25">
      <c r="B13" s="52"/>
      <c r="C13" s="52"/>
      <c r="D13" s="52"/>
      <c r="E13" s="52">
        <f t="shared" si="0"/>
        <v>0</v>
      </c>
      <c r="F13" s="52"/>
      <c r="G13" s="52"/>
      <c r="H13" s="52"/>
      <c r="I13" s="52">
        <f t="shared" si="1"/>
        <v>0</v>
      </c>
      <c r="J13" s="52"/>
      <c r="K13" s="52"/>
      <c r="L13" s="52">
        <f t="shared" si="2"/>
        <v>0</v>
      </c>
    </row>
    <row r="14" spans="1:12" x14ac:dyDescent="0.25">
      <c r="B14" s="52" t="s">
        <v>313</v>
      </c>
      <c r="C14" s="52"/>
      <c r="D14" s="52"/>
      <c r="E14" s="52">
        <f t="shared" si="0"/>
        <v>0</v>
      </c>
      <c r="F14" s="52" t="s">
        <v>310</v>
      </c>
      <c r="G14" s="52"/>
      <c r="H14" s="52"/>
      <c r="I14" s="52">
        <f t="shared" si="1"/>
        <v>0</v>
      </c>
      <c r="J14" s="52"/>
      <c r="K14" s="52"/>
      <c r="L14" s="52">
        <f t="shared" si="2"/>
        <v>0</v>
      </c>
    </row>
    <row r="15" spans="1:12" x14ac:dyDescent="0.25">
      <c r="B15" s="52"/>
      <c r="C15" s="52"/>
      <c r="D15" s="52"/>
      <c r="E15" s="52">
        <f t="shared" si="0"/>
        <v>0</v>
      </c>
      <c r="F15" s="52" t="s">
        <v>312</v>
      </c>
      <c r="G15" s="52"/>
      <c r="H15" s="52"/>
      <c r="I15" s="52">
        <f t="shared" si="1"/>
        <v>0</v>
      </c>
      <c r="J15" s="52"/>
      <c r="K15" s="52"/>
      <c r="L15" s="52">
        <f t="shared" si="2"/>
        <v>0</v>
      </c>
    </row>
    <row r="16" spans="1:12" x14ac:dyDescent="0.25">
      <c r="B16" s="52"/>
      <c r="C16" s="52"/>
      <c r="D16" s="52"/>
      <c r="E16" s="52">
        <f t="shared" si="0"/>
        <v>0</v>
      </c>
      <c r="F16" s="52"/>
      <c r="G16" s="52"/>
      <c r="H16" s="52"/>
      <c r="I16" s="52">
        <f t="shared" si="1"/>
        <v>0</v>
      </c>
      <c r="J16" s="52"/>
      <c r="K16" s="52"/>
      <c r="L16" s="52">
        <f t="shared" si="2"/>
        <v>0</v>
      </c>
    </row>
    <row r="17" spans="2:12" x14ac:dyDescent="0.25">
      <c r="B17" s="52"/>
      <c r="C17" s="52"/>
      <c r="D17" s="52"/>
      <c r="E17" s="52">
        <f t="shared" si="0"/>
        <v>0</v>
      </c>
      <c r="F17" s="52"/>
      <c r="G17" s="52"/>
      <c r="H17" s="52"/>
      <c r="I17" s="52">
        <f t="shared" si="1"/>
        <v>0</v>
      </c>
      <c r="J17" s="52"/>
      <c r="K17" s="52"/>
      <c r="L17" s="52">
        <f t="shared" si="2"/>
        <v>0</v>
      </c>
    </row>
    <row r="18" spans="2:12" x14ac:dyDescent="0.25">
      <c r="B18" s="52" t="s">
        <v>314</v>
      </c>
      <c r="C18" s="52"/>
      <c r="D18" s="52"/>
      <c r="E18" s="52">
        <f t="shared" si="0"/>
        <v>0</v>
      </c>
      <c r="F18" s="52" t="s">
        <v>310</v>
      </c>
      <c r="G18" s="52"/>
      <c r="H18" s="52"/>
      <c r="I18" s="52">
        <f t="shared" si="1"/>
        <v>0</v>
      </c>
      <c r="J18" s="52"/>
      <c r="K18" s="52"/>
      <c r="L18" s="52">
        <f t="shared" si="2"/>
        <v>0</v>
      </c>
    </row>
    <row r="19" spans="2:12" x14ac:dyDescent="0.25">
      <c r="B19" s="52"/>
      <c r="C19" s="52"/>
      <c r="D19" s="52"/>
      <c r="E19" s="52">
        <f t="shared" si="0"/>
        <v>0</v>
      </c>
      <c r="F19" s="52" t="s">
        <v>312</v>
      </c>
      <c r="G19" s="52"/>
      <c r="H19" s="52"/>
      <c r="I19" s="52">
        <f t="shared" si="1"/>
        <v>0</v>
      </c>
      <c r="J19" s="52"/>
      <c r="K19" s="52"/>
      <c r="L19" s="52">
        <f t="shared" si="2"/>
        <v>0</v>
      </c>
    </row>
    <row r="20" spans="2:12" x14ac:dyDescent="0.25">
      <c r="B20" s="52"/>
      <c r="C20" s="52"/>
      <c r="D20" s="52"/>
      <c r="E20" s="52">
        <f t="shared" si="0"/>
        <v>0</v>
      </c>
      <c r="F20" s="52"/>
      <c r="G20" s="52"/>
      <c r="H20" s="52"/>
      <c r="I20" s="52">
        <f t="shared" si="1"/>
        <v>0</v>
      </c>
      <c r="J20" s="52"/>
      <c r="K20" s="52"/>
      <c r="L20" s="52">
        <f t="shared" si="2"/>
        <v>0</v>
      </c>
    </row>
    <row r="21" spans="2:12" x14ac:dyDescent="0.25">
      <c r="B21" s="52" t="s">
        <v>315</v>
      </c>
      <c r="C21" s="52"/>
      <c r="D21" s="52"/>
      <c r="E21" s="52">
        <f t="shared" si="0"/>
        <v>0</v>
      </c>
      <c r="F21" s="52" t="s">
        <v>310</v>
      </c>
      <c r="G21" s="52"/>
      <c r="H21" s="52"/>
      <c r="I21" s="52">
        <f t="shared" si="1"/>
        <v>0</v>
      </c>
      <c r="J21" s="52"/>
      <c r="K21" s="52"/>
      <c r="L21" s="52">
        <f t="shared" si="2"/>
        <v>0</v>
      </c>
    </row>
    <row r="22" spans="2:12" x14ac:dyDescent="0.25">
      <c r="B22" s="52"/>
      <c r="C22" s="52"/>
      <c r="D22" s="52"/>
      <c r="E22" s="52">
        <f t="shared" si="0"/>
        <v>0</v>
      </c>
      <c r="F22" s="52" t="s">
        <v>312</v>
      </c>
      <c r="G22" s="52"/>
      <c r="H22" s="52"/>
      <c r="I22" s="52">
        <f t="shared" si="1"/>
        <v>0</v>
      </c>
      <c r="J22" s="52"/>
      <c r="K22" s="52"/>
      <c r="L22" s="52">
        <f t="shared" si="2"/>
        <v>0</v>
      </c>
    </row>
    <row r="23" spans="2:12" x14ac:dyDescent="0.25">
      <c r="B23" s="52"/>
      <c r="C23" s="52"/>
      <c r="D23" s="52"/>
      <c r="E23" s="52">
        <f t="shared" si="0"/>
        <v>0</v>
      </c>
      <c r="F23" s="52"/>
      <c r="G23" s="52"/>
      <c r="H23" s="52"/>
      <c r="I23" s="52">
        <f t="shared" si="1"/>
        <v>0</v>
      </c>
      <c r="J23" s="52"/>
      <c r="K23" s="52"/>
      <c r="L23" s="52">
        <f t="shared" si="2"/>
        <v>0</v>
      </c>
    </row>
    <row r="24" spans="2:12" x14ac:dyDescent="0.25">
      <c r="B24" s="52" t="s">
        <v>316</v>
      </c>
      <c r="C24" s="52"/>
      <c r="D24" s="52"/>
      <c r="E24" s="52">
        <f t="shared" si="0"/>
        <v>0</v>
      </c>
      <c r="F24" s="52" t="s">
        <v>317</v>
      </c>
      <c r="G24" s="52"/>
      <c r="H24" s="52"/>
      <c r="I24" s="52">
        <f t="shared" si="1"/>
        <v>0</v>
      </c>
      <c r="J24" s="52"/>
      <c r="K24" s="52"/>
      <c r="L24" s="52">
        <f t="shared" si="2"/>
        <v>0</v>
      </c>
    </row>
    <row r="25" spans="2:12" x14ac:dyDescent="0.25">
      <c r="B25" s="52"/>
      <c r="C25" s="52"/>
      <c r="D25" s="52"/>
      <c r="E25" s="52">
        <f>C25*D25</f>
        <v>0</v>
      </c>
      <c r="F25" s="52" t="s">
        <v>317</v>
      </c>
      <c r="G25" s="52"/>
      <c r="H25" s="52"/>
      <c r="I25" s="52">
        <f>G25*H25</f>
        <v>0</v>
      </c>
      <c r="J25" s="52"/>
      <c r="K25" s="52"/>
      <c r="L25" s="52">
        <f>J25*K25</f>
        <v>0</v>
      </c>
    </row>
    <row r="26" spans="2:12" x14ac:dyDescent="0.25">
      <c r="B26" s="52"/>
      <c r="C26" s="52"/>
      <c r="D26" s="52"/>
      <c r="E26" s="52">
        <f>C26*D26</f>
        <v>0</v>
      </c>
      <c r="F26" s="52" t="s">
        <v>317</v>
      </c>
      <c r="G26" s="52"/>
      <c r="H26" s="52"/>
      <c r="I26" s="52">
        <f>G26*H26</f>
        <v>0</v>
      </c>
      <c r="J26" s="52"/>
      <c r="K26" s="52"/>
      <c r="L26" s="52">
        <f>J26*K26</f>
        <v>0</v>
      </c>
    </row>
    <row r="27" spans="2:12" x14ac:dyDescent="0.25">
      <c r="B27" s="52"/>
      <c r="C27" s="52"/>
      <c r="D27" s="52"/>
      <c r="E27" s="52">
        <f>C27*D27</f>
        <v>0</v>
      </c>
      <c r="F27" s="52" t="s">
        <v>317</v>
      </c>
      <c r="G27" s="52"/>
      <c r="H27" s="52"/>
      <c r="I27" s="52">
        <f>G27*H27</f>
        <v>0</v>
      </c>
      <c r="J27" s="52"/>
      <c r="K27" s="52"/>
      <c r="L27" s="52">
        <f>J27*K27</f>
        <v>0</v>
      </c>
    </row>
    <row r="28" spans="2:12" x14ac:dyDescent="0.25">
      <c r="B28" s="52" t="s">
        <v>318</v>
      </c>
      <c r="C28" s="52"/>
      <c r="D28" s="52"/>
      <c r="E28" s="52">
        <f t="shared" si="0"/>
        <v>0</v>
      </c>
      <c r="F28" s="52" t="s">
        <v>317</v>
      </c>
      <c r="G28" s="52"/>
      <c r="H28" s="52"/>
      <c r="I28" s="52">
        <f t="shared" si="1"/>
        <v>0</v>
      </c>
      <c r="J28" s="52"/>
      <c r="K28" s="52"/>
      <c r="L28" s="52">
        <f t="shared" si="2"/>
        <v>0</v>
      </c>
    </row>
    <row r="29" spans="2:12" x14ac:dyDescent="0.25">
      <c r="B29" s="52" t="s">
        <v>319</v>
      </c>
      <c r="C29" s="52"/>
      <c r="D29" s="52"/>
      <c r="E29" s="52">
        <f t="shared" si="0"/>
        <v>0</v>
      </c>
      <c r="F29" s="52" t="s">
        <v>317</v>
      </c>
      <c r="G29" s="52"/>
      <c r="H29" s="52"/>
      <c r="I29" s="52">
        <f t="shared" si="1"/>
        <v>0</v>
      </c>
      <c r="J29" s="52"/>
      <c r="K29" s="52"/>
      <c r="L29" s="52">
        <f t="shared" si="2"/>
        <v>0</v>
      </c>
    </row>
    <row r="30" spans="2:12" x14ac:dyDescent="0.25">
      <c r="B30" s="52" t="s">
        <v>323</v>
      </c>
      <c r="C30" s="52"/>
      <c r="D30" s="52"/>
      <c r="E30" s="52">
        <f t="shared" si="0"/>
        <v>0</v>
      </c>
      <c r="F30" s="52"/>
      <c r="G30" s="52"/>
      <c r="H30" s="52"/>
      <c r="I30" s="52">
        <f t="shared" si="1"/>
        <v>0</v>
      </c>
      <c r="J30" s="52"/>
      <c r="K30" s="52"/>
      <c r="L30" s="52">
        <f t="shared" si="2"/>
        <v>0</v>
      </c>
    </row>
    <row r="31" spans="2:12" x14ac:dyDescent="0.25">
      <c r="B31" s="52"/>
      <c r="C31" s="52"/>
      <c r="D31" s="52"/>
      <c r="E31" s="52">
        <f>C31*D31</f>
        <v>0</v>
      </c>
      <c r="F31" s="52"/>
      <c r="G31" s="52"/>
      <c r="H31" s="52"/>
      <c r="I31" s="52">
        <f>G31*H31</f>
        <v>0</v>
      </c>
      <c r="J31" s="52"/>
      <c r="K31" s="52"/>
      <c r="L31" s="52">
        <f>J31*K31</f>
        <v>0</v>
      </c>
    </row>
    <row r="32" spans="2:12" x14ac:dyDescent="0.25">
      <c r="B32" s="52"/>
      <c r="C32" s="52"/>
      <c r="D32" s="52"/>
      <c r="E32" s="52">
        <f>C32*D32</f>
        <v>0</v>
      </c>
      <c r="F32" s="52"/>
      <c r="G32" s="52"/>
      <c r="H32" s="52"/>
      <c r="I32" s="52">
        <f>G32*H32</f>
        <v>0</v>
      </c>
      <c r="J32" s="52"/>
      <c r="K32" s="52"/>
      <c r="L32" s="52">
        <f>J32*K32</f>
        <v>0</v>
      </c>
    </row>
    <row r="33" spans="2:12" x14ac:dyDescent="0.25">
      <c r="B33" s="52" t="s">
        <v>320</v>
      </c>
      <c r="C33" s="52"/>
      <c r="D33" s="52"/>
      <c r="E33" s="52">
        <f t="shared" si="0"/>
        <v>0</v>
      </c>
      <c r="F33" s="52"/>
      <c r="G33" s="52"/>
      <c r="H33" s="52"/>
      <c r="I33" s="52">
        <f t="shared" si="1"/>
        <v>0</v>
      </c>
      <c r="J33" s="52"/>
      <c r="K33" s="52"/>
      <c r="L33" s="52">
        <f t="shared" si="2"/>
        <v>0</v>
      </c>
    </row>
    <row r="34" spans="2:12" x14ac:dyDescent="0.25">
      <c r="B34" s="52" t="s">
        <v>324</v>
      </c>
      <c r="C34" s="52"/>
      <c r="D34" s="52"/>
      <c r="E34" s="52">
        <f t="shared" si="0"/>
        <v>0</v>
      </c>
      <c r="F34" s="52"/>
      <c r="G34" s="52"/>
      <c r="H34" s="52"/>
      <c r="I34" s="52">
        <f t="shared" si="1"/>
        <v>0</v>
      </c>
      <c r="J34" s="52"/>
      <c r="K34" s="52"/>
      <c r="L34" s="52">
        <f t="shared" si="2"/>
        <v>0</v>
      </c>
    </row>
    <row r="35" spans="2:12" x14ac:dyDescent="0.25">
      <c r="B35" s="52" t="s">
        <v>321</v>
      </c>
      <c r="C35" s="52"/>
      <c r="D35" s="52"/>
      <c r="E35" s="52">
        <f t="shared" si="0"/>
        <v>0</v>
      </c>
      <c r="F35" s="52"/>
      <c r="G35" s="52"/>
      <c r="H35" s="52"/>
      <c r="I35" s="52">
        <f t="shared" si="1"/>
        <v>0</v>
      </c>
      <c r="J35" s="52"/>
      <c r="K35" s="52"/>
      <c r="L35" s="52">
        <f t="shared" si="2"/>
        <v>0</v>
      </c>
    </row>
    <row r="36" spans="2:12" x14ac:dyDescent="0.25">
      <c r="B36" s="52" t="s">
        <v>322</v>
      </c>
      <c r="C36" s="52"/>
      <c r="D36" s="52"/>
      <c r="E36" s="52">
        <f t="shared" si="0"/>
        <v>0</v>
      </c>
      <c r="F36" s="52"/>
      <c r="G36" s="52"/>
      <c r="H36" s="52"/>
      <c r="I36" s="52">
        <f t="shared" ref="I36:I41" si="3">G36*H36</f>
        <v>0</v>
      </c>
      <c r="J36" s="52"/>
      <c r="K36" s="52"/>
      <c r="L36" s="52">
        <f t="shared" ref="L36:L41" si="4">J36*K36</f>
        <v>0</v>
      </c>
    </row>
    <row r="37" spans="2:12" x14ac:dyDescent="0.25">
      <c r="B37" s="52"/>
      <c r="C37" s="52"/>
      <c r="D37" s="52"/>
      <c r="E37" s="52">
        <f>C37*D37</f>
        <v>0</v>
      </c>
      <c r="F37" s="52"/>
      <c r="G37" s="52"/>
      <c r="H37" s="52"/>
      <c r="I37" s="52">
        <f t="shared" si="3"/>
        <v>0</v>
      </c>
      <c r="J37" s="52"/>
      <c r="K37" s="52"/>
      <c r="L37" s="52">
        <f t="shared" si="4"/>
        <v>0</v>
      </c>
    </row>
    <row r="38" spans="2:12" x14ac:dyDescent="0.25">
      <c r="B38" s="52" t="s">
        <v>325</v>
      </c>
      <c r="C38" s="52"/>
      <c r="D38" s="52"/>
      <c r="E38" s="52">
        <f>C38*D38</f>
        <v>0</v>
      </c>
      <c r="F38" s="52"/>
      <c r="G38" s="52"/>
      <c r="H38" s="52"/>
      <c r="I38" s="52">
        <f t="shared" si="3"/>
        <v>0</v>
      </c>
      <c r="J38" s="52"/>
      <c r="K38" s="52"/>
      <c r="L38" s="52">
        <f t="shared" si="4"/>
        <v>0</v>
      </c>
    </row>
    <row r="39" spans="2:12" x14ac:dyDescent="0.25">
      <c r="B39" s="52"/>
      <c r="C39" s="52"/>
      <c r="D39" s="52"/>
      <c r="E39" s="52">
        <f t="shared" si="0"/>
        <v>0</v>
      </c>
      <c r="F39" s="52"/>
      <c r="G39" s="52"/>
      <c r="H39" s="52"/>
      <c r="I39" s="52">
        <f t="shared" si="3"/>
        <v>0</v>
      </c>
      <c r="J39" s="52"/>
      <c r="K39" s="52"/>
      <c r="L39" s="52">
        <f t="shared" si="4"/>
        <v>0</v>
      </c>
    </row>
    <row r="40" spans="2:12" x14ac:dyDescent="0.25">
      <c r="B40" s="52"/>
      <c r="C40" s="52"/>
      <c r="D40" s="52"/>
      <c r="E40" s="52">
        <f t="shared" si="0"/>
        <v>0</v>
      </c>
      <c r="F40" s="52"/>
      <c r="G40" s="52"/>
      <c r="H40" s="52"/>
      <c r="I40" s="52">
        <f t="shared" si="3"/>
        <v>0</v>
      </c>
      <c r="J40" s="52"/>
      <c r="K40" s="52"/>
      <c r="L40" s="52">
        <f t="shared" si="4"/>
        <v>0</v>
      </c>
    </row>
    <row r="41" spans="2:12" x14ac:dyDescent="0.25">
      <c r="B41" s="52"/>
      <c r="C41" s="52"/>
      <c r="D41" s="52"/>
      <c r="E41" s="52">
        <f t="shared" si="0"/>
        <v>0</v>
      </c>
      <c r="F41" s="52"/>
      <c r="G41" s="52"/>
      <c r="H41" s="52"/>
      <c r="I41" s="52">
        <f t="shared" si="3"/>
        <v>0</v>
      </c>
      <c r="J41" s="52"/>
      <c r="K41" s="52"/>
      <c r="L41" s="52">
        <f t="shared" si="4"/>
        <v>0</v>
      </c>
    </row>
    <row r="42" spans="2:12" x14ac:dyDescent="0.25">
      <c r="B42" s="52" t="s">
        <v>149</v>
      </c>
      <c r="C42" s="52"/>
      <c r="D42" s="52">
        <f>E42*10.764</f>
        <v>0</v>
      </c>
      <c r="E42" s="68">
        <f>SUM(E6:E41)</f>
        <v>0</v>
      </c>
      <c r="F42" s="52"/>
      <c r="G42" s="52"/>
      <c r="H42" s="52">
        <f>I42*10.764</f>
        <v>0</v>
      </c>
      <c r="I42" s="67">
        <f>SUM(I6:I41)</f>
        <v>0</v>
      </c>
      <c r="J42" s="52"/>
      <c r="K42" s="52">
        <f>L42*10.764</f>
        <v>0</v>
      </c>
      <c r="L42" s="66">
        <f>SUM(L6:L41)</f>
        <v>0</v>
      </c>
    </row>
    <row r="44" spans="2:12" x14ac:dyDescent="0.25">
      <c r="D44" s="51">
        <f>D42+H42</f>
        <v>0</v>
      </c>
      <c r="E44" s="51">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VSJC-06</cp:lastModifiedBy>
  <cp:lastPrinted>2025-09-06T07:18:54Z</cp:lastPrinted>
  <dcterms:created xsi:type="dcterms:W3CDTF">2019-07-16T09:29:46Z</dcterms:created>
  <dcterms:modified xsi:type="dcterms:W3CDTF">2025-09-06T07:23:17Z</dcterms:modified>
</cp:coreProperties>
</file>